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ettings" sheetId="2" r:id="rId4"/>
    <sheet state="visible" name="Update-Config" sheetId="3" r:id="rId5"/>
  </sheets>
  <definedNames/>
  <calcPr/>
</workbook>
</file>

<file path=xl/sharedStrings.xml><?xml version="1.0" encoding="utf-8"?>
<sst xmlns="http://schemas.openxmlformats.org/spreadsheetml/2006/main" count="802" uniqueCount="769">
  <si>
    <t xml:space="preserve"> </t>
  </si>
  <si>
    <t>en</t>
  </si>
  <si>
    <t>hi</t>
  </si>
  <si>
    <t>ar</t>
  </si>
  <si>
    <t>fr</t>
  </si>
  <si>
    <t>tr</t>
  </si>
  <si>
    <t>ru</t>
  </si>
  <si>
    <t>it</t>
  </si>
  <si>
    <t>de</t>
  </si>
  <si>
    <t>ko</t>
  </si>
  <si>
    <t>zh</t>
  </si>
  <si>
    <t>es</t>
  </si>
  <si>
    <t>iw</t>
  </si>
  <si>
    <t>bn</t>
  </si>
  <si>
    <t>text_enter_social</t>
  </si>
  <si>
    <t>or Enter Social Media</t>
  </si>
  <si>
    <t>text_sign_up</t>
  </si>
  <si>
    <t>Sign Up</t>
  </si>
  <si>
    <t>text_track_location</t>
  </si>
  <si>
    <t>Tracking Driver Location</t>
  </si>
  <si>
    <t>text_keep_track</t>
  </si>
  <si>
    <t>Remember to keep track of Ride professional accomplishments</t>
  </si>
  <si>
    <t>text_skip</t>
  </si>
  <si>
    <t>skip</t>
  </si>
  <si>
    <t>text_next</t>
  </si>
  <si>
    <t>next</t>
  </si>
  <si>
    <t>text_your_ride</t>
  </si>
  <si>
    <t>Your ride, on demand</t>
  </si>
  <si>
    <t>text_login</t>
  </si>
  <si>
    <t>Login</t>
  </si>
  <si>
    <t>text_phone_number</t>
  </si>
  <si>
    <t>Enter Mobile Number</t>
  </si>
  <si>
    <t>text_get_started</t>
  </si>
  <si>
    <t>Let's Get Started!</t>
  </si>
  <si>
    <t>text_fill_form</t>
  </si>
  <si>
    <t>Fill the form to continue.</t>
  </si>
  <si>
    <t>text_signup_social</t>
  </si>
  <si>
    <t>Sign up with Social of fill the form to continue.</t>
  </si>
  <si>
    <t>text_email</t>
  </si>
  <si>
    <t>Email</t>
  </si>
  <si>
    <t>text_name</t>
  </si>
  <si>
    <t>Name</t>
  </si>
  <si>
    <t>text_agree</t>
  </si>
  <si>
    <t>By Signing up, you agree to the</t>
  </si>
  <si>
    <t>text_terms</t>
  </si>
  <si>
    <t>Terms of Service</t>
  </si>
  <si>
    <t>text_and</t>
  </si>
  <si>
    <t>and</t>
  </si>
  <si>
    <t>text_privacy</t>
  </si>
  <si>
    <t>Privacy Policy</t>
  </si>
  <si>
    <t>text_fastest_way</t>
  </si>
  <si>
    <t>Fastest way to book a Ride without the hassle of waiting &amp; haggling of price</t>
  </si>
  <si>
    <t>text_phone_verify</t>
  </si>
  <si>
    <t>Phone Verification</t>
  </si>
  <si>
    <t>text_enter_otp</t>
  </si>
  <si>
    <t>Please enter the 6-digit code send to you at</t>
  </si>
  <si>
    <t>text_resend_code</t>
  </si>
  <si>
    <t>Resend Code</t>
  </si>
  <si>
    <t>text_verify</t>
  </si>
  <si>
    <t>Verify Now</t>
  </si>
  <si>
    <t>text_pick_up_location</t>
  </si>
  <si>
    <t>Pick up Location</t>
  </si>
  <si>
    <t>text_drop</t>
  </si>
  <si>
    <t>Drop Location</t>
  </si>
  <si>
    <t>text_daily</t>
  </si>
  <si>
    <t>Daily</t>
  </si>
  <si>
    <t>text_rental</t>
  </si>
  <si>
    <t>Rental</t>
  </si>
  <si>
    <t>text_search</t>
  </si>
  <si>
    <t>Search</t>
  </si>
  <si>
    <t>text_pick_up</t>
  </si>
  <si>
    <t>Pick-up</t>
  </si>
  <si>
    <t>text_confirm</t>
  </si>
  <si>
    <t>Confirm</t>
  </si>
  <si>
    <t>Drop</t>
  </si>
  <si>
    <t>text_favourites</t>
  </si>
  <si>
    <t>Favourites</t>
  </si>
  <si>
    <t>text_clear</t>
  </si>
  <si>
    <t>Clear</t>
  </si>
  <si>
    <t>text_vehicle_make</t>
  </si>
  <si>
    <t>What make of vehicle is it?</t>
  </si>
  <si>
    <t>text_continue</t>
  </si>
  <si>
    <t>Continue</t>
  </si>
  <si>
    <t>text_vehicle_model</t>
  </si>
  <si>
    <t>What model of vehicle is it?</t>
  </si>
  <si>
    <t>text_service_location</t>
  </si>
  <si>
    <t>What service location you want to register?</t>
  </si>
  <si>
    <t>text_vehicle_type</t>
  </si>
  <si>
    <t>What type of vehicle is it?</t>
  </si>
  <si>
    <t>text_vehicle_color</t>
  </si>
  <si>
    <t>What color of vehicle is it?</t>
  </si>
  <si>
    <t>text_license</t>
  </si>
  <si>
    <t>Vehicle Number</t>
  </si>
  <si>
    <t>text_enter_vehicle</t>
  </si>
  <si>
    <t>Enter Your Vehicle Number</t>
  </si>
  <si>
    <t>text_vehicle_model_year</t>
  </si>
  <si>
    <t>What is the Vehicle's model year</t>
  </si>
  <si>
    <t>text_apply_referral</t>
  </si>
  <si>
    <t>Apply Referral</t>
  </si>
  <si>
    <t>text_enter_referral</t>
  </si>
  <si>
    <t>Enter Referral Code</t>
  </si>
  <si>
    <t>text_apply</t>
  </si>
  <si>
    <t>Apply</t>
  </si>
  <si>
    <t>text_manage_docs</t>
  </si>
  <si>
    <t>Manage Documents</t>
  </si>
  <si>
    <t>text_passport</t>
  </si>
  <si>
    <t>Passport</t>
  </si>
  <si>
    <t>text_not_uploaded</t>
  </si>
  <si>
    <t>Not Uploaded</t>
  </si>
  <si>
    <t>text_uploaded</t>
  </si>
  <si>
    <t>Uploaded</t>
  </si>
  <si>
    <t>text_upload</t>
  </si>
  <si>
    <t>Upload</t>
  </si>
  <si>
    <t>text_approval_waiting</t>
  </si>
  <si>
    <t>Verification Pending</t>
  </si>
  <si>
    <t>text_send_approval</t>
  </si>
  <si>
    <t>Your document is still pending for verification. Once it's all verified you start getting rides. Please sit tight</t>
  </si>
  <si>
    <t>text_upload_docs</t>
  </si>
  <si>
    <t>Upload Documents</t>
  </si>
  <si>
    <t>text_choose_language</t>
  </si>
  <si>
    <t>Choose Language</t>
  </si>
  <si>
    <t>text_enter_vehicle_model_year</t>
  </si>
  <si>
    <t>Enter your Vehicle Model Year</t>
  </si>
  <si>
    <t>Text_enter_vehicle_color</t>
  </si>
  <si>
    <t>Enter Your Vehicle Color</t>
  </si>
  <si>
    <t>text_edit_docs</t>
  </si>
  <si>
    <t>Update Documents</t>
  </si>
  <si>
    <t>text_account_blocked</t>
  </si>
  <si>
    <t>Account Blocked</t>
  </si>
  <si>
    <t>text_document_rejected</t>
  </si>
  <si>
    <t>Your Account is blocked for the following reasons</t>
  </si>
  <si>
    <t>text_contact_admin</t>
  </si>
  <si>
    <t>Contact your Admin</t>
  </si>
  <si>
    <t>text_enable_location</t>
  </si>
  <si>
    <t>Please Enable Your Location</t>
  </si>
  <si>
    <t>text_ok</t>
  </si>
  <si>
    <t>Ok</t>
  </si>
  <si>
    <t>text_loc_permission</t>
  </si>
  <si>
    <t>Allow Location all the time - To book a Ride</t>
  </si>
  <si>
    <t>text_off_duty</t>
  </si>
  <si>
    <t>On Duty</t>
  </si>
  <si>
    <t>text_on_duty</t>
  </si>
  <si>
    <t>Off Duty</t>
  </si>
  <si>
    <t>text_pickpoint</t>
  </si>
  <si>
    <t>Pickup point</t>
  </si>
  <si>
    <t>text_droppoint</t>
  </si>
  <si>
    <t>Dropout point</t>
  </si>
  <si>
    <t>text_decline</t>
  </si>
  <si>
    <t>Decline</t>
  </si>
  <si>
    <t>text_accept</t>
  </si>
  <si>
    <t>Accept</t>
  </si>
  <si>
    <t>text_call</t>
  </si>
  <si>
    <t>Call</t>
  </si>
  <si>
    <t>text_chat</t>
  </si>
  <si>
    <t>Chat</t>
  </si>
  <si>
    <t>text_cancel</t>
  </si>
  <si>
    <t>Cancel</t>
  </si>
  <si>
    <t>text_arrived</t>
  </si>
  <si>
    <t>Arrived</t>
  </si>
  <si>
    <t>text_youareonline</t>
  </si>
  <si>
    <t>You are Online now</t>
  </si>
  <si>
    <t>text_youareoffline</t>
  </si>
  <si>
    <t>You are Offline now</t>
  </si>
  <si>
    <t>text_arriving</t>
  </si>
  <si>
    <t>Arriving</t>
  </si>
  <si>
    <t>text_onride</t>
  </si>
  <si>
    <t>Way to Drop</t>
  </si>
  <si>
    <t>text_startride</t>
  </si>
  <si>
    <t>Start Ride</t>
  </si>
  <si>
    <t>text_endtrip</t>
  </si>
  <si>
    <t>End Trip</t>
  </si>
  <si>
    <t>text_driver_otp</t>
  </si>
  <si>
    <t>Enter OTP</t>
  </si>
  <si>
    <t>text_enterdriverotp</t>
  </si>
  <si>
    <t>Enter the OTP displayed in Customer's mobile to start the ride</t>
  </si>
  <si>
    <t>text_enable_history</t>
  </si>
  <si>
    <t>History</t>
  </si>
  <si>
    <t>text_enable_wallet</t>
  </si>
  <si>
    <t>Wallet</t>
  </si>
  <si>
    <t>text_enable_referal</t>
  </si>
  <si>
    <t>Referal</t>
  </si>
  <si>
    <t>text_faq</t>
  </si>
  <si>
    <t>FAQ</t>
  </si>
  <si>
    <t>text_sos</t>
  </si>
  <si>
    <t>SOS</t>
  </si>
  <si>
    <t>text_change_language</t>
  </si>
  <si>
    <t>Change Language</t>
  </si>
  <si>
    <t>text_about</t>
  </si>
  <si>
    <t>About</t>
  </si>
  <si>
    <t>text_logout</t>
  </si>
  <si>
    <t>Logout</t>
  </si>
  <si>
    <t>text_tripsummary</t>
  </si>
  <si>
    <t>Trip Summary</t>
  </si>
  <si>
    <t>text_reference</t>
  </si>
  <si>
    <t>Reference Number</t>
  </si>
  <si>
    <t>text_rideType</t>
  </si>
  <si>
    <t>Type of Ride</t>
  </si>
  <si>
    <t>text_distance</t>
  </si>
  <si>
    <t>Distance</t>
  </si>
  <si>
    <t>text_duration</t>
  </si>
  <si>
    <t>Duration</t>
  </si>
  <si>
    <t>text_tripfare</t>
  </si>
  <si>
    <t>Fare Breakup</t>
  </si>
  <si>
    <t>text_baseprice</t>
  </si>
  <si>
    <t>Base Price</t>
  </si>
  <si>
    <t>text_taxes</t>
  </si>
  <si>
    <t>Taxes</t>
  </si>
  <si>
    <t>text_distprice</t>
  </si>
  <si>
    <t>Distance Price</t>
  </si>
  <si>
    <t>text_timeprice</t>
  </si>
  <si>
    <t>Time Price</t>
  </si>
  <si>
    <t>text_cancelfee</t>
  </si>
  <si>
    <t>Cancellation Fee</t>
  </si>
  <si>
    <t>text_convfee</t>
  </si>
  <si>
    <t>Convenience Fee</t>
  </si>
  <si>
    <t>text_totalfare</t>
  </si>
  <si>
    <t>Total Fare</t>
  </si>
  <si>
    <t>text_cash</t>
  </si>
  <si>
    <t>Cash</t>
  </si>
  <si>
    <t>text_trust_contact</t>
  </si>
  <si>
    <t>Trusted Contact</t>
  </si>
  <si>
    <t>text_trust_contact_1</t>
  </si>
  <si>
    <t>Share your trip status</t>
  </si>
  <si>
    <t>text_trust_contact_2</t>
  </si>
  <si>
    <t>You’ll be able to share your live location with one or more contacts during any trip</t>
  </si>
  <si>
    <t>text_trust_contact_3</t>
  </si>
  <si>
    <t>Set your emergency contacts</t>
  </si>
  <si>
    <t>text_trust_contact_4</t>
  </si>
  <si>
    <t>You can make a trusted contact an emergency contact. You can call them in case of emergency.</t>
  </si>
  <si>
    <t>text_add_trust_contact</t>
  </si>
  <si>
    <t>Add trusted contact</t>
  </si>
  <si>
    <t>text_submit</t>
  </si>
  <si>
    <t>Submit</t>
  </si>
  <si>
    <t>text_feedback</t>
  </si>
  <si>
    <t>Give your Feedback</t>
  </si>
  <si>
    <t>text testing</t>
  </si>
  <si>
    <t>Testing</t>
  </si>
  <si>
    <t>text_cancel_reason</t>
  </si>
  <si>
    <t>Cancel Reason</t>
  </si>
  <si>
    <t>text_cancelrequest</t>
  </si>
  <si>
    <t>Cancel Request</t>
  </si>
  <si>
    <t>text_entercancelreason</t>
  </si>
  <si>
    <t>Enter Cancel Reason</t>
  </si>
  <si>
    <t>text_pickdroplocation</t>
  </si>
  <si>
    <t>Choose Drop Location</t>
  </si>
  <si>
    <t>text_choosepicklocation</t>
  </si>
  <si>
    <t>Choose Pick Location</t>
  </si>
  <si>
    <t>text_fav_address</t>
  </si>
  <si>
    <t>Favourite Address</t>
  </si>
  <si>
    <t>text_pick_suggestion</t>
  </si>
  <si>
    <t>Pickup Suggestion</t>
  </si>
  <si>
    <t>text_drop_suggestion</t>
  </si>
  <si>
    <t>Drop Suggestion</t>
  </si>
  <si>
    <t>text_chooseonmap</t>
  </si>
  <si>
    <t>Locate on Map</t>
  </si>
  <si>
    <t>text_4lettersforautofill</t>
  </si>
  <si>
    <t>Enter 4 letters to search</t>
  </si>
  <si>
    <t>text_availablerides</t>
  </si>
  <si>
    <t>Available Rides</t>
  </si>
  <si>
    <t>text_paymentmethod</t>
  </si>
  <si>
    <t>Payment Method</t>
  </si>
  <si>
    <t>text_choose_paynoworlater</t>
  </si>
  <si>
    <t>Choose your payment now or later</t>
  </si>
  <si>
    <t>text_paycash</t>
  </si>
  <si>
    <t>Pay when trip ends</t>
  </si>
  <si>
    <t>text_paycard</t>
  </si>
  <si>
    <t>For seamless and contact less payment</t>
  </si>
  <si>
    <t>text_payupi</t>
  </si>
  <si>
    <t>For faster payment</t>
  </si>
  <si>
    <t>text_paywallet</t>
  </si>
  <si>
    <t>For Instant payment</t>
  </si>
  <si>
    <t>text_payingvia</t>
  </si>
  <si>
    <t>Paying via</t>
  </si>
  <si>
    <t>text_enterpromo</t>
  </si>
  <si>
    <t>Enter Promo Code</t>
  </si>
  <si>
    <t>text_remove</t>
  </si>
  <si>
    <t>Remove</t>
  </si>
  <si>
    <t>text_edit</t>
  </si>
  <si>
    <t>Edit</t>
  </si>
  <si>
    <t>text_promoaccepted</t>
  </si>
  <si>
    <t xml:space="preserve"> Coupon Applied</t>
  </si>
  <si>
    <t>text_promorejected</t>
  </si>
  <si>
    <t>Invalid Coupon Code</t>
  </si>
  <si>
    <t>text_findingdriver</t>
  </si>
  <si>
    <t>Looking for nearby drivers</t>
  </si>
  <si>
    <t>text_finddriverdesc</t>
  </si>
  <si>
    <t>We are looking for nearby drivers to accept your ride. Once accepted you can ride with us! We appreciate your patience!</t>
  </si>
  <si>
    <t>text_pickup_instruction</t>
  </si>
  <si>
    <t>Any Instructions for pick up</t>
  </si>
  <si>
    <t>text_shareride</t>
  </si>
  <si>
    <t>Share Ride</t>
  </si>
  <si>
    <t>text_ridecancel</t>
  </si>
  <si>
    <t>Are you sure to cancel ride</t>
  </si>
  <si>
    <t>text_ridecancel_desc</t>
  </si>
  <si>
    <t>Your ride will be cancelled and returned to main menu. This will lead to cancellation fee</t>
  </si>
  <si>
    <t>tex_dontcancel</t>
  </si>
  <si>
    <t>Don't Cancel</t>
  </si>
  <si>
    <t>text_cancelRideReason</t>
  </si>
  <si>
    <t>Reason for cancelling ride</t>
  </si>
  <si>
    <t>text_nodriver</t>
  </si>
  <si>
    <t>No Driver Found</t>
  </si>
  <si>
    <t>text_tryagain</t>
  </si>
  <si>
    <t>Try Again</t>
  </si>
  <si>
    <t>text_ridelater</t>
  </si>
  <si>
    <t>Ride Later</t>
  </si>
  <si>
    <t>text_ridenow</t>
  </si>
  <si>
    <t>Ride Now</t>
  </si>
  <si>
    <t>text_home</t>
  </si>
  <si>
    <t>Home</t>
  </si>
  <si>
    <t>text_work</t>
  </si>
  <si>
    <t>Work</t>
  </si>
  <si>
    <t>text_others</t>
  </si>
  <si>
    <t>Others</t>
  </si>
  <si>
    <t>text_enterfavname</t>
  </si>
  <si>
    <t>Enter Favourites Name</t>
  </si>
  <si>
    <t>text_confirmridelater</t>
  </si>
  <si>
    <t>Are you sure to choose ride in this time</t>
  </si>
  <si>
    <t>text_rideLaterSuccess</t>
  </si>
  <si>
    <t>Ride is confirmed successfully</t>
  </si>
  <si>
    <t>text_saveaddressas</t>
  </si>
  <si>
    <t>Save as Favourite</t>
  </si>
  <si>
    <t>text_trustedtaxi</t>
  </si>
  <si>
    <t>Most Trusted Ride Booking App</t>
  </si>
  <si>
    <t>text_allowpermission1</t>
  </si>
  <si>
    <t>To enjoy your ride experience</t>
  </si>
  <si>
    <t>text_allowpermission2</t>
  </si>
  <si>
    <t>Please allow us the following permissions</t>
  </si>
  <si>
    <t>text_allow</t>
  </si>
  <si>
    <t>Allow</t>
  </si>
  <si>
    <t>text_drivercancelled</t>
  </si>
  <si>
    <t>Ride Cancelled by Driver</t>
  </si>
  <si>
    <t>text_cancelsuccess</t>
  </si>
  <si>
    <t>Ride Cancelled Successfully</t>
  </si>
  <si>
    <t>text_notifyadmin</t>
  </si>
  <si>
    <t>Notify Admin</t>
  </si>
  <si>
    <t>text_notifysuccess</t>
  </si>
  <si>
    <t>Notified Successfully</t>
  </si>
  <si>
    <t>text_chatwithdriver</t>
  </si>
  <si>
    <t>Chat With Driver</t>
  </si>
  <si>
    <t>text_entermessage</t>
  </si>
  <si>
    <t>Enter Message</t>
  </si>
  <si>
    <t>text_newmessagereceived</t>
  </si>
  <si>
    <t>New Message Received</t>
  </si>
  <si>
    <t>text_nointernet</t>
  </si>
  <si>
    <t>No Internet Connection</t>
  </si>
  <si>
    <t>text_nointernetdesc</t>
  </si>
  <si>
    <t>Please check your internet connection, try enabling wifi or try again later</t>
  </si>
  <si>
    <t>text_copyrights</t>
  </si>
  <si>
    <t>Copyrights</t>
  </si>
  <si>
    <t>text_termsandconditions</t>
  </si>
  <si>
    <t>Terms and Conditions</t>
  </si>
  <si>
    <t>text_yourTrustedContacts</t>
  </si>
  <si>
    <t>Your Trusted Contacts</t>
  </si>
  <si>
    <t>text_removeSos</t>
  </si>
  <si>
    <t>Are you sure to remove this contact from your trusted Contact</t>
  </si>
  <si>
    <t>text_noDataFound</t>
  </si>
  <si>
    <t>No Data Found</t>
  </si>
  <si>
    <t>text_removeFav</t>
  </si>
  <si>
    <t>Are you sure to remove this address from your favorites</t>
  </si>
  <si>
    <t>text_invite</t>
  </si>
  <si>
    <t>Invite</t>
  </si>
  <si>
    <t>text_invitation_1</t>
  </si>
  <si>
    <t>Join me on 55! using my invite code</t>
  </si>
  <si>
    <t>text_invitation_2</t>
  </si>
  <si>
    <t>To make easy your ride</t>
  </si>
  <si>
    <t>text_upcoming</t>
  </si>
  <si>
    <t>Upcoming</t>
  </si>
  <si>
    <t>text_completed</t>
  </si>
  <si>
    <t>Completed</t>
  </si>
  <si>
    <t>text_cancelled</t>
  </si>
  <si>
    <t>Cancelled</t>
  </si>
  <si>
    <t>text_card</t>
  </si>
  <si>
    <t>Card</t>
  </si>
  <si>
    <t>text_loadmore</t>
  </si>
  <si>
    <t>Load More</t>
  </si>
  <si>
    <t>text_location</t>
  </si>
  <si>
    <t>Location details</t>
  </si>
  <si>
    <t>text_assigned</t>
  </si>
  <si>
    <t>Assigned</t>
  </si>
  <si>
    <t>text_started</t>
  </si>
  <si>
    <t>Started</t>
  </si>
  <si>
    <t>text_availablebalance</t>
  </si>
  <si>
    <t>Available Balance</t>
  </si>
  <si>
    <t>text_addmoney</t>
  </si>
  <si>
    <t>Add Money</t>
  </si>
  <si>
    <t>text_recenttransactions</t>
  </si>
  <si>
    <t>Recent Transactions</t>
  </si>
  <si>
    <t>text_deposit</t>
  </si>
  <si>
    <t>Deposit</t>
  </si>
  <si>
    <t>text_ridepayment</t>
  </si>
  <si>
    <t>Ride Payment</t>
  </si>
  <si>
    <t>Money Deposited</t>
  </si>
  <si>
    <t>text_enteramount</t>
  </si>
  <si>
    <t>Enter Amount Here</t>
  </si>
  <si>
    <t>text_editprofile</t>
  </si>
  <si>
    <t>Edit Profile</t>
  </si>
  <si>
    <t>text_editimage</t>
  </si>
  <si>
    <t>Edit Image</t>
  </si>
  <si>
    <t>text_pay</t>
  </si>
  <si>
    <t>Pay</t>
  </si>
  <si>
    <t>text_somethingwentwrong</t>
  </si>
  <si>
    <t>Something Went Wrong, Try again</t>
  </si>
  <si>
    <t>text_paymentsuccess</t>
  </si>
  <si>
    <t>Payment successful</t>
  </si>
  <si>
    <t>text_camera</t>
  </si>
  <si>
    <t>Camera</t>
  </si>
  <si>
    <t>text_gallery</t>
  </si>
  <si>
    <t>Gallery</t>
  </si>
  <si>
    <t>text_updateVehicle</t>
  </si>
  <si>
    <t>Update Vehicle Info</t>
  </si>
  <si>
    <t>text_make</t>
  </si>
  <si>
    <t>Vehicle Make</t>
  </si>
  <si>
    <t>text_model</t>
  </si>
  <si>
    <t>Vehicle Model</t>
  </si>
  <si>
    <t>text_year</t>
  </si>
  <si>
    <t>Vehicle Year</t>
  </si>
  <si>
    <t>text_type</t>
  </si>
  <si>
    <t>Vehicle Type</t>
  </si>
  <si>
    <t>text_number</t>
  </si>
  <si>
    <t>text_color</t>
  </si>
  <si>
    <t>Vehicle Color</t>
  </si>
  <si>
    <t>text_tapfordocs</t>
  </si>
  <si>
    <t>Tap here to upload</t>
  </si>
  <si>
    <t>text_earnings</t>
  </si>
  <si>
    <t>Earnings</t>
  </si>
  <si>
    <t>text_today</t>
  </si>
  <si>
    <t>Today</t>
  </si>
  <si>
    <t>text_weekly</t>
  </si>
  <si>
    <t>Weekly</t>
  </si>
  <si>
    <t>text_monthly</t>
  </si>
  <si>
    <t>Monthly</t>
  </si>
  <si>
    <t>text_trips</t>
  </si>
  <si>
    <t>Trips</t>
  </si>
  <si>
    <t>text_hours</t>
  </si>
  <si>
    <t>Hours</t>
  </si>
  <si>
    <t>text_tripkm</t>
  </si>
  <si>
    <t>Trip Kms</t>
  </si>
  <si>
    <t>text_walletpayment</t>
  </si>
  <si>
    <t>Wallet Payment</t>
  </si>
  <si>
    <t>text_cashpayment</t>
  </si>
  <si>
    <t>Cash Payment</t>
  </si>
  <si>
    <t>text_totalearnings</t>
  </si>
  <si>
    <t>Total Earnings</t>
  </si>
  <si>
    <t>text_report</t>
  </si>
  <si>
    <t>Report</t>
  </si>
  <si>
    <t>text_fromDate</t>
  </si>
  <si>
    <t>From Date</t>
  </si>
  <si>
    <t>text_toDate</t>
  </si>
  <si>
    <t>To Date</t>
  </si>
  <si>
    <t>text_withdraw</t>
  </si>
  <si>
    <t>Withdraw</t>
  </si>
  <si>
    <t>text_withdrawHistory</t>
  </si>
  <si>
    <t>Withdraw History</t>
  </si>
  <si>
    <t>text_withdrawReqAt</t>
  </si>
  <si>
    <t>Withdraw Request At</t>
  </si>
  <si>
    <t>text_bankDetails</t>
  </si>
  <si>
    <t>Bank Details</t>
  </si>
  <si>
    <t>text_accoutHolderName</t>
  </si>
  <si>
    <t>Account Holder Name</t>
  </si>
  <si>
    <t>text_accountNumber</t>
  </si>
  <si>
    <t>Account Number</t>
  </si>
  <si>
    <t>text_bankCode</t>
  </si>
  <si>
    <t>Bank Branch</t>
  </si>
  <si>
    <t>text_bankName</t>
  </si>
  <si>
    <t>Bank Name</t>
  </si>
  <si>
    <t>text_updateBank</t>
  </si>
  <si>
    <t>Update Bank Info</t>
  </si>
  <si>
    <t>text_confirmlogout</t>
  </si>
  <si>
    <t>Are you sure want to logout</t>
  </si>
  <si>
    <t>text_wallet</t>
  </si>
  <si>
    <t>text_startridewithotp</t>
  </si>
  <si>
    <t>Start Ride with OTP</t>
  </si>
  <si>
    <t>text_loadingLocalization</t>
  </si>
  <si>
    <t>Loading Localization</t>
  </si>
  <si>
    <t>text_background_permission</t>
  </si>
  <si>
    <t>Enable Background Location - to give you ride request even if your app is in background</t>
  </si>
  <si>
    <t>Admin Commission For Trip</t>
  </si>
  <si>
    <t>Trip Commission</t>
  </si>
  <si>
    <t>Money Deposited By Admin</t>
  </si>
  <si>
    <t>Referral Commission</t>
  </si>
  <si>
    <t>Spent For Trip Request</t>
  </si>
  <si>
    <t>Withdrawn From Wallet</t>
  </si>
  <si>
    <t>text_user_cancelled_request</t>
  </si>
  <si>
    <t>User Cancelled the Request</t>
  </si>
  <si>
    <t>text_low_balance</t>
  </si>
  <si>
    <t>Your wallet balance is low, please add some money to continue service</t>
  </si>
  <si>
    <t>text_otp_error</t>
  </si>
  <si>
    <t>Please enter correct Otp or resend</t>
  </si>
  <si>
    <t>text_code_copied</t>
  </si>
  <si>
    <t>Referral Code Copied</t>
  </si>
  <si>
    <t>text_loc_permission_user</t>
  </si>
  <si>
    <t>Allow Location - To book a Ride</t>
  </si>
  <si>
    <t>text_low_wallet_for_ride</t>
  </si>
  <si>
    <t>Your Wallet Balance is too low to make this race</t>
  </si>
  <si>
    <t>text_internal_server_error</t>
  </si>
  <si>
    <t>Internal Server Error</t>
  </si>
  <si>
    <t>text_supported_vehicles</t>
  </si>
  <si>
    <t>Supported Vehicles</t>
  </si>
  <si>
    <t>text_description</t>
  </si>
  <si>
    <t>Description</t>
  </si>
  <si>
    <t>text_estimated_amount</t>
  </si>
  <si>
    <t>Estimated Amount</t>
  </si>
  <si>
    <t>text_open_loc_settings</t>
  </si>
  <si>
    <t>Location access is needed for running the app, please enable it in settings and tap done</t>
  </si>
  <si>
    <t>text_open_settings</t>
  </si>
  <si>
    <t>Open Settings</t>
  </si>
  <si>
    <t>text_done</t>
  </si>
  <si>
    <t>Done</t>
  </si>
  <si>
    <t>text_open_contact_setting</t>
  </si>
  <si>
    <t>Contact access is needed to pick contact for SOS, pleable enable it in settings and tap done</t>
  </si>
  <si>
    <t>text_open_camera_setting</t>
  </si>
  <si>
    <t>Camera access is needed to capture image, please enable it in settings and tap done</t>
  </si>
  <si>
    <t>text_open_photos_setting</t>
  </si>
  <si>
    <t>Photos access is needed to pick image, please enable it in settings and tap done</t>
  </si>
  <si>
    <t>text_enter_otp_login</t>
  </si>
  <si>
    <t>Enter Otp</t>
  </si>
  <si>
    <t>text_add_by_card</t>
  </si>
  <si>
    <t>Add by Card</t>
  </si>
  <si>
    <t>text_add_by_kiosk</t>
  </si>
  <si>
    <t>Add by Kiosk</t>
  </si>
  <si>
    <t>text_pay_by_card</t>
  </si>
  <si>
    <t>Pay by Card</t>
  </si>
  <si>
    <t>text_pay_by_kiosk</t>
  </si>
  <si>
    <t>Pay by Kiosk</t>
  </si>
  <si>
    <t>text_error_trip_otp</t>
  </si>
  <si>
    <t>Please enter valid OTP</t>
  </si>
  <si>
    <t>text_bill_reference</t>
  </si>
  <si>
    <t>Bill Reference</t>
  </si>
  <si>
    <t>text_subscriptions</t>
  </si>
  <si>
    <t>Subscriptions</t>
  </si>
  <si>
    <t>text_select_sub_plan</t>
  </si>
  <si>
    <t>Select a plan to continue</t>
  </si>
  <si>
    <t>text_sub_text1</t>
  </si>
  <si>
    <t>Spot payment to your wallet</t>
  </si>
  <si>
    <t>text_sub_text2</t>
  </si>
  <si>
    <t>Benefits of getting whole amount</t>
  </si>
  <si>
    <t>text_sub_text3</t>
  </si>
  <si>
    <t>Get priority customer support</t>
  </si>
  <si>
    <t>text_sub_text4</t>
  </si>
  <si>
    <t>0% commission</t>
  </si>
  <si>
    <t>text_sub_ended</t>
  </si>
  <si>
    <t>Your Subscription is ended</t>
  </si>
  <si>
    <t>text_sub_ended_1</t>
  </si>
  <si>
    <t xml:space="preserve">Your Subscription has ended on </t>
  </si>
  <si>
    <t>text_purchase_now</t>
  </si>
  <si>
    <t>Purchase now</t>
  </si>
  <si>
    <t>text_browse_plans</t>
  </si>
  <si>
    <t>Browse Plans</t>
  </si>
  <si>
    <t>text_monthly_plan</t>
  </si>
  <si>
    <t>Monthly Plan</t>
  </si>
  <si>
    <t>text_yearly_plan</t>
  </si>
  <si>
    <t>Yearly Plan</t>
  </si>
  <si>
    <t>text_rideLaterTime</t>
  </si>
  <si>
    <t>Ride Scheduled at</t>
  </si>
  <si>
    <t>text_cancel_ride</t>
  </si>
  <si>
    <t>Cancel Ride</t>
  </si>
  <si>
    <t>text_sub_ended_2</t>
  </si>
  <si>
    <t>Subscribe a plan to continue getting rides</t>
  </si>
  <si>
    <t>text_make_complaints</t>
  </si>
  <si>
    <t>Make Complaints</t>
  </si>
  <si>
    <t>text_complaint_1</t>
  </si>
  <si>
    <t>Click Below to Choose Type</t>
  </si>
  <si>
    <t>text_complaint_2</t>
  </si>
  <si>
    <t>Write your complaint here</t>
  </si>
  <si>
    <t>text_complaint_success</t>
  </si>
  <si>
    <t>We Successfully Got Your Concern...</t>
  </si>
  <si>
    <t>text_complaint_success_2</t>
  </si>
  <si>
    <t>We Will Get You Sooner</t>
  </si>
  <si>
    <t>text_thankyou</t>
  </si>
  <si>
    <t>Thank You</t>
  </si>
  <si>
    <t>text_complaint_3</t>
  </si>
  <si>
    <t>minimum 10 characters</t>
  </si>
  <si>
    <t>text_free_trail_1</t>
  </si>
  <si>
    <t>Try Free Trial for 1 Month</t>
  </si>
  <si>
    <t>text_free_trail_2</t>
  </si>
  <si>
    <t>Are you sure to get Free Trial for 1 month</t>
  </si>
  <si>
    <t>text_waiting_time</t>
  </si>
  <si>
    <t>Waiting Time</t>
  </si>
  <si>
    <t>text_mins</t>
  </si>
  <si>
    <t>mins</t>
  </si>
  <si>
    <t>text_waiting_time_1</t>
  </si>
  <si>
    <t>Free Waiting Time</t>
  </si>
  <si>
    <t>text_waiting_time_2</t>
  </si>
  <si>
    <t>Free Waiting Time Before Trip Start</t>
  </si>
  <si>
    <t>text_waiting_time_3</t>
  </si>
  <si>
    <t>Free Waiting Time After Trip Start</t>
  </si>
  <si>
    <t>text_waiting_price</t>
  </si>
  <si>
    <t>Waiting Price</t>
  </si>
  <si>
    <t>text_discount</t>
  </si>
  <si>
    <t>Discount</t>
  </si>
  <si>
    <t>text_no_service</t>
  </si>
  <si>
    <t>Service not available in your location</t>
  </si>
  <si>
    <t>text_tax_inclusive</t>
  </si>
  <si>
    <t>Inclusive of TAX</t>
  </si>
  <si>
    <t>text_surge_fee</t>
  </si>
  <si>
    <t>Surge fee</t>
  </si>
  <si>
    <t>text_choose_payment</t>
  </si>
  <si>
    <t>Choose Payment Method</t>
  </si>
  <si>
    <t>text_rental_ride</t>
  </si>
  <si>
    <t>Rental Ride</t>
  </si>
  <si>
    <t>text_regular</t>
  </si>
  <si>
    <t>Regular</t>
  </si>
  <si>
    <t>text_ride_type</t>
  </si>
  <si>
    <t>Package Name</t>
  </si>
  <si>
    <t>text_referral_code</t>
  </si>
  <si>
    <t>please enter valid referral code</t>
  </si>
  <si>
    <t>text_arrive_eta</t>
  </si>
  <si>
    <t>Driver arrives in</t>
  </si>
  <si>
    <t>text_email_validation</t>
  </si>
  <si>
    <t>Please enter valid email address</t>
  </si>
  <si>
    <t>text_delete_account</t>
  </si>
  <si>
    <t>Delete Account</t>
  </si>
  <si>
    <t>text_delete_confirm</t>
  </si>
  <si>
    <t>Are you sure want to delete your account</t>
  </si>
  <si>
    <t>text_add_cancel_reason</t>
  </si>
  <si>
    <t>Add Cancel Reason</t>
  </si>
  <si>
    <t>text_chatwithuser</t>
  </si>
  <si>
    <t>Chat with Passenger</t>
  </si>
  <si>
    <t>text_available</t>
  </si>
  <si>
    <t>Available</t>
  </si>
  <si>
    <t>text_onboard</t>
  </si>
  <si>
    <t>OnBoard</t>
  </si>
  <si>
    <t>text_offline</t>
  </si>
  <si>
    <t>Offline</t>
  </si>
  <si>
    <t>text_no_data_found</t>
  </si>
  <si>
    <t>text_manage_vehicle</t>
  </si>
  <si>
    <t>Manage Vehicles</t>
  </si>
  <si>
    <t>text_manage_drivers</t>
  </si>
  <si>
    <t>Manage Drivers</t>
  </si>
  <si>
    <t>text_driver_added</t>
  </si>
  <si>
    <t>Driver Added Successfully</t>
  </si>
  <si>
    <t>text_no_driver</t>
  </si>
  <si>
    <t xml:space="preserve">No Driver </t>
  </si>
  <si>
    <t>text_assign_new_driver</t>
  </si>
  <si>
    <t>Assign new Driver +</t>
  </si>
  <si>
    <t>text_select_driver</t>
  </si>
  <si>
    <t>Please Select Driver</t>
  </si>
  <si>
    <t>text_fleet_not_assigned</t>
  </si>
  <si>
    <t>Fleet Not Assigned</t>
  </si>
  <si>
    <t>text_no_driver_found</t>
  </si>
  <si>
    <t>No Drivers Found</t>
  </si>
  <si>
    <t>text_select_date</t>
  </si>
  <si>
    <t>Select Date</t>
  </si>
  <si>
    <t>text_user</t>
  </si>
  <si>
    <t>User</t>
  </si>
  <si>
    <t>text_driver</t>
  </si>
  <si>
    <t>Driver</t>
  </si>
  <si>
    <t>text_driver_not_assigned</t>
  </si>
  <si>
    <t>Driver Not Assigned</t>
  </si>
  <si>
    <t>text_waiting_approval</t>
  </si>
  <si>
    <t>Waiting For Approval</t>
  </si>
  <si>
    <t>text_no_vehicle_found</t>
  </si>
  <si>
    <t>No Vehicle Found</t>
  </si>
  <si>
    <t>text_assign_driver</t>
  </si>
  <si>
    <t>Assign Driver</t>
  </si>
  <si>
    <t>text_upload_doc</t>
  </si>
  <si>
    <t>Upload Docs</t>
  </si>
  <si>
    <t>text_vehicle_added</t>
  </si>
  <si>
    <t>Vehicle Succefully Added</t>
  </si>
  <si>
    <t>text_add_photo</t>
  </si>
  <si>
    <t>Add Photo</t>
  </si>
  <si>
    <t>text_login_driver</t>
  </si>
  <si>
    <t>Login as a Individual Driver</t>
  </si>
  <si>
    <t>text_login_owner</t>
  </si>
  <si>
    <t>Login as Rental Owner</t>
  </si>
  <si>
    <t>text_fleet_details</t>
  </si>
  <si>
    <t>Fleet Details</t>
  </si>
  <si>
    <t>text_delete_driver</t>
  </si>
  <si>
    <t>Delete Driver</t>
  </si>
  <si>
    <t>text_delete_confirmation</t>
  </si>
  <si>
    <t>Are you sure want to delete this driver ?</t>
  </si>
  <si>
    <t>text_yes</t>
  </si>
  <si>
    <t>Yes</t>
  </si>
  <si>
    <t>text_no</t>
  </si>
  <si>
    <t>No</t>
  </si>
  <si>
    <t>text_fleet_diver_low_bal</t>
  </si>
  <si>
    <t>Your owner wallet balance is low, please contact your owner</t>
  </si>
  <si>
    <t>text_add_vehicle</t>
  </si>
  <si>
    <t>Add Vehicle</t>
  </si>
  <si>
    <t>text_address</t>
  </si>
  <si>
    <t>Address</t>
  </si>
  <si>
    <t>phone number</t>
  </si>
  <si>
    <t>text_add_driver</t>
  </si>
  <si>
    <t>Add Driver</t>
  </si>
  <si>
    <t>text_choose_area</t>
  </si>
  <si>
    <t>Choose Area</t>
  </si>
  <si>
    <t>text_company_name</t>
  </si>
  <si>
    <t>Company Name</t>
  </si>
  <si>
    <t>text_city</t>
  </si>
  <si>
    <t>City</t>
  </si>
  <si>
    <t>text_postal_code</t>
  </si>
  <si>
    <t>Postal Code</t>
  </si>
  <si>
    <t>text_tax_number</t>
  </si>
  <si>
    <t>Tax Number</t>
  </si>
  <si>
    <t>text_no_fleet_assigned</t>
  </si>
  <si>
    <t>No Fleet Assigned</t>
  </si>
  <si>
    <t>text_valid_referral</t>
  </si>
  <si>
    <t>Please enter valid Referral Code</t>
  </si>
  <si>
    <t>text_shipment_load</t>
  </si>
  <si>
    <t>Shipment Load</t>
  </si>
  <si>
    <t>text_shipment_unload</t>
  </si>
  <si>
    <t>Shipment Unload</t>
  </si>
  <si>
    <t>text_instructions</t>
  </si>
  <si>
    <t>Instructions</t>
  </si>
  <si>
    <t>text_add_instructions</t>
  </si>
  <si>
    <t>Add Instructions</t>
  </si>
  <si>
    <t>text_change_position_demo</t>
  </si>
  <si>
    <t>Long press and move for switch address position</t>
  </si>
  <si>
    <t>text_choose_address_nav</t>
  </si>
  <si>
    <t>Choose Address for Navigation</t>
  </si>
  <si>
    <t>text_signature</t>
  </si>
  <si>
    <t>Signature</t>
  </si>
  <si>
    <t>text_retry</t>
  </si>
  <si>
    <t>Retry</t>
  </si>
  <si>
    <t>text_confirm_pickloc</t>
  </si>
  <si>
    <t>Confirm Pick Location</t>
  </si>
  <si>
    <t>text_confirm_droploc</t>
  </si>
  <si>
    <t>Confirm Drop Location</t>
  </si>
  <si>
    <t>text_confirm_newloc</t>
  </si>
  <si>
    <t>Confirm New Location</t>
  </si>
  <si>
    <t>text_give_buyerdata</t>
  </si>
  <si>
    <t>Receiver Info</t>
  </si>
  <si>
    <t>text_givenumber</t>
  </si>
  <si>
    <t>Mobile Number</t>
  </si>
  <si>
    <t>text_confirm_details</t>
  </si>
  <si>
    <t>Confirm Details</t>
  </si>
  <si>
    <t>text_add_stop</t>
  </si>
  <si>
    <t>Add Stop</t>
  </si>
  <si>
    <t>text_give_userdata</t>
  </si>
  <si>
    <t>Sender Info</t>
  </si>
  <si>
    <t>text_pick_contact</t>
  </si>
  <si>
    <t>Pickup Contact</t>
  </si>
  <si>
    <t>text_choose_goods</t>
  </si>
  <si>
    <t>Choose Goods Type</t>
  </si>
  <si>
    <t>text_loose</t>
  </si>
  <si>
    <t>Loose</t>
  </si>
  <si>
    <t>text_quantitywithunit</t>
  </si>
  <si>
    <t>Qty with unit</t>
  </si>
  <si>
    <t>text_goods_type</t>
  </si>
  <si>
    <t>Goods Type</t>
  </si>
  <si>
    <t>text_book_now</t>
  </si>
  <si>
    <t>text_book_later</t>
  </si>
  <si>
    <t>Book for Later</t>
  </si>
  <si>
    <t>text_add_shipmentimage</t>
  </si>
  <si>
    <t>Tap to add Shipment Image</t>
  </si>
  <si>
    <t>text_edit_shipmentimage</t>
  </si>
  <si>
    <t>Tap to edit Shipment Image</t>
  </si>
  <si>
    <t>text_add_unloadImage</t>
  </si>
  <si>
    <t>Tap to add Unload Image</t>
  </si>
  <si>
    <t>text_edit_unloadimage</t>
  </si>
  <si>
    <t>Tap to edit Unload Image</t>
  </si>
  <si>
    <t>text_unload_title</t>
  </si>
  <si>
    <t>Upload Unload Proof</t>
  </si>
  <si>
    <t>text_shipment_title</t>
  </si>
  <si>
    <t>Upload Shipment Proof</t>
  </si>
  <si>
    <t>text_owner</t>
  </si>
  <si>
    <t>Owner</t>
  </si>
  <si>
    <t>text_taxi</t>
  </si>
  <si>
    <t>Transport</t>
  </si>
  <si>
    <t>text_delivery</t>
  </si>
  <si>
    <t>Delivery</t>
  </si>
  <si>
    <t>text_waitingforpayment</t>
  </si>
  <si>
    <t>Waiting For Payment</t>
  </si>
  <si>
    <t>show</t>
  </si>
  <si>
    <t>ta</t>
  </si>
  <si>
    <t>jo</t>
  </si>
  <si>
    <t>pt</t>
  </si>
  <si>
    <t>UpdateConfig</t>
  </si>
  <si>
    <t>update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</si>
</sst>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5">
    <font>
      <sz val="10.0"/>
      <color rgb="FF000000"/>
      <name val="Arial"/>
    </font>
    <font>
      <b/>
      <sz val="12.0"/>
      <color rgb="FFFF0000"/>
      <name val="Georgia"/>
    </font>
    <font>
      <sz val="10.0"/>
      <name val="Arial"/>
    </font>
    <font>
      <sz val="10.0"/>
      <color rgb="FF2B2B2B"/>
      <name val="Arial"/>
    </font>
    <font>
      <sz val="11.0"/>
      <color rgb="FF000000"/>
      <name val="Inconsolata"/>
    </font>
    <font/>
    <font>
      <name val="Arial"/>
    </font>
    <font>
      <color rgb="FF2B2B2B"/>
      <name val="Arial"/>
    </font>
    <font>
      <u/>
      <sz val="10.0"/>
      <color rgb="FF2B2B2B"/>
      <name val="Arial"/>
    </font>
    <font>
      <color rgb="FF000000"/>
      <name val="&quot;JetBrains Mono&quot;"/>
    </font>
    <font>
      <color rgb="FF000000"/>
      <name val="Arial"/>
    </font>
    <font>
      <i/>
      <sz val="10.0"/>
      <name val="Arial"/>
    </font>
    <font>
      <sz val="9.0"/>
      <color rgb="FF2B2B2B"/>
      <name val="Arial"/>
    </font>
    <font>
      <color rgb="FF2B2B2B"/>
    </font>
    <font>
      <b/>
      <sz val="10.0"/>
      <color rgb="FF2B2B2B"/>
      <name val="Arial"/>
    </font>
    <font>
      <b/>
      <sz val="10.0"/>
      <color rgb="FFFF0000"/>
      <name val="Arial"/>
    </font>
    <font>
      <b/>
      <sz val="10.0"/>
      <color rgb="FF000000"/>
      <name val="Arial"/>
    </font>
    <font>
      <sz val="11.0"/>
      <color rgb="FF2B2B2B"/>
      <name val="Arial"/>
    </font>
    <font>
      <color rgb="FFFC6A5D"/>
    </font>
    <font>
      <sz val="9.0"/>
      <color rgb="FF000000"/>
      <name val="Arial"/>
    </font>
    <font>
      <b/>
      <sz val="9.0"/>
      <color rgb="FF000000"/>
      <name val="Arial"/>
    </font>
    <font>
      <sz val="11.0"/>
      <color rgb="FF2B2B2B"/>
      <name val="Inconsolata"/>
    </font>
    <font>
      <sz val="9.0"/>
      <color rgb="FF6A8759"/>
      <name val="Arial"/>
    </font>
    <font>
      <b/>
      <sz val="9.0"/>
      <color rgb="FF6A8759"/>
      <name val="Arial"/>
    </font>
    <font>
      <color rgb="FFFC6A5D"/>
      <name val="Arial"/>
    </font>
    <font>
      <b/>
      <sz val="12.0"/>
      <color rgb="FFFF0000"/>
      <name val="Arial"/>
    </font>
    <font>
      <b/>
      <color rgb="FF000000"/>
      <name val="Arial"/>
    </font>
    <font>
      <b/>
      <sz val="12.0"/>
      <color rgb="FF000000"/>
      <name val="Georgia"/>
    </font>
    <font>
      <color rgb="FF000000"/>
    </font>
    <font>
      <color rgb="FFA31515"/>
      <name val="Arial"/>
    </font>
    <font>
      <b/>
      <sz val="12.0"/>
      <color rgb="FFA31515"/>
      <name val="Georgia"/>
    </font>
    <font>
      <b/>
      <color rgb="FF2B2B2B"/>
      <name val="Arial"/>
    </font>
    <font>
      <color rgb="FFFF0000"/>
      <name val="Arial"/>
    </font>
    <font>
      <sz val="9.0"/>
      <color rgb="FF2B2B2B"/>
      <name val="'DejaVu Sans Mono'"/>
    </font>
    <font>
      <b/>
      <sz val="12.0"/>
      <color rgb="FF2B2B2B"/>
      <name val="Georgia"/>
    </font>
  </fonts>
  <fills count="8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3F3F3"/>
        <bgColor rgb="FFF3F3F3"/>
      </patternFill>
    </fill>
    <fill>
      <patternFill patternType="solid">
        <fgColor rgb="FF1F1F24"/>
        <bgColor rgb="FF1F1F24"/>
      </patternFill>
    </fill>
    <fill>
      <patternFill patternType="solid">
        <fgColor rgb="FFD9D9D9"/>
        <bgColor rgb="FFD9D9D9"/>
      </patternFill>
    </fill>
  </fills>
  <borders count="3">
    <border/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2" fontId="1" numFmtId="0" xfId="0" applyAlignment="1" applyFont="1">
      <alignment shrinkToFit="0" wrapText="1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vertical="bottom"/>
    </xf>
    <xf borderId="0" fillId="3" fontId="4" numFmtId="0" xfId="0" applyAlignment="1" applyFont="1">
      <alignment horizontal="left"/>
    </xf>
    <xf borderId="0" fillId="0" fontId="5" numFmtId="0" xfId="0" applyAlignment="1" applyFont="1">
      <alignment readingOrder="0" shrinkToFit="0" wrapText="1"/>
    </xf>
    <xf borderId="0" fillId="3" fontId="4" numFmtId="0" xfId="0" applyFont="1"/>
    <xf borderId="0" fillId="0" fontId="2" numFmtId="0" xfId="0" applyAlignment="1" applyFont="1">
      <alignment readingOrder="0" vertical="bottom"/>
    </xf>
    <xf borderId="0" fillId="3" fontId="3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3" fontId="7" numFmtId="0" xfId="0" applyAlignment="1" applyFont="1">
      <alignment readingOrder="0"/>
    </xf>
    <xf borderId="0" fillId="3" fontId="3" numFmtId="0" xfId="0" applyAlignment="1" applyFont="1">
      <alignment readingOrder="0"/>
    </xf>
    <xf borderId="0" fillId="3" fontId="8" numFmtId="0" xfId="0" applyAlignment="1" applyFont="1">
      <alignment readingOrder="0" vertical="bottom"/>
    </xf>
    <xf borderId="0" fillId="3" fontId="9" numFmtId="0" xfId="0" applyAlignment="1" applyFont="1">
      <alignment readingOrder="0"/>
    </xf>
    <xf borderId="0" fillId="3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3" fontId="10" numFmtId="0" xfId="0" applyAlignment="1" applyFont="1">
      <alignment readingOrder="0"/>
    </xf>
    <xf borderId="0" fillId="4" fontId="10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0" fontId="11" numFmtId="0" xfId="0" applyAlignment="1" applyFont="1">
      <alignment readingOrder="0"/>
    </xf>
    <xf borderId="0" fillId="3" fontId="7" numFmtId="0" xfId="0" applyAlignment="1" applyFont="1">
      <alignment horizontal="left" readingOrder="0"/>
    </xf>
    <xf borderId="0" fillId="4" fontId="2" numFmtId="0" xfId="0" applyAlignment="1" applyFont="1">
      <alignment readingOrder="0" vertical="bottom"/>
    </xf>
    <xf borderId="0" fillId="4" fontId="2" numFmtId="0" xfId="0" applyAlignment="1" applyFont="1">
      <alignment readingOrder="0"/>
    </xf>
    <xf borderId="0" fillId="0" fontId="10" numFmtId="0" xfId="0" applyAlignment="1" applyFont="1">
      <alignment readingOrder="0" vertical="bottom"/>
    </xf>
    <xf borderId="0" fillId="3" fontId="7" numFmtId="0" xfId="0" applyAlignment="1" applyFont="1">
      <alignment readingOrder="0" vertical="bottom"/>
    </xf>
    <xf borderId="0" fillId="3" fontId="12" numFmtId="0" xfId="0" applyAlignment="1" applyFont="1">
      <alignment readingOrder="0" vertical="bottom"/>
    </xf>
    <xf borderId="0" fillId="4" fontId="10" numFmtId="0" xfId="0" applyAlignment="1" applyFont="1">
      <alignment vertical="bottom"/>
    </xf>
    <xf borderId="0" fillId="3" fontId="7" numFmtId="0" xfId="0" applyAlignment="1" applyFont="1">
      <alignment vertical="bottom"/>
    </xf>
    <xf borderId="0" fillId="0" fontId="5" numFmtId="0" xfId="0" applyAlignment="1" applyFont="1">
      <alignment shrinkToFit="0" wrapText="1"/>
    </xf>
    <xf borderId="0" fillId="3" fontId="7" numFmtId="0" xfId="0" applyAlignment="1" applyFont="1">
      <alignment vertical="bottom"/>
    </xf>
    <xf borderId="0" fillId="3" fontId="7" numFmtId="0" xfId="0" applyAlignment="1" applyFont="1">
      <alignment readingOrder="0" vertical="bottom"/>
    </xf>
    <xf borderId="0" fillId="3" fontId="13" numFmtId="0" xfId="0" applyAlignment="1" applyFont="1">
      <alignment readingOrder="0"/>
    </xf>
    <xf borderId="0" fillId="3" fontId="12" numFmtId="0" xfId="0" applyAlignment="1" applyFont="1">
      <alignment readingOrder="0" shrinkToFit="0" wrapText="1"/>
    </xf>
    <xf borderId="0" fillId="2" fontId="14" numFmtId="0" xfId="0" applyAlignment="1" applyFont="1">
      <alignment readingOrder="0" shrinkToFit="0" vertical="bottom" wrapText="1"/>
    </xf>
    <xf borderId="0" fillId="2" fontId="15" numFmtId="0" xfId="0" applyAlignment="1" applyFont="1">
      <alignment readingOrder="0" shrinkToFit="0" vertical="bottom" wrapText="1"/>
    </xf>
    <xf borderId="0" fillId="3" fontId="12" numFmtId="0" xfId="0" applyAlignment="1" applyFont="1">
      <alignment readingOrder="0" shrinkToFit="0" vertical="bottom" wrapText="1"/>
    </xf>
    <xf borderId="0" fillId="2" fontId="16" numFmtId="0" xfId="0" applyAlignment="1" applyFont="1">
      <alignment readingOrder="0" shrinkToFit="0" vertical="bottom" wrapText="1"/>
    </xf>
    <xf borderId="0" fillId="2" fontId="10" numFmtId="0" xfId="0" applyAlignment="1" applyFont="1">
      <alignment readingOrder="0" shrinkToFit="0" vertical="bottom" wrapText="1"/>
    </xf>
    <xf borderId="0" fillId="3" fontId="7" numFmtId="0" xfId="0" applyAlignment="1" applyFont="1">
      <alignment readingOrder="0" shrinkToFit="0" vertical="bottom" wrapText="1"/>
    </xf>
    <xf borderId="0" fillId="3" fontId="17" numFmtId="0" xfId="0" applyAlignment="1" applyFont="1">
      <alignment readingOrder="0" shrinkToFit="0" vertical="bottom" wrapText="1"/>
    </xf>
    <xf borderId="1" fillId="3" fontId="17" numFmtId="0" xfId="0" applyAlignment="1" applyBorder="1" applyFont="1">
      <alignment readingOrder="0" shrinkToFit="0" vertical="bottom" wrapText="1"/>
    </xf>
    <xf borderId="0" fillId="4" fontId="10" numFmtId="0" xfId="0" applyAlignment="1" applyFont="1">
      <alignment shrinkToFit="0" vertical="bottom" wrapText="1"/>
    </xf>
    <xf borderId="0" fillId="3" fontId="17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4" fontId="10" numFmtId="0" xfId="0" applyAlignment="1" applyFont="1">
      <alignment readingOrder="0" shrinkToFit="0" vertical="bottom" wrapText="1"/>
    </xf>
    <xf borderId="0" fillId="3" fontId="18" numFmtId="0" xfId="0" applyAlignment="1" applyFont="1">
      <alignment readingOrder="0"/>
    </xf>
    <xf borderId="0" fillId="5" fontId="10" numFmtId="0" xfId="0" applyAlignment="1" applyFill="1" applyFont="1">
      <alignment shrinkToFit="0" vertical="bottom" wrapText="1"/>
    </xf>
    <xf borderId="0" fillId="3" fontId="7" numFmtId="0" xfId="0" applyAlignment="1" applyFont="1">
      <alignment shrinkToFit="0" vertical="bottom" wrapText="1"/>
    </xf>
    <xf borderId="0" fillId="4" fontId="10" numFmtId="0" xfId="0" applyAlignment="1" applyFont="1">
      <alignment readingOrder="0" shrinkToFit="0" vertical="bottom" wrapText="1"/>
    </xf>
    <xf borderId="0" fillId="3" fontId="7" numFmtId="0" xfId="0" applyAlignment="1" applyFont="1">
      <alignment readingOrder="0" shrinkToFit="0" vertical="bottom" wrapText="1"/>
    </xf>
    <xf borderId="1" fillId="3" fontId="7" numFmtId="0" xfId="0" applyAlignment="1" applyBorder="1" applyFont="1">
      <alignment readingOrder="0" shrinkToFit="0" vertical="bottom" wrapText="1"/>
    </xf>
    <xf borderId="0" fillId="4" fontId="19" numFmtId="0" xfId="0" applyAlignment="1" applyFont="1">
      <alignment readingOrder="0" shrinkToFit="0" vertical="bottom" wrapText="1"/>
    </xf>
    <xf borderId="0" fillId="3" fontId="17" numFmtId="0" xfId="0" applyAlignment="1" applyFont="1">
      <alignment readingOrder="0" shrinkToFit="0" vertical="bottom" wrapText="1"/>
    </xf>
    <xf borderId="0" fillId="4" fontId="20" numFmtId="0" xfId="0" applyAlignment="1" applyFont="1">
      <alignment readingOrder="0" shrinkToFit="0" vertical="bottom" wrapText="1"/>
    </xf>
    <xf borderId="0" fillId="4" fontId="19" numFmtId="0" xfId="0" applyAlignment="1" applyFont="1">
      <alignment readingOrder="0" shrinkToFit="0" vertical="bottom" wrapText="1"/>
    </xf>
    <xf borderId="0" fillId="2" fontId="1" numFmtId="0" xfId="0" applyAlignment="1" applyFont="1">
      <alignment readingOrder="0" shrinkToFit="0" vertical="bottom" wrapText="1"/>
    </xf>
    <xf borderId="1" fillId="3" fontId="17" numFmtId="0" xfId="0" applyAlignment="1" applyBorder="1" applyFont="1">
      <alignment readingOrder="0" vertical="bottom"/>
    </xf>
    <xf borderId="0" fillId="3" fontId="20" numFmtId="0" xfId="0" applyAlignment="1" applyFont="1">
      <alignment readingOrder="0" vertical="bottom"/>
    </xf>
    <xf borderId="0" fillId="3" fontId="21" numFmtId="0" xfId="0" applyAlignment="1" applyFont="1">
      <alignment readingOrder="0" shrinkToFit="0" vertical="bottom" wrapText="1"/>
    </xf>
    <xf borderId="0" fillId="3" fontId="21" numFmtId="0" xfId="0" applyAlignment="1" applyFont="1">
      <alignment readingOrder="0" shrinkToFit="0" vertical="bottom" wrapText="1"/>
    </xf>
    <xf borderId="0" fillId="2" fontId="1" numFmtId="0" xfId="0" applyAlignment="1" applyFont="1">
      <alignment readingOrder="0" shrinkToFit="0" vertical="bottom" wrapText="1"/>
    </xf>
    <xf borderId="0" fillId="3" fontId="22" numFmtId="0" xfId="0" applyAlignment="1" applyFont="1">
      <alignment readingOrder="0" vertical="bottom"/>
    </xf>
    <xf borderId="0" fillId="4" fontId="23" numFmtId="0" xfId="0" applyAlignment="1" applyFont="1">
      <alignment shrinkToFit="0" vertical="bottom" wrapText="1"/>
    </xf>
    <xf borderId="2" fillId="3" fontId="7" numFmtId="0" xfId="0" applyAlignment="1" applyBorder="1" applyFont="1">
      <alignment vertical="bottom"/>
    </xf>
    <xf borderId="2" fillId="4" fontId="23" numFmtId="0" xfId="0" applyAlignment="1" applyBorder="1" applyFont="1">
      <alignment shrinkToFit="0" vertical="bottom" wrapText="1"/>
    </xf>
    <xf borderId="2" fillId="6" fontId="24" numFmtId="0" xfId="0" applyAlignment="1" applyBorder="1" applyFill="1" applyFont="1">
      <alignment vertical="bottom"/>
    </xf>
    <xf borderId="2" fillId="6" fontId="24" numFmtId="0" xfId="0" applyAlignment="1" applyBorder="1" applyFont="1">
      <alignment shrinkToFit="0" vertical="bottom" wrapText="0"/>
    </xf>
    <xf borderId="0" fillId="4" fontId="6" numFmtId="0" xfId="0" applyAlignment="1" applyFont="1">
      <alignment vertical="bottom"/>
    </xf>
    <xf borderId="0" fillId="6" fontId="24" numFmtId="0" xfId="0" applyAlignment="1" applyFont="1">
      <alignment vertical="bottom"/>
    </xf>
    <xf borderId="0" fillId="4" fontId="25" numFmtId="0" xfId="0" applyAlignment="1" applyFont="1">
      <alignment shrinkToFit="0" vertical="bottom" wrapText="1"/>
    </xf>
    <xf borderId="0" fillId="6" fontId="18" numFmtId="0" xfId="0" applyAlignment="1" applyFont="1">
      <alignment readingOrder="0"/>
    </xf>
    <xf borderId="0" fillId="4" fontId="26" numFmtId="0" xfId="0" applyAlignment="1" applyFont="1">
      <alignment vertical="bottom"/>
    </xf>
    <xf borderId="0" fillId="4" fontId="27" numFmtId="0" xfId="0" applyAlignment="1" applyFont="1">
      <alignment shrinkToFit="0" vertical="bottom" wrapText="1"/>
    </xf>
    <xf borderId="0" fillId="5" fontId="22" numFmtId="0" xfId="0" applyAlignment="1" applyFont="1">
      <alignment readingOrder="0" vertical="bottom"/>
    </xf>
    <xf borderId="0" fillId="5" fontId="23" numFmtId="0" xfId="0" applyAlignment="1" applyFont="1">
      <alignment shrinkToFit="0" vertical="bottom" wrapText="1"/>
    </xf>
    <xf borderId="0" fillId="3" fontId="7" numFmtId="0" xfId="0" applyAlignment="1" applyFont="1">
      <alignment vertical="bottom"/>
    </xf>
    <xf borderId="0" fillId="5" fontId="6" numFmtId="0" xfId="0" applyAlignment="1" applyFont="1">
      <alignment vertical="bottom"/>
    </xf>
    <xf borderId="0" fillId="3" fontId="25" numFmtId="0" xfId="0" applyAlignment="1" applyFont="1">
      <alignment shrinkToFit="0" vertical="bottom" wrapText="1"/>
    </xf>
    <xf borderId="0" fillId="5" fontId="25" numFmtId="0" xfId="0" applyAlignment="1" applyFont="1">
      <alignment shrinkToFit="0" vertical="bottom" wrapText="1"/>
    </xf>
    <xf borderId="0" fillId="2" fontId="28" numFmtId="0" xfId="0" applyAlignment="1" applyFont="1">
      <alignment shrinkToFit="0" wrapText="1"/>
    </xf>
    <xf borderId="0" fillId="3" fontId="26" numFmtId="0" xfId="0" applyAlignment="1" applyFont="1">
      <alignment vertical="bottom"/>
    </xf>
    <xf borderId="0" fillId="3" fontId="7" numFmtId="0" xfId="0" applyAlignment="1" applyFont="1">
      <alignment vertical="bottom"/>
    </xf>
    <xf borderId="0" fillId="5" fontId="27" numFmtId="0" xfId="0" applyAlignment="1" applyFont="1">
      <alignment shrinkToFit="0" vertical="bottom" wrapText="1"/>
    </xf>
    <xf borderId="0" fillId="3" fontId="27" numFmtId="0" xfId="0" applyAlignment="1" applyFont="1">
      <alignment shrinkToFit="0" vertical="bottom" wrapText="1"/>
    </xf>
    <xf borderId="0" fillId="3" fontId="7" numFmtId="9" xfId="0" applyAlignment="1" applyFont="1" applyNumberFormat="1">
      <alignment vertical="bottom"/>
    </xf>
    <xf borderId="0" fillId="3" fontId="17" numFmtId="0" xfId="0" applyAlignment="1" applyFont="1">
      <alignment shrinkToFit="0" vertical="bottom" wrapText="1"/>
    </xf>
    <xf borderId="0" fillId="3" fontId="29" numFmtId="0" xfId="0" applyAlignment="1" applyFont="1">
      <alignment vertical="bottom"/>
    </xf>
    <xf borderId="0" fillId="3" fontId="7" numFmtId="0" xfId="0" applyAlignment="1" applyFont="1">
      <alignment vertical="bottom"/>
    </xf>
    <xf borderId="0" fillId="5" fontId="27" numFmtId="0" xfId="0" applyAlignment="1" applyFont="1">
      <alignment shrinkToFit="0" vertical="bottom" wrapText="1"/>
    </xf>
    <xf borderId="0" fillId="3" fontId="27" numFmtId="0" xfId="0" applyAlignment="1" applyFont="1">
      <alignment shrinkToFit="0" vertical="bottom" wrapText="1"/>
    </xf>
    <xf borderId="0" fillId="5" fontId="29" numFmtId="0" xfId="0" applyAlignment="1" applyFont="1">
      <alignment vertical="bottom"/>
    </xf>
    <xf borderId="0" fillId="3" fontId="30" numFmtId="0" xfId="0" applyAlignment="1" applyFont="1">
      <alignment shrinkToFit="0" vertical="bottom" wrapText="1"/>
    </xf>
    <xf borderId="0" fillId="5" fontId="30" numFmtId="0" xfId="0" applyAlignment="1" applyFont="1">
      <alignment shrinkToFit="0" vertical="bottom" wrapText="1"/>
    </xf>
    <xf borderId="0" fillId="3" fontId="29" numFmtId="0" xfId="0" applyAlignment="1" applyFont="1">
      <alignment vertical="bottom"/>
    </xf>
    <xf borderId="0" fillId="5" fontId="6" numFmtId="0" xfId="0" applyAlignment="1" applyFont="1">
      <alignment vertical="bottom"/>
    </xf>
    <xf borderId="0" fillId="3" fontId="1" numFmtId="0" xfId="0" applyAlignment="1" applyFont="1">
      <alignment shrinkToFit="0" vertical="bottom" wrapText="1"/>
    </xf>
    <xf borderId="0" fillId="2" fontId="1" numFmtId="0" xfId="0" applyAlignment="1" applyFont="1">
      <alignment shrinkToFit="0" vertical="bottom" wrapText="1"/>
    </xf>
    <xf borderId="0" fillId="3" fontId="30" numFmtId="0" xfId="0" applyAlignment="1" applyFont="1">
      <alignment shrinkToFit="0" vertical="bottom" wrapText="1"/>
    </xf>
    <xf borderId="0" fillId="3" fontId="7" numFmtId="9" xfId="0" applyAlignment="1" applyFont="1" applyNumberFormat="1">
      <alignment horizontal="right" vertical="bottom"/>
    </xf>
    <xf borderId="0" fillId="3" fontId="3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3" fontId="21" numFmtId="0" xfId="0" applyAlignment="1" applyFont="1">
      <alignment shrinkToFit="0" vertical="bottom" wrapText="1"/>
    </xf>
    <xf borderId="0" fillId="7" fontId="32" numFmtId="0" xfId="0" applyAlignment="1" applyFill="1" applyFont="1">
      <alignment vertical="bottom"/>
    </xf>
    <xf borderId="0" fillId="0" fontId="10" numFmtId="0" xfId="0" applyAlignment="1" applyFont="1">
      <alignment vertical="bottom"/>
    </xf>
    <xf borderId="0" fillId="3" fontId="7" numFmtId="0" xfId="0" applyAlignment="1" applyFont="1">
      <alignment shrinkToFit="0" vertical="bottom" wrapText="1"/>
    </xf>
    <xf borderId="0" fillId="0" fontId="5" numFmtId="0" xfId="0" applyAlignment="1" applyFont="1">
      <alignment horizontal="left" readingOrder="0"/>
    </xf>
    <xf borderId="0" fillId="3" fontId="13" numFmtId="0" xfId="0" applyAlignment="1" applyFont="1">
      <alignment horizontal="left" readingOrder="0"/>
    </xf>
    <xf borderId="0" fillId="3" fontId="33" numFmtId="0" xfId="0" applyAlignment="1" applyFont="1">
      <alignment readingOrder="0"/>
    </xf>
    <xf borderId="0" fillId="3" fontId="12" numFmtId="0" xfId="0" applyAlignment="1" applyFont="1">
      <alignment readingOrder="0"/>
    </xf>
    <xf borderId="0" fillId="3" fontId="34" numFmtId="0" xfId="0" applyAlignment="1" applyFont="1">
      <alignment horizontal="center" readingOrder="0" shrinkToFit="0" wrapText="1"/>
    </xf>
    <xf borderId="0" fillId="0" fontId="28" numFmtId="0" xfId="0" applyAlignment="1" applyFont="1">
      <alignment horizontal="left" readingOrder="0" vertical="bottom"/>
    </xf>
    <xf borderId="0" fillId="3" fontId="13" numFmtId="0" xfId="0" applyAlignment="1" applyFont="1">
      <alignment horizontal="left" readingOrder="0" vertical="bottom"/>
    </xf>
    <xf borderId="0" fillId="3" fontId="28" numFmtId="0" xfId="0" applyAlignment="1" applyFont="1">
      <alignment readingOrder="0"/>
    </xf>
    <xf borderId="0" fillId="3" fontId="28" numFmtId="0" xfId="0" applyFont="1"/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6">
    <tableStyle count="2" pivot="0" name="Sheet1-style">
      <tableStyleElement dxfId="2" type="firstRowStripe"/>
      <tableStyleElement dxfId="3" type="secondRowStripe"/>
    </tableStyle>
    <tableStyle count="2" pivot="0" name="Sheet1-style 2">
      <tableStyleElement dxfId="2" type="firstRowStripe"/>
      <tableStyleElement dxfId="3" type="secondRowStripe"/>
    </tableStyle>
    <tableStyle count="2" pivot="0" name="Sheet1-style 3">
      <tableStyleElement dxfId="3" type="firstRowStripe"/>
      <tableStyleElement dxfId="2" type="secondRowStripe"/>
    </tableStyle>
    <tableStyle count="2" pivot="0" name="Sheet1-style 4">
      <tableStyleElement dxfId="2" type="firstRowStripe"/>
      <tableStyleElement dxfId="3" type="secondRowStripe"/>
    </tableStyle>
    <tableStyle count="2" pivot="0" name="Sheet1-style 5">
      <tableStyleElement dxfId="3" type="firstRowStripe"/>
      <tableStyleElement dxfId="2" type="secondRowStripe"/>
    </tableStyle>
    <tableStyle count="2" pivot="0" name="Sheet1-style 6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368:B403" displayName="Table_1" id="1">
  <tableColumns count="2">
    <tableColumn name="Column1" id="1"/>
    <tableColumn name="Column2" id="2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headerRowCount="0" ref="A404:B452" displayName="Table_2" id="2">
  <tableColumns count="2">
    <tableColumn name="Column1" id="1"/>
    <tableColumn name="Column2" id="2"/>
  </tableColumns>
  <tableStyleInfo name="Sheet1-style 2" showColumnStripes="0" showFirstColumn="1" showLastColumn="1" showRowStripes="1"/>
</table>
</file>

<file path=xl/tables/table3.xml><?xml version="1.0" encoding="utf-8"?>
<table xmlns="http://schemas.openxmlformats.org/spreadsheetml/2006/main" headerRowCount="0" ref="A453:A470" displayName="Table_3" id="3">
  <tableColumns count="1">
    <tableColumn name="Column1" id="1"/>
  </tableColumns>
  <tableStyleInfo name="Sheet1-style 3" showColumnStripes="0" showFirstColumn="1" showLastColumn="1" showRowStripes="1"/>
</table>
</file>

<file path=xl/tables/table4.xml><?xml version="1.0" encoding="utf-8"?>
<table xmlns="http://schemas.openxmlformats.org/spreadsheetml/2006/main" headerRowCount="0" ref="B453:B470" displayName="Table_4" id="4">
  <tableColumns count="1">
    <tableColumn name="Column1" id="1"/>
  </tableColumns>
  <tableStyleInfo name="Sheet1-style 4" showColumnStripes="0" showFirstColumn="1" showLastColumn="1" showRowStripes="1"/>
</table>
</file>

<file path=xl/tables/table5.xml><?xml version="1.0" encoding="utf-8"?>
<table xmlns="http://schemas.openxmlformats.org/spreadsheetml/2006/main" headerRowCount="0" ref="A545:A561" displayName="Table_5" id="5">
  <tableColumns count="1">
    <tableColumn name="Column1" id="1"/>
  </tableColumns>
  <tableStyleInfo name="Sheet1-style 5" showColumnStripes="0" showFirstColumn="1" showLastColumn="1" showRowStripes="1"/>
</table>
</file>

<file path=xl/tables/table6.xml><?xml version="1.0" encoding="utf-8"?>
<table xmlns="http://schemas.openxmlformats.org/spreadsheetml/2006/main" headerRowCount="0" ref="B545:B561" displayName="Table_6" id="6">
  <tableColumns count="1">
    <tableColumn name="Column1" id="1"/>
  </tableColumns>
  <tableStyleInfo name="Sheet1-style 6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4.xml"/><Relationship Id="rId10" Type="http://schemas.openxmlformats.org/officeDocument/2006/relationships/table" Target="../tables/table3.xml"/><Relationship Id="rId13" Type="http://schemas.openxmlformats.org/officeDocument/2006/relationships/table" Target="../tables/table6.xml"/><Relationship Id="rId12" Type="http://schemas.openxmlformats.org/officeDocument/2006/relationships/table" Target="../tables/table5.xml"/><Relationship Id="rId9" Type="http://schemas.openxmlformats.org/officeDocument/2006/relationships/table" Target="../tables/table2.xml"/><Relationship Id="rId8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0"/>
    <col customWidth="1" min="2" max="2" width="38.25"/>
    <col customWidth="1" min="3" max="3" width="18.63"/>
    <col customWidth="1" min="13" max="13" width="43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2"/>
    </row>
    <row r="2">
      <c r="A2" s="3" t="s">
        <v>14</v>
      </c>
      <c r="B2" s="4" t="s">
        <v>15</v>
      </c>
      <c r="C2" s="5" t="str">
        <f>IFERROR(__xludf.DUMMYFUNCTION("GOOGLETRANSLATE(B2,""en"",""hi"")"),"या सोशल मीडिया में प्रवेश करें")</f>
        <v>या सोशल मीडिया में प्रवेश करें</v>
      </c>
      <c r="D2" s="6" t="str">
        <f>IFERROR(__xludf.DUMMYFUNCTION("GOOGLETRANSLATE(B2,""en"",""ar"")"),"أو أدخل وسائل التواصل الاجتماعي")</f>
        <v>أو أدخل وسائل التواصل الاجتماعي</v>
      </c>
      <c r="E2" s="6" t="str">
        <f>IFERROR(__xludf.DUMMYFUNCTION("GOOGLETRANSLATE(B2,""en"",""fr"")"),"ou entrez les médias sociaux")</f>
        <v>ou entrez les médias sociaux</v>
      </c>
      <c r="F2" s="6" t="str">
        <f>IFERROR(__xludf.DUMMYFUNCTION("GOOGLETRANSLATE(B2,""en"",""tr"")"),"veya sosyal medyaya girin")</f>
        <v>veya sosyal medyaya girin</v>
      </c>
      <c r="G2" s="6" t="str">
        <f>IFERROR(__xludf.DUMMYFUNCTION("GOOGLETRANSLATE(B2,""en"",""ru"")"),"или войти в социальные сети")</f>
        <v>или войти в социальные сети</v>
      </c>
      <c r="H2" s="6" t="str">
        <f>IFERROR(__xludf.DUMMYFUNCTION("GOOGLETRANSLATE(B2,""en"",""it"")"),"o inserisci i social media")</f>
        <v>o inserisci i social media</v>
      </c>
      <c r="I2" s="6" t="str">
        <f>IFERROR(__xludf.DUMMYFUNCTION("GOOGLETRANSLATE(B2,""en"",""de"")"),"Oder betreten Sie soziale Medien")</f>
        <v>Oder betreten Sie soziale Medien</v>
      </c>
      <c r="J2" s="6" t="str">
        <f>IFERROR(__xludf.DUMMYFUNCTION("GOOGLETRANSLATE(B2,""en"",""ko"")"),"또는 소셜 미디어를 입력하십시오")</f>
        <v>또는 소셜 미디어를 입력하십시오</v>
      </c>
      <c r="K2" s="6" t="str">
        <f>IFERROR(__xludf.DUMMYFUNCTION("GOOGLETRANSLATE(B2,""en"",""zh"")"),"或进入社交媒体")</f>
        <v>或进入社交媒体</v>
      </c>
      <c r="L2" s="6" t="str">
        <f>IFERROR(__xludf.DUMMYFUNCTION("GOOGLETRANSLATE(B2,""en"",""es"")"),"o entrar en las redes sociales")</f>
        <v>o entrar en las redes sociales</v>
      </c>
      <c r="M2" s="7" t="str">
        <f>IFERROR(__xludf.DUMMYFUNCTION("GOOGLETRANSLATE(B2,""en"",""iw"")"),"או להיכנס למדיה חברתית")</f>
        <v>או להיכנס למדיה חברתית</v>
      </c>
      <c r="N2" s="6" t="str">
        <f>IFERROR(__xludf.DUMMYFUNCTION("GOOGLETRANSLATE(B2,""en"",""bn"")"),"বা সোশ্যাল মিডিয়া প্রবেশ করুন")</f>
        <v>বা সোশ্যাল মিডিয়া প্রবেশ করুন</v>
      </c>
      <c r="O2" s="6"/>
      <c r="P2" s="6"/>
    </row>
    <row r="3">
      <c r="A3" s="3" t="s">
        <v>16</v>
      </c>
      <c r="B3" s="4" t="s">
        <v>17</v>
      </c>
      <c r="C3" s="5" t="str">
        <f>IFERROR(__xludf.DUMMYFUNCTION("GOOGLETRANSLATE(B3,""en"",""hi"")"),"साइन अप करें")</f>
        <v>साइन अप करें</v>
      </c>
      <c r="D3" s="6" t="str">
        <f>IFERROR(__xludf.DUMMYFUNCTION("GOOGLETRANSLATE(B3,""en"",""ar"")"),"اشتراك")</f>
        <v>اشتراك</v>
      </c>
      <c r="E3" s="6" t="str">
        <f>IFERROR(__xludf.DUMMYFUNCTION("GOOGLETRANSLATE(B3,""en"",""fr"")"),"S'inscrire")</f>
        <v>S'inscrire</v>
      </c>
      <c r="F3" s="6" t="str">
        <f>IFERROR(__xludf.DUMMYFUNCTION("GOOGLETRANSLATE(B3,""en"",""tr"")"),"Üye olmak")</f>
        <v>Üye olmak</v>
      </c>
      <c r="G3" s="6" t="str">
        <f>IFERROR(__xludf.DUMMYFUNCTION("GOOGLETRANSLATE(B3,""en"",""ru"")"),"Зарегистрироваться")</f>
        <v>Зарегистрироваться</v>
      </c>
      <c r="H3" s="6" t="str">
        <f>IFERROR(__xludf.DUMMYFUNCTION("GOOGLETRANSLATE(B3,""en"",""it"")"),"Iscrizione")</f>
        <v>Iscrizione</v>
      </c>
      <c r="I3" s="6" t="str">
        <f>IFERROR(__xludf.DUMMYFUNCTION("GOOGLETRANSLATE(B3,""en"",""de"")"),"Anmeldung")</f>
        <v>Anmeldung</v>
      </c>
      <c r="J3" s="6" t="str">
        <f>IFERROR(__xludf.DUMMYFUNCTION("GOOGLETRANSLATE(B3,""en"",""ko"")"),"가입하기")</f>
        <v>가입하기</v>
      </c>
      <c r="K3" s="6" t="str">
        <f>IFERROR(__xludf.DUMMYFUNCTION("GOOGLETRANSLATE(B3,""en"",""zh"")"),"报名")</f>
        <v>报名</v>
      </c>
      <c r="L3" s="6" t="str">
        <f>IFERROR(__xludf.DUMMYFUNCTION("GOOGLETRANSLATE(B3,""en"",""es"")"),"Inscribirse")</f>
        <v>Inscribirse</v>
      </c>
      <c r="M3" s="7" t="str">
        <f>IFERROR(__xludf.DUMMYFUNCTION("GOOGLETRANSLATE(B3,""en"",""iw"")"),"הירשם")</f>
        <v>הירשם</v>
      </c>
      <c r="N3" s="6" t="str">
        <f>IFERROR(__xludf.DUMMYFUNCTION("GOOGLETRANSLATE(B3,""en"",""bn"")"),"নিবন্ধন করুন")</f>
        <v>নিবন্ধন করুন</v>
      </c>
      <c r="O3" s="6"/>
      <c r="P3" s="6"/>
    </row>
    <row r="4">
      <c r="A4" s="8" t="s">
        <v>18</v>
      </c>
      <c r="B4" s="9" t="s">
        <v>19</v>
      </c>
      <c r="C4" s="5" t="str">
        <f>IFERROR(__xludf.DUMMYFUNCTION("GOOGLETRANSLATE(B4,""en"",""hi"")"),"ट्रैकिंग चालक स्थान")</f>
        <v>ट्रैकिंग चालक स्थान</v>
      </c>
      <c r="D4" s="6" t="str">
        <f>IFERROR(__xludf.DUMMYFUNCTION("GOOGLETRANSLATE(B4,""en"",""ar"")"),"تتبع موقع السائق")</f>
        <v>تتبع موقع السائق</v>
      </c>
      <c r="E4" s="6" t="str">
        <f>IFERROR(__xludf.DUMMYFUNCTION("GOOGLETRANSLATE(B4,""en"",""fr"")"),"Emplacement du conducteur de suivi")</f>
        <v>Emplacement du conducteur de suivi</v>
      </c>
      <c r="F4" s="6" t="str">
        <f>IFERROR(__xludf.DUMMYFUNCTION("GOOGLETRANSLATE(B4,""en"",""tr"")"),"İzleme Sürücü Konumu")</f>
        <v>İzleme Sürücü Konumu</v>
      </c>
      <c r="G4" s="6" t="str">
        <f>IFERROR(__xludf.DUMMYFUNCTION("GOOGLETRANSLATE(B4,""en"",""ru"")"),"Расположение водителя отслеживания")</f>
        <v>Расположение водителя отслеживания</v>
      </c>
      <c r="H4" s="6" t="str">
        <f>IFERROR(__xludf.DUMMYFUNCTION("GOOGLETRANSLATE(B4,""en"",""it"")"),"Posizione del driver di tracciamento")</f>
        <v>Posizione del driver di tracciamento</v>
      </c>
      <c r="I4" s="6" t="str">
        <f>IFERROR(__xludf.DUMMYFUNCTION("GOOGLETRANSLATE(B4,""en"",""de"")"),"Tracking -Fahrerort")</f>
        <v>Tracking -Fahrerort</v>
      </c>
      <c r="J4" s="6" t="str">
        <f>IFERROR(__xludf.DUMMYFUNCTION("GOOGLETRANSLATE(B4,""en"",""ko"")"),"추적 드라이버 위치")</f>
        <v>추적 드라이버 위치</v>
      </c>
      <c r="K4" s="6" t="str">
        <f>IFERROR(__xludf.DUMMYFUNCTION("GOOGLETRANSLATE(B4,""en"",""zh"")"),"跟踪驱动程序位置")</f>
        <v>跟踪驱动程序位置</v>
      </c>
      <c r="L4" s="6" t="str">
        <f>IFERROR(__xludf.DUMMYFUNCTION("GOOGLETRANSLATE(B4,""en"",""es"")"),"Localización del conductor de seguimiento")</f>
        <v>Localización del conductor de seguimiento</v>
      </c>
      <c r="M4" s="7" t="str">
        <f>IFERROR(__xludf.DUMMYFUNCTION("GOOGLETRANSLATE(B4,""en"",""iw"")"),"מעקב אחר מיקום הנהג")</f>
        <v>מעקב אחר מיקום הנהג</v>
      </c>
      <c r="N4" s="6" t="str">
        <f>IFERROR(__xludf.DUMMYFUNCTION("GOOGLETRANSLATE(B4,""en"",""bn"")"),"ড্রাইভার অবস্থান ট্র্যাকিং")</f>
        <v>ড্রাইভার অবস্থান ট্র্যাকিং</v>
      </c>
      <c r="O4" s="6"/>
      <c r="P4" s="6"/>
    </row>
    <row r="5">
      <c r="A5" s="8" t="s">
        <v>20</v>
      </c>
      <c r="B5" s="9" t="s">
        <v>21</v>
      </c>
      <c r="C5" s="5" t="str">
        <f>IFERROR(__xludf.DUMMYFUNCTION("GOOGLETRANSLATE(B5,""en"",""hi"")"),"सवारी पेशेवर उपलब्धियों का ट्रैक रखना याद रखें")</f>
        <v>सवारी पेशेवर उपलब्धियों का ट्रैक रखना याद रखें</v>
      </c>
      <c r="D5" s="6" t="str">
        <f>IFERROR(__xludf.DUMMYFUNCTION("GOOGLETRANSLATE(B5,""en"",""ar"")"),"تذكر أن تتبع الإنجازات المهنية ركوب")</f>
        <v>تذكر أن تتبع الإنجازات المهنية ركوب</v>
      </c>
      <c r="E5" s="6" t="str">
        <f>IFERROR(__xludf.DUMMYFUNCTION("GOOGLETRANSLATE(B5,""en"",""fr"")"),"N'oubliez pas de suivre les réalisations professionnelles de la conduite")</f>
        <v>N'oubliez pas de suivre les réalisations professionnelles de la conduite</v>
      </c>
      <c r="F5" s="6" t="str">
        <f>IFERROR(__xludf.DUMMYFUNCTION("GOOGLETRANSLATE(B5,""en"",""tr"")"),"Sürüş profesyonel başarılarını takip etmeyi unutmayın")</f>
        <v>Sürüş profesyonel başarılarını takip etmeyi unutmayın</v>
      </c>
      <c r="G5" s="6" t="str">
        <f>IFERROR(__xludf.DUMMYFUNCTION("GOOGLETRANSLATE(B5,""en"",""ru"")"),"Не забудьте отслеживать профессиональные достижения Ride")</f>
        <v>Не забудьте отслеживать профессиональные достижения Ride</v>
      </c>
      <c r="H5" s="6" t="str">
        <f>IFERROR(__xludf.DUMMYFUNCTION("GOOGLETRANSLATE(B5,""en"",""it"")"),"Ricorda di tenere traccia dei risultati professionali")</f>
        <v>Ricorda di tenere traccia dei risultati professionali</v>
      </c>
      <c r="I5" s="6" t="str">
        <f>IFERROR(__xludf.DUMMYFUNCTION("GOOGLETRANSLATE(B5,""en"",""de"")"),"Denken Sie daran, die professionellen Leistungen mit Fahrten im Auge zu behalten")</f>
        <v>Denken Sie daran, die professionellen Leistungen mit Fahrten im Auge zu behalten</v>
      </c>
      <c r="J5" s="6" t="str">
        <f>IFERROR(__xludf.DUMMYFUNCTION("GOOGLETRANSLATE(B5,""en"",""ko"")"),"Ride Professional 성취를 추적하는 것을 잊지 마십시오")</f>
        <v>Ride Professional 성취를 추적하는 것을 잊지 마십시오</v>
      </c>
      <c r="K5" s="6" t="str">
        <f>IFERROR(__xludf.DUMMYFUNCTION("GOOGLETRANSLATE(B5,""en"",""zh"")"),"记住跟踪骑行专业成就")</f>
        <v>记住跟踪骑行专业成就</v>
      </c>
      <c r="L5" s="6" t="str">
        <f>IFERROR(__xludf.DUMMYFUNCTION("GOOGLETRANSLATE(B5,""en"",""es"")"),"Recuerde realizar un seguimiento de los logros profesionales de conducción")</f>
        <v>Recuerde realizar un seguimiento de los logros profesionales de conducción</v>
      </c>
      <c r="M5" s="7" t="str">
        <f>IFERROR(__xludf.DUMMYFUNCTION("GOOGLETRANSLATE(B5,""en"",""iw"")"),"זכור לעקוב אחר הישגים מקצועיים לרכיבה")</f>
        <v>זכור לעקוב אחר הישגים מקצועיים לרכיבה</v>
      </c>
      <c r="N5" s="6" t="str">
        <f>IFERROR(__xludf.DUMMYFUNCTION("GOOGLETRANSLATE(B5,""en"",""bn"")"),"রাইড পেশাদার সাফল্যের উপর নজর রাখতে ভুলবেন না")</f>
        <v>রাইড পেশাদার সাফল্যের উপর নজর রাখতে ভুলবেন না</v>
      </c>
      <c r="O5" s="6"/>
      <c r="P5" s="6"/>
    </row>
    <row r="6">
      <c r="A6" s="8" t="s">
        <v>22</v>
      </c>
      <c r="B6" s="9" t="s">
        <v>23</v>
      </c>
      <c r="C6" s="5" t="str">
        <f>IFERROR(__xludf.DUMMYFUNCTION("GOOGLETRANSLATE(B6,""en"",""hi"")"),"छोड़ें")</f>
        <v>छोड़ें</v>
      </c>
      <c r="D6" s="6" t="str">
        <f>IFERROR(__xludf.DUMMYFUNCTION("GOOGLETRANSLATE(B6,""en"",""ar"")"),"يتخطى")</f>
        <v>يتخطى</v>
      </c>
      <c r="E6" s="6" t="str">
        <f>IFERROR(__xludf.DUMMYFUNCTION("GOOGLETRANSLATE(B6,""en"",""fr"")"),"sauter")</f>
        <v>sauter</v>
      </c>
      <c r="F6" s="6" t="str">
        <f>IFERROR(__xludf.DUMMYFUNCTION("GOOGLETRANSLATE(B6,""en"",""tr"")"),"atlamak")</f>
        <v>atlamak</v>
      </c>
      <c r="G6" s="6" t="str">
        <f>IFERROR(__xludf.DUMMYFUNCTION("GOOGLETRANSLATE(B6,""en"",""ru"")"),"пропускать")</f>
        <v>пропускать</v>
      </c>
      <c r="H6" s="6" t="str">
        <f>IFERROR(__xludf.DUMMYFUNCTION("GOOGLETRANSLATE(B6,""en"",""it"")"),"Salta")</f>
        <v>Salta</v>
      </c>
      <c r="I6" s="6" t="str">
        <f>IFERROR(__xludf.DUMMYFUNCTION("GOOGLETRANSLATE(B6,""en"",""de"")"),"überspringen")</f>
        <v>überspringen</v>
      </c>
      <c r="J6" s="6" t="str">
        <f>IFERROR(__xludf.DUMMYFUNCTION("GOOGLETRANSLATE(B6,""en"",""ko"")"),"건너 뛰기")</f>
        <v>건너 뛰기</v>
      </c>
      <c r="K6" s="6" t="str">
        <f>IFERROR(__xludf.DUMMYFUNCTION("GOOGLETRANSLATE(B6,""en"",""zh"")"),"跳过")</f>
        <v>跳过</v>
      </c>
      <c r="L6" s="6" t="str">
        <f>IFERROR(__xludf.DUMMYFUNCTION("GOOGLETRANSLATE(B6,""en"",""es"")"),"saltar")</f>
        <v>saltar</v>
      </c>
      <c r="M6" s="7" t="str">
        <f>IFERROR(__xludf.DUMMYFUNCTION("GOOGLETRANSLATE(B6,""en"",""iw"")"),"לדלג")</f>
        <v>לדלג</v>
      </c>
      <c r="N6" s="6" t="str">
        <f>IFERROR(__xludf.DUMMYFUNCTION("GOOGLETRANSLATE(B6,""en"",""bn"")"),"এড়িয়ে যান")</f>
        <v>এড়িয়ে যান</v>
      </c>
      <c r="O6" s="6"/>
      <c r="P6" s="6"/>
    </row>
    <row r="7">
      <c r="A7" s="8" t="s">
        <v>24</v>
      </c>
      <c r="B7" s="9" t="s">
        <v>25</v>
      </c>
      <c r="C7" s="5" t="str">
        <f>IFERROR(__xludf.DUMMYFUNCTION("GOOGLETRANSLATE(B7,""en"",""hi"")"),"अगला")</f>
        <v>अगला</v>
      </c>
      <c r="D7" s="6" t="str">
        <f>IFERROR(__xludf.DUMMYFUNCTION("GOOGLETRANSLATE(B7,""en"",""ar"")"),"التالي")</f>
        <v>التالي</v>
      </c>
      <c r="E7" s="6" t="str">
        <f>IFERROR(__xludf.DUMMYFUNCTION("GOOGLETRANSLATE(B7,""en"",""fr"")"),"Suivant")</f>
        <v>Suivant</v>
      </c>
      <c r="F7" s="6" t="str">
        <f>IFERROR(__xludf.DUMMYFUNCTION("GOOGLETRANSLATE(B7,""en"",""tr"")"),"sonraki")</f>
        <v>sonraki</v>
      </c>
      <c r="G7" s="6" t="str">
        <f>IFERROR(__xludf.DUMMYFUNCTION("GOOGLETRANSLATE(B7,""en"",""ru"")"),"следующий")</f>
        <v>следующий</v>
      </c>
      <c r="H7" s="6" t="str">
        <f>IFERROR(__xludf.DUMMYFUNCTION("GOOGLETRANSLATE(B7,""en"",""it"")"),"prossimo")</f>
        <v>prossimo</v>
      </c>
      <c r="I7" s="6" t="str">
        <f>IFERROR(__xludf.DUMMYFUNCTION("GOOGLETRANSLATE(B7,""en"",""de"")"),"nächste")</f>
        <v>nächste</v>
      </c>
      <c r="J7" s="6" t="str">
        <f>IFERROR(__xludf.DUMMYFUNCTION("GOOGLETRANSLATE(B7,""en"",""ko"")"),"다음")</f>
        <v>다음</v>
      </c>
      <c r="K7" s="6" t="str">
        <f>IFERROR(__xludf.DUMMYFUNCTION("GOOGLETRANSLATE(B7,""en"",""zh"")"),"下一个")</f>
        <v>下一个</v>
      </c>
      <c r="L7" s="6" t="str">
        <f>IFERROR(__xludf.DUMMYFUNCTION("GOOGLETRANSLATE(B7,""en"",""es"")"),"Siguiente")</f>
        <v>Siguiente</v>
      </c>
      <c r="M7" s="7" t="str">
        <f>IFERROR(__xludf.DUMMYFUNCTION("GOOGLETRANSLATE(B7,""en"",""iw"")"),"הַבָּא")</f>
        <v>הַבָּא</v>
      </c>
      <c r="N7" s="6" t="str">
        <f>IFERROR(__xludf.DUMMYFUNCTION("GOOGLETRANSLATE(B7,""en"",""bn"")"),"পরবর্তী")</f>
        <v>পরবর্তী</v>
      </c>
      <c r="O7" s="6"/>
      <c r="P7" s="6"/>
    </row>
    <row r="8">
      <c r="A8" s="8" t="s">
        <v>26</v>
      </c>
      <c r="B8" s="9" t="s">
        <v>27</v>
      </c>
      <c r="C8" s="5" t="str">
        <f>IFERROR(__xludf.DUMMYFUNCTION("GOOGLETRANSLATE(B8,""en"",""hi"")"),"आपकी सवारी, मांग पर")</f>
        <v>आपकी सवारी, मांग पर</v>
      </c>
      <c r="D8" s="6" t="str">
        <f>IFERROR(__xludf.DUMMYFUNCTION("GOOGLETRANSLATE(B8,""en"",""ar"")"),"رحلتك ، عند الطلب")</f>
        <v>رحلتك ، عند الطلب</v>
      </c>
      <c r="E8" s="6" t="str">
        <f>IFERROR(__xludf.DUMMYFUNCTION("GOOGLETRANSLATE(B8,""en"",""fr"")"),"Votre balade, sur demande")</f>
        <v>Votre balade, sur demande</v>
      </c>
      <c r="F8" s="6" t="str">
        <f>IFERROR(__xludf.DUMMYFUNCTION("GOOGLETRANSLATE(B8,""en"",""tr"")"),"Yolunuz, Talep Üzerine")</f>
        <v>Yolunuz, Talep Üzerine</v>
      </c>
      <c r="G8" s="6" t="str">
        <f>IFERROR(__xludf.DUMMYFUNCTION("GOOGLETRANSLATE(B8,""en"",""ru"")"),"Ваша поездка по требованию")</f>
        <v>Ваша поездка по требованию</v>
      </c>
      <c r="H8" s="6" t="str">
        <f>IFERROR(__xludf.DUMMYFUNCTION("GOOGLETRANSLATE(B8,""en"",""it"")"),"La tua corsa, su richiesta")</f>
        <v>La tua corsa, su richiesta</v>
      </c>
      <c r="I8" s="6" t="str">
        <f>IFERROR(__xludf.DUMMYFUNCTION("GOOGLETRANSLATE(B8,""en"",""de"")"),"Ihre Fahrt auf Nachfrage")</f>
        <v>Ihre Fahrt auf Nachfrage</v>
      </c>
      <c r="J8" s="6" t="str">
        <f>IFERROR(__xludf.DUMMYFUNCTION("GOOGLETRANSLATE(B8,""en"",""ko"")"),"당신의 타기, 주문형")</f>
        <v>당신의 타기, 주문형</v>
      </c>
      <c r="K8" s="6" t="str">
        <f>IFERROR(__xludf.DUMMYFUNCTION("GOOGLETRANSLATE(B8,""en"",""zh"")"),"您的骑行，按需")</f>
        <v>您的骑行，按需</v>
      </c>
      <c r="L8" s="6" t="str">
        <f>IFERROR(__xludf.DUMMYFUNCTION("GOOGLETRANSLATE(B8,""en"",""es"")"),"Tu viaje, a pedido")</f>
        <v>Tu viaje, a pedido</v>
      </c>
      <c r="M8" s="7" t="str">
        <f>IFERROR(__xludf.DUMMYFUNCTION("GOOGLETRANSLATE(B8,""en"",""iw"")"),"הנסיעה שלך, על פי דרישה")</f>
        <v>הנסיעה שלך, על פי דרישה</v>
      </c>
      <c r="N8" s="6" t="str">
        <f>IFERROR(__xludf.DUMMYFUNCTION("GOOGLETRANSLATE(B8,""en"",""bn"")"),"আপনার যাত্রা, চাহিদা উপর")</f>
        <v>আপনার যাত্রা, চাহিদা উপর</v>
      </c>
      <c r="O8" s="6"/>
      <c r="P8" s="6"/>
    </row>
    <row r="9">
      <c r="A9" s="8" t="s">
        <v>28</v>
      </c>
      <c r="B9" s="9" t="s">
        <v>29</v>
      </c>
      <c r="C9" s="5" t="str">
        <f>IFERROR(__xludf.DUMMYFUNCTION("GOOGLETRANSLATE(B9,""en"",""hi"")"),"लॉग इन करें")</f>
        <v>लॉग इन करें</v>
      </c>
      <c r="D9" s="6" t="str">
        <f>IFERROR(__xludf.DUMMYFUNCTION("GOOGLETRANSLATE(B9,""en"",""ar"")"),"تسجيل الدخول")</f>
        <v>تسجيل الدخول</v>
      </c>
      <c r="E9" s="6" t="str">
        <f>IFERROR(__xludf.DUMMYFUNCTION("GOOGLETRANSLATE(B9,""en"",""fr"")"),"Connexion")</f>
        <v>Connexion</v>
      </c>
      <c r="F9" s="6" t="str">
        <f>IFERROR(__xludf.DUMMYFUNCTION("GOOGLETRANSLATE(B9,""en"",""tr"")"),"Giriş yapmak")</f>
        <v>Giriş yapmak</v>
      </c>
      <c r="G9" s="6" t="str">
        <f>IFERROR(__xludf.DUMMYFUNCTION("GOOGLETRANSLATE(B9,""en"",""ru"")"),"Авторизоваться")</f>
        <v>Авторизоваться</v>
      </c>
      <c r="H9" s="6" t="str">
        <f>IFERROR(__xludf.DUMMYFUNCTION("GOOGLETRANSLATE(B9,""en"",""it"")"),"Login")</f>
        <v>Login</v>
      </c>
      <c r="I9" s="6" t="str">
        <f>IFERROR(__xludf.DUMMYFUNCTION("GOOGLETRANSLATE(B9,""en"",""de"")"),"Anmeldung")</f>
        <v>Anmeldung</v>
      </c>
      <c r="J9" s="6" t="str">
        <f>IFERROR(__xludf.DUMMYFUNCTION("GOOGLETRANSLATE(B9,""en"",""ko"")"),"로그인")</f>
        <v>로그인</v>
      </c>
      <c r="K9" s="6" t="str">
        <f>IFERROR(__xludf.DUMMYFUNCTION("GOOGLETRANSLATE(B9,""en"",""zh"")"),"登录")</f>
        <v>登录</v>
      </c>
      <c r="L9" s="6" t="str">
        <f>IFERROR(__xludf.DUMMYFUNCTION("GOOGLETRANSLATE(B9,""en"",""es"")"),"Acceso")</f>
        <v>Acceso</v>
      </c>
      <c r="M9" s="7" t="str">
        <f>IFERROR(__xludf.DUMMYFUNCTION("GOOGLETRANSLATE(B9,""en"",""iw"")"),"התחברות")</f>
        <v>התחברות</v>
      </c>
      <c r="N9" s="6" t="str">
        <f>IFERROR(__xludf.DUMMYFUNCTION("GOOGLETRANSLATE(B9,""en"",""bn"")"),"প্রবেশ করুন")</f>
        <v>প্রবেশ করুন</v>
      </c>
      <c r="O9" s="6"/>
      <c r="P9" s="6"/>
    </row>
    <row r="10">
      <c r="A10" s="8" t="s">
        <v>30</v>
      </c>
      <c r="B10" s="9" t="s">
        <v>31</v>
      </c>
      <c r="C10" s="5" t="str">
        <f>IFERROR(__xludf.DUMMYFUNCTION("GOOGLETRANSLATE(B10,""en"",""hi"")"),"मोबाइल नंबर दर्ज करें")</f>
        <v>मोबाइल नंबर दर्ज करें</v>
      </c>
      <c r="D10" s="6" t="str">
        <f>IFERROR(__xludf.DUMMYFUNCTION("GOOGLETRANSLATE(B10,""en"",""ar"")"),"أدخل رقم الهاتف المحمول")</f>
        <v>أدخل رقم الهاتف المحمول</v>
      </c>
      <c r="E10" s="6" t="str">
        <f>IFERROR(__xludf.DUMMYFUNCTION("GOOGLETRANSLATE(B10,""en"",""fr"")"),"Entrez le numéro de mobile")</f>
        <v>Entrez le numéro de mobile</v>
      </c>
      <c r="F10" s="6" t="str">
        <f>IFERROR(__xludf.DUMMYFUNCTION("GOOGLETRANSLATE(B10,""en"",""tr"")"),"Cep Numarasını Girin")</f>
        <v>Cep Numarasını Girin</v>
      </c>
      <c r="G10" s="6" t="str">
        <f>IFERROR(__xludf.DUMMYFUNCTION("GOOGLETRANSLATE(B10,""en"",""ru"")"),"Введите номер мобильного телефона")</f>
        <v>Введите номер мобильного телефона</v>
      </c>
      <c r="H10" s="6" t="str">
        <f>IFERROR(__xludf.DUMMYFUNCTION("GOOGLETRANSLATE(B10,""en"",""it"")"),"Immettere il numero di cellulare")</f>
        <v>Immettere il numero di cellulare</v>
      </c>
      <c r="I10" s="6" t="str">
        <f>IFERROR(__xludf.DUMMYFUNCTION("GOOGLETRANSLATE(B10,""en"",""de"")"),"Geben Sie die Handynummer ein")</f>
        <v>Geben Sie die Handynummer ein</v>
      </c>
      <c r="J10" s="6" t="str">
        <f>IFERROR(__xludf.DUMMYFUNCTION("GOOGLETRANSLATE(B10,""en"",""ko"")"),"휴대폰 번호를 입력하십시오")</f>
        <v>휴대폰 번호를 입력하십시오</v>
      </c>
      <c r="K10" s="6" t="str">
        <f>IFERROR(__xludf.DUMMYFUNCTION("GOOGLETRANSLATE(B10,""en"",""zh"")"),"输入手机号码")</f>
        <v>输入手机号码</v>
      </c>
      <c r="L10" s="6" t="str">
        <f>IFERROR(__xludf.DUMMYFUNCTION("GOOGLETRANSLATE(B10,""en"",""es"")"),"Ingrese el número de móvil")</f>
        <v>Ingrese el número de móvil</v>
      </c>
      <c r="M10" s="7" t="str">
        <f>IFERROR(__xludf.DUMMYFUNCTION("GOOGLETRANSLATE(B10,""en"",""iw"")"),"הזן את מספר הנייד")</f>
        <v>הזן את מספר הנייד</v>
      </c>
      <c r="N10" s="6" t="str">
        <f>IFERROR(__xludf.DUMMYFUNCTION("GOOGLETRANSLATE(B10,""en"",""bn"")"),"মোবাইল নম্বর লিখুন")</f>
        <v>মোবাইল নম্বর লিখুন</v>
      </c>
      <c r="O10" s="6"/>
      <c r="P10" s="6"/>
    </row>
    <row r="11">
      <c r="A11" s="8" t="s">
        <v>32</v>
      </c>
      <c r="B11" s="9" t="s">
        <v>33</v>
      </c>
      <c r="C11" s="5" t="str">
        <f>IFERROR(__xludf.DUMMYFUNCTION("GOOGLETRANSLATE(B11,""en"",""hi"")"),"आएँ शुरू करें!")</f>
        <v>आएँ शुरू करें!</v>
      </c>
      <c r="D11" s="6" t="str">
        <f>IFERROR(__xludf.DUMMYFUNCTION("GOOGLETRANSLATE(B11,""en"",""ar"")"),"هيا بنا نبدأ!")</f>
        <v>هيا بنا نبدأ!</v>
      </c>
      <c r="E11" s="6" t="str">
        <f>IFERROR(__xludf.DUMMYFUNCTION("GOOGLETRANSLATE(B11,""en"",""fr"")"),"Commençons!")</f>
        <v>Commençons!</v>
      </c>
      <c r="F11" s="6" t="str">
        <f>IFERROR(__xludf.DUMMYFUNCTION("GOOGLETRANSLATE(B11,""en"",""tr"")"),"Başlayalım!")</f>
        <v>Başlayalım!</v>
      </c>
      <c r="G11" s="6" t="str">
        <f>IFERROR(__xludf.DUMMYFUNCTION("GOOGLETRANSLATE(B11,""en"",""ru"")"),"Давайте начнем!")</f>
        <v>Давайте начнем!</v>
      </c>
      <c r="H11" s="6" t="str">
        <f>IFERROR(__xludf.DUMMYFUNCTION("GOOGLETRANSLATE(B11,""en"",""it"")"),"Iniziamo!")</f>
        <v>Iniziamo!</v>
      </c>
      <c r="I11" s="6" t="str">
        <f>IFERROR(__xludf.DUMMYFUNCTION("GOOGLETRANSLATE(B11,""en"",""de"")"),"Lass uns anfangen!")</f>
        <v>Lass uns anfangen!</v>
      </c>
      <c r="J11" s="6" t="str">
        <f>IFERROR(__xludf.DUMMYFUNCTION("GOOGLETRANSLATE(B11,""en"",""ko"")"),"시작하자!")</f>
        <v>시작하자!</v>
      </c>
      <c r="K11" s="6" t="str">
        <f>IFERROR(__xludf.DUMMYFUNCTION("GOOGLETRANSLATE(B11,""en"",""zh"")"),"让我们开始吧！")</f>
        <v>让我们开始吧！</v>
      </c>
      <c r="L11" s="6" t="str">
        <f>IFERROR(__xludf.DUMMYFUNCTION("GOOGLETRANSLATE(B11,""en"",""es"")"),"¡Empecemos!")</f>
        <v>¡Empecemos!</v>
      </c>
      <c r="M11" s="7" t="str">
        <f>IFERROR(__xludf.DUMMYFUNCTION("GOOGLETRANSLATE(B11,""en"",""iw"")"),"בואו נתחיל!")</f>
        <v>בואו נתחיל!</v>
      </c>
      <c r="N11" s="6" t="str">
        <f>IFERROR(__xludf.DUMMYFUNCTION("GOOGLETRANSLATE(B11,""en"",""bn"")"),"চল শুরু করি!")</f>
        <v>চল শুরু করি!</v>
      </c>
      <c r="O11" s="6"/>
      <c r="P11" s="6"/>
    </row>
    <row r="12">
      <c r="A12" s="8" t="s">
        <v>34</v>
      </c>
      <c r="B12" s="9" t="s">
        <v>35</v>
      </c>
      <c r="C12" s="5" t="str">
        <f>IFERROR(__xludf.DUMMYFUNCTION("GOOGLETRANSLATE(B12,""en"",""hi"")"),"जारी रखने के लिए फॉर्म भरें।")</f>
        <v>जारी रखने के लिए फॉर्म भरें।</v>
      </c>
      <c r="D12" s="6" t="str">
        <f>IFERROR(__xludf.DUMMYFUNCTION("GOOGLETRANSLATE(B12,""en"",""ar"")"),"املأ النموذج للمتابعة.")</f>
        <v>املأ النموذج للمتابعة.</v>
      </c>
      <c r="E12" s="6" t="str">
        <f>IFERROR(__xludf.DUMMYFUNCTION("GOOGLETRANSLATE(B12,""en"",""fr"")"),"Remplissez le formulaire pour continuer.")</f>
        <v>Remplissez le formulaire pour continuer.</v>
      </c>
      <c r="F12" s="6" t="str">
        <f>IFERROR(__xludf.DUMMYFUNCTION("GOOGLETRANSLATE(B12,""en"",""tr"")"),"Devam etmek için formu doldurun.")</f>
        <v>Devam etmek için formu doldurun.</v>
      </c>
      <c r="G12" s="6" t="str">
        <f>IFERROR(__xludf.DUMMYFUNCTION("GOOGLETRANSLATE(B12,""en"",""ru"")"),"Заполните форму, чтобы продолжить.")</f>
        <v>Заполните форму, чтобы продолжить.</v>
      </c>
      <c r="H12" s="6" t="str">
        <f>IFERROR(__xludf.DUMMYFUNCTION("GOOGLETRANSLATE(B12,""en"",""it"")"),"Compilare il modulo per continuare.")</f>
        <v>Compilare il modulo per continuare.</v>
      </c>
      <c r="I12" s="6" t="str">
        <f>IFERROR(__xludf.DUMMYFUNCTION("GOOGLETRANSLATE(B12,""en"",""de"")"),"Füllen Sie das Formular aus, um fortzufahren.")</f>
        <v>Füllen Sie das Formular aus, um fortzufahren.</v>
      </c>
      <c r="J12" s="6" t="str">
        <f>IFERROR(__xludf.DUMMYFUNCTION("GOOGLETRANSLATE(B12,""en"",""ko"")"),"계속해서 양식을 채우십시오.")</f>
        <v>계속해서 양식을 채우십시오.</v>
      </c>
      <c r="K12" s="6" t="str">
        <f>IFERROR(__xludf.DUMMYFUNCTION("GOOGLETRANSLATE(B12,""en"",""zh"")"),"填写表格以继续。")</f>
        <v>填写表格以继续。</v>
      </c>
      <c r="L12" s="6" t="str">
        <f>IFERROR(__xludf.DUMMYFUNCTION("GOOGLETRANSLATE(B12,""en"",""es"")"),"Llene el formulario para continuar.")</f>
        <v>Llene el formulario para continuar.</v>
      </c>
      <c r="M12" s="7" t="str">
        <f>IFERROR(__xludf.DUMMYFUNCTION("GOOGLETRANSLATE(B12,""en"",""iw"")"),"מלא את הטופס להמשך.")</f>
        <v>מלא את הטופס להמשך.</v>
      </c>
      <c r="N12" s="6" t="str">
        <f>IFERROR(__xludf.DUMMYFUNCTION("GOOGLETRANSLATE(B12,""en"",""bn"")"),"চালিয়ে যেতে ফর্মটি পূরণ করুন।")</f>
        <v>চালিয়ে যেতে ফর্মটি পূরণ করুন।</v>
      </c>
      <c r="O12" s="6"/>
      <c r="P12" s="6"/>
    </row>
    <row r="13">
      <c r="A13" s="8" t="s">
        <v>36</v>
      </c>
      <c r="B13" s="9" t="s">
        <v>37</v>
      </c>
      <c r="C13" s="5" t="str">
        <f>IFERROR(__xludf.DUMMYFUNCTION("GOOGLETRANSLATE(B13,""en"",""hi"")"),"जारी रखने के लिए फॉर्म भरने के सामाजिक के साथ साइन अप करें।")</f>
        <v>जारी रखने के लिए फॉर्म भरने के सामाजिक के साथ साइन अप करें।</v>
      </c>
      <c r="D13" s="6" t="str">
        <f>IFERROR(__xludf.DUMMYFUNCTION("GOOGLETRANSLATE(B13,""en"",""ar"")"),"اشترك مع Social of Fill the Form للمتابعة.")</f>
        <v>اشترك مع Social of Fill the Form للمتابعة.</v>
      </c>
      <c r="E13" s="6" t="str">
        <f>IFERROR(__xludf.DUMMYFUNCTION("GOOGLETRANSLATE(B13,""en"",""fr"")"),"Inscrivez-vous avec Social pour remplir le formulaire pour continuer.")</f>
        <v>Inscrivez-vous avec Social pour remplir le formulaire pour continuer.</v>
      </c>
      <c r="F13" s="6" t="str">
        <f>IFERROR(__xludf.DUMMYFUNCTION("GOOGLETRANSLATE(B13,""en"",""tr"")"),"Devam etmek için formu doldurun.")</f>
        <v>Devam etmek için formu doldurun.</v>
      </c>
      <c r="G13" s="6" t="str">
        <f>IFERROR(__xludf.DUMMYFUNCTION("GOOGLETRANSLATE(B13,""en"",""ru"")"),"Зарегистрируйтесь в Social, чтобы заполнить форму, чтобы продолжить.")</f>
        <v>Зарегистрируйтесь в Social, чтобы заполнить форму, чтобы продолжить.</v>
      </c>
      <c r="H13" s="6" t="str">
        <f>IFERROR(__xludf.DUMMYFUNCTION("GOOGLETRANSLATE(B13,""en"",""it"")"),"Iscriviti con il social di compilare il modulo per continuare.")</f>
        <v>Iscriviti con il social di compilare il modulo per continuare.</v>
      </c>
      <c r="I13" s="6" t="str">
        <f>IFERROR(__xludf.DUMMYFUNCTION("GOOGLETRANSLATE(B13,""en"",""de"")"),"Melden Sie sich bei Social of Füllen Sie das Formular an, um fortzufahren.")</f>
        <v>Melden Sie sich bei Social of Füllen Sie das Formular an, um fortzufahren.</v>
      </c>
      <c r="J13" s="6" t="str">
        <f>IFERROR(__xludf.DUMMYFUNCTION("GOOGLETRANSLATE(B13,""en"",""ko"")"),"계속해서 Fill의 Social에 가입하여 계속하십시오.")</f>
        <v>계속해서 Fill의 Social에 가입하여 계속하십시오.</v>
      </c>
      <c r="K13" s="6" t="str">
        <f>IFERROR(__xludf.DUMMYFUNCTION("GOOGLETRANSLATE(B13,""en"",""zh"")"),"与填写表格的社交注册以继续。")</f>
        <v>与填写表格的社交注册以继续。</v>
      </c>
      <c r="L13" s="6" t="str">
        <f>IFERROR(__xludf.DUMMYFUNCTION("GOOGLETRANSLATE(B13,""en"",""es"")"),"Regístrese con social de llenar el formulario para continuar.")</f>
        <v>Regístrese con social de llenar el formulario para continuar.</v>
      </c>
      <c r="M13" s="7" t="str">
        <f>IFERROR(__xludf.DUMMYFUNCTION("GOOGLETRANSLATE(B13,""en"",""iw"")"),"הירשם ל- Social of Fill the To Mection כדי להמשיך.")</f>
        <v>הירשם ל- Social of Fill the To Mection כדי להמשיך.</v>
      </c>
      <c r="N13" s="6" t="str">
        <f>IFERROR(__xludf.DUMMYFUNCTION("GOOGLETRANSLATE(B13,""en"",""bn"")"),"অবিরত রাখতে ফর্মটি পূরণ করুন সাইন আপ করুন।")</f>
        <v>অবিরত রাখতে ফর্মটি পূরণ করুন সাইন আপ করুন।</v>
      </c>
      <c r="O13" s="6"/>
      <c r="P13" s="6"/>
    </row>
    <row r="14">
      <c r="A14" s="8" t="s">
        <v>38</v>
      </c>
      <c r="B14" s="9" t="s">
        <v>39</v>
      </c>
      <c r="C14" s="5" t="str">
        <f>IFERROR(__xludf.DUMMYFUNCTION("GOOGLETRANSLATE(B14,""en"",""hi"")"),"ईमेल")</f>
        <v>ईमेल</v>
      </c>
      <c r="D14" s="6" t="str">
        <f>IFERROR(__xludf.DUMMYFUNCTION("GOOGLETRANSLATE(B14,""en"",""ar"")"),"البريد الإلكتروني")</f>
        <v>البريد الإلكتروني</v>
      </c>
      <c r="E14" s="6" t="str">
        <f>IFERROR(__xludf.DUMMYFUNCTION("GOOGLETRANSLATE(B14,""en"",""fr"")"),"E-mail")</f>
        <v>E-mail</v>
      </c>
      <c r="F14" s="6" t="str">
        <f>IFERROR(__xludf.DUMMYFUNCTION("GOOGLETRANSLATE(B14,""en"",""tr"")"),"E -posta")</f>
        <v>E -posta</v>
      </c>
      <c r="G14" s="6" t="str">
        <f>IFERROR(__xludf.DUMMYFUNCTION("GOOGLETRANSLATE(B14,""en"",""ru"")"),"Эл. адрес")</f>
        <v>Эл. адрес</v>
      </c>
      <c r="H14" s="6" t="str">
        <f>IFERROR(__xludf.DUMMYFUNCTION("GOOGLETRANSLATE(B14,""en"",""it"")"),"E-mail")</f>
        <v>E-mail</v>
      </c>
      <c r="I14" s="6" t="str">
        <f>IFERROR(__xludf.DUMMYFUNCTION("GOOGLETRANSLATE(B14,""en"",""de"")"),"Email")</f>
        <v>Email</v>
      </c>
      <c r="J14" s="6" t="str">
        <f>IFERROR(__xludf.DUMMYFUNCTION("GOOGLETRANSLATE(B14,""en"",""ko"")"),"이메일")</f>
        <v>이메일</v>
      </c>
      <c r="K14" s="6" t="str">
        <f>IFERROR(__xludf.DUMMYFUNCTION("GOOGLETRANSLATE(B14,""en"",""zh"")"),"电子邮件")</f>
        <v>电子邮件</v>
      </c>
      <c r="L14" s="6" t="str">
        <f>IFERROR(__xludf.DUMMYFUNCTION("GOOGLETRANSLATE(B14,""en"",""es"")"),"Correo electrónico")</f>
        <v>Correo electrónico</v>
      </c>
      <c r="M14" s="7" t="str">
        <f>IFERROR(__xludf.DUMMYFUNCTION("GOOGLETRANSLATE(B14,""en"",""iw"")"),"אימייל")</f>
        <v>אימייל</v>
      </c>
      <c r="N14" s="6" t="str">
        <f>IFERROR(__xludf.DUMMYFUNCTION("GOOGLETRANSLATE(B14,""en"",""bn"")"),"ইমেল")</f>
        <v>ইমেল</v>
      </c>
      <c r="O14" s="6"/>
      <c r="P14" s="6"/>
    </row>
    <row r="15">
      <c r="A15" s="8" t="s">
        <v>40</v>
      </c>
      <c r="B15" s="9" t="s">
        <v>41</v>
      </c>
      <c r="C15" s="5" t="str">
        <f>IFERROR(__xludf.DUMMYFUNCTION("GOOGLETRANSLATE(B15,""en"",""hi"")"),"नाम")</f>
        <v>नाम</v>
      </c>
      <c r="D15" s="6" t="str">
        <f>IFERROR(__xludf.DUMMYFUNCTION("GOOGLETRANSLATE(B15,""en"",""ar"")"),"اسم")</f>
        <v>اسم</v>
      </c>
      <c r="E15" s="6" t="str">
        <f>IFERROR(__xludf.DUMMYFUNCTION("GOOGLETRANSLATE(B15,""en"",""fr"")"),"Nom")</f>
        <v>Nom</v>
      </c>
      <c r="F15" s="6" t="str">
        <f>IFERROR(__xludf.DUMMYFUNCTION("GOOGLETRANSLATE(B15,""en"",""tr"")"),"İsim")</f>
        <v>İsim</v>
      </c>
      <c r="G15" s="6" t="str">
        <f>IFERROR(__xludf.DUMMYFUNCTION("GOOGLETRANSLATE(B15,""en"",""ru"")"),"Имя")</f>
        <v>Имя</v>
      </c>
      <c r="H15" s="6" t="str">
        <f>IFERROR(__xludf.DUMMYFUNCTION("GOOGLETRANSLATE(B15,""en"",""it"")"),"Nome")</f>
        <v>Nome</v>
      </c>
      <c r="I15" s="6" t="str">
        <f>IFERROR(__xludf.DUMMYFUNCTION("GOOGLETRANSLATE(B15,""en"",""de"")"),"Name")</f>
        <v>Name</v>
      </c>
      <c r="J15" s="6" t="str">
        <f>IFERROR(__xludf.DUMMYFUNCTION("GOOGLETRANSLATE(B15,""en"",""ko"")"),"이름")</f>
        <v>이름</v>
      </c>
      <c r="K15" s="6" t="str">
        <f>IFERROR(__xludf.DUMMYFUNCTION("GOOGLETRANSLATE(B15,""en"",""zh"")"),"姓名")</f>
        <v>姓名</v>
      </c>
      <c r="L15" s="6" t="str">
        <f>IFERROR(__xludf.DUMMYFUNCTION("GOOGLETRANSLATE(B15,""en"",""es"")"),"Nombre")</f>
        <v>Nombre</v>
      </c>
      <c r="M15" s="7" t="str">
        <f>IFERROR(__xludf.DUMMYFUNCTION("GOOGLETRANSLATE(B15,""en"",""iw"")"),"שֵׁם")</f>
        <v>שֵׁם</v>
      </c>
      <c r="N15" s="6" t="str">
        <f>IFERROR(__xludf.DUMMYFUNCTION("GOOGLETRANSLATE(B15,""en"",""bn"")"),"নাম")</f>
        <v>নাম</v>
      </c>
      <c r="O15" s="6"/>
      <c r="P15" s="6"/>
    </row>
    <row r="16">
      <c r="A16" s="8" t="s">
        <v>42</v>
      </c>
      <c r="B16" s="9" t="s">
        <v>43</v>
      </c>
      <c r="C16" s="5" t="str">
        <f>IFERROR(__xludf.DUMMYFUNCTION("GOOGLETRANSLATE(B16,""en"",""hi"")"),"साइन अप करके, आप सहमत हैं")</f>
        <v>साइन अप करके, आप सहमत हैं</v>
      </c>
      <c r="D16" s="6" t="str">
        <f>IFERROR(__xludf.DUMMYFUNCTION("GOOGLETRANSLATE(B16,""en"",""ar"")"),"عن طريق الاشتراك ، فأنت توافق على")</f>
        <v>عن طريق الاشتراك ، فأنت توافق على</v>
      </c>
      <c r="E16" s="6" t="str">
        <f>IFERROR(__xludf.DUMMYFUNCTION("GOOGLETRANSLATE(B16,""en"",""fr"")"),"En vous inscrivant, vous acceptez le")</f>
        <v>En vous inscrivant, vous acceptez le</v>
      </c>
      <c r="F16" s="6" t="str">
        <f>IFERROR(__xludf.DUMMYFUNCTION("GOOGLETRANSLATE(B16,""en"",""tr"")"),"Kaydolarak,")</f>
        <v>Kaydolarak,</v>
      </c>
      <c r="G16" s="6" t="str">
        <f>IFERROR(__xludf.DUMMYFUNCTION("GOOGLETRANSLATE(B16,""en"",""ru"")"),"Подписавшись, вы соглашаетесь с")</f>
        <v>Подписавшись, вы соглашаетесь с</v>
      </c>
      <c r="H16" s="6" t="str">
        <f>IFERROR(__xludf.DUMMYFUNCTION("GOOGLETRANSLATE(B16,""en"",""it"")"),"Iscrivendosi, accetti il")</f>
        <v>Iscrivendosi, accetti il</v>
      </c>
      <c r="I16" s="6" t="str">
        <f>IFERROR(__xludf.DUMMYFUNCTION("GOOGLETRANSLATE(B16,""en"",""de"")"),"Durch die Anmeldung stimmen Sie dem zu")</f>
        <v>Durch die Anmeldung stimmen Sie dem zu</v>
      </c>
      <c r="J16" s="6" t="str">
        <f>IFERROR(__xludf.DUMMYFUNCTION("GOOGLETRANSLATE(B16,""en"",""ko"")"),"가입함으로써 귀하는 동의합니다")</f>
        <v>가입함으로써 귀하는 동의합니다</v>
      </c>
      <c r="K16" s="6" t="str">
        <f>IFERROR(__xludf.DUMMYFUNCTION("GOOGLETRANSLATE(B16,""en"",""zh"")"),"通过注册，您同意")</f>
        <v>通过注册，您同意</v>
      </c>
      <c r="L16" s="6" t="str">
        <f>IFERROR(__xludf.DUMMYFUNCTION("GOOGLETRANSLATE(B16,""en"",""es"")"),"Al registrarse, usted acepta el")</f>
        <v>Al registrarse, usted acepta el</v>
      </c>
      <c r="M16" s="7" t="str">
        <f>IFERROR(__xludf.DUMMYFUNCTION("GOOGLETRANSLATE(B16,""en"",""iw"")"),"על ידי ההרשמה, אתה מסכים ל")</f>
        <v>על ידי ההרשמה, אתה מסכים ל</v>
      </c>
      <c r="N16" s="6" t="str">
        <f>IFERROR(__xludf.DUMMYFUNCTION("GOOGLETRANSLATE(B16,""en"",""bn"")"),"সাইন আপ করে আপনি সম্মত হন")</f>
        <v>সাইন আপ করে আপনি সম্মত হন</v>
      </c>
      <c r="O16" s="6"/>
      <c r="P16" s="6"/>
    </row>
    <row r="17">
      <c r="A17" s="8" t="s">
        <v>44</v>
      </c>
      <c r="B17" s="9" t="s">
        <v>45</v>
      </c>
      <c r="C17" s="5" t="str">
        <f>IFERROR(__xludf.DUMMYFUNCTION("GOOGLETRANSLATE(B17,""en"",""hi"")"),"सेवा की शर्तें")</f>
        <v>सेवा की शर्तें</v>
      </c>
      <c r="D17" s="6" t="str">
        <f>IFERROR(__xludf.DUMMYFUNCTION("GOOGLETRANSLATE(B17,""en"",""ar"")"),"شروط الخدمة")</f>
        <v>شروط الخدمة</v>
      </c>
      <c r="E17" s="6" t="str">
        <f>IFERROR(__xludf.DUMMYFUNCTION("GOOGLETRANSLATE(B17,""en"",""fr"")"),"Conditions d'utilisation")</f>
        <v>Conditions d'utilisation</v>
      </c>
      <c r="F17" s="6" t="str">
        <f>IFERROR(__xludf.DUMMYFUNCTION("GOOGLETRANSLATE(B17,""en"",""tr"")"),"Kullanım Şartları")</f>
        <v>Kullanım Şartları</v>
      </c>
      <c r="G17" s="6" t="str">
        <f>IFERROR(__xludf.DUMMYFUNCTION("GOOGLETRANSLATE(B17,""en"",""ru"")"),"условия обслуживания")</f>
        <v>условия обслуживания</v>
      </c>
      <c r="H17" s="6" t="str">
        <f>IFERROR(__xludf.DUMMYFUNCTION("GOOGLETRANSLATE(B17,""en"",""it"")"),"Termini di servizio")</f>
        <v>Termini di servizio</v>
      </c>
      <c r="I17" s="6" t="str">
        <f>IFERROR(__xludf.DUMMYFUNCTION("GOOGLETRANSLATE(B17,""en"",""de"")"),"Nutzungsbedingungen")</f>
        <v>Nutzungsbedingungen</v>
      </c>
      <c r="J17" s="6" t="str">
        <f>IFERROR(__xludf.DUMMYFUNCTION("GOOGLETRANSLATE(B17,""en"",""ko"")"),"서비스 약관")</f>
        <v>서비스 약관</v>
      </c>
      <c r="K17" s="6" t="str">
        <f>IFERROR(__xludf.DUMMYFUNCTION("GOOGLETRANSLATE(B17,""en"",""zh"")"),"服务条款")</f>
        <v>服务条款</v>
      </c>
      <c r="L17" s="6" t="str">
        <f>IFERROR(__xludf.DUMMYFUNCTION("GOOGLETRANSLATE(B17,""en"",""es"")"),"Términos de servicio")</f>
        <v>Términos de servicio</v>
      </c>
      <c r="M17" s="7" t="str">
        <f>IFERROR(__xludf.DUMMYFUNCTION("GOOGLETRANSLATE(B17,""en"",""iw"")"),"תנאי השירות")</f>
        <v>תנאי השירות</v>
      </c>
      <c r="N17" s="6" t="str">
        <f>IFERROR(__xludf.DUMMYFUNCTION("GOOGLETRANSLATE(B17,""en"",""bn"")"),"সেবা পাবার শর্ত")</f>
        <v>সেবা পাবার শর্ত</v>
      </c>
      <c r="O17" s="6"/>
      <c r="P17" s="6"/>
    </row>
    <row r="18">
      <c r="A18" s="8" t="s">
        <v>46</v>
      </c>
      <c r="B18" s="9" t="s">
        <v>47</v>
      </c>
      <c r="C18" s="5" t="str">
        <f>IFERROR(__xludf.DUMMYFUNCTION("GOOGLETRANSLATE(B18,""en"",""hi"")"),"तथा")</f>
        <v>तथा</v>
      </c>
      <c r="D18" s="6" t="str">
        <f>IFERROR(__xludf.DUMMYFUNCTION("GOOGLETRANSLATE(B18,""en"",""ar"")"),"و")</f>
        <v>و</v>
      </c>
      <c r="E18" s="6" t="str">
        <f>IFERROR(__xludf.DUMMYFUNCTION("GOOGLETRANSLATE(B18,""en"",""fr"")"),"et")</f>
        <v>et</v>
      </c>
      <c r="F18" s="6" t="str">
        <f>IFERROR(__xludf.DUMMYFUNCTION("GOOGLETRANSLATE(B18,""en"",""tr"")"),"ve")</f>
        <v>ve</v>
      </c>
      <c r="G18" s="6" t="str">
        <f>IFERROR(__xludf.DUMMYFUNCTION("GOOGLETRANSLATE(B18,""en"",""ru"")"),"а также")</f>
        <v>а также</v>
      </c>
      <c r="H18" s="6" t="str">
        <f>IFERROR(__xludf.DUMMYFUNCTION("GOOGLETRANSLATE(B18,""en"",""it"")"),"e")</f>
        <v>e</v>
      </c>
      <c r="I18" s="6" t="str">
        <f>IFERROR(__xludf.DUMMYFUNCTION("GOOGLETRANSLATE(B18,""en"",""de"")"),"und")</f>
        <v>und</v>
      </c>
      <c r="J18" s="6" t="str">
        <f>IFERROR(__xludf.DUMMYFUNCTION("GOOGLETRANSLATE(B18,""en"",""ko"")"),"그리고")</f>
        <v>그리고</v>
      </c>
      <c r="K18" s="6" t="str">
        <f>IFERROR(__xludf.DUMMYFUNCTION("GOOGLETRANSLATE(B18,""en"",""zh"")"),"和")</f>
        <v>和</v>
      </c>
      <c r="L18" s="6" t="str">
        <f>IFERROR(__xludf.DUMMYFUNCTION("GOOGLETRANSLATE(B18,""en"",""es"")"),"y")</f>
        <v>y</v>
      </c>
      <c r="M18" s="7" t="str">
        <f>IFERROR(__xludf.DUMMYFUNCTION("GOOGLETRANSLATE(B18,""en"",""iw"")"),"ו")</f>
        <v>ו</v>
      </c>
      <c r="N18" s="6" t="str">
        <f>IFERROR(__xludf.DUMMYFUNCTION("GOOGLETRANSLATE(B18,""en"",""bn"")"),"এবং")</f>
        <v>এবং</v>
      </c>
      <c r="O18" s="6"/>
      <c r="P18" s="6"/>
    </row>
    <row r="19">
      <c r="A19" s="8" t="s">
        <v>48</v>
      </c>
      <c r="B19" s="9" t="s">
        <v>49</v>
      </c>
      <c r="C19" s="5" t="str">
        <f>IFERROR(__xludf.DUMMYFUNCTION("GOOGLETRANSLATE(B19,""en"",""hi"")"),"गोपनीयता नीति")</f>
        <v>गोपनीयता नीति</v>
      </c>
      <c r="D19" s="6" t="str">
        <f>IFERROR(__xludf.DUMMYFUNCTION("GOOGLETRANSLATE(B19,""en"",""ar"")"),"سياسة الخصوصية")</f>
        <v>سياسة الخصوصية</v>
      </c>
      <c r="E19" s="6" t="str">
        <f>IFERROR(__xludf.DUMMYFUNCTION("GOOGLETRANSLATE(B19,""en"",""fr"")"),"Politique de confidentialité")</f>
        <v>Politique de confidentialité</v>
      </c>
      <c r="F19" s="6" t="str">
        <f>IFERROR(__xludf.DUMMYFUNCTION("GOOGLETRANSLATE(B19,""en"",""tr"")"),"Gizlilik Politikası")</f>
        <v>Gizlilik Politikası</v>
      </c>
      <c r="G19" s="6" t="str">
        <f>IFERROR(__xludf.DUMMYFUNCTION("GOOGLETRANSLATE(B19,""en"",""ru"")"),"Политика конфиденциальности")</f>
        <v>Политика конфиденциальности</v>
      </c>
      <c r="H19" s="6" t="str">
        <f>IFERROR(__xludf.DUMMYFUNCTION("GOOGLETRANSLATE(B19,""en"",""it"")"),"politica sulla riservatezza")</f>
        <v>politica sulla riservatezza</v>
      </c>
      <c r="I19" s="6" t="str">
        <f>IFERROR(__xludf.DUMMYFUNCTION("GOOGLETRANSLATE(B19,""en"",""de"")"),"Datenschutz-Bestimmungen")</f>
        <v>Datenschutz-Bestimmungen</v>
      </c>
      <c r="J19" s="6" t="str">
        <f>IFERROR(__xludf.DUMMYFUNCTION("GOOGLETRANSLATE(B19,""en"",""ko"")"),"개인 정보 정책")</f>
        <v>개인 정보 정책</v>
      </c>
      <c r="K19" s="6" t="str">
        <f>IFERROR(__xludf.DUMMYFUNCTION("GOOGLETRANSLATE(B19,""en"",""zh"")"),"隐私政策")</f>
        <v>隐私政策</v>
      </c>
      <c r="L19" s="6" t="str">
        <f>IFERROR(__xludf.DUMMYFUNCTION("GOOGLETRANSLATE(B19,""en"",""es"")"),"Política de privacidad")</f>
        <v>Política de privacidad</v>
      </c>
      <c r="M19" s="7" t="str">
        <f>IFERROR(__xludf.DUMMYFUNCTION("GOOGLETRANSLATE(B19,""en"",""iw"")"),"מדיניות פרטיות")</f>
        <v>מדיניות פרטיות</v>
      </c>
      <c r="N19" s="6" t="str">
        <f>IFERROR(__xludf.DUMMYFUNCTION("GOOGLETRANSLATE(B19,""en"",""bn"")"),"গোপনীয়তা নীতি")</f>
        <v>গোপনীয়তা নীতি</v>
      </c>
      <c r="O19" s="6"/>
      <c r="P19" s="6"/>
    </row>
    <row r="20">
      <c r="A20" s="8" t="s">
        <v>50</v>
      </c>
      <c r="B20" s="9" t="s">
        <v>51</v>
      </c>
      <c r="C20" s="5" t="str">
        <f>IFERROR(__xludf.DUMMYFUNCTION("GOOGLETRANSLATE(B20,""en"",""hi"")"),"कीमत के इंतजार में परेशानी के बिना एक सवारी बुक करने का सबसे तेज़ तरीका")</f>
        <v>कीमत के इंतजार में परेशानी के बिना एक सवारी बुक करने का सबसे तेज़ तरीका</v>
      </c>
      <c r="D20" s="6" t="str">
        <f>IFERROR(__xludf.DUMMYFUNCTION("GOOGLETRANSLATE(B20,""en"",""ar"")"),"أسرع طريقة لحجز رحلة دون متاعب في الانتظار والمساومة للسعر")</f>
        <v>أسرع طريقة لحجز رحلة دون متاعب في الانتظار والمساومة للسعر</v>
      </c>
      <c r="E20" s="6" t="str">
        <f>IFERROR(__xludf.DUMMYFUNCTION("GOOGLETRANSLATE(B20,""en"",""fr"")"),"Moyen le plus rapide de réserver un trajet sans les tracas d'attendre et de marchandage de prix")</f>
        <v>Moyen le plus rapide de réserver un trajet sans les tracas d'attendre et de marchandage de prix</v>
      </c>
      <c r="F20" s="6" t="str">
        <f>IFERROR(__xludf.DUMMYFUNCTION("GOOGLETRANSLATE(B20,""en"",""tr"")"),"Bekleme ve fiyat pazarlamasının zorluğu olmadan bir yolculuk rezervasyonu yapmanın en hızlı yolu")</f>
        <v>Bekleme ve fiyat pazarlamasının zorluğu olmadan bir yolculuk rezervasyonu yapmanın en hızlı yolu</v>
      </c>
      <c r="G20" s="6" t="str">
        <f>IFERROR(__xludf.DUMMYFUNCTION("GOOGLETRANSLATE(B20,""en"",""ru"")"),"Самый быстрый способ забронировать поездку без хлопот ожидания и торга цены")</f>
        <v>Самый быстрый способ забронировать поездку без хлопот ожидания и торга цены</v>
      </c>
      <c r="H20" s="6" t="str">
        <f>IFERROR(__xludf.DUMMYFUNCTION("GOOGLETRANSLATE(B20,""en"",""it"")"),"Il modo più veloce per prenotare un giro senza la seccatura dell'attesa e della contrattazione del prezzo")</f>
        <v>Il modo più veloce per prenotare un giro senza la seccatura dell'attesa e della contrattazione del prezzo</v>
      </c>
      <c r="I20" s="6" t="str">
        <f>IFERROR(__xludf.DUMMYFUNCTION("GOOGLETRANSLATE(B20,""en"",""de"")"),"Schnellster Weg, um eine Fahrt ohne das Warten und das Feilschen von Preis zu buchen")</f>
        <v>Schnellster Weg, um eine Fahrt ohne das Warten und das Feilschen von Preis zu buchen</v>
      </c>
      <c r="J20" s="6" t="str">
        <f>IFERROR(__xludf.DUMMYFUNCTION("GOOGLETRANSLATE(B20,""en"",""ko"")"),"대기 및 가격의 번거 로움없이 타는 가장 빠른 방법")</f>
        <v>대기 및 가격의 번거 로움없이 타는 가장 빠른 방법</v>
      </c>
      <c r="K20" s="6" t="str">
        <f>IFERROR(__xludf.DUMMYFUNCTION("GOOGLETRANSLATE(B20,""en"",""zh"")"),"预订乘车的最快方法，而无需等待和讨价还价的麻烦")</f>
        <v>预订乘车的最快方法，而无需等待和讨价还价的麻烦</v>
      </c>
      <c r="L20" s="6" t="str">
        <f>IFERROR(__xludf.DUMMYFUNCTION("GOOGLETRANSLATE(B20,""en"",""es"")"),"La forma más rápida de reservar un viaje sin la molestia de esperar y regatear el precio")</f>
        <v>La forma más rápida de reservar un viaje sin la molestia de esperar y regatear el precio</v>
      </c>
      <c r="M20" s="7" t="str">
        <f>IFERROR(__xludf.DUMMYFUNCTION("GOOGLETRANSLATE(B20,""en"",""iw"")"),"הדרך המהירה ביותר להזמין טרמפ ללא הטרחה של המתנה ומתמקחת של מחיר")</f>
        <v>הדרך המהירה ביותר להזמין טרמפ ללא הטרחה של המתנה ומתמקחת של מחיר</v>
      </c>
      <c r="N20" s="6" t="str">
        <f>IFERROR(__xludf.DUMMYFUNCTION("GOOGLETRANSLATE(B20,""en"",""bn"")"),"ওয়েটিং ও হাগলিংয়ের ঝামেলা ছাড়াই যাত্রা বুক করার দ্রুততম উপায়")</f>
        <v>ওয়েটিং ও হাগলিংয়ের ঝামেলা ছাড়াই যাত্রা বুক করার দ্রুততম উপায়</v>
      </c>
      <c r="O20" s="6"/>
      <c r="P20" s="6"/>
    </row>
    <row r="21">
      <c r="A21" s="8" t="s">
        <v>52</v>
      </c>
      <c r="B21" s="9" t="s">
        <v>53</v>
      </c>
      <c r="C21" s="5" t="str">
        <f>IFERROR(__xludf.DUMMYFUNCTION("GOOGLETRANSLATE(B21,""en"",""hi"")"),"फ़ोन सत्यापन")</f>
        <v>फ़ोन सत्यापन</v>
      </c>
      <c r="D21" s="6" t="str">
        <f>IFERROR(__xludf.DUMMYFUNCTION("GOOGLETRANSLATE(B21,""en"",""ar"")"),"التحقق من الهاتف")</f>
        <v>التحقق من الهاتف</v>
      </c>
      <c r="E21" s="6" t="str">
        <f>IFERROR(__xludf.DUMMYFUNCTION("GOOGLETRANSLATE(B21,""en"",""fr"")"),"Vérification du téléphone")</f>
        <v>Vérification du téléphone</v>
      </c>
      <c r="F21" s="6" t="str">
        <f>IFERROR(__xludf.DUMMYFUNCTION("GOOGLETRANSLATE(B21,""en"",""tr"")"),"Telefon Doğrulaması")</f>
        <v>Telefon Doğrulaması</v>
      </c>
      <c r="G21" s="6" t="str">
        <f>IFERROR(__xludf.DUMMYFUNCTION("GOOGLETRANSLATE(B21,""en"",""ru"")"),"Проверка телефона")</f>
        <v>Проверка телефона</v>
      </c>
      <c r="H21" s="6" t="str">
        <f>IFERROR(__xludf.DUMMYFUNCTION("GOOGLETRANSLATE(B21,""en"",""it"")"),"Verifica del telefono")</f>
        <v>Verifica del telefono</v>
      </c>
      <c r="I21" s="6" t="str">
        <f>IFERROR(__xludf.DUMMYFUNCTION("GOOGLETRANSLATE(B21,""en"",""de"")"),"Telefonüberprüfung")</f>
        <v>Telefonüberprüfung</v>
      </c>
      <c r="J21" s="6" t="str">
        <f>IFERROR(__xludf.DUMMYFUNCTION("GOOGLETRANSLATE(B21,""en"",""ko"")"),"전화 확인")</f>
        <v>전화 확인</v>
      </c>
      <c r="K21" s="6" t="str">
        <f>IFERROR(__xludf.DUMMYFUNCTION("GOOGLETRANSLATE(B21,""en"",""zh"")"),"电话验证")</f>
        <v>电话验证</v>
      </c>
      <c r="L21" s="6" t="str">
        <f>IFERROR(__xludf.DUMMYFUNCTION("GOOGLETRANSLATE(B21,""en"",""es"")"),"Verificación telefónica")</f>
        <v>Verificación telefónica</v>
      </c>
      <c r="M21" s="7" t="str">
        <f>IFERROR(__xludf.DUMMYFUNCTION("GOOGLETRANSLATE(B21,""en"",""iw"")"),"אימות טלפון")</f>
        <v>אימות טלפון</v>
      </c>
      <c r="N21" s="6" t="str">
        <f>IFERROR(__xludf.DUMMYFUNCTION("GOOGLETRANSLATE(B21,""en"",""bn"")"),"ফোন যাচাইকরণ")</f>
        <v>ফোন যাচাইকরণ</v>
      </c>
      <c r="O21" s="6"/>
      <c r="P21" s="6"/>
    </row>
    <row r="22">
      <c r="A22" s="8" t="s">
        <v>54</v>
      </c>
      <c r="B22" s="9" t="s">
        <v>55</v>
      </c>
      <c r="C22" s="5" t="str">
        <f>IFERROR(__xludf.DUMMYFUNCTION("GOOGLETRANSLATE(B22,""en"",""hi"")"),"कृपया आप पर भेजे गए 6-अंकीय कोड दर्ज करें")</f>
        <v>कृपया आप पर भेजे गए 6-अंकीय कोड दर्ज करें</v>
      </c>
      <c r="D22" s="6" t="str">
        <f>IFERROR(__xludf.DUMMYFUNCTION("GOOGLETRANSLATE(B22,""en"",""ar"")"),"الرجاء إدخال الرمز المكون من 6 أرقام أرسل إليك على")</f>
        <v>الرجاء إدخال الرمز المكون من 6 أرقام أرسل إليك على</v>
      </c>
      <c r="E22" s="6" t="str">
        <f>IFERROR(__xludf.DUMMYFUNCTION("GOOGLETRANSLATE(B22,""en"",""fr"")"),"Veuillez saisir le code à 6 chiffres qui vous est envoyé à")</f>
        <v>Veuillez saisir le code à 6 chiffres qui vous est envoyé à</v>
      </c>
      <c r="F22" s="6" t="str">
        <f>IFERROR(__xludf.DUMMYFUNCTION("GOOGLETRANSLATE(B22,""en"",""tr"")"),"Lütfen size gönderilen 6 haneli kodu girin")</f>
        <v>Lütfen size gönderilen 6 haneli kodu girin</v>
      </c>
      <c r="G22" s="6" t="str">
        <f>IFERROR(__xludf.DUMMYFUNCTION("GOOGLETRANSLATE(B22,""en"",""ru"")"),"Пожалуйста, введите 6-значный код Отправить вам в")</f>
        <v>Пожалуйста, введите 6-значный код Отправить вам в</v>
      </c>
      <c r="H22" s="6" t="str">
        <f>IFERROR(__xludf.DUMMYFUNCTION("GOOGLETRANSLATE(B22,""en"",""it"")"),"Inserisci il codice a 6 cifre inviati a")</f>
        <v>Inserisci il codice a 6 cifre inviati a</v>
      </c>
      <c r="I22" s="6" t="str">
        <f>IFERROR(__xludf.DUMMYFUNCTION("GOOGLETRANSLATE(B22,""en"",""de"")"),"Bitte geben Sie den 6-stelligen Code ein, der Ihnen unter Senden Sie Ihnen unter")</f>
        <v>Bitte geben Sie den 6-stelligen Code ein, der Ihnen unter Senden Sie Ihnen unter</v>
      </c>
      <c r="J22" s="6" t="str">
        <f>IFERROR(__xludf.DUMMYFUNCTION("GOOGLETRANSLATE(B22,""en"",""ko"")"),"6 자리 코드를 입력하십시오")</f>
        <v>6 자리 코드를 입력하십시오</v>
      </c>
      <c r="K22" s="6" t="str">
        <f>IFERROR(__xludf.DUMMYFUNCTION("GOOGLETRANSLATE(B22,""en"",""zh"")"),"请输入6位代码发送给您")</f>
        <v>请输入6位代码发送给您</v>
      </c>
      <c r="L22" s="6" t="str">
        <f>IFERROR(__xludf.DUMMYFUNCTION("GOOGLETRANSLATE(B22,""en"",""es"")"),"Ingrese el código de 6 dígitos envíe a usted al")</f>
        <v>Ingrese el código de 6 dígitos envíe a usted al</v>
      </c>
      <c r="M22" s="7" t="str">
        <f>IFERROR(__xludf.DUMMYFUNCTION("GOOGLETRANSLATE(B22,""en"",""iw"")"),"אנא הכנס את הקוד בן 6 הספרות שלח אליך בטלפון")</f>
        <v>אנא הכנס את הקוד בן 6 הספרות שלח אליך בטלפון</v>
      </c>
      <c r="N22" s="6" t="str">
        <f>IFERROR(__xludf.DUMMYFUNCTION("GOOGLETRANSLATE(B22,""en"",""bn"")"),"দয়া করে আপনাকে 6-অঙ্কের কোডটি প্রেরণ করুন")</f>
        <v>দয়া করে আপনাকে 6-অঙ্কের কোডটি প্রেরণ করুন</v>
      </c>
      <c r="O22" s="6"/>
      <c r="P22" s="6"/>
    </row>
    <row r="23">
      <c r="A23" s="8" t="s">
        <v>56</v>
      </c>
      <c r="B23" s="9" t="s">
        <v>57</v>
      </c>
      <c r="C23" s="5" t="str">
        <f>IFERROR(__xludf.DUMMYFUNCTION("GOOGLETRANSLATE(B23,""en"",""hi"")"),"पुन: कोड भेजे")</f>
        <v>पुन: कोड भेजे</v>
      </c>
      <c r="D23" s="6" t="str">
        <f>IFERROR(__xludf.DUMMYFUNCTION("GOOGLETRANSLATE(B23,""en"",""ar"")"),"أعد إرسال الرمز")</f>
        <v>أعد إرسال الرمز</v>
      </c>
      <c r="E23" s="6" t="str">
        <f>IFERROR(__xludf.DUMMYFUNCTION("GOOGLETRANSLATE(B23,""en"",""fr"")"),"Renvoyer le code")</f>
        <v>Renvoyer le code</v>
      </c>
      <c r="F23" s="6" t="str">
        <f>IFERROR(__xludf.DUMMYFUNCTION("GOOGLETRANSLATE(B23,""en"",""tr"")"),"Yeniden gönderme kodu")</f>
        <v>Yeniden gönderme kodu</v>
      </c>
      <c r="G23" s="6" t="str">
        <f>IFERROR(__xludf.DUMMYFUNCTION("GOOGLETRANSLATE(B23,""en"",""ru"")"),"Отправить код еще раз")</f>
        <v>Отправить код еще раз</v>
      </c>
      <c r="H23" s="6" t="str">
        <f>IFERROR(__xludf.DUMMYFUNCTION("GOOGLETRANSLATE(B23,""en"",""it"")"),"Codice di rispedizione")</f>
        <v>Codice di rispedizione</v>
      </c>
      <c r="I23" s="6" t="str">
        <f>IFERROR(__xludf.DUMMYFUNCTION("GOOGLETRANSLATE(B23,""en"",""de"")"),"Code wiedergeben")</f>
        <v>Code wiedergeben</v>
      </c>
      <c r="J23" s="6" t="str">
        <f>IFERROR(__xludf.DUMMYFUNCTION("GOOGLETRANSLATE(B23,""en"",""ko"")"),"코드를 재현하십시오")</f>
        <v>코드를 재현하십시오</v>
      </c>
      <c r="K23" s="6" t="str">
        <f>IFERROR(__xludf.DUMMYFUNCTION("GOOGLETRANSLATE(B23,""en"",""zh"")"),"重新发送验证码")</f>
        <v>重新发送验证码</v>
      </c>
      <c r="L23" s="6" t="str">
        <f>IFERROR(__xludf.DUMMYFUNCTION("GOOGLETRANSLATE(B23,""en"",""es"")"),"Reenviar codigo")</f>
        <v>Reenviar codigo</v>
      </c>
      <c r="M23" s="7" t="str">
        <f>IFERROR(__xludf.DUMMYFUNCTION("GOOGLETRANSLATE(B23,""en"",""iw"")"),"שלח קוד שוב")</f>
        <v>שלח קוד שוב</v>
      </c>
      <c r="N23" s="6" t="str">
        <f>IFERROR(__xludf.DUMMYFUNCTION("GOOGLETRANSLATE(B23,""en"",""bn"")"),"পুনরায় পাঠানো কোড")</f>
        <v>পুনরায় পাঠানো কোড</v>
      </c>
      <c r="O23" s="6"/>
      <c r="P23" s="6"/>
    </row>
    <row r="24">
      <c r="A24" s="8" t="s">
        <v>58</v>
      </c>
      <c r="B24" s="9" t="s">
        <v>59</v>
      </c>
      <c r="C24" s="5" t="str">
        <f>IFERROR(__xludf.DUMMYFUNCTION("GOOGLETRANSLATE(B24,""en"",""hi"")"),"अभी सत्यापित करें")</f>
        <v>अभी सत्यापित करें</v>
      </c>
      <c r="D24" s="6" t="str">
        <f>IFERROR(__xludf.DUMMYFUNCTION("GOOGLETRANSLATE(B24,""en"",""ar"")"),"تحقق الآن")</f>
        <v>تحقق الآن</v>
      </c>
      <c r="E24" s="6" t="str">
        <f>IFERROR(__xludf.DUMMYFUNCTION("GOOGLETRANSLATE(B24,""en"",""fr"")"),"Vérifiez maintenant")</f>
        <v>Vérifiez maintenant</v>
      </c>
      <c r="F24" s="6" t="str">
        <f>IFERROR(__xludf.DUMMYFUNCTION("GOOGLETRANSLATE(B24,""en"",""tr"")"),"Şimdi doğrulayın")</f>
        <v>Şimdi doğrulayın</v>
      </c>
      <c r="G24" s="6" t="str">
        <f>IFERROR(__xludf.DUMMYFUNCTION("GOOGLETRANSLATE(B24,""en"",""ru"")"),"Проверить сейчас")</f>
        <v>Проверить сейчас</v>
      </c>
      <c r="H24" s="6" t="str">
        <f>IFERROR(__xludf.DUMMYFUNCTION("GOOGLETRANSLATE(B24,""en"",""it"")"),"verifica ora")</f>
        <v>verifica ora</v>
      </c>
      <c r="I24" s="6" t="str">
        <f>IFERROR(__xludf.DUMMYFUNCTION("GOOGLETRANSLATE(B24,""en"",""de"")"),"Jetzt Prüfen")</f>
        <v>Jetzt Prüfen</v>
      </c>
      <c r="J24" s="6" t="str">
        <f>IFERROR(__xludf.DUMMYFUNCTION("GOOGLETRANSLATE(B24,""en"",""ko"")"),"지금 인증하십시오")</f>
        <v>지금 인증하십시오</v>
      </c>
      <c r="K24" s="6" t="str">
        <f>IFERROR(__xludf.DUMMYFUNCTION("GOOGLETRANSLATE(B24,""en"",""zh"")"),"立即验证")</f>
        <v>立即验证</v>
      </c>
      <c r="L24" s="6" t="str">
        <f>IFERROR(__xludf.DUMMYFUNCTION("GOOGLETRANSLATE(B24,""en"",""es"")"),"verifica ahora")</f>
        <v>verifica ahora</v>
      </c>
      <c r="M24" s="7" t="str">
        <f>IFERROR(__xludf.DUMMYFUNCTION("GOOGLETRANSLATE(B24,""en"",""iw"")"),"אמת עכשיו")</f>
        <v>אמת עכשיו</v>
      </c>
      <c r="N24" s="6" t="str">
        <f>IFERROR(__xludf.DUMMYFUNCTION("GOOGLETRANSLATE(B24,""en"",""bn"")"),"এখন সনাক্ত করুন")</f>
        <v>এখন সনাক্ত করুন</v>
      </c>
      <c r="O24" s="6"/>
      <c r="P24" s="6"/>
    </row>
    <row r="25">
      <c r="A25" s="8" t="s">
        <v>60</v>
      </c>
      <c r="B25" s="9" t="s">
        <v>61</v>
      </c>
      <c r="C25" s="5" t="str">
        <f>IFERROR(__xludf.DUMMYFUNCTION("GOOGLETRANSLATE(B25,""en"",""hi"")"),"उठाने की जगह")</f>
        <v>उठाने की जगह</v>
      </c>
      <c r="D25" s="6" t="str">
        <f>IFERROR(__xludf.DUMMYFUNCTION("GOOGLETRANSLATE(B25,""en"",""ar"")"),"اختر موقعا")</f>
        <v>اختر موقعا</v>
      </c>
      <c r="E25" s="6" t="str">
        <f>IFERROR(__xludf.DUMMYFUNCTION("GOOGLETRANSLATE(B25,""en"",""fr"")"),"Lieu de ramassage")</f>
        <v>Lieu de ramassage</v>
      </c>
      <c r="F25" s="6" t="str">
        <f>IFERROR(__xludf.DUMMYFUNCTION("GOOGLETRANSLATE(B25,""en"",""tr"")"),"Konumu Al")</f>
        <v>Konumu Al</v>
      </c>
      <c r="G25" s="6" t="str">
        <f>IFERROR(__xludf.DUMMYFUNCTION("GOOGLETRANSLATE(B25,""en"",""ru"")"),"Выбрать место")</f>
        <v>Выбрать место</v>
      </c>
      <c r="H25" s="6" t="str">
        <f>IFERROR(__xludf.DUMMYFUNCTION("GOOGLETRANSLATE(B25,""en"",""it"")"),"Posto di raccolta")</f>
        <v>Posto di raccolta</v>
      </c>
      <c r="I25" s="6" t="str">
        <f>IFERROR(__xludf.DUMMYFUNCTION("GOOGLETRANSLATE(B25,""en"",""de"")"),"Treffpunkt")</f>
        <v>Treffpunkt</v>
      </c>
      <c r="J25" s="6" t="str">
        <f>IFERROR(__xludf.DUMMYFUNCTION("GOOGLETRANSLATE(B25,""en"",""ko"")"),"짐을 싣는 곳")</f>
        <v>짐을 싣는 곳</v>
      </c>
      <c r="K25" s="6" t="str">
        <f>IFERROR(__xludf.DUMMYFUNCTION("GOOGLETRANSLATE(B25,""en"",""zh"")"),"接人的地方")</f>
        <v>接人的地方</v>
      </c>
      <c r="L25" s="6" t="str">
        <f>IFERROR(__xludf.DUMMYFUNCTION("GOOGLETRANSLATE(B25,""en"",""es"")"),"Lugar de recogida")</f>
        <v>Lugar de recogida</v>
      </c>
      <c r="M25" s="7" t="str">
        <f>IFERROR(__xludf.DUMMYFUNCTION("GOOGLETRANSLATE(B25,""en"",""iw"")"),"בחר מיקום")</f>
        <v>בחר מיקום</v>
      </c>
      <c r="N25" s="6" t="str">
        <f>IFERROR(__xludf.DUMMYFUNCTION("GOOGLETRANSLATE(B25,""en"",""bn"")"),"অবস্থান নিতে")</f>
        <v>অবস্থান নিতে</v>
      </c>
      <c r="O25" s="6"/>
      <c r="P25" s="6"/>
    </row>
    <row r="26">
      <c r="A26" s="8" t="s">
        <v>62</v>
      </c>
      <c r="B26" s="9" t="s">
        <v>63</v>
      </c>
      <c r="C26" s="5" t="str">
        <f>IFERROR(__xludf.DUMMYFUNCTION("GOOGLETRANSLATE(B26,""en"",""hi"")"),"ड्रॉप स्थान")</f>
        <v>ड्रॉप स्थान</v>
      </c>
      <c r="D26" s="6" t="str">
        <f>IFERROR(__xludf.DUMMYFUNCTION("GOOGLETRANSLATE(B26,""en"",""ar"")"),"موقع إسقاط")</f>
        <v>موقع إسقاط</v>
      </c>
      <c r="E26" s="6" t="str">
        <f>IFERROR(__xludf.DUMMYFUNCTION("GOOGLETRANSLATE(B26,""en"",""fr"")"),"Emplacement de chute")</f>
        <v>Emplacement de chute</v>
      </c>
      <c r="F26" s="6" t="str">
        <f>IFERROR(__xludf.DUMMYFUNCTION("GOOGLETRANSLATE(B26,""en"",""tr"")"),"Bırakma Konumu")</f>
        <v>Bırakma Konumu</v>
      </c>
      <c r="G26" s="6" t="str">
        <f>IFERROR(__xludf.DUMMYFUNCTION("GOOGLETRANSLATE(B26,""en"",""ru"")"),"Местоположение")</f>
        <v>Местоположение</v>
      </c>
      <c r="H26" s="6" t="str">
        <f>IFERROR(__xludf.DUMMYFUNCTION("GOOGLETRANSLATE(B26,""en"",""it"")"),"Posizione di caduta")</f>
        <v>Posizione di caduta</v>
      </c>
      <c r="I26" s="6" t="str">
        <f>IFERROR(__xludf.DUMMYFUNCTION("GOOGLETRANSLATE(B26,""en"",""de"")"),"Abfallenort")</f>
        <v>Abfallenort</v>
      </c>
      <c r="J26" s="6" t="str">
        <f>IFERROR(__xludf.DUMMYFUNCTION("GOOGLETRANSLATE(B26,""en"",""ko"")"),"드롭 위치")</f>
        <v>드롭 위치</v>
      </c>
      <c r="K26" s="6" t="str">
        <f>IFERROR(__xludf.DUMMYFUNCTION("GOOGLETRANSLATE(B26,""en"",""zh"")"),"掉落位置")</f>
        <v>掉落位置</v>
      </c>
      <c r="L26" s="6" t="str">
        <f>IFERROR(__xludf.DUMMYFUNCTION("GOOGLETRANSLATE(B26,""en"",""es"")"),"Ubicación de caída")</f>
        <v>Ubicación de caída</v>
      </c>
      <c r="M26" s="7" t="str">
        <f>IFERROR(__xludf.DUMMYFUNCTION("GOOGLETRANSLATE(B26,""en"",""iw"")"),"מיקום טיפה")</f>
        <v>מיקום טיפה</v>
      </c>
      <c r="N26" s="6" t="str">
        <f>IFERROR(__xludf.DUMMYFUNCTION("GOOGLETRANSLATE(B26,""en"",""bn"")"),"ড্রপ অবস্থান")</f>
        <v>ড্রপ অবস্থান</v>
      </c>
      <c r="O26" s="6"/>
      <c r="P26" s="6"/>
    </row>
    <row r="27">
      <c r="A27" s="8" t="s">
        <v>64</v>
      </c>
      <c r="B27" s="9" t="s">
        <v>65</v>
      </c>
      <c r="C27" s="5" t="str">
        <f>IFERROR(__xludf.DUMMYFUNCTION("GOOGLETRANSLATE(B27,""en"",""hi"")"),"रोज")</f>
        <v>रोज</v>
      </c>
      <c r="D27" s="6" t="str">
        <f>IFERROR(__xludf.DUMMYFUNCTION("GOOGLETRANSLATE(B27,""en"",""ar"")"),"اليومي")</f>
        <v>اليومي</v>
      </c>
      <c r="E27" s="6" t="str">
        <f>IFERROR(__xludf.DUMMYFUNCTION("GOOGLETRANSLATE(B27,""en"",""fr"")"),"du quotidien")</f>
        <v>du quotidien</v>
      </c>
      <c r="F27" s="6" t="str">
        <f>IFERROR(__xludf.DUMMYFUNCTION("GOOGLETRANSLATE(B27,""en"",""tr"")"),"Günlük")</f>
        <v>Günlük</v>
      </c>
      <c r="G27" s="6" t="str">
        <f>IFERROR(__xludf.DUMMYFUNCTION("GOOGLETRANSLATE(B27,""en"",""ru"")"),"Повседневная")</f>
        <v>Повседневная</v>
      </c>
      <c r="H27" s="6" t="str">
        <f>IFERROR(__xludf.DUMMYFUNCTION("GOOGLETRANSLATE(B27,""en"",""it"")"),"Quotidiano")</f>
        <v>Quotidiano</v>
      </c>
      <c r="I27" s="6" t="str">
        <f>IFERROR(__xludf.DUMMYFUNCTION("GOOGLETRANSLATE(B27,""en"",""de"")"),"Täglich")</f>
        <v>Täglich</v>
      </c>
      <c r="J27" s="6" t="str">
        <f>IFERROR(__xludf.DUMMYFUNCTION("GOOGLETRANSLATE(B27,""en"",""ko"")"),"일일")</f>
        <v>일일</v>
      </c>
      <c r="K27" s="6" t="str">
        <f>IFERROR(__xludf.DUMMYFUNCTION("GOOGLETRANSLATE(B27,""en"",""zh"")"),"日常的")</f>
        <v>日常的</v>
      </c>
      <c r="L27" s="6" t="str">
        <f>IFERROR(__xludf.DUMMYFUNCTION("GOOGLETRANSLATE(B27,""en"",""es"")"),"Diariamente")</f>
        <v>Diariamente</v>
      </c>
      <c r="M27" s="7" t="str">
        <f>IFERROR(__xludf.DUMMYFUNCTION("GOOGLETRANSLATE(B27,""en"",""iw"")"),"יום יומי")</f>
        <v>יום יומי</v>
      </c>
      <c r="N27" s="6" t="str">
        <f>IFERROR(__xludf.DUMMYFUNCTION("GOOGLETRANSLATE(B27,""en"",""bn"")"),"প্রতিদিন")</f>
        <v>প্রতিদিন</v>
      </c>
      <c r="O27" s="6"/>
      <c r="P27" s="6"/>
    </row>
    <row r="28">
      <c r="A28" s="8" t="s">
        <v>66</v>
      </c>
      <c r="B28" s="9" t="s">
        <v>67</v>
      </c>
      <c r="C28" s="5" t="str">
        <f>IFERROR(__xludf.DUMMYFUNCTION("GOOGLETRANSLATE(B28,""en"",""hi"")"),"किराये पर लेना")</f>
        <v>किराये पर लेना</v>
      </c>
      <c r="D28" s="6" t="str">
        <f>IFERROR(__xludf.DUMMYFUNCTION("GOOGLETRANSLATE(B28,""en"",""ar"")"),"تأجير")</f>
        <v>تأجير</v>
      </c>
      <c r="E28" s="6" t="str">
        <f>IFERROR(__xludf.DUMMYFUNCTION("GOOGLETRANSLATE(B28,""en"",""fr"")"),"De location")</f>
        <v>De location</v>
      </c>
      <c r="F28" s="6" t="str">
        <f>IFERROR(__xludf.DUMMYFUNCTION("GOOGLETRANSLATE(B28,""en"",""tr"")"),"Kira")</f>
        <v>Kira</v>
      </c>
      <c r="G28" s="6" t="str">
        <f>IFERROR(__xludf.DUMMYFUNCTION("GOOGLETRANSLATE(B28,""en"",""ru"")"),"Аренда")</f>
        <v>Аренда</v>
      </c>
      <c r="H28" s="6" t="str">
        <f>IFERROR(__xludf.DUMMYFUNCTION("GOOGLETRANSLATE(B28,""en"",""it"")"),"Noleggio")</f>
        <v>Noleggio</v>
      </c>
      <c r="I28" s="6" t="str">
        <f>IFERROR(__xludf.DUMMYFUNCTION("GOOGLETRANSLATE(B28,""en"",""de"")"),"Miete")</f>
        <v>Miete</v>
      </c>
      <c r="J28" s="6" t="str">
        <f>IFERROR(__xludf.DUMMYFUNCTION("GOOGLETRANSLATE(B28,""en"",""ko"")"),"임대")</f>
        <v>임대</v>
      </c>
      <c r="K28" s="6" t="str">
        <f>IFERROR(__xludf.DUMMYFUNCTION("GOOGLETRANSLATE(B28,""en"",""zh"")"),"租金")</f>
        <v>租金</v>
      </c>
      <c r="L28" s="6" t="str">
        <f>IFERROR(__xludf.DUMMYFUNCTION("GOOGLETRANSLATE(B28,""en"",""es"")"),"Alquiler")</f>
        <v>Alquiler</v>
      </c>
      <c r="M28" s="7" t="str">
        <f>IFERROR(__xludf.DUMMYFUNCTION("GOOGLETRANSLATE(B28,""en"",""iw"")"),"השכרה")</f>
        <v>השכרה</v>
      </c>
      <c r="N28" s="6" t="str">
        <f>IFERROR(__xludf.DUMMYFUNCTION("GOOGLETRANSLATE(B28,""en"",""bn"")"),"ভাড়া")</f>
        <v>ভাড়া</v>
      </c>
      <c r="O28" s="6"/>
      <c r="P28" s="6"/>
    </row>
    <row r="29">
      <c r="A29" s="8" t="s">
        <v>68</v>
      </c>
      <c r="B29" s="9" t="s">
        <v>69</v>
      </c>
      <c r="C29" s="5" t="str">
        <f>IFERROR(__xludf.DUMMYFUNCTION("GOOGLETRANSLATE(B29,""en"",""hi"")"),"खोज")</f>
        <v>खोज</v>
      </c>
      <c r="D29" s="6" t="str">
        <f>IFERROR(__xludf.DUMMYFUNCTION("GOOGLETRANSLATE(B29,""en"",""ar"")"),"يبحث")</f>
        <v>يبحث</v>
      </c>
      <c r="E29" s="6" t="str">
        <f>IFERROR(__xludf.DUMMYFUNCTION("GOOGLETRANSLATE(B29,""en"",""fr"")"),"Chercher")</f>
        <v>Chercher</v>
      </c>
      <c r="F29" s="6" t="str">
        <f>IFERROR(__xludf.DUMMYFUNCTION("GOOGLETRANSLATE(B29,""en"",""tr"")"),"Arama")</f>
        <v>Arama</v>
      </c>
      <c r="G29" s="6" t="str">
        <f>IFERROR(__xludf.DUMMYFUNCTION("GOOGLETRANSLATE(B29,""en"",""ru"")"),"Поиск")</f>
        <v>Поиск</v>
      </c>
      <c r="H29" s="6" t="str">
        <f>IFERROR(__xludf.DUMMYFUNCTION("GOOGLETRANSLATE(B29,""en"",""it"")"),"Ricerca")</f>
        <v>Ricerca</v>
      </c>
      <c r="I29" s="6" t="str">
        <f>IFERROR(__xludf.DUMMYFUNCTION("GOOGLETRANSLATE(B29,""en"",""de"")"),"Suche")</f>
        <v>Suche</v>
      </c>
      <c r="J29" s="6" t="str">
        <f>IFERROR(__xludf.DUMMYFUNCTION("GOOGLETRANSLATE(B29,""en"",""ko"")"),"검색")</f>
        <v>검색</v>
      </c>
      <c r="K29" s="6" t="str">
        <f>IFERROR(__xludf.DUMMYFUNCTION("GOOGLETRANSLATE(B29,""en"",""zh"")"),"搜索")</f>
        <v>搜索</v>
      </c>
      <c r="L29" s="6" t="str">
        <f>IFERROR(__xludf.DUMMYFUNCTION("GOOGLETRANSLATE(B29,""en"",""es"")"),"Búsqueda")</f>
        <v>Búsqueda</v>
      </c>
      <c r="M29" s="7" t="str">
        <f>IFERROR(__xludf.DUMMYFUNCTION("GOOGLETRANSLATE(B29,""en"",""iw"")"),"לחפש")</f>
        <v>לחפש</v>
      </c>
      <c r="N29" s="6" t="str">
        <f>IFERROR(__xludf.DUMMYFUNCTION("GOOGLETRANSLATE(B29,""en"",""bn"")"),"অনুসন্ধান")</f>
        <v>অনুসন্ধান</v>
      </c>
      <c r="O29" s="6"/>
      <c r="P29" s="6"/>
    </row>
    <row r="30">
      <c r="A30" s="8" t="s">
        <v>70</v>
      </c>
      <c r="B30" s="9" t="s">
        <v>71</v>
      </c>
      <c r="C30" s="5" t="str">
        <f>IFERROR(__xludf.DUMMYFUNCTION("GOOGLETRANSLATE(B30,""en"",""hi"")"),"उठाना")</f>
        <v>उठाना</v>
      </c>
      <c r="D30" s="6" t="str">
        <f>IFERROR(__xludf.DUMMYFUNCTION("GOOGLETRANSLATE(B30,""en"",""ar"")"),"يلتقط")</f>
        <v>يلتقط</v>
      </c>
      <c r="E30" s="6" t="str">
        <f>IFERROR(__xludf.DUMMYFUNCTION("GOOGLETRANSLATE(B30,""en"",""fr"")"),"Ramasser")</f>
        <v>Ramasser</v>
      </c>
      <c r="F30" s="6" t="str">
        <f>IFERROR(__xludf.DUMMYFUNCTION("GOOGLETRANSLATE(B30,""en"",""tr"")"),"Almak")</f>
        <v>Almak</v>
      </c>
      <c r="G30" s="6" t="str">
        <f>IFERROR(__xludf.DUMMYFUNCTION("GOOGLETRANSLATE(B30,""en"",""ru"")"),"Подбирать")</f>
        <v>Подбирать</v>
      </c>
      <c r="H30" s="6" t="str">
        <f>IFERROR(__xludf.DUMMYFUNCTION("GOOGLETRANSLATE(B30,""en"",""it"")"),"Raccogliere")</f>
        <v>Raccogliere</v>
      </c>
      <c r="I30" s="6" t="str">
        <f>IFERROR(__xludf.DUMMYFUNCTION("GOOGLETRANSLATE(B30,""en"",""de"")"),"Aufsammeln")</f>
        <v>Aufsammeln</v>
      </c>
      <c r="J30" s="6" t="str">
        <f>IFERROR(__xludf.DUMMYFUNCTION("GOOGLETRANSLATE(B30,""en"",""ko"")"),"찾다")</f>
        <v>찾다</v>
      </c>
      <c r="K30" s="6" t="str">
        <f>IFERROR(__xludf.DUMMYFUNCTION("GOOGLETRANSLATE(B30,""en"",""zh"")"),"捡起")</f>
        <v>捡起</v>
      </c>
      <c r="L30" s="6" t="str">
        <f>IFERROR(__xludf.DUMMYFUNCTION("GOOGLETRANSLATE(B30,""en"",""es"")"),"Levantar")</f>
        <v>Levantar</v>
      </c>
      <c r="M30" s="7" t="str">
        <f>IFERROR(__xludf.DUMMYFUNCTION("GOOGLETRANSLATE(B30,""en"",""iw"")"),"לאסוף")</f>
        <v>לאסוף</v>
      </c>
      <c r="N30" s="6" t="str">
        <f>IFERROR(__xludf.DUMMYFUNCTION("GOOGLETRANSLATE(B30,""en"",""bn"")"),"পিক-আপ")</f>
        <v>পিক-আপ</v>
      </c>
      <c r="O30" s="6"/>
      <c r="P30" s="6"/>
    </row>
    <row r="31">
      <c r="A31" s="8" t="s">
        <v>72</v>
      </c>
      <c r="B31" s="9" t="s">
        <v>73</v>
      </c>
      <c r="C31" s="5" t="str">
        <f>IFERROR(__xludf.DUMMYFUNCTION("GOOGLETRANSLATE(B31,""en"",""hi"")"),"पुष्टि करें")</f>
        <v>पुष्टि करें</v>
      </c>
      <c r="D31" s="6" t="str">
        <f>IFERROR(__xludf.DUMMYFUNCTION("GOOGLETRANSLATE(B31,""en"",""ar"")"),"يتأكد")</f>
        <v>يتأكد</v>
      </c>
      <c r="E31" s="6" t="str">
        <f>IFERROR(__xludf.DUMMYFUNCTION("GOOGLETRANSLATE(B31,""en"",""fr"")"),"Confirmer")</f>
        <v>Confirmer</v>
      </c>
      <c r="F31" s="6" t="str">
        <f>IFERROR(__xludf.DUMMYFUNCTION("GOOGLETRANSLATE(B31,""en"",""tr"")"),"Onaylamak")</f>
        <v>Onaylamak</v>
      </c>
      <c r="G31" s="6" t="str">
        <f>IFERROR(__xludf.DUMMYFUNCTION("GOOGLETRANSLATE(B31,""en"",""ru"")"),"Подтверждать")</f>
        <v>Подтверждать</v>
      </c>
      <c r="H31" s="6" t="str">
        <f>IFERROR(__xludf.DUMMYFUNCTION("GOOGLETRANSLATE(B31,""en"",""it"")"),"Confermare")</f>
        <v>Confermare</v>
      </c>
      <c r="I31" s="6" t="str">
        <f>IFERROR(__xludf.DUMMYFUNCTION("GOOGLETRANSLATE(B31,""en"",""de"")"),"Bestätigen")</f>
        <v>Bestätigen</v>
      </c>
      <c r="J31" s="6" t="str">
        <f>IFERROR(__xludf.DUMMYFUNCTION("GOOGLETRANSLATE(B31,""en"",""ko"")"),"확인하다")</f>
        <v>확인하다</v>
      </c>
      <c r="K31" s="6" t="str">
        <f>IFERROR(__xludf.DUMMYFUNCTION("GOOGLETRANSLATE(B31,""en"",""zh"")"),"确认")</f>
        <v>确认</v>
      </c>
      <c r="L31" s="6" t="str">
        <f>IFERROR(__xludf.DUMMYFUNCTION("GOOGLETRANSLATE(B31,""en"",""es"")"),"Confirmar")</f>
        <v>Confirmar</v>
      </c>
      <c r="M31" s="7" t="str">
        <f>IFERROR(__xludf.DUMMYFUNCTION("GOOGLETRANSLATE(B31,""en"",""iw"")"),"לְאַשֵׁר")</f>
        <v>לְאַשֵׁר</v>
      </c>
      <c r="N31" s="6" t="str">
        <f>IFERROR(__xludf.DUMMYFUNCTION("GOOGLETRANSLATE(B31,""en"",""bn"")"),"নিশ্চিত করুন")</f>
        <v>নিশ্চিত করুন</v>
      </c>
      <c r="O31" s="6"/>
      <c r="P31" s="6"/>
    </row>
    <row r="32">
      <c r="A32" s="8" t="s">
        <v>62</v>
      </c>
      <c r="B32" s="9" t="s">
        <v>74</v>
      </c>
      <c r="C32" s="5" t="str">
        <f>IFERROR(__xludf.DUMMYFUNCTION("GOOGLETRANSLATE(B32,""en"",""hi"")"),"बूंद")</f>
        <v>बूंद</v>
      </c>
      <c r="D32" s="6" t="str">
        <f>IFERROR(__xludf.DUMMYFUNCTION("GOOGLETRANSLATE(B32,""en"",""ar"")"),"يسقط")</f>
        <v>يسقط</v>
      </c>
      <c r="E32" s="6" t="str">
        <f>IFERROR(__xludf.DUMMYFUNCTION("GOOGLETRANSLATE(B32,""en"",""fr"")"),"Goutte")</f>
        <v>Goutte</v>
      </c>
      <c r="F32" s="6" t="str">
        <f>IFERROR(__xludf.DUMMYFUNCTION("GOOGLETRANSLATE(B32,""en"",""tr"")"),"Düşürmek")</f>
        <v>Düşürmek</v>
      </c>
      <c r="G32" s="6" t="str">
        <f>IFERROR(__xludf.DUMMYFUNCTION("GOOGLETRANSLATE(B32,""en"",""ru"")"),"Уронить")</f>
        <v>Уронить</v>
      </c>
      <c r="H32" s="6" t="str">
        <f>IFERROR(__xludf.DUMMYFUNCTION("GOOGLETRANSLATE(B32,""en"",""it"")"),"Far cadere")</f>
        <v>Far cadere</v>
      </c>
      <c r="I32" s="6" t="str">
        <f>IFERROR(__xludf.DUMMYFUNCTION("GOOGLETRANSLATE(B32,""en"",""de"")"),"Fallen")</f>
        <v>Fallen</v>
      </c>
      <c r="J32" s="6" t="str">
        <f>IFERROR(__xludf.DUMMYFUNCTION("GOOGLETRANSLATE(B32,""en"",""ko"")"),"하락")</f>
        <v>하락</v>
      </c>
      <c r="K32" s="6" t="str">
        <f>IFERROR(__xludf.DUMMYFUNCTION("GOOGLETRANSLATE(B32,""en"",""zh"")"),"降低")</f>
        <v>降低</v>
      </c>
      <c r="L32" s="6" t="str">
        <f>IFERROR(__xludf.DUMMYFUNCTION("GOOGLETRANSLATE(B32,""en"",""es"")"),"Soltar")</f>
        <v>Soltar</v>
      </c>
      <c r="M32" s="7" t="str">
        <f>IFERROR(__xludf.DUMMYFUNCTION("GOOGLETRANSLATE(B32,""en"",""iw"")"),"יְרִידָה")</f>
        <v>יְרִידָה</v>
      </c>
      <c r="N32" s="6" t="str">
        <f>IFERROR(__xludf.DUMMYFUNCTION("GOOGLETRANSLATE(B32,""en"",""bn"")"),"ড্রপ")</f>
        <v>ড্রপ</v>
      </c>
      <c r="O32" s="6"/>
      <c r="P32" s="6"/>
    </row>
    <row r="33">
      <c r="A33" s="8" t="s">
        <v>75</v>
      </c>
      <c r="B33" s="9" t="s">
        <v>76</v>
      </c>
      <c r="C33" s="5" t="str">
        <f>IFERROR(__xludf.DUMMYFUNCTION("GOOGLETRANSLATE(B33,""en"",""hi"")"),"पसंदीदा")</f>
        <v>पसंदीदा</v>
      </c>
      <c r="D33" s="6" t="str">
        <f>IFERROR(__xludf.DUMMYFUNCTION("GOOGLETRANSLATE(B33,""en"",""ar"")"),"المفضلة")</f>
        <v>المفضلة</v>
      </c>
      <c r="E33" s="6" t="str">
        <f>IFERROR(__xludf.DUMMYFUNCTION("GOOGLETRANSLATE(B33,""en"",""fr"")"),"Favoris")</f>
        <v>Favoris</v>
      </c>
      <c r="F33" s="6" t="str">
        <f>IFERROR(__xludf.DUMMYFUNCTION("GOOGLETRANSLATE(B33,""en"",""tr"")"),"Favoriler")</f>
        <v>Favoriler</v>
      </c>
      <c r="G33" s="6" t="str">
        <f>IFERROR(__xludf.DUMMYFUNCTION("GOOGLETRANSLATE(B33,""en"",""ru"")"),"Фавориты")</f>
        <v>Фавориты</v>
      </c>
      <c r="H33" s="6" t="str">
        <f>IFERROR(__xludf.DUMMYFUNCTION("GOOGLETRANSLATE(B33,""en"",""it"")"),"Preferiti")</f>
        <v>Preferiti</v>
      </c>
      <c r="I33" s="6" t="str">
        <f>IFERROR(__xludf.DUMMYFUNCTION("GOOGLETRANSLATE(B33,""en"",""de"")"),"Favoriten")</f>
        <v>Favoriten</v>
      </c>
      <c r="J33" s="6" t="str">
        <f>IFERROR(__xludf.DUMMYFUNCTION("GOOGLETRANSLATE(B33,""en"",""ko"")"),"즐겨 찾기")</f>
        <v>즐겨 찾기</v>
      </c>
      <c r="K33" s="6" t="str">
        <f>IFERROR(__xludf.DUMMYFUNCTION("GOOGLETRANSLATE(B33,""en"",""zh"")"),"最爱")</f>
        <v>最爱</v>
      </c>
      <c r="L33" s="6" t="str">
        <f>IFERROR(__xludf.DUMMYFUNCTION("GOOGLETRANSLATE(B33,""en"",""es"")"),"Favoritos")</f>
        <v>Favoritos</v>
      </c>
      <c r="M33" s="7" t="str">
        <f>IFERROR(__xludf.DUMMYFUNCTION("GOOGLETRANSLATE(B33,""en"",""iw"")"),"מועדפים")</f>
        <v>מועדפים</v>
      </c>
      <c r="N33" s="6" t="str">
        <f>IFERROR(__xludf.DUMMYFUNCTION("GOOGLETRANSLATE(B33,""en"",""bn"")"),"প্রিয়")</f>
        <v>প্রিয়</v>
      </c>
      <c r="O33" s="6"/>
      <c r="P33" s="6"/>
    </row>
    <row r="34">
      <c r="A34" s="8" t="s">
        <v>77</v>
      </c>
      <c r="B34" s="9" t="s">
        <v>78</v>
      </c>
      <c r="C34" s="5" t="str">
        <f>IFERROR(__xludf.DUMMYFUNCTION("GOOGLETRANSLATE(B34,""en"",""hi"")"),"साफ़")</f>
        <v>साफ़</v>
      </c>
      <c r="D34" s="6" t="str">
        <f>IFERROR(__xludf.DUMMYFUNCTION("GOOGLETRANSLATE(B34,""en"",""ar"")"),"صافي")</f>
        <v>صافي</v>
      </c>
      <c r="E34" s="6" t="str">
        <f>IFERROR(__xludf.DUMMYFUNCTION("GOOGLETRANSLATE(B34,""en"",""fr"")"),"Dégager")</f>
        <v>Dégager</v>
      </c>
      <c r="F34" s="6" t="str">
        <f>IFERROR(__xludf.DUMMYFUNCTION("GOOGLETRANSLATE(B34,""en"",""tr"")"),"Temizlemek")</f>
        <v>Temizlemek</v>
      </c>
      <c r="G34" s="6" t="str">
        <f>IFERROR(__xludf.DUMMYFUNCTION("GOOGLETRANSLATE(B34,""en"",""ru"")"),"чистый")</f>
        <v>чистый</v>
      </c>
      <c r="H34" s="6" t="str">
        <f>IFERROR(__xludf.DUMMYFUNCTION("GOOGLETRANSLATE(B34,""en"",""it"")"),"Chiaro")</f>
        <v>Chiaro</v>
      </c>
      <c r="I34" s="6" t="str">
        <f>IFERROR(__xludf.DUMMYFUNCTION("GOOGLETRANSLATE(B34,""en"",""de"")"),"Klar")</f>
        <v>Klar</v>
      </c>
      <c r="J34" s="6" t="str">
        <f>IFERROR(__xludf.DUMMYFUNCTION("GOOGLETRANSLATE(B34,""en"",""ko"")"),"분명한")</f>
        <v>분명한</v>
      </c>
      <c r="K34" s="6" t="str">
        <f>IFERROR(__xludf.DUMMYFUNCTION("GOOGLETRANSLATE(B34,""en"",""zh"")"),"清除")</f>
        <v>清除</v>
      </c>
      <c r="L34" s="6" t="str">
        <f>IFERROR(__xludf.DUMMYFUNCTION("GOOGLETRANSLATE(B34,""en"",""es"")"),"Claro")</f>
        <v>Claro</v>
      </c>
      <c r="M34" s="7" t="str">
        <f>IFERROR(__xludf.DUMMYFUNCTION("GOOGLETRANSLATE(B34,""en"",""iw"")"),"ברור")</f>
        <v>ברור</v>
      </c>
      <c r="N34" s="6" t="str">
        <f>IFERROR(__xludf.DUMMYFUNCTION("GOOGLETRANSLATE(B34,""en"",""bn"")"),"স্পষ্ট")</f>
        <v>স্পষ্ট</v>
      </c>
      <c r="O34" s="6"/>
      <c r="P34" s="6"/>
    </row>
    <row r="35">
      <c r="A35" s="8" t="s">
        <v>79</v>
      </c>
      <c r="B35" s="9" t="s">
        <v>80</v>
      </c>
      <c r="C35" s="5" t="str">
        <f>IFERROR(__xludf.DUMMYFUNCTION("GOOGLETRANSLATE(B35,""en"",""hi"")"),"वाहन क्या है?")</f>
        <v>वाहन क्या है?</v>
      </c>
      <c r="D35" s="6" t="str">
        <f>IFERROR(__xludf.DUMMYFUNCTION("GOOGLETRANSLATE(B35,""en"",""ar"")"),"ما هي السيارة؟")</f>
        <v>ما هي السيارة؟</v>
      </c>
      <c r="E35" s="6" t="str">
        <f>IFERROR(__xludf.DUMMYFUNCTION("GOOGLETRANSLATE(B35,""en"",""fr"")"),"Quelle marque de véhicule est-ce?")</f>
        <v>Quelle marque de véhicule est-ce?</v>
      </c>
      <c r="F35" s="6" t="str">
        <f>IFERROR(__xludf.DUMMYFUNCTION("GOOGLETRANSLATE(B35,""en"",""tr"")"),"Araç ne?")</f>
        <v>Araç ne?</v>
      </c>
      <c r="G35" s="6" t="str">
        <f>IFERROR(__xludf.DUMMYFUNCTION("GOOGLETRANSLATE(B35,""en"",""ru"")"),"Что это за автомобиль?")</f>
        <v>Что это за автомобиль?</v>
      </c>
      <c r="H35" s="6" t="str">
        <f>IFERROR(__xludf.DUMMYFUNCTION("GOOGLETRANSLATE(B35,""en"",""it"")"),"Che preparazione del veicolo è?")</f>
        <v>Che preparazione del veicolo è?</v>
      </c>
      <c r="I35" s="6" t="str">
        <f>IFERROR(__xludf.DUMMYFUNCTION("GOOGLETRANSLATE(B35,""en"",""de"")"),"Was ist das aus Fahrzeug?")</f>
        <v>Was ist das aus Fahrzeug?</v>
      </c>
      <c r="J35" s="6" t="str">
        <f>IFERROR(__xludf.DUMMYFUNCTION("GOOGLETRANSLATE(B35,""en"",""ko"")"),"차량은 무엇입니까?")</f>
        <v>차량은 무엇입니까?</v>
      </c>
      <c r="K35" s="6" t="str">
        <f>IFERROR(__xludf.DUMMYFUNCTION("GOOGLETRANSLATE(B35,""en"",""zh"")"),"这是什么车辆？")</f>
        <v>这是什么车辆？</v>
      </c>
      <c r="L35" s="6" t="str">
        <f>IFERROR(__xludf.DUMMYFUNCTION("GOOGLETRANSLATE(B35,""en"",""es"")"),"¿Qué marca del vehículo es?")</f>
        <v>¿Qué marca del vehículo es?</v>
      </c>
      <c r="M35" s="7" t="str">
        <f>IFERROR(__xludf.DUMMYFUNCTION("GOOGLETRANSLATE(B35,""en"",""iw"")"),"מה זה של רכב זה?")</f>
        <v>מה זה של רכב זה?</v>
      </c>
      <c r="N35" s="6" t="str">
        <f>IFERROR(__xludf.DUMMYFUNCTION("GOOGLETRANSLATE(B35,""en"",""bn"")"),"এটা কি গাড়ি তৈরি করে?")</f>
        <v>এটা কি গাড়ি তৈরি করে?</v>
      </c>
      <c r="O35" s="6"/>
      <c r="P35" s="6"/>
    </row>
    <row r="36">
      <c r="A36" s="8" t="s">
        <v>81</v>
      </c>
      <c r="B36" s="9" t="s">
        <v>82</v>
      </c>
      <c r="C36" s="5" t="str">
        <f>IFERROR(__xludf.DUMMYFUNCTION("GOOGLETRANSLATE(B36,""en"",""hi"")"),"जारी रखना")</f>
        <v>जारी रखना</v>
      </c>
      <c r="D36" s="6" t="str">
        <f>IFERROR(__xludf.DUMMYFUNCTION("GOOGLETRANSLATE(B36,""en"",""ar"")"),"يكمل")</f>
        <v>يكمل</v>
      </c>
      <c r="E36" s="6" t="str">
        <f>IFERROR(__xludf.DUMMYFUNCTION("GOOGLETRANSLATE(B36,""en"",""fr"")"),"Continuer")</f>
        <v>Continuer</v>
      </c>
      <c r="F36" s="6" t="str">
        <f>IFERROR(__xludf.DUMMYFUNCTION("GOOGLETRANSLATE(B36,""en"",""tr"")"),"Devam et")</f>
        <v>Devam et</v>
      </c>
      <c r="G36" s="6" t="str">
        <f>IFERROR(__xludf.DUMMYFUNCTION("GOOGLETRANSLATE(B36,""en"",""ru"")"),"Продолжать")</f>
        <v>Продолжать</v>
      </c>
      <c r="H36" s="6" t="str">
        <f>IFERROR(__xludf.DUMMYFUNCTION("GOOGLETRANSLATE(B36,""en"",""it"")"),"Continua")</f>
        <v>Continua</v>
      </c>
      <c r="I36" s="6" t="str">
        <f>IFERROR(__xludf.DUMMYFUNCTION("GOOGLETRANSLATE(B36,""en"",""de"")"),"Fortsetzen")</f>
        <v>Fortsetzen</v>
      </c>
      <c r="J36" s="6" t="str">
        <f>IFERROR(__xludf.DUMMYFUNCTION("GOOGLETRANSLATE(B36,""en"",""ko"")"),"계속하다")</f>
        <v>계속하다</v>
      </c>
      <c r="K36" s="6" t="str">
        <f>IFERROR(__xludf.DUMMYFUNCTION("GOOGLETRANSLATE(B36,""en"",""zh"")"),"继续")</f>
        <v>继续</v>
      </c>
      <c r="L36" s="6" t="str">
        <f>IFERROR(__xludf.DUMMYFUNCTION("GOOGLETRANSLATE(B36,""en"",""es"")"),"Continuar")</f>
        <v>Continuar</v>
      </c>
      <c r="M36" s="7" t="str">
        <f>IFERROR(__xludf.DUMMYFUNCTION("GOOGLETRANSLATE(B36,""en"",""iw"")"),"לְהַמשִׁיך")</f>
        <v>לְהַמשִׁיך</v>
      </c>
      <c r="N36" s="6" t="str">
        <f>IFERROR(__xludf.DUMMYFUNCTION("GOOGLETRANSLATE(B36,""en"",""bn"")"),"চালিয়ে যান")</f>
        <v>চালিয়ে যান</v>
      </c>
      <c r="O36" s="10"/>
      <c r="P36" s="10"/>
    </row>
    <row r="37">
      <c r="A37" s="8" t="s">
        <v>83</v>
      </c>
      <c r="B37" s="9" t="s">
        <v>84</v>
      </c>
      <c r="C37" s="5" t="str">
        <f>IFERROR(__xludf.DUMMYFUNCTION("GOOGLETRANSLATE(B37,""en"",""hi"")"),"वाहन का कौन सा मॉडल है?")</f>
        <v>वाहन का कौन सा मॉडल है?</v>
      </c>
      <c r="D37" s="6" t="str">
        <f>IFERROR(__xludf.DUMMYFUNCTION("GOOGLETRANSLATE(B37,""en"",""ar"")"),"ما هو نموذج السيارة؟")</f>
        <v>ما هو نموذج السيارة؟</v>
      </c>
      <c r="E37" s="6" t="str">
        <f>IFERROR(__xludf.DUMMYFUNCTION("GOOGLETRANSLATE(B37,""en"",""fr"")"),"De quel modèle de véhicule s'agit-il?")</f>
        <v>De quel modèle de véhicule s'agit-il?</v>
      </c>
      <c r="F37" s="6" t="str">
        <f>IFERROR(__xludf.DUMMYFUNCTION("GOOGLETRANSLATE(B37,""en"",""tr"")"),"Hangi araç modeli?")</f>
        <v>Hangi araç modeli?</v>
      </c>
      <c r="G37" s="6" t="str">
        <f>IFERROR(__xludf.DUMMYFUNCTION("GOOGLETRANSLATE(B37,""en"",""ru"")"),"Какая это модель автомобиля?")</f>
        <v>Какая это модель автомобиля?</v>
      </c>
      <c r="H37" s="6" t="str">
        <f>IFERROR(__xludf.DUMMYFUNCTION("GOOGLETRANSLATE(B37,""en"",""it"")"),"Che modello di veicolo è?")</f>
        <v>Che modello di veicolo è?</v>
      </c>
      <c r="I37" s="6" t="str">
        <f>IFERROR(__xludf.DUMMYFUNCTION("GOOGLETRANSLATE(B37,""en"",""de"")"),"Welches Modell des Fahrzeugs ist das?")</f>
        <v>Welches Modell des Fahrzeugs ist das?</v>
      </c>
      <c r="J37" s="6" t="str">
        <f>IFERROR(__xludf.DUMMYFUNCTION("GOOGLETRANSLATE(B37,""en"",""ko"")"),"차량 모델은 무엇입니까?")</f>
        <v>차량 모델은 무엇입니까?</v>
      </c>
      <c r="K37" s="6" t="str">
        <f>IFERROR(__xludf.DUMMYFUNCTION("GOOGLETRANSLATE(B37,""en"",""zh"")"),"它是什么型号？")</f>
        <v>它是什么型号？</v>
      </c>
      <c r="L37" s="6" t="str">
        <f>IFERROR(__xludf.DUMMYFUNCTION("GOOGLETRANSLATE(B37,""en"",""es"")"),"¿Qué modelo de vehículo es?")</f>
        <v>¿Qué modelo de vehículo es?</v>
      </c>
      <c r="M37" s="7" t="str">
        <f>IFERROR(__xludf.DUMMYFUNCTION("GOOGLETRANSLATE(B37,""en"",""iw"")"),"איזה דגם של רכב זה?")</f>
        <v>איזה דגם של רכב זה?</v>
      </c>
      <c r="N37" s="6" t="str">
        <f>IFERROR(__xludf.DUMMYFUNCTION("GOOGLETRANSLATE(B37,""en"",""bn"")"),"এটি কোন যানবাহনের মডেল?")</f>
        <v>এটি কোন যানবাহনের মডেল?</v>
      </c>
      <c r="O37" s="6"/>
      <c r="P37" s="6"/>
    </row>
    <row r="38">
      <c r="A38" s="8" t="s">
        <v>85</v>
      </c>
      <c r="B38" s="9" t="s">
        <v>86</v>
      </c>
      <c r="C38" s="5" t="str">
        <f>IFERROR(__xludf.DUMMYFUNCTION("GOOGLETRANSLATE(B38,""en"",""hi"")"),"आप किस सेवा स्थान को पंजीकृत करना चाहते हैं?")</f>
        <v>आप किस सेवा स्थान को पंजीकृत करना चाहते हैं?</v>
      </c>
      <c r="D38" s="6" t="str">
        <f>IFERROR(__xludf.DUMMYFUNCTION("GOOGLETRANSLATE(B38,""en"",""ar"")"),"ما هو موقع الخدمة الذي تريد التسجيل؟")</f>
        <v>ما هو موقع الخدمة الذي تريد التسجيل؟</v>
      </c>
      <c r="E38" s="6" t="str">
        <f>IFERROR(__xludf.DUMMYFUNCTION("GOOGLETRANSLATE(B38,""en"",""fr"")"),"Quel emplacement de service souhaitez-vous vous inscrire?")</f>
        <v>Quel emplacement de service souhaitez-vous vous inscrire?</v>
      </c>
      <c r="F38" s="6" t="str">
        <f>IFERROR(__xludf.DUMMYFUNCTION("GOOGLETRANSLATE(B38,""en"",""tr"")"),"Hangi hizmet konumunu kaydetmek istiyorsunuz?")</f>
        <v>Hangi hizmet konumunu kaydetmek istiyorsunuz?</v>
      </c>
      <c r="G38" s="6" t="str">
        <f>IFERROR(__xludf.DUMMYFUNCTION("GOOGLETRANSLATE(B38,""en"",""ru"")"),"Какое место обслуживания вы хотите зарегистрировать?")</f>
        <v>Какое место обслуживания вы хотите зарегистрировать?</v>
      </c>
      <c r="H38" s="6" t="str">
        <f>IFERROR(__xludf.DUMMYFUNCTION("GOOGLETRANSLATE(B38,""en"",""it"")"),"Quale posizione di servizio vuoi registrare?")</f>
        <v>Quale posizione di servizio vuoi registrare?</v>
      </c>
      <c r="I38" s="6" t="str">
        <f>IFERROR(__xludf.DUMMYFUNCTION("GOOGLETRANSLATE(B38,""en"",""de"")"),"Welchen Service -Standort möchten Sie sich registrieren?")</f>
        <v>Welchen Service -Standort möchten Sie sich registrieren?</v>
      </c>
      <c r="J38" s="6" t="str">
        <f>IFERROR(__xludf.DUMMYFUNCTION("GOOGLETRANSLATE(B38,""en"",""ko"")"),"등록하려는 서비스 위치는 무엇입니까?")</f>
        <v>등록하려는 서비스 위치는 무엇입니까?</v>
      </c>
      <c r="K38" s="6" t="str">
        <f>IFERROR(__xludf.DUMMYFUNCTION("GOOGLETRANSLATE(B38,""en"",""zh"")"),"您要注册哪个服务位置？")</f>
        <v>您要注册哪个服务位置？</v>
      </c>
      <c r="L38" s="6" t="str">
        <f>IFERROR(__xludf.DUMMYFUNCTION("GOOGLETRANSLATE(B38,""en"",""es"")"),"¿Qué ubicación de servicio desea registrar?")</f>
        <v>¿Qué ubicación de servicio desea registrar?</v>
      </c>
      <c r="M38" s="7" t="str">
        <f>IFERROR(__xludf.DUMMYFUNCTION("GOOGLETRANSLATE(B38,""en"",""iw"")"),"איזה מיקום שירות אתה רוצה לרשום?")</f>
        <v>איזה מיקום שירות אתה רוצה לרשום?</v>
      </c>
      <c r="N38" s="6" t="str">
        <f>IFERROR(__xludf.DUMMYFUNCTION("GOOGLETRANSLATE(B38,""en"",""bn"")"),"আপনি কোন পরিষেবা অবস্থান নিবন্ধন করতে চান?")</f>
        <v>আপনি কোন পরিষেবা অবস্থান নিবন্ধন করতে চান?</v>
      </c>
      <c r="O38" s="6"/>
      <c r="P38" s="6"/>
    </row>
    <row r="39">
      <c r="A39" s="8" t="s">
        <v>87</v>
      </c>
      <c r="B39" s="9" t="s">
        <v>88</v>
      </c>
      <c r="C39" s="5" t="str">
        <f>IFERROR(__xludf.DUMMYFUNCTION("GOOGLETRANSLATE(B39,""en"",""hi"")"),"यह किस प्रकार का वाहन है?")</f>
        <v>यह किस प्रकार का वाहन है?</v>
      </c>
      <c r="D39" s="6" t="str">
        <f>IFERROR(__xludf.DUMMYFUNCTION("GOOGLETRANSLATE(B39,""en"",""ar"")"),"ما نوع السيارة؟")</f>
        <v>ما نوع السيارة؟</v>
      </c>
      <c r="E39" s="6" t="str">
        <f>IFERROR(__xludf.DUMMYFUNCTION("GOOGLETRANSLATE(B39,""en"",""fr"")"),"De quel type de véhicule s'agit-il?")</f>
        <v>De quel type de véhicule s'agit-il?</v>
      </c>
      <c r="F39" s="6" t="str">
        <f>IFERROR(__xludf.DUMMYFUNCTION("GOOGLETRANSLATE(B39,""en"",""tr"")"),"Ne tür bir araç?")</f>
        <v>Ne tür bir araç?</v>
      </c>
      <c r="G39" s="6" t="str">
        <f>IFERROR(__xludf.DUMMYFUNCTION("GOOGLETRANSLATE(B39,""en"",""ru"")"),"Что это за транспортное средство?")</f>
        <v>Что это за транспортное средство?</v>
      </c>
      <c r="H39" s="6" t="str">
        <f>IFERROR(__xludf.DUMMYFUNCTION("GOOGLETRANSLATE(B39,""en"",""it"")"),"Che tipo di veicolo è?")</f>
        <v>Che tipo di veicolo è?</v>
      </c>
      <c r="I39" s="6" t="str">
        <f>IFERROR(__xludf.DUMMYFUNCTION("GOOGLETRANSLATE(B39,""en"",""de"")"),"Welche Art von Fahrzeug ist das?")</f>
        <v>Welche Art von Fahrzeug ist das?</v>
      </c>
      <c r="J39" s="6" t="str">
        <f>IFERROR(__xludf.DUMMYFUNCTION("GOOGLETRANSLATE(B39,""en"",""ko"")"),"어떤 종류의 차량입니까?")</f>
        <v>어떤 종류의 차량입니까?</v>
      </c>
      <c r="K39" s="6" t="str">
        <f>IFERROR(__xludf.DUMMYFUNCTION("GOOGLETRANSLATE(B39,""en"",""zh"")"),"这是什么类型的车？")</f>
        <v>这是什么类型的车？</v>
      </c>
      <c r="L39" s="6" t="str">
        <f>IFERROR(__xludf.DUMMYFUNCTION("GOOGLETRANSLATE(B39,""en"",""es"")"),"¿Qué tipo de vehículo es?")</f>
        <v>¿Qué tipo de vehículo es?</v>
      </c>
      <c r="M39" s="7" t="str">
        <f>IFERROR(__xludf.DUMMYFUNCTION("GOOGLETRANSLATE(B39,""en"",""iw"")"),"איזה סוג רכב זה?")</f>
        <v>איזה סוג רכב זה?</v>
      </c>
      <c r="N39" s="6" t="str">
        <f>IFERROR(__xludf.DUMMYFUNCTION("GOOGLETRANSLATE(B39,""en"",""bn"")"),"এটা কোন ধরণের যানবাহন?")</f>
        <v>এটা কোন ধরণের যানবাহন?</v>
      </c>
      <c r="O39" s="6"/>
      <c r="P39" s="6"/>
    </row>
    <row r="40">
      <c r="A40" s="8" t="s">
        <v>89</v>
      </c>
      <c r="B40" s="9" t="s">
        <v>90</v>
      </c>
      <c r="C40" s="5" t="str">
        <f>IFERROR(__xludf.DUMMYFUNCTION("GOOGLETRANSLATE(B40,""en"",""hi"")"),"वाहन का क्या रंग है?")</f>
        <v>वाहन का क्या रंग है?</v>
      </c>
      <c r="D40" s="6" t="str">
        <f>IFERROR(__xludf.DUMMYFUNCTION("GOOGLETRANSLATE(B40,""en"",""ar"")"),"ما هو لون السيارة؟")</f>
        <v>ما هو لون السيارة؟</v>
      </c>
      <c r="E40" s="6" t="str">
        <f>IFERROR(__xludf.DUMMYFUNCTION("GOOGLETRANSLATE(B40,""en"",""fr"")"),"De quelle couleur de véhicule s'agit-il?")</f>
        <v>De quelle couleur de véhicule s'agit-il?</v>
      </c>
      <c r="F40" s="6" t="str">
        <f>IFERROR(__xludf.DUMMYFUNCTION("GOOGLETRANSLATE(B40,""en"",""tr"")"),"Ne renk araç bu?")</f>
        <v>Ne renk araç bu?</v>
      </c>
      <c r="G40" s="6" t="str">
        <f>IFERROR(__xludf.DUMMYFUNCTION("GOOGLETRANSLATE(B40,""en"",""ru"")"),"Какой это цвет автомобиля?")</f>
        <v>Какой это цвет автомобиля?</v>
      </c>
      <c r="H40" s="6" t="str">
        <f>IFERROR(__xludf.DUMMYFUNCTION("GOOGLETRANSLATE(B40,""en"",""it"")"),"Che colore del veicolo è?")</f>
        <v>Che colore del veicolo è?</v>
      </c>
      <c r="I40" s="6" t="str">
        <f>IFERROR(__xludf.DUMMYFUNCTION("GOOGLETRANSLATE(B40,""en"",""de"")"),"Welche Farbe des Fahrzeugs hat das?")</f>
        <v>Welche Farbe des Fahrzeugs hat das?</v>
      </c>
      <c r="J40" s="6" t="str">
        <f>IFERROR(__xludf.DUMMYFUNCTION("GOOGLETRANSLATE(B40,""en"",""ko"")"),"차량의 색상은 무엇입니까?")</f>
        <v>차량의 색상은 무엇입니까?</v>
      </c>
      <c r="K40" s="6" t="str">
        <f>IFERROR(__xludf.DUMMYFUNCTION("GOOGLETRANSLATE(B40,""en"",""zh"")"),"它是什么颜色的？")</f>
        <v>它是什么颜色的？</v>
      </c>
      <c r="L40" s="6" t="str">
        <f>IFERROR(__xludf.DUMMYFUNCTION("GOOGLETRANSLATE(B40,""en"",""es"")"),"¿De qué color del vehículo es?")</f>
        <v>¿De qué color del vehículo es?</v>
      </c>
      <c r="M40" s="7" t="str">
        <f>IFERROR(__xludf.DUMMYFUNCTION("GOOGLETRANSLATE(B40,""en"",""iw"")"),"איזה צבע רכב זה?")</f>
        <v>איזה צבע רכב זה?</v>
      </c>
      <c r="N40" s="6" t="str">
        <f>IFERROR(__xludf.DUMMYFUNCTION("GOOGLETRANSLATE(B40,""en"",""bn"")"),"এটি কোন গাড়ির রঙ?")</f>
        <v>এটি কোন গাড়ির রঙ?</v>
      </c>
      <c r="O40" s="6"/>
      <c r="P40" s="6"/>
    </row>
    <row r="41">
      <c r="A41" s="8" t="s">
        <v>91</v>
      </c>
      <c r="B41" s="9" t="s">
        <v>92</v>
      </c>
      <c r="C41" s="5" t="str">
        <f>IFERROR(__xludf.DUMMYFUNCTION("GOOGLETRANSLATE(B41,""en"",""hi"")"),"गाडी नंबर")</f>
        <v>गाडी नंबर</v>
      </c>
      <c r="D41" s="6" t="str">
        <f>IFERROR(__xludf.DUMMYFUNCTION("GOOGLETRANSLATE(B41,""en"",""ar"")"),"عدد المركبات")</f>
        <v>عدد المركبات</v>
      </c>
      <c r="E41" s="6" t="str">
        <f>IFERROR(__xludf.DUMMYFUNCTION("GOOGLETRANSLATE(B41,""en"",""fr"")"),"Numéro de véhicule")</f>
        <v>Numéro de véhicule</v>
      </c>
      <c r="F41" s="6" t="str">
        <f>IFERROR(__xludf.DUMMYFUNCTION("GOOGLETRANSLATE(B41,""en"",""tr"")"),"Araç numarası")</f>
        <v>Araç numarası</v>
      </c>
      <c r="G41" s="6" t="str">
        <f>IFERROR(__xludf.DUMMYFUNCTION("GOOGLETRANSLATE(B41,""en"",""ru"")"),"Номер автомобиля")</f>
        <v>Номер автомобиля</v>
      </c>
      <c r="H41" s="6" t="str">
        <f>IFERROR(__xludf.DUMMYFUNCTION("GOOGLETRANSLATE(B41,""en"",""it"")"),"Numero del veicolo")</f>
        <v>Numero del veicolo</v>
      </c>
      <c r="I41" s="6" t="str">
        <f>IFERROR(__xludf.DUMMYFUNCTION("GOOGLETRANSLATE(B41,""en"",""de"")"),"Fahrzeugnummer")</f>
        <v>Fahrzeugnummer</v>
      </c>
      <c r="J41" s="6" t="str">
        <f>IFERROR(__xludf.DUMMYFUNCTION("GOOGLETRANSLATE(B41,""en"",""ko"")"),"차량 번호")</f>
        <v>차량 번호</v>
      </c>
      <c r="K41" s="6" t="str">
        <f>IFERROR(__xludf.DUMMYFUNCTION("GOOGLETRANSLATE(B41,""en"",""zh"")"),"车辆号码")</f>
        <v>车辆号码</v>
      </c>
      <c r="L41" s="6" t="str">
        <f>IFERROR(__xludf.DUMMYFUNCTION("GOOGLETRANSLATE(B41,""en"",""es"")"),"Número de vehículo")</f>
        <v>Número de vehículo</v>
      </c>
      <c r="M41" s="7" t="str">
        <f>IFERROR(__xludf.DUMMYFUNCTION("GOOGLETRANSLATE(B41,""en"",""iw"")"),"מספר רכב")</f>
        <v>מספר רכב</v>
      </c>
      <c r="N41" s="6" t="str">
        <f>IFERROR(__xludf.DUMMYFUNCTION("GOOGLETRANSLATE(B41,""en"",""bn"")"),"যানবাহন নম্বর")</f>
        <v>যানবাহন নম্বর</v>
      </c>
      <c r="O41" s="6"/>
      <c r="P41" s="6"/>
    </row>
    <row r="42">
      <c r="A42" s="8" t="s">
        <v>93</v>
      </c>
      <c r="B42" s="9" t="s">
        <v>94</v>
      </c>
      <c r="C42" s="5" t="str">
        <f>IFERROR(__xludf.DUMMYFUNCTION("GOOGLETRANSLATE(B42,""en"",""hi"")"),"अपना वाहन नंबर दर्ज करें")</f>
        <v>अपना वाहन नंबर दर्ज करें</v>
      </c>
      <c r="D42" s="6" t="str">
        <f>IFERROR(__xludf.DUMMYFUNCTION("GOOGLETRANSLATE(B42,""en"",""ar"")"),"أدخل رقم سيارتك")</f>
        <v>أدخل رقم سيارتك</v>
      </c>
      <c r="E42" s="6" t="str">
        <f>IFERROR(__xludf.DUMMYFUNCTION("GOOGLETRANSLATE(B42,""en"",""fr"")"),"Entrez votre numéro de véhicule")</f>
        <v>Entrez votre numéro de véhicule</v>
      </c>
      <c r="F42" s="6" t="str">
        <f>IFERROR(__xludf.DUMMYFUNCTION("GOOGLETRANSLATE(B42,""en"",""tr"")"),"Araç Numaranızı Girin")</f>
        <v>Araç Numaranızı Girin</v>
      </c>
      <c r="G42" s="6" t="str">
        <f>IFERROR(__xludf.DUMMYFUNCTION("GOOGLETRANSLATE(B42,""en"",""ru"")"),"Введите номер вашего автомобиля")</f>
        <v>Введите номер вашего автомобиля</v>
      </c>
      <c r="H42" s="6" t="str">
        <f>IFERROR(__xludf.DUMMYFUNCTION("GOOGLETRANSLATE(B42,""en"",""it"")"),"Inserisci il numero del tuo veicolo")</f>
        <v>Inserisci il numero del tuo veicolo</v>
      </c>
      <c r="I42" s="6" t="str">
        <f>IFERROR(__xludf.DUMMYFUNCTION("GOOGLETRANSLATE(B42,""en"",""de"")"),"Geben Sie Ihre Fahrzeugnummer ein")</f>
        <v>Geben Sie Ihre Fahrzeugnummer ein</v>
      </c>
      <c r="J42" s="6" t="str">
        <f>IFERROR(__xludf.DUMMYFUNCTION("GOOGLETRANSLATE(B42,""en"",""ko"")"),"차량 번호를 입력하십시오")</f>
        <v>차량 번호를 입력하십시오</v>
      </c>
      <c r="K42" s="6" t="str">
        <f>IFERROR(__xludf.DUMMYFUNCTION("GOOGLETRANSLATE(B42,""en"",""zh"")"),"输入您的车辆号码")</f>
        <v>输入您的车辆号码</v>
      </c>
      <c r="L42" s="6" t="str">
        <f>IFERROR(__xludf.DUMMYFUNCTION("GOOGLETRANSLATE(B42,""en"",""es"")"),"Ingrese su número de vehículo")</f>
        <v>Ingrese su número de vehículo</v>
      </c>
      <c r="M42" s="7" t="str">
        <f>IFERROR(__xludf.DUMMYFUNCTION("GOOGLETRANSLATE(B42,""en"",""iw"")"),"הזן את מספר הרכב שלך")</f>
        <v>הזן את מספר הרכב שלך</v>
      </c>
      <c r="N42" s="6" t="str">
        <f>IFERROR(__xludf.DUMMYFUNCTION("GOOGLETRANSLATE(B42,""en"",""bn"")"),"আপনার যানবাহন নম্বর লিখুন")</f>
        <v>আপনার যানবাহন নম্বর লিখুন</v>
      </c>
      <c r="O42" s="6"/>
      <c r="P42" s="6"/>
    </row>
    <row r="43">
      <c r="A43" s="8" t="s">
        <v>95</v>
      </c>
      <c r="B43" s="9" t="s">
        <v>96</v>
      </c>
      <c r="C43" s="5" t="str">
        <f>IFERROR(__xludf.DUMMYFUNCTION("GOOGLETRANSLATE(B43,""en"",""hi"")"),"वाहन का मॉडल वर्ष क्या है")</f>
        <v>वाहन का मॉडल वर्ष क्या है</v>
      </c>
      <c r="D43" s="6" t="str">
        <f>IFERROR(__xludf.DUMMYFUNCTION("GOOGLETRANSLATE(B43,""en"",""ar"")"),"ما هي السنة الطراز للمركبة")</f>
        <v>ما هي السنة الطراز للمركبة</v>
      </c>
      <c r="E43" s="6" t="str">
        <f>IFERROR(__xludf.DUMMYFUNCTION("GOOGLETRANSLATE(B43,""en"",""fr"")"),"Quelle est l'année modèle du véhicule")</f>
        <v>Quelle est l'année modèle du véhicule</v>
      </c>
      <c r="F43" s="6" t="str">
        <f>IFERROR(__xludf.DUMMYFUNCTION("GOOGLETRANSLATE(B43,""en"",""tr"")"),"Aracın model yılı nedir")</f>
        <v>Aracın model yılı nedir</v>
      </c>
      <c r="G43" s="6" t="str">
        <f>IFERROR(__xludf.DUMMYFUNCTION("GOOGLETRANSLATE(B43,""en"",""ru"")"),"Какой модельный год транспортного средства")</f>
        <v>Какой модельный год транспортного средства</v>
      </c>
      <c r="H43" s="6" t="str">
        <f>IFERROR(__xludf.DUMMYFUNCTION("GOOGLETRANSLATE(B43,""en"",""it"")"),"Qual è l'anno modello del veicolo")</f>
        <v>Qual è l'anno modello del veicolo</v>
      </c>
      <c r="I43" s="6" t="str">
        <f>IFERROR(__xludf.DUMMYFUNCTION("GOOGLETRANSLATE(B43,""en"",""de"")"),"Was ist das Modelljahr des Fahrzeugs?")</f>
        <v>Was ist das Modelljahr des Fahrzeugs?</v>
      </c>
      <c r="J43" s="6" t="str">
        <f>IFERROR(__xludf.DUMMYFUNCTION("GOOGLETRANSLATE(B43,""en"",""ko"")"),"차량의 모델 연도는 얼마입니까?")</f>
        <v>차량의 모델 연도는 얼마입니까?</v>
      </c>
      <c r="K43" s="6" t="str">
        <f>IFERROR(__xludf.DUMMYFUNCTION("GOOGLETRANSLATE(B43,""en"",""zh"")"),"车辆的型号是什么")</f>
        <v>车辆的型号是什么</v>
      </c>
      <c r="L43" s="6" t="str">
        <f>IFERROR(__xludf.DUMMYFUNCTION("GOOGLETRANSLATE(B43,""en"",""es"")"),"¿Cuál es el año modelo del vehículo?")</f>
        <v>¿Cuál es el año modelo del vehículo?</v>
      </c>
      <c r="M43" s="7" t="str">
        <f>IFERROR(__xludf.DUMMYFUNCTION("GOOGLETRANSLATE(B43,""en"",""iw"")"),"מהי שנת הדגם של הרכב")</f>
        <v>מהי שנת הדגם של הרכב</v>
      </c>
      <c r="N43" s="6" t="str">
        <f>IFERROR(__xludf.DUMMYFUNCTION("GOOGLETRANSLATE(B43,""en"",""bn"")"),"গাড়ির মডেল বছরটি কী")</f>
        <v>গাড়ির মডেল বছরটি কী</v>
      </c>
      <c r="O43" s="6"/>
      <c r="P43" s="6"/>
    </row>
    <row r="44">
      <c r="A44" s="8" t="s">
        <v>97</v>
      </c>
      <c r="B44" s="9" t="s">
        <v>98</v>
      </c>
      <c r="C44" s="5" t="str">
        <f>IFERROR(__xludf.DUMMYFUNCTION("GOOGLETRANSLATE(B44,""en"",""hi"")"),"रेफरल लागू करें")</f>
        <v>रेफरल लागू करें</v>
      </c>
      <c r="D44" s="6" t="str">
        <f>IFERROR(__xludf.DUMMYFUNCTION("GOOGLETRANSLATE(B44,""en"",""ar"")"),"تطبيق الإحالة")</f>
        <v>تطبيق الإحالة</v>
      </c>
      <c r="E44" s="6" t="str">
        <f>IFERROR(__xludf.DUMMYFUNCTION("GOOGLETRANSLATE(B44,""en"",""fr"")"),"Appliquer une référence")</f>
        <v>Appliquer une référence</v>
      </c>
      <c r="F44" s="6" t="str">
        <f>IFERROR(__xludf.DUMMYFUNCTION("GOOGLETRANSLATE(B44,""en"",""tr"")"),"Tavsiye Uygula")</f>
        <v>Tavsiye Uygula</v>
      </c>
      <c r="G44" s="6" t="str">
        <f>IFERROR(__xludf.DUMMYFUNCTION("GOOGLETRANSLATE(B44,""en"",""ru"")"),"Применить реферал")</f>
        <v>Применить реферал</v>
      </c>
      <c r="H44" s="6" t="str">
        <f>IFERROR(__xludf.DUMMYFUNCTION("GOOGLETRANSLATE(B44,""en"",""it"")"),"Applica referral")</f>
        <v>Applica referral</v>
      </c>
      <c r="I44" s="6" t="str">
        <f>IFERROR(__xludf.DUMMYFUNCTION("GOOGLETRANSLATE(B44,""en"",""de"")"),"Überweisung anwenden")</f>
        <v>Überweisung anwenden</v>
      </c>
      <c r="J44" s="6" t="str">
        <f>IFERROR(__xludf.DUMMYFUNCTION("GOOGLETRANSLATE(B44,""en"",""ko"")"),"추천을 적용하십시오")</f>
        <v>추천을 적용하십시오</v>
      </c>
      <c r="K44" s="6" t="str">
        <f>IFERROR(__xludf.DUMMYFUNCTION("GOOGLETRANSLATE(B44,""en"",""zh"")"),"应用推荐")</f>
        <v>应用推荐</v>
      </c>
      <c r="L44" s="6" t="str">
        <f>IFERROR(__xludf.DUMMYFUNCTION("GOOGLETRANSLATE(B44,""en"",""es"")"),"Aplicar referencia")</f>
        <v>Aplicar referencia</v>
      </c>
      <c r="M44" s="7" t="str">
        <f>IFERROR(__xludf.DUMMYFUNCTION("GOOGLETRANSLATE(B44,""en"",""iw"")"),"החל הפניה")</f>
        <v>החל הפניה</v>
      </c>
      <c r="N44" s="6" t="str">
        <f>IFERROR(__xludf.DUMMYFUNCTION("GOOGLETRANSLATE(B44,""en"",""bn"")"),"রেফারেল প্রয়োগ করুন")</f>
        <v>রেফারেল প্রয়োগ করুন</v>
      </c>
      <c r="O44" s="6"/>
      <c r="P44" s="6"/>
    </row>
    <row r="45">
      <c r="A45" s="8" t="s">
        <v>99</v>
      </c>
      <c r="B45" s="9" t="s">
        <v>100</v>
      </c>
      <c r="C45" s="5" t="str">
        <f>IFERROR(__xludf.DUMMYFUNCTION("GOOGLETRANSLATE(B45,""en"",""hi"")"),"रेफरल कोड दर्ज करें")</f>
        <v>रेफरल कोड दर्ज करें</v>
      </c>
      <c r="D45" s="6" t="str">
        <f>IFERROR(__xludf.DUMMYFUNCTION("GOOGLETRANSLATE(B45,""en"",""ar"")"),"أدخل رمز الإحالة")</f>
        <v>أدخل رمز الإحالة</v>
      </c>
      <c r="E45" s="6" t="str">
        <f>IFERROR(__xludf.DUMMYFUNCTION("GOOGLETRANSLATE(B45,""en"",""fr"")"),"Entrez le code de référence")</f>
        <v>Entrez le code de référence</v>
      </c>
      <c r="F45" s="6" t="str">
        <f>IFERROR(__xludf.DUMMYFUNCTION("GOOGLETRANSLATE(B45,""en"",""tr"")"),"Tavsiye kodunu girin")</f>
        <v>Tavsiye kodunu girin</v>
      </c>
      <c r="G45" s="6" t="str">
        <f>IFERROR(__xludf.DUMMYFUNCTION("GOOGLETRANSLATE(B45,""en"",""ru"")"),"Введите код реферального кода")</f>
        <v>Введите код реферального кода</v>
      </c>
      <c r="H45" s="6" t="str">
        <f>IFERROR(__xludf.DUMMYFUNCTION("GOOGLETRANSLATE(B45,""en"",""it"")"),"Immettere il codice di riferimento")</f>
        <v>Immettere il codice di riferimento</v>
      </c>
      <c r="I45" s="6" t="str">
        <f>IFERROR(__xludf.DUMMYFUNCTION("GOOGLETRANSLATE(B45,""en"",""de"")"),"Geben Sie den Empfehlungscode ein")</f>
        <v>Geben Sie den Empfehlungscode ein</v>
      </c>
      <c r="J45" s="6" t="str">
        <f>IFERROR(__xludf.DUMMYFUNCTION("GOOGLETRANSLATE(B45,""en"",""ko"")"),"추천 코드를 입력하십시오")</f>
        <v>추천 코드를 입력하십시오</v>
      </c>
      <c r="K45" s="6" t="str">
        <f>IFERROR(__xludf.DUMMYFUNCTION("GOOGLETRANSLATE(B45,""en"",""zh"")"),"输入推荐代码")</f>
        <v>输入推荐代码</v>
      </c>
      <c r="L45" s="6" t="str">
        <f>IFERROR(__xludf.DUMMYFUNCTION("GOOGLETRANSLATE(B45,""en"",""es"")"),"Ingrese el código de referencia")</f>
        <v>Ingrese el código de referencia</v>
      </c>
      <c r="M45" s="7" t="str">
        <f>IFERROR(__xludf.DUMMYFUNCTION("GOOGLETRANSLATE(B45,""en"",""iw"")"),"הזן קוד הפניה")</f>
        <v>הזן קוד הפניה</v>
      </c>
      <c r="N45" s="6" t="str">
        <f>IFERROR(__xludf.DUMMYFUNCTION("GOOGLETRANSLATE(B45,""en"",""bn"")"),"রেফারাল কোড লিখুন")</f>
        <v>রেফারাল কোড লিখুন</v>
      </c>
      <c r="O45" s="6"/>
      <c r="P45" s="6"/>
    </row>
    <row r="46">
      <c r="A46" s="8" t="s">
        <v>101</v>
      </c>
      <c r="B46" s="9" t="s">
        <v>102</v>
      </c>
      <c r="C46" s="5" t="str">
        <f>IFERROR(__xludf.DUMMYFUNCTION("GOOGLETRANSLATE(B46,""en"",""hi"")"),"आवेदन करना")</f>
        <v>आवेदन करना</v>
      </c>
      <c r="D46" s="6" t="str">
        <f>IFERROR(__xludf.DUMMYFUNCTION("GOOGLETRANSLATE(B46,""en"",""ar"")"),"يتقدم")</f>
        <v>يتقدم</v>
      </c>
      <c r="E46" s="6" t="str">
        <f>IFERROR(__xludf.DUMMYFUNCTION("GOOGLETRANSLATE(B46,""en"",""fr"")"),"Appliquer")</f>
        <v>Appliquer</v>
      </c>
      <c r="F46" s="6" t="str">
        <f>IFERROR(__xludf.DUMMYFUNCTION("GOOGLETRANSLATE(B46,""en"",""tr"")"),"Uygulamak")</f>
        <v>Uygulamak</v>
      </c>
      <c r="G46" s="6" t="str">
        <f>IFERROR(__xludf.DUMMYFUNCTION("GOOGLETRANSLATE(B46,""en"",""ru"")"),"Подать заявление")</f>
        <v>Подать заявление</v>
      </c>
      <c r="H46" s="6" t="str">
        <f>IFERROR(__xludf.DUMMYFUNCTION("GOOGLETRANSLATE(B46,""en"",""it"")"),"Applicare")</f>
        <v>Applicare</v>
      </c>
      <c r="I46" s="6" t="str">
        <f>IFERROR(__xludf.DUMMYFUNCTION("GOOGLETRANSLATE(B46,""en"",""de"")"),"Sich bewerben")</f>
        <v>Sich bewerben</v>
      </c>
      <c r="J46" s="6" t="str">
        <f>IFERROR(__xludf.DUMMYFUNCTION("GOOGLETRANSLATE(B46,""en"",""ko"")"),"적용하다")</f>
        <v>적용하다</v>
      </c>
      <c r="K46" s="6" t="str">
        <f>IFERROR(__xludf.DUMMYFUNCTION("GOOGLETRANSLATE(B46,""en"",""zh"")"),"申请")</f>
        <v>申请</v>
      </c>
      <c r="L46" s="6" t="str">
        <f>IFERROR(__xludf.DUMMYFUNCTION("GOOGLETRANSLATE(B46,""en"",""es"")"),"Aplicar")</f>
        <v>Aplicar</v>
      </c>
      <c r="M46" s="7" t="str">
        <f>IFERROR(__xludf.DUMMYFUNCTION("GOOGLETRANSLATE(B46,""en"",""iw"")"),"להגיש מועמדות")</f>
        <v>להגיש מועמדות</v>
      </c>
      <c r="N46" s="6" t="str">
        <f>IFERROR(__xludf.DUMMYFUNCTION("GOOGLETRANSLATE(B46,""en"",""bn"")"),"প্রয়োগ করুন")</f>
        <v>প্রয়োগ করুন</v>
      </c>
      <c r="O46" s="6"/>
      <c r="P46" s="6"/>
    </row>
    <row r="47">
      <c r="A47" s="8" t="s">
        <v>103</v>
      </c>
      <c r="B47" s="9" t="s">
        <v>104</v>
      </c>
      <c r="C47" s="5" t="str">
        <f>IFERROR(__xludf.DUMMYFUNCTION("GOOGLETRANSLATE(B47,""en"",""hi"")"),"दस्तावेजों का प्रबंधन करें")</f>
        <v>दस्तावेजों का प्रबंधन करें</v>
      </c>
      <c r="D47" s="6" t="str">
        <f>IFERROR(__xludf.DUMMYFUNCTION("GOOGLETRANSLATE(B47,""en"",""ar"")"),"إدارة المستندات")</f>
        <v>إدارة المستندات</v>
      </c>
      <c r="E47" s="6" t="str">
        <f>IFERROR(__xludf.DUMMYFUNCTION("GOOGLETRANSLATE(B47,""en"",""fr"")"),"Gérer les documents")</f>
        <v>Gérer les documents</v>
      </c>
      <c r="F47" s="6" t="str">
        <f>IFERROR(__xludf.DUMMYFUNCTION("GOOGLETRANSLATE(B47,""en"",""tr"")"),"Belgeleri Yönetin")</f>
        <v>Belgeleri Yönetin</v>
      </c>
      <c r="G47" s="6" t="str">
        <f>IFERROR(__xludf.DUMMYFUNCTION("GOOGLETRANSLATE(B47,""en"",""ru"")"),"Управлять документами")</f>
        <v>Управлять документами</v>
      </c>
      <c r="H47" s="6" t="str">
        <f>IFERROR(__xludf.DUMMYFUNCTION("GOOGLETRANSLATE(B47,""en"",""it"")"),"Gestire i documenti")</f>
        <v>Gestire i documenti</v>
      </c>
      <c r="I47" s="6" t="str">
        <f>IFERROR(__xludf.DUMMYFUNCTION("GOOGLETRANSLATE(B47,""en"",""de"")"),"Dokumente verwalten")</f>
        <v>Dokumente verwalten</v>
      </c>
      <c r="J47" s="6" t="str">
        <f>IFERROR(__xludf.DUMMYFUNCTION("GOOGLETRANSLATE(B47,""en"",""ko"")"),"문서를 관리합니다")</f>
        <v>문서를 관리합니다</v>
      </c>
      <c r="K47" s="6" t="str">
        <f>IFERROR(__xludf.DUMMYFUNCTION("GOOGLETRANSLATE(B47,""en"",""zh"")"),"管理文档")</f>
        <v>管理文档</v>
      </c>
      <c r="L47" s="6" t="str">
        <f>IFERROR(__xludf.DUMMYFUNCTION("GOOGLETRANSLATE(B47,""en"",""es"")"),"Administrar documentos")</f>
        <v>Administrar documentos</v>
      </c>
      <c r="M47" s="7" t="str">
        <f>IFERROR(__xludf.DUMMYFUNCTION("GOOGLETRANSLATE(B47,""en"",""iw"")"),"ניהול מסמכים")</f>
        <v>ניהול מסמכים</v>
      </c>
      <c r="N47" s="6" t="str">
        <f>IFERROR(__xludf.DUMMYFUNCTION("GOOGLETRANSLATE(B47,""en"",""bn"")"),"নথি পরিচালনা করুন")</f>
        <v>নথি পরিচালনা করুন</v>
      </c>
      <c r="O47" s="6"/>
      <c r="P47" s="6"/>
    </row>
    <row r="48">
      <c r="A48" s="8" t="s">
        <v>105</v>
      </c>
      <c r="B48" s="9" t="s">
        <v>106</v>
      </c>
      <c r="C48" s="5" t="str">
        <f>IFERROR(__xludf.DUMMYFUNCTION("GOOGLETRANSLATE(B48,""en"",""hi"")"),"पासपोर्ट")</f>
        <v>पासपोर्ट</v>
      </c>
      <c r="D48" s="6" t="str">
        <f>IFERROR(__xludf.DUMMYFUNCTION("GOOGLETRANSLATE(B48,""en"",""ar"")"),"جواز سفر")</f>
        <v>جواز سفر</v>
      </c>
      <c r="E48" s="6" t="str">
        <f>IFERROR(__xludf.DUMMYFUNCTION("GOOGLETRANSLATE(B48,""en"",""fr"")"),"Passeport")</f>
        <v>Passeport</v>
      </c>
      <c r="F48" s="6" t="str">
        <f>IFERROR(__xludf.DUMMYFUNCTION("GOOGLETRANSLATE(B48,""en"",""tr"")"),"Pasaport")</f>
        <v>Pasaport</v>
      </c>
      <c r="G48" s="6" t="str">
        <f>IFERROR(__xludf.DUMMYFUNCTION("GOOGLETRANSLATE(B48,""en"",""ru"")"),"Заграничный пасспорт")</f>
        <v>Заграничный пасспорт</v>
      </c>
      <c r="H48" s="6" t="str">
        <f>IFERROR(__xludf.DUMMYFUNCTION("GOOGLETRANSLATE(B48,""en"",""it"")"),"Passaporto")</f>
        <v>Passaporto</v>
      </c>
      <c r="I48" s="6" t="str">
        <f>IFERROR(__xludf.DUMMYFUNCTION("GOOGLETRANSLATE(B48,""en"",""de"")"),"Reisepass")</f>
        <v>Reisepass</v>
      </c>
      <c r="J48" s="6" t="str">
        <f>IFERROR(__xludf.DUMMYFUNCTION("GOOGLETRANSLATE(B48,""en"",""ko"")"),"여권")</f>
        <v>여권</v>
      </c>
      <c r="K48" s="6" t="str">
        <f>IFERROR(__xludf.DUMMYFUNCTION("GOOGLETRANSLATE(B48,""en"",""zh"")"),"护照")</f>
        <v>护照</v>
      </c>
      <c r="L48" s="6" t="str">
        <f>IFERROR(__xludf.DUMMYFUNCTION("GOOGLETRANSLATE(B48,""en"",""es"")"),"Pasaporte")</f>
        <v>Pasaporte</v>
      </c>
      <c r="M48" s="7" t="str">
        <f>IFERROR(__xludf.DUMMYFUNCTION("GOOGLETRANSLATE(B48,""en"",""iw"")"),"דַרכּוֹן")</f>
        <v>דַרכּוֹן</v>
      </c>
      <c r="N48" s="6" t="str">
        <f>IFERROR(__xludf.DUMMYFUNCTION("GOOGLETRANSLATE(B48,""en"",""bn"")"),"পাসপোর্ট")</f>
        <v>পাসপোর্ট</v>
      </c>
      <c r="O48" s="6"/>
      <c r="P48" s="6"/>
    </row>
    <row r="49">
      <c r="A49" s="8" t="s">
        <v>107</v>
      </c>
      <c r="B49" s="9" t="s">
        <v>108</v>
      </c>
      <c r="C49" s="5" t="str">
        <f>IFERROR(__xludf.DUMMYFUNCTION("GOOGLETRANSLATE(B49,""en"",""hi"")"),"अपलोड नहीं किया गया")</f>
        <v>अपलोड नहीं किया गया</v>
      </c>
      <c r="D49" s="6" t="str">
        <f>IFERROR(__xludf.DUMMYFUNCTION("GOOGLETRANSLATE(B49,""en"",""ar"")"),"لم يتم تحميلها")</f>
        <v>لم يتم تحميلها</v>
      </c>
      <c r="E49" s="6" t="str">
        <f>IFERROR(__xludf.DUMMYFUNCTION("GOOGLETRANSLATE(B49,""en"",""fr"")"),"Non téléchargé")</f>
        <v>Non téléchargé</v>
      </c>
      <c r="F49" s="6" t="str">
        <f>IFERROR(__xludf.DUMMYFUNCTION("GOOGLETRANSLATE(B49,""en"",""tr"")"),"Yüklenmedi")</f>
        <v>Yüklenmedi</v>
      </c>
      <c r="G49" s="6" t="str">
        <f>IFERROR(__xludf.DUMMYFUNCTION("GOOGLETRANSLATE(B49,""en"",""ru"")"),"Не загружено")</f>
        <v>Не загружено</v>
      </c>
      <c r="H49" s="6" t="str">
        <f>IFERROR(__xludf.DUMMYFUNCTION("GOOGLETRANSLATE(B49,""en"",""it"")"),"Non caricato")</f>
        <v>Non caricato</v>
      </c>
      <c r="I49" s="6" t="str">
        <f>IFERROR(__xludf.DUMMYFUNCTION("GOOGLETRANSLATE(B49,""en"",""de"")"),"Nicht hochgeladen")</f>
        <v>Nicht hochgeladen</v>
      </c>
      <c r="J49" s="6" t="str">
        <f>IFERROR(__xludf.DUMMYFUNCTION("GOOGLETRANSLATE(B49,""en"",""ko"")"),"업로드되지 않았습니다")</f>
        <v>업로드되지 않았습니다</v>
      </c>
      <c r="K49" s="6" t="str">
        <f>IFERROR(__xludf.DUMMYFUNCTION("GOOGLETRANSLATE(B49,""en"",""zh"")"),"未上传")</f>
        <v>未上传</v>
      </c>
      <c r="L49" s="6" t="str">
        <f>IFERROR(__xludf.DUMMYFUNCTION("GOOGLETRANSLATE(B49,""en"",""es"")"),"No cargado")</f>
        <v>No cargado</v>
      </c>
      <c r="M49" s="7" t="str">
        <f>IFERROR(__xludf.DUMMYFUNCTION("GOOGLETRANSLATE(B49,""en"",""iw"")"),"לא הועלה")</f>
        <v>לא הועלה</v>
      </c>
      <c r="N49" s="6" t="str">
        <f>IFERROR(__xludf.DUMMYFUNCTION("GOOGLETRANSLATE(B49,""en"",""bn"")"),"আপলোড করা হয়নি")</f>
        <v>আপলোড করা হয়নি</v>
      </c>
      <c r="O49" s="6"/>
      <c r="P49" s="6"/>
    </row>
    <row r="50">
      <c r="A50" s="8" t="s">
        <v>109</v>
      </c>
      <c r="B50" s="9" t="s">
        <v>110</v>
      </c>
      <c r="C50" s="5" t="str">
        <f>IFERROR(__xludf.DUMMYFUNCTION("GOOGLETRANSLATE(B50,""en"",""hi"")"),"अपलोड किए गए")</f>
        <v>अपलोड किए गए</v>
      </c>
      <c r="D50" s="6" t="str">
        <f>IFERROR(__xludf.DUMMYFUNCTION("GOOGLETRANSLATE(B50,""en"",""ar"")"),"تم الرفع")</f>
        <v>تم الرفع</v>
      </c>
      <c r="E50" s="6" t="str">
        <f>IFERROR(__xludf.DUMMYFUNCTION("GOOGLETRANSLATE(B50,""en"",""fr"")"),"Téléchargé")</f>
        <v>Téléchargé</v>
      </c>
      <c r="F50" s="6" t="str">
        <f>IFERROR(__xludf.DUMMYFUNCTION("GOOGLETRANSLATE(B50,""en"",""tr"")"),"Yüklenmiş")</f>
        <v>Yüklenmiş</v>
      </c>
      <c r="G50" s="6" t="str">
        <f>IFERROR(__xludf.DUMMYFUNCTION("GOOGLETRANSLATE(B50,""en"",""ru"")"),"Загружен")</f>
        <v>Загружен</v>
      </c>
      <c r="H50" s="6" t="str">
        <f>IFERROR(__xludf.DUMMYFUNCTION("GOOGLETRANSLATE(B50,""en"",""it"")"),"Caricato")</f>
        <v>Caricato</v>
      </c>
      <c r="I50" s="6" t="str">
        <f>IFERROR(__xludf.DUMMYFUNCTION("GOOGLETRANSLATE(B50,""en"",""de"")"),"Hochgeladen")</f>
        <v>Hochgeladen</v>
      </c>
      <c r="J50" s="6" t="str">
        <f>IFERROR(__xludf.DUMMYFUNCTION("GOOGLETRANSLATE(B50,""en"",""ko"")"),"업로드")</f>
        <v>업로드</v>
      </c>
      <c r="K50" s="6" t="str">
        <f>IFERROR(__xludf.DUMMYFUNCTION("GOOGLETRANSLATE(B50,""en"",""zh"")"),"上传")</f>
        <v>上传</v>
      </c>
      <c r="L50" s="6" t="str">
        <f>IFERROR(__xludf.DUMMYFUNCTION("GOOGLETRANSLATE(B50,""en"",""es"")"),"Cargado")</f>
        <v>Cargado</v>
      </c>
      <c r="M50" s="7" t="str">
        <f>IFERROR(__xludf.DUMMYFUNCTION("GOOGLETRANSLATE(B50,""en"",""iw"")"),"הועלה")</f>
        <v>הועלה</v>
      </c>
      <c r="N50" s="6" t="str">
        <f>IFERROR(__xludf.DUMMYFUNCTION("GOOGLETRANSLATE(B50,""en"",""bn"")"),"আপলোড")</f>
        <v>আপলোড</v>
      </c>
      <c r="O50" s="6"/>
      <c r="P50" s="6"/>
    </row>
    <row r="51">
      <c r="A51" s="8" t="s">
        <v>111</v>
      </c>
      <c r="B51" s="9" t="s">
        <v>112</v>
      </c>
      <c r="C51" s="5" t="str">
        <f>IFERROR(__xludf.DUMMYFUNCTION("GOOGLETRANSLATE(B51,""en"",""hi"")"),"डालना")</f>
        <v>डालना</v>
      </c>
      <c r="D51" s="6" t="str">
        <f>IFERROR(__xludf.DUMMYFUNCTION("GOOGLETRANSLATE(B51,""en"",""ar"")"),"تحميل")</f>
        <v>تحميل</v>
      </c>
      <c r="E51" s="6" t="str">
        <f>IFERROR(__xludf.DUMMYFUNCTION("GOOGLETRANSLATE(B51,""en"",""fr"")"),"Télécharger")</f>
        <v>Télécharger</v>
      </c>
      <c r="F51" s="6" t="str">
        <f>IFERROR(__xludf.DUMMYFUNCTION("GOOGLETRANSLATE(B51,""en"",""tr"")"),"Yüklemek")</f>
        <v>Yüklemek</v>
      </c>
      <c r="G51" s="6" t="str">
        <f>IFERROR(__xludf.DUMMYFUNCTION("GOOGLETRANSLATE(B51,""en"",""ru"")"),"Загрузить")</f>
        <v>Загрузить</v>
      </c>
      <c r="H51" s="6" t="str">
        <f>IFERROR(__xludf.DUMMYFUNCTION("GOOGLETRANSLATE(B51,""en"",""it"")"),"Caricamento")</f>
        <v>Caricamento</v>
      </c>
      <c r="I51" s="6" t="str">
        <f>IFERROR(__xludf.DUMMYFUNCTION("GOOGLETRANSLATE(B51,""en"",""de"")"),"Hochladen")</f>
        <v>Hochladen</v>
      </c>
      <c r="J51" s="6" t="str">
        <f>IFERROR(__xludf.DUMMYFUNCTION("GOOGLETRANSLATE(B51,""en"",""ko"")"),"업로드")</f>
        <v>업로드</v>
      </c>
      <c r="K51" s="6" t="str">
        <f>IFERROR(__xludf.DUMMYFUNCTION("GOOGLETRANSLATE(B51,""en"",""zh"")"),"上传")</f>
        <v>上传</v>
      </c>
      <c r="L51" s="6" t="str">
        <f>IFERROR(__xludf.DUMMYFUNCTION("GOOGLETRANSLATE(B51,""en"",""es"")"),"Subir")</f>
        <v>Subir</v>
      </c>
      <c r="M51" s="7" t="str">
        <f>IFERROR(__xludf.DUMMYFUNCTION("GOOGLETRANSLATE(B51,""en"",""iw"")"),"העלה")</f>
        <v>העלה</v>
      </c>
      <c r="N51" s="6" t="str">
        <f>IFERROR(__xludf.DUMMYFUNCTION("GOOGLETRANSLATE(B51,""en"",""bn"")"),"আপলোড")</f>
        <v>আপলোড</v>
      </c>
      <c r="O51" s="6"/>
      <c r="P51" s="6"/>
    </row>
    <row r="52">
      <c r="A52" s="8" t="s">
        <v>113</v>
      </c>
      <c r="B52" s="9" t="s">
        <v>114</v>
      </c>
      <c r="C52" s="5" t="str">
        <f>IFERROR(__xludf.DUMMYFUNCTION("GOOGLETRANSLATE(B52,""en"",""hi"")"),"सत्यापन लंबित")</f>
        <v>सत्यापन लंबित</v>
      </c>
      <c r="D52" s="6" t="str">
        <f>IFERROR(__xludf.DUMMYFUNCTION("GOOGLETRANSLATE(B52,""en"",""ar"")"),"التحقق معلق")</f>
        <v>التحقق معلق</v>
      </c>
      <c r="E52" s="6" t="str">
        <f>IFERROR(__xludf.DUMMYFUNCTION("GOOGLETRANSLATE(B52,""en"",""fr"")"),"Vérification en attente")</f>
        <v>Vérification en attente</v>
      </c>
      <c r="F52" s="6" t="str">
        <f>IFERROR(__xludf.DUMMYFUNCTION("GOOGLETRANSLATE(B52,""en"",""tr"")"),"Doğrulama beklemede")</f>
        <v>Doğrulama beklemede</v>
      </c>
      <c r="G52" s="6" t="str">
        <f>IFERROR(__xludf.DUMMYFUNCTION("GOOGLETRANSLATE(B52,""en"",""ru"")"),"Проверка в ожидании")</f>
        <v>Проверка в ожидании</v>
      </c>
      <c r="H52" s="6" t="str">
        <f>IFERROR(__xludf.DUMMYFUNCTION("GOOGLETRANSLATE(B52,""en"",""it"")"),"Verifica in sospeso")</f>
        <v>Verifica in sospeso</v>
      </c>
      <c r="I52" s="6" t="str">
        <f>IFERROR(__xludf.DUMMYFUNCTION("GOOGLETRANSLATE(B52,""en"",""de"")"),"Überprüfung anhängig")</f>
        <v>Überprüfung anhängig</v>
      </c>
      <c r="J52" s="6" t="str">
        <f>IFERROR(__xludf.DUMMYFUNCTION("GOOGLETRANSLATE(B52,""en"",""ko"")"),"검증 보류")</f>
        <v>검증 보류</v>
      </c>
      <c r="K52" s="6" t="str">
        <f>IFERROR(__xludf.DUMMYFUNCTION("GOOGLETRANSLATE(B52,""en"",""zh"")"),"验证待定")</f>
        <v>验证待定</v>
      </c>
      <c r="L52" s="6" t="str">
        <f>IFERROR(__xludf.DUMMYFUNCTION("GOOGLETRANSLATE(B52,""en"",""es"")"),"Verificación pendiente")</f>
        <v>Verificación pendiente</v>
      </c>
      <c r="M52" s="7" t="str">
        <f>IFERROR(__xludf.DUMMYFUNCTION("GOOGLETRANSLATE(B52,""en"",""iw"")"),"אימות תלוי ועומד")</f>
        <v>אימות תלוי ועומד</v>
      </c>
      <c r="N52" s="6" t="str">
        <f>IFERROR(__xludf.DUMMYFUNCTION("GOOGLETRANSLATE(B52,""en"",""bn"")"),"যাচাইকরণ মুলতুবি")</f>
        <v>যাচাইকরণ মুলতুবি</v>
      </c>
      <c r="O52" s="6"/>
      <c r="P52" s="6"/>
    </row>
    <row r="53">
      <c r="A53" s="8" t="s">
        <v>115</v>
      </c>
      <c r="B53" s="9" t="s">
        <v>116</v>
      </c>
      <c r="C53" s="5" t="str">
        <f>IFERROR(__xludf.DUMMYFUNCTION("GOOGLETRANSLATE(B53,""en"",""hi"")"),"आपका दस्तावेज़ अभी भी सत्यापन के लिए लंबित है। एक बार जब यह सब सत्यापित हो जाता है तो आपको सवारी करना शुरू हो जाता है। कृपया तंग बैठो")</f>
        <v>आपका दस्तावेज़ अभी भी सत्यापन के लिए लंबित है। एक बार जब यह सब सत्यापित हो जाता है तो आपको सवारी करना शुरू हो जाता है। कृपया तंग बैठो</v>
      </c>
      <c r="D53" s="6" t="str">
        <f>IFERROR(__xludf.DUMMYFUNCTION("GOOGLETRANSLATE(B53,""en"",""ar"")"),"لا يزال المستند الخاص بك معلقًا للتحقق. بمجرد التحقق من كل شيء ، تبدأ في الحصول على ركوب الخيل. يرجى الجلوس ضيق")</f>
        <v>لا يزال المستند الخاص بك معلقًا للتحقق. بمجرد التحقق من كل شيء ، تبدأ في الحصول على ركوب الخيل. يرجى الجلوس ضيق</v>
      </c>
      <c r="E53" s="6" t="str">
        <f>IFERROR(__xludf.DUMMYFUNCTION("GOOGLETRANSLATE(B53,""en"",""fr"")"),"Votre document est toujours en attente de vérification. Une fois que tout est vérifié, vous commencez à faire des trajets. Veuillez vous asseoir serré")</f>
        <v>Votre document est toujours en attente de vérification. Une fois que tout est vérifié, vous commencez à faire des trajets. Veuillez vous asseoir serré</v>
      </c>
      <c r="F53" s="6" t="str">
        <f>IFERROR(__xludf.DUMMYFUNCTION("GOOGLETRANSLATE(B53,""en"",""tr"")"),"Belgeniz hala doğrulama için beklemede. Hepsi doğrulandıktan sonra sürüş almaya başlarsınız. Lütfen sıkı oturun")</f>
        <v>Belgeniz hala doğrulama için beklemede. Hepsi doğrulandıktan sonra sürüş almaya başlarsınız. Lütfen sıkı oturun</v>
      </c>
      <c r="G53" s="6" t="str">
        <f>IFERROR(__xludf.DUMMYFUNCTION("GOOGLETRANSLATE(B53,""en"",""ru"")"),"Ваш документ все еще ожидает проверки. Как только все будет подтверждено, вы начинаете посещать поездки. Пожалуйста, сядьте")</f>
        <v>Ваш документ все еще ожидает проверки. Как только все будет подтверждено, вы начинаете посещать поездки. Пожалуйста, сядьте</v>
      </c>
      <c r="H53" s="6" t="str">
        <f>IFERROR(__xludf.DUMMYFUNCTION("GOOGLETRANSLATE(B53,""en"",""it"")"),"Il tuo documento è ancora in sospeso per la verifica. Una volta verificato tutto, inizi a ottenere corse. Si prega di sederti")</f>
        <v>Il tuo documento è ancora in sospeso per la verifica. Una volta verificato tutto, inizi a ottenere corse. Si prega di sederti</v>
      </c>
      <c r="I53" s="6" t="str">
        <f>IFERROR(__xludf.DUMMYFUNCTION("GOOGLETRANSLATE(B53,""en"",""de"")"),"Ihr Dokument steht noch zur Überprüfung an. Sobald alles verifiziert ist, beginnen Sie Fahrten. Bitte sitzen Sie fest")</f>
        <v>Ihr Dokument steht noch zur Überprüfung an. Sobald alles verifiziert ist, beginnen Sie Fahrten. Bitte sitzen Sie fest</v>
      </c>
      <c r="J53" s="6" t="str">
        <f>IFERROR(__xludf.DUMMYFUNCTION("GOOGLETRANSLATE(B53,""en"",""ko"")"),"귀하의 문서는 여전히 확인을 위해 보류 중입니다. 모든 것이 확인되면 타기를 시작합니다. 꽉 앉으세요")</f>
        <v>귀하의 문서는 여전히 확인을 위해 보류 중입니다. 모든 것이 확인되면 타기를 시작합니다. 꽉 앉으세요</v>
      </c>
      <c r="K53" s="6" t="str">
        <f>IFERROR(__xludf.DUMMYFUNCTION("GOOGLETRANSLATE(B53,""en"",""zh"")"),"您的文档仍在待审核中。一旦经过验证，您就会开始骑车。请紧紧坐")</f>
        <v>您的文档仍在待审核中。一旦经过验证，您就会开始骑车。请紧紧坐</v>
      </c>
      <c r="L53" s="6" t="str">
        <f>IFERROR(__xludf.DUMMYFUNCTION("GOOGLETRANSLATE(B53,""en"",""es"")"),"Su documento aún está pendiente para la verificación. Una vez que todo está verificado, comienzas a obtener paseos. Por favor siéntate")</f>
        <v>Su documento aún está pendiente para la verificación. Una vez que todo está verificado, comienzas a obtener paseos. Por favor siéntate</v>
      </c>
      <c r="M53" s="7" t="str">
        <f>IFERROR(__xludf.DUMMYFUNCTION("GOOGLETRANSLATE(B53,""en"",""iw"")"),"המסמך שלך עדיין ממתין לאימות. ברגע שהכל מאומת אתה מתחיל לקבל רכיבות. אנא שב חזק")</f>
        <v>המסמך שלך עדיין ממתין לאימות. ברגע שהכל מאומת אתה מתחיל לקבל רכיבות. אנא שב חזק</v>
      </c>
      <c r="N53" s="6" t="str">
        <f>IFERROR(__xludf.DUMMYFUNCTION("GOOGLETRANSLATE(B53,""en"",""bn"")"),"আপনার দস্তাবেজটি এখনও যাচাইয়ের জন্য মুলতুবি রয়েছে। এটি সমস্ত যাচাই করা হয়ে গেলে আপনি যাত্রা শুরু করতে শুরু করেন। দয়া করে টাইট বসুন")</f>
        <v>আপনার দস্তাবেজটি এখনও যাচাইয়ের জন্য মুলতুবি রয়েছে। এটি সমস্ত যাচাই করা হয়ে গেলে আপনি যাত্রা শুরু করতে শুরু করেন। দয়া করে টাইট বসুন</v>
      </c>
      <c r="O53" s="6"/>
      <c r="P53" s="6"/>
    </row>
    <row r="54">
      <c r="A54" s="8" t="s">
        <v>117</v>
      </c>
      <c r="B54" s="9" t="s">
        <v>118</v>
      </c>
      <c r="C54" s="5" t="str">
        <f>IFERROR(__xludf.DUMMYFUNCTION("GOOGLETRANSLATE(B54,""en"",""hi"")"),"दस्तावेज़ अपलोड करें")</f>
        <v>दस्तावेज़ अपलोड करें</v>
      </c>
      <c r="D54" s="6" t="str">
        <f>IFERROR(__xludf.DUMMYFUNCTION("GOOGLETRANSLATE(B54,""en"",""ar"")"),"تحميل المستندات")</f>
        <v>تحميل المستندات</v>
      </c>
      <c r="E54" s="6" t="str">
        <f>IFERROR(__xludf.DUMMYFUNCTION("GOOGLETRANSLATE(B54,""en"",""fr"")"),"Télécharger des documents")</f>
        <v>Télécharger des documents</v>
      </c>
      <c r="F54" s="6" t="str">
        <f>IFERROR(__xludf.DUMMYFUNCTION("GOOGLETRANSLATE(B54,""en"",""tr"")"),"Belgeleri Yükle")</f>
        <v>Belgeleri Yükle</v>
      </c>
      <c r="G54" s="6" t="str">
        <f>IFERROR(__xludf.DUMMYFUNCTION("GOOGLETRANSLATE(B54,""en"",""ru"")"),"Загрузите документы")</f>
        <v>Загрузите документы</v>
      </c>
      <c r="H54" s="6" t="str">
        <f>IFERROR(__xludf.DUMMYFUNCTION("GOOGLETRANSLATE(B54,""en"",""it"")"),"Carica documenti")</f>
        <v>Carica documenti</v>
      </c>
      <c r="I54" s="6" t="str">
        <f>IFERROR(__xludf.DUMMYFUNCTION("GOOGLETRANSLATE(B54,""en"",""de"")"),"Dokumente hochladen")</f>
        <v>Dokumente hochladen</v>
      </c>
      <c r="J54" s="6" t="str">
        <f>IFERROR(__xludf.DUMMYFUNCTION("GOOGLETRANSLATE(B54,""en"",""ko"")"),"문서를 업로드하십시오")</f>
        <v>문서를 업로드하십시오</v>
      </c>
      <c r="K54" s="6" t="str">
        <f>IFERROR(__xludf.DUMMYFUNCTION("GOOGLETRANSLATE(B54,""en"",""zh"")"),"上传文档")</f>
        <v>上传文档</v>
      </c>
      <c r="L54" s="6" t="str">
        <f>IFERROR(__xludf.DUMMYFUNCTION("GOOGLETRANSLATE(B54,""en"",""es"")"),"subir documentos")</f>
        <v>subir documentos</v>
      </c>
      <c r="M54" s="7" t="str">
        <f>IFERROR(__xludf.DUMMYFUNCTION("GOOGLETRANSLATE(B54,""en"",""iw"")"),"העלה מסמכים")</f>
        <v>העלה מסמכים</v>
      </c>
      <c r="N54" s="6" t="str">
        <f>IFERROR(__xludf.DUMMYFUNCTION("GOOGLETRANSLATE(B54,""en"",""bn"")"),"নথি আপলোড করুন")</f>
        <v>নথি আপলোড করুন</v>
      </c>
      <c r="O54" s="6"/>
      <c r="P54" s="6"/>
    </row>
    <row r="55">
      <c r="A55" s="8" t="s">
        <v>119</v>
      </c>
      <c r="B55" s="9" t="s">
        <v>120</v>
      </c>
      <c r="C55" s="5" t="str">
        <f>IFERROR(__xludf.DUMMYFUNCTION("GOOGLETRANSLATE(B55,""en"",""hi"")"),"भाषा चुनें")</f>
        <v>भाषा चुनें</v>
      </c>
      <c r="D55" s="6" t="str">
        <f>IFERROR(__xludf.DUMMYFUNCTION("GOOGLETRANSLATE(B55,""en"",""ar"")"),"اختر اللغة")</f>
        <v>اختر اللغة</v>
      </c>
      <c r="E55" s="6" t="str">
        <f>IFERROR(__xludf.DUMMYFUNCTION("GOOGLETRANSLATE(B55,""en"",""fr"")"),"Choisissez la langue")</f>
        <v>Choisissez la langue</v>
      </c>
      <c r="F55" s="6" t="str">
        <f>IFERROR(__xludf.DUMMYFUNCTION("GOOGLETRANSLATE(B55,""en"",""tr"")"),"Dil seçiniz")</f>
        <v>Dil seçiniz</v>
      </c>
      <c r="G55" s="6" t="str">
        <f>IFERROR(__xludf.DUMMYFUNCTION("GOOGLETRANSLATE(B55,""en"",""ru"")"),"Выберите язык")</f>
        <v>Выберите язык</v>
      </c>
      <c r="H55" s="6" t="str">
        <f>IFERROR(__xludf.DUMMYFUNCTION("GOOGLETRANSLATE(B55,""en"",""it"")"),"Scegli la lingua")</f>
        <v>Scegli la lingua</v>
      </c>
      <c r="I55" s="6" t="str">
        <f>IFERROR(__xludf.DUMMYFUNCTION("GOOGLETRANSLATE(B55,""en"",""de"")"),"Sprache wählen")</f>
        <v>Sprache wählen</v>
      </c>
      <c r="J55" s="6" t="str">
        <f>IFERROR(__xludf.DUMMYFUNCTION("GOOGLETRANSLATE(B55,""en"",""ko"")"),"언어를 선택하십시오")</f>
        <v>언어를 선택하십시오</v>
      </c>
      <c r="K55" s="6" t="str">
        <f>IFERROR(__xludf.DUMMYFUNCTION("GOOGLETRANSLATE(B55,""en"",""zh"")"),"选择语言")</f>
        <v>选择语言</v>
      </c>
      <c r="L55" s="6" t="str">
        <f>IFERROR(__xludf.DUMMYFUNCTION("GOOGLETRANSLATE(B55,""en"",""es"")"),"Elige lengua")</f>
        <v>Elige lengua</v>
      </c>
      <c r="M55" s="7" t="str">
        <f>IFERROR(__xludf.DUMMYFUNCTION("GOOGLETRANSLATE(B55,""en"",""iw"")"),"בחר שפה")</f>
        <v>בחר שפה</v>
      </c>
      <c r="N55" s="6" t="str">
        <f>IFERROR(__xludf.DUMMYFUNCTION("GOOGLETRANSLATE(B55,""en"",""bn"")"),"ভাষা নির্বাচন করুন")</f>
        <v>ভাষা নির্বাচন করুন</v>
      </c>
      <c r="O55" s="6"/>
      <c r="P55" s="6"/>
    </row>
    <row r="56">
      <c r="A56" s="8" t="s">
        <v>121</v>
      </c>
      <c r="B56" s="9" t="s">
        <v>122</v>
      </c>
      <c r="C56" s="5" t="str">
        <f>IFERROR(__xludf.DUMMYFUNCTION("GOOGLETRANSLATE(B56,""en"",""hi"")"),"अपना वाहन मॉडल वर्ष दर्ज करें")</f>
        <v>अपना वाहन मॉडल वर्ष दर्ज करें</v>
      </c>
      <c r="D56" s="6" t="str">
        <f>IFERROR(__xludf.DUMMYFUNCTION("GOOGLETRANSLATE(B56,""en"",""ar"")"),"أدخل سنة طراز سيارتك")</f>
        <v>أدخل سنة طراز سيارتك</v>
      </c>
      <c r="E56" s="6" t="str">
        <f>IFERROR(__xludf.DUMMYFUNCTION("GOOGLETRANSLATE(B56,""en"",""fr"")"),"Entrez votre année de modèle de véhicule")</f>
        <v>Entrez votre année de modèle de véhicule</v>
      </c>
      <c r="F56" s="6" t="str">
        <f>IFERROR(__xludf.DUMMYFUNCTION("GOOGLETRANSLATE(B56,""en"",""tr"")"),"Araç Model Yılınızı Girin")</f>
        <v>Araç Model Yılınızı Girin</v>
      </c>
      <c r="G56" s="6" t="str">
        <f>IFERROR(__xludf.DUMMYFUNCTION("GOOGLETRANSLATE(B56,""en"",""ru"")"),"Введите модельный год вашего транспортного средства")</f>
        <v>Введите модельный год вашего транспортного средства</v>
      </c>
      <c r="H56" s="6" t="str">
        <f>IFERROR(__xludf.DUMMYFUNCTION("GOOGLETRANSLATE(B56,""en"",""it"")"),"Inserisci l'anno del modello del veicolo")</f>
        <v>Inserisci l'anno del modello del veicolo</v>
      </c>
      <c r="I56" s="6" t="str">
        <f>IFERROR(__xludf.DUMMYFUNCTION("GOOGLETRANSLATE(B56,""en"",""de"")"),"Geben Sie Ihr Fahrzeugmodelljahr ein")</f>
        <v>Geben Sie Ihr Fahrzeugmodelljahr ein</v>
      </c>
      <c r="J56" s="6" t="str">
        <f>IFERROR(__xludf.DUMMYFUNCTION("GOOGLETRANSLATE(B56,""en"",""ko"")"),"차량 모델을 입력하십시오")</f>
        <v>차량 모델을 입력하십시오</v>
      </c>
      <c r="K56" s="6" t="str">
        <f>IFERROR(__xludf.DUMMYFUNCTION("GOOGLETRANSLATE(B56,""en"",""zh"")"),"输入您的车辆型号")</f>
        <v>输入您的车辆型号</v>
      </c>
      <c r="L56" s="6" t="str">
        <f>IFERROR(__xludf.DUMMYFUNCTION("GOOGLETRANSLATE(B56,""en"",""es"")"),"Ingrese el año modelo de su vehículo")</f>
        <v>Ingrese el año modelo de su vehículo</v>
      </c>
      <c r="M56" s="7" t="str">
        <f>IFERROR(__xludf.DUMMYFUNCTION("GOOGLETRANSLATE(B56,""en"",""iw"")"),"הזן את שנת דגם הרכב שלך")</f>
        <v>הזן את שנת דגם הרכב שלך</v>
      </c>
      <c r="N56" s="6" t="str">
        <f>IFERROR(__xludf.DUMMYFUNCTION("GOOGLETRANSLATE(B56,""en"",""bn"")"),"আপনার যানবাহন মডেল বছর প্রবেশ করুন")</f>
        <v>আপনার যানবাহন মডেল বছর প্রবেশ করুন</v>
      </c>
      <c r="O56" s="6"/>
      <c r="P56" s="6"/>
    </row>
    <row r="57">
      <c r="A57" s="8" t="s">
        <v>123</v>
      </c>
      <c r="B57" s="9" t="s">
        <v>124</v>
      </c>
      <c r="C57" s="5" t="str">
        <f>IFERROR(__xludf.DUMMYFUNCTION("GOOGLETRANSLATE(B57,""en"",""hi"")"),"अपने वाहन का रंग दर्ज करें")</f>
        <v>अपने वाहन का रंग दर्ज करें</v>
      </c>
      <c r="D57" s="6" t="str">
        <f>IFERROR(__xludf.DUMMYFUNCTION("GOOGLETRANSLATE(B57,""en"",""ar"")"),"أدخل لون سيارتك")</f>
        <v>أدخل لون سيارتك</v>
      </c>
      <c r="E57" s="6" t="str">
        <f>IFERROR(__xludf.DUMMYFUNCTION("GOOGLETRANSLATE(B57,""en"",""fr"")"),"Entrez la couleur de votre véhicule")</f>
        <v>Entrez la couleur de votre véhicule</v>
      </c>
      <c r="F57" s="6" t="str">
        <f>IFERROR(__xludf.DUMMYFUNCTION("GOOGLETRANSLATE(B57,""en"",""tr"")"),"Araç renginizi girin")</f>
        <v>Araç renginizi girin</v>
      </c>
      <c r="G57" s="6" t="str">
        <f>IFERROR(__xludf.DUMMYFUNCTION("GOOGLETRANSLATE(B57,""en"",""ru"")"),"Введите цвет вашего автомобиля")</f>
        <v>Введите цвет вашего автомобиля</v>
      </c>
      <c r="H57" s="6" t="str">
        <f>IFERROR(__xludf.DUMMYFUNCTION("GOOGLETRANSLATE(B57,""en"",""it"")"),"Inserisci il colore del tuo veicolo")</f>
        <v>Inserisci il colore del tuo veicolo</v>
      </c>
      <c r="I57" s="6" t="str">
        <f>IFERROR(__xludf.DUMMYFUNCTION("GOOGLETRANSLATE(B57,""en"",""de"")"),"Geben Sie Ihre Fahrzeugfarbe ein")</f>
        <v>Geben Sie Ihre Fahrzeugfarbe ein</v>
      </c>
      <c r="J57" s="6" t="str">
        <f>IFERROR(__xludf.DUMMYFUNCTION("GOOGLETRANSLATE(B57,""en"",""ko"")"),"차량 색상을 입력하십시오")</f>
        <v>차량 색상을 입력하십시오</v>
      </c>
      <c r="K57" s="6" t="str">
        <f>IFERROR(__xludf.DUMMYFUNCTION("GOOGLETRANSLATE(B57,""en"",""zh"")"),"输入您的车辆颜色")</f>
        <v>输入您的车辆颜色</v>
      </c>
      <c r="L57" s="6" t="str">
        <f>IFERROR(__xludf.DUMMYFUNCTION("GOOGLETRANSLATE(B57,""en"",""es"")"),"Ingrese el color de su vehículo")</f>
        <v>Ingrese el color de su vehículo</v>
      </c>
      <c r="M57" s="7" t="str">
        <f>IFERROR(__xludf.DUMMYFUNCTION("GOOGLETRANSLATE(B57,""en"",""iw"")"),"הזן את צבע הרכב שלך")</f>
        <v>הזן את צבע הרכב שלך</v>
      </c>
      <c r="N57" s="6" t="str">
        <f>IFERROR(__xludf.DUMMYFUNCTION("GOOGLETRANSLATE(B57,""en"",""bn"")"),"আপনার গাড়ির রঙ লিখুন")</f>
        <v>আপনার গাড়ির রঙ লিখুন</v>
      </c>
      <c r="O57" s="6"/>
      <c r="P57" s="6"/>
    </row>
    <row r="58">
      <c r="A58" s="8" t="s">
        <v>125</v>
      </c>
      <c r="B58" s="9" t="s">
        <v>126</v>
      </c>
      <c r="C58" s="5" t="str">
        <f>IFERROR(__xludf.DUMMYFUNCTION("GOOGLETRANSLATE(B58,""en"",""hi"")"),"अद्यतन दस्तावेज")</f>
        <v>अद्यतन दस्तावेज</v>
      </c>
      <c r="D58" s="6" t="str">
        <f>IFERROR(__xludf.DUMMYFUNCTION("GOOGLETRANSLATE(B58,""en"",""ar"")"),"تحديث المستندات")</f>
        <v>تحديث المستندات</v>
      </c>
      <c r="E58" s="6" t="str">
        <f>IFERROR(__xludf.DUMMYFUNCTION("GOOGLETRANSLATE(B58,""en"",""fr"")"),"Mettre à jour les documents")</f>
        <v>Mettre à jour les documents</v>
      </c>
      <c r="F58" s="6" t="str">
        <f>IFERROR(__xludf.DUMMYFUNCTION("GOOGLETRANSLATE(B58,""en"",""tr"")"),"Belgeleri Güncelle")</f>
        <v>Belgeleri Güncelle</v>
      </c>
      <c r="G58" s="6" t="str">
        <f>IFERROR(__xludf.DUMMYFUNCTION("GOOGLETRANSLATE(B58,""en"",""ru"")"),"Обновить документы")</f>
        <v>Обновить документы</v>
      </c>
      <c r="H58" s="6" t="str">
        <f>IFERROR(__xludf.DUMMYFUNCTION("GOOGLETRANSLATE(B58,""en"",""it"")"),"Aggiorna i documenti")</f>
        <v>Aggiorna i documenti</v>
      </c>
      <c r="I58" s="6" t="str">
        <f>IFERROR(__xludf.DUMMYFUNCTION("GOOGLETRANSLATE(B58,""en"",""de"")"),"Dokumente aktualisieren")</f>
        <v>Dokumente aktualisieren</v>
      </c>
      <c r="J58" s="6" t="str">
        <f>IFERROR(__xludf.DUMMYFUNCTION("GOOGLETRANSLATE(B58,""en"",""ko"")"),"문서를 업데이트하십시오")</f>
        <v>문서를 업데이트하십시오</v>
      </c>
      <c r="K58" s="6" t="str">
        <f>IFERROR(__xludf.DUMMYFUNCTION("GOOGLETRANSLATE(B58,""en"",""zh"")"),"更新文档")</f>
        <v>更新文档</v>
      </c>
      <c r="L58" s="6" t="str">
        <f>IFERROR(__xludf.DUMMYFUNCTION("GOOGLETRANSLATE(B58,""en"",""es"")"),"Actualizar documentos")</f>
        <v>Actualizar documentos</v>
      </c>
      <c r="M58" s="7" t="str">
        <f>IFERROR(__xludf.DUMMYFUNCTION("GOOGLETRANSLATE(B58,""en"",""iw"")"),"עדכן מסמכים")</f>
        <v>עדכן מסמכים</v>
      </c>
      <c r="N58" s="6" t="str">
        <f>IFERROR(__xludf.DUMMYFUNCTION("GOOGLETRANSLATE(B58,""en"",""bn"")"),"ডকুমেন্ট আপডেট করুন")</f>
        <v>ডকুমেন্ট আপডেট করুন</v>
      </c>
      <c r="O58" s="6"/>
      <c r="P58" s="6"/>
    </row>
    <row r="59">
      <c r="A59" s="8" t="s">
        <v>127</v>
      </c>
      <c r="B59" s="9" t="s">
        <v>128</v>
      </c>
      <c r="C59" s="5" t="str">
        <f>IFERROR(__xludf.DUMMYFUNCTION("GOOGLETRANSLATE(B59,""en"",""hi"")"),"अवरुद्ध खाता")</f>
        <v>अवरुद्ध खाता</v>
      </c>
      <c r="D59" s="6" t="str">
        <f>IFERROR(__xludf.DUMMYFUNCTION("GOOGLETRANSLATE(B59,""en"",""ar"")"),"حساب تم إغلاقه")</f>
        <v>حساب تم إغلاقه</v>
      </c>
      <c r="E59" s="6" t="str">
        <f>IFERROR(__xludf.DUMMYFUNCTION("GOOGLETRANSLATE(B59,""en"",""fr"")"),"Compte bloqué")</f>
        <v>Compte bloqué</v>
      </c>
      <c r="F59" s="6" t="str">
        <f>IFERROR(__xludf.DUMMYFUNCTION("GOOGLETRANSLATE(B59,""en"",""tr"")"),"Hesap engellendi")</f>
        <v>Hesap engellendi</v>
      </c>
      <c r="G59" s="6" t="str">
        <f>IFERROR(__xludf.DUMMYFUNCTION("GOOGLETRANSLATE(B59,""en"",""ru"")"),"Счет заблокирован")</f>
        <v>Счет заблокирован</v>
      </c>
      <c r="H59" s="6" t="str">
        <f>IFERROR(__xludf.DUMMYFUNCTION("GOOGLETRANSLATE(B59,""en"",""it"")"),"Account bloccato")</f>
        <v>Account bloccato</v>
      </c>
      <c r="I59" s="6" t="str">
        <f>IFERROR(__xludf.DUMMYFUNCTION("GOOGLETRANSLATE(B59,""en"",""de"")"),"Konto gesperrt")</f>
        <v>Konto gesperrt</v>
      </c>
      <c r="J59" s="6" t="str">
        <f>IFERROR(__xludf.DUMMYFUNCTION("GOOGLETRANSLATE(B59,""en"",""ko"")"),"계정 차단")</f>
        <v>계정 차단</v>
      </c>
      <c r="K59" s="6" t="str">
        <f>IFERROR(__xludf.DUMMYFUNCTION("GOOGLETRANSLATE(B59,""en"",""zh"")"),"帐户被阻止")</f>
        <v>帐户被阻止</v>
      </c>
      <c r="L59" s="6" t="str">
        <f>IFERROR(__xludf.DUMMYFUNCTION("GOOGLETRANSLATE(B59,""en"",""es"")"),"Cuenta bloqueada")</f>
        <v>Cuenta bloqueada</v>
      </c>
      <c r="M59" s="7" t="str">
        <f>IFERROR(__xludf.DUMMYFUNCTION("GOOGLETRANSLATE(B59,""en"",""iw"")"),"חשבון חסום")</f>
        <v>חשבון חסום</v>
      </c>
      <c r="N59" s="6" t="str">
        <f>IFERROR(__xludf.DUMMYFUNCTION("GOOGLETRANSLATE(B59,""en"",""bn"")"),"অ্যাকাউন্ট অবরুদ্ধ")</f>
        <v>অ্যাকাউন্ট অবরুদ্ধ</v>
      </c>
      <c r="O59" s="6"/>
      <c r="P59" s="6"/>
    </row>
    <row r="60">
      <c r="A60" s="8" t="s">
        <v>129</v>
      </c>
      <c r="B60" s="9" t="s">
        <v>130</v>
      </c>
      <c r="C60" s="5" t="str">
        <f>IFERROR(__xludf.DUMMYFUNCTION("GOOGLETRANSLATE(B60,""en"",""hi"")"),"आपका खाता निम्नलिखित कारणों से अवरुद्ध है")</f>
        <v>आपका खाता निम्नलिखित कारणों से अवरुद्ध है</v>
      </c>
      <c r="D60" s="6" t="str">
        <f>IFERROR(__xludf.DUMMYFUNCTION("GOOGLETRANSLATE(B60,""en"",""ar"")"),"تم حظر حسابك للأسباب التالية")</f>
        <v>تم حظر حسابك للأسباب التالية</v>
      </c>
      <c r="E60" s="6" t="str">
        <f>IFERROR(__xludf.DUMMYFUNCTION("GOOGLETRANSLATE(B60,""en"",""fr"")"),"Votre compte est bloqué pour les raisons suivantes")</f>
        <v>Votre compte est bloqué pour les raisons suivantes</v>
      </c>
      <c r="F60" s="6" t="str">
        <f>IFERROR(__xludf.DUMMYFUNCTION("GOOGLETRANSLATE(B60,""en"",""tr"")"),"Hesabınız aşağıdaki nedenlerle engellenir")</f>
        <v>Hesabınız aşağıdaki nedenlerle engellenir</v>
      </c>
      <c r="G60" s="6" t="str">
        <f>IFERROR(__xludf.DUMMYFUNCTION("GOOGLETRANSLATE(B60,""en"",""ru"")"),"Ваша учетная запись заблокирована по следующим причинам")</f>
        <v>Ваша учетная запись заблокирована по следующим причинам</v>
      </c>
      <c r="H60" s="6" t="str">
        <f>IFERROR(__xludf.DUMMYFUNCTION("GOOGLETRANSLATE(B60,""en"",""it"")"),"Il tuo account è bloccato per i seguenti motivi")</f>
        <v>Il tuo account è bloccato per i seguenti motivi</v>
      </c>
      <c r="I60" s="6" t="str">
        <f>IFERROR(__xludf.DUMMYFUNCTION("GOOGLETRANSLATE(B60,""en"",""de"")"),"Ihr Konto ist aus den folgenden Gründen blockiert")</f>
        <v>Ihr Konto ist aus den folgenden Gründen blockiert</v>
      </c>
      <c r="J60" s="6" t="str">
        <f>IFERROR(__xludf.DUMMYFUNCTION("GOOGLETRANSLATE(B60,""en"",""ko"")"),"귀하의 계정은 다음과 같은 이유로 차단됩니다")</f>
        <v>귀하의 계정은 다음과 같은 이유로 차단됩니다</v>
      </c>
      <c r="K60" s="6" t="str">
        <f>IFERROR(__xludf.DUMMYFUNCTION("GOOGLETRANSLATE(B60,""en"",""zh"")"),"由于以下原因，您的帐户被阻止")</f>
        <v>由于以下原因，您的帐户被阻止</v>
      </c>
      <c r="L60" s="6" t="str">
        <f>IFERROR(__xludf.DUMMYFUNCTION("GOOGLETRANSLATE(B60,""en"",""es"")"),"Su cuenta está bloqueada por las siguientes razones")</f>
        <v>Su cuenta está bloqueada por las siguientes razones</v>
      </c>
      <c r="M60" s="7" t="str">
        <f>IFERROR(__xludf.DUMMYFUNCTION("GOOGLETRANSLATE(B60,""en"",""iw"")"),"חשבונך חסום מהסיבות הבאות")</f>
        <v>חשבונך חסום מהסיבות הבאות</v>
      </c>
      <c r="N60" s="6" t="str">
        <f>IFERROR(__xludf.DUMMYFUNCTION("GOOGLETRANSLATE(B60,""en"",""bn"")"),"আপনার অ্যাকাউন্ট নিম্নলিখিত কারণে অবরুদ্ধ")</f>
        <v>আপনার অ্যাকাউন্ট নিম্নলিখিত কারণে অবরুদ্ধ</v>
      </c>
      <c r="O60" s="6"/>
      <c r="P60" s="6"/>
    </row>
    <row r="61">
      <c r="A61" s="8" t="s">
        <v>131</v>
      </c>
      <c r="B61" s="9" t="s">
        <v>132</v>
      </c>
      <c r="C61" s="5" t="str">
        <f>IFERROR(__xludf.DUMMYFUNCTION("GOOGLETRANSLATE(B61,""en"",""hi"")"),"अपने व्यवस्थापक से संपर्क करें")</f>
        <v>अपने व्यवस्थापक से संपर्क करें</v>
      </c>
      <c r="D61" s="6" t="str">
        <f>IFERROR(__xludf.DUMMYFUNCTION("GOOGLETRANSLATE(B61,""en"",""ar"")"),"اتصل بمسؤولك")</f>
        <v>اتصل بمسؤولك</v>
      </c>
      <c r="E61" s="6" t="str">
        <f>IFERROR(__xludf.DUMMYFUNCTION("GOOGLETRANSLATE(B61,""en"",""fr"")"),"Contactez votre administrateur")</f>
        <v>Contactez votre administrateur</v>
      </c>
      <c r="F61" s="6" t="str">
        <f>IFERROR(__xludf.DUMMYFUNCTION("GOOGLETRANSLATE(B61,""en"",""tr"")"),"Yöneticinizle iletişime geçin")</f>
        <v>Yöneticinizle iletişime geçin</v>
      </c>
      <c r="G61" s="6" t="str">
        <f>IFERROR(__xludf.DUMMYFUNCTION("GOOGLETRANSLATE(B61,""en"",""ru"")"),"Свяжитесь с вашим администратором")</f>
        <v>Свяжитесь с вашим администратором</v>
      </c>
      <c r="H61" s="6" t="str">
        <f>IFERROR(__xludf.DUMMYFUNCTION("GOOGLETRANSLATE(B61,""en"",""it"")"),"Contatta il tuo amministratore")</f>
        <v>Contatta il tuo amministratore</v>
      </c>
      <c r="I61" s="6" t="str">
        <f>IFERROR(__xludf.DUMMYFUNCTION("GOOGLETRANSLATE(B61,""en"",""de"")"),"Wenden Sie sich an Ihren Administrator")</f>
        <v>Wenden Sie sich an Ihren Administrator</v>
      </c>
      <c r="J61" s="6" t="str">
        <f>IFERROR(__xludf.DUMMYFUNCTION("GOOGLETRANSLATE(B61,""en"",""ko"")"),"관리자에게 연락하십시오")</f>
        <v>관리자에게 연락하십시오</v>
      </c>
      <c r="K61" s="6" t="str">
        <f>IFERROR(__xludf.DUMMYFUNCTION("GOOGLETRANSLATE(B61,""en"",""zh"")"),"联系您的管理员")</f>
        <v>联系您的管理员</v>
      </c>
      <c r="L61" s="6" t="str">
        <f>IFERROR(__xludf.DUMMYFUNCTION("GOOGLETRANSLATE(B61,""en"",""es"")"),"Póngase en contacto con su administrador")</f>
        <v>Póngase en contacto con su administrador</v>
      </c>
      <c r="M61" s="7" t="str">
        <f>IFERROR(__xludf.DUMMYFUNCTION("GOOGLETRANSLATE(B61,""en"",""iw"")"),"צור קשר עם המנהל שלך")</f>
        <v>צור קשר עם המנהל שלך</v>
      </c>
      <c r="N61" s="6" t="str">
        <f>IFERROR(__xludf.DUMMYFUNCTION("GOOGLETRANSLATE(B61,""en"",""bn"")"),"আপনার প্রশাসকের সাথে যোগাযোগ করুন")</f>
        <v>আপনার প্রশাসকের সাথে যোগাযোগ করুন</v>
      </c>
      <c r="O61" s="6"/>
      <c r="P61" s="6"/>
    </row>
    <row r="62">
      <c r="A62" s="8" t="s">
        <v>133</v>
      </c>
      <c r="B62" s="9" t="s">
        <v>134</v>
      </c>
      <c r="C62" s="5" t="str">
        <f>IFERROR(__xludf.DUMMYFUNCTION("GOOGLETRANSLATE(B62,""en"",""hi"")"),"कृपया अपना स्थान सक्षम करें")</f>
        <v>कृपया अपना स्थान सक्षम करें</v>
      </c>
      <c r="D62" s="6" t="str">
        <f>IFERROR(__xludf.DUMMYFUNCTION("GOOGLETRANSLATE(B62,""en"",""ar"")"),"يرجى تمكين موقعك")</f>
        <v>يرجى تمكين موقعك</v>
      </c>
      <c r="E62" s="6" t="str">
        <f>IFERROR(__xludf.DUMMYFUNCTION("GOOGLETRANSLATE(B62,""en"",""fr"")"),"Veuillez activer votre emplacement")</f>
        <v>Veuillez activer votre emplacement</v>
      </c>
      <c r="F62" s="6" t="str">
        <f>IFERROR(__xludf.DUMMYFUNCTION("GOOGLETRANSLATE(B62,""en"",""tr"")"),"Lütfen konumunuzu etkinleştirin")</f>
        <v>Lütfen konumunuzu etkinleştirin</v>
      </c>
      <c r="G62" s="6" t="str">
        <f>IFERROR(__xludf.DUMMYFUNCTION("GOOGLETRANSLATE(B62,""en"",""ru"")"),"Пожалуйста, включите ваше местоположение")</f>
        <v>Пожалуйста, включите ваше местоположение</v>
      </c>
      <c r="H62" s="6" t="str">
        <f>IFERROR(__xludf.DUMMYFUNCTION("GOOGLETRANSLATE(B62,""en"",""it"")"),"Si prega di abilitare la tua posizione")</f>
        <v>Si prega di abilitare la tua posizione</v>
      </c>
      <c r="I62" s="6" t="str">
        <f>IFERROR(__xludf.DUMMYFUNCTION("GOOGLETRANSLATE(B62,""en"",""de"")"),"Bitte aktivieren Sie Ihren Standort")</f>
        <v>Bitte aktivieren Sie Ihren Standort</v>
      </c>
      <c r="J62" s="6" t="str">
        <f>IFERROR(__xludf.DUMMYFUNCTION("GOOGLETRANSLATE(B62,""en"",""ko"")"),"귀하의 위치를 ​​활성화하십시오")</f>
        <v>귀하의 위치를 ​​활성화하십시오</v>
      </c>
      <c r="K62" s="6" t="str">
        <f>IFERROR(__xludf.DUMMYFUNCTION("GOOGLETRANSLATE(B62,""en"",""zh"")"),"请启用您的位置")</f>
        <v>请启用您的位置</v>
      </c>
      <c r="L62" s="6" t="str">
        <f>IFERROR(__xludf.DUMMYFUNCTION("GOOGLETRANSLATE(B62,""en"",""es"")"),"Por favor, habilite su ubicación")</f>
        <v>Por favor, habilite su ubicación</v>
      </c>
      <c r="M62" s="7" t="str">
        <f>IFERROR(__xludf.DUMMYFUNCTION("GOOGLETRANSLATE(B62,""en"",""iw"")"),"אנא הפעל את המיקום שלך")</f>
        <v>אנא הפעל את המיקום שלך</v>
      </c>
      <c r="N62" s="6" t="str">
        <f>IFERROR(__xludf.DUMMYFUNCTION("GOOGLETRANSLATE(B62,""en"",""bn"")"),"আপনার অবস্থান সক্ষম করুন")</f>
        <v>আপনার অবস্থান সক্ষম করুন</v>
      </c>
      <c r="O62" s="6"/>
      <c r="P62" s="6"/>
    </row>
    <row r="63">
      <c r="A63" s="8" t="s">
        <v>135</v>
      </c>
      <c r="B63" s="9" t="s">
        <v>136</v>
      </c>
      <c r="C63" s="5" t="str">
        <f>IFERROR(__xludf.DUMMYFUNCTION("GOOGLETRANSLATE(B63,""en"",""hi"")"),"ठीक")</f>
        <v>ठीक</v>
      </c>
      <c r="D63" s="6" t="str">
        <f>IFERROR(__xludf.DUMMYFUNCTION("GOOGLETRANSLATE(B63,""en"",""ar"")"),"موافق")</f>
        <v>موافق</v>
      </c>
      <c r="E63" s="6" t="str">
        <f>IFERROR(__xludf.DUMMYFUNCTION("GOOGLETRANSLATE(B63,""en"",""fr"")"),"D'accord")</f>
        <v>D'accord</v>
      </c>
      <c r="F63" s="6" t="str">
        <f>IFERROR(__xludf.DUMMYFUNCTION("GOOGLETRANSLATE(B63,""en"",""tr"")"),"Tamam")</f>
        <v>Tamam</v>
      </c>
      <c r="G63" s="6" t="str">
        <f>IFERROR(__xludf.DUMMYFUNCTION("GOOGLETRANSLATE(B63,""en"",""ru"")"),"Ok")</f>
        <v>Ok</v>
      </c>
      <c r="H63" s="6" t="str">
        <f>IFERROR(__xludf.DUMMYFUNCTION("GOOGLETRANSLATE(B63,""en"",""it"")"),"Ok")</f>
        <v>Ok</v>
      </c>
      <c r="I63" s="6" t="str">
        <f>IFERROR(__xludf.DUMMYFUNCTION("GOOGLETRANSLATE(B63,""en"",""de"")"),"OK")</f>
        <v>OK</v>
      </c>
      <c r="J63" s="6" t="str">
        <f>IFERROR(__xludf.DUMMYFUNCTION("GOOGLETRANSLATE(B63,""en"",""ko"")"),"확인")</f>
        <v>확인</v>
      </c>
      <c r="K63" s="6" t="str">
        <f>IFERROR(__xludf.DUMMYFUNCTION("GOOGLETRANSLATE(B63,""en"",""zh"")"),"好的")</f>
        <v>好的</v>
      </c>
      <c r="L63" s="6" t="str">
        <f>IFERROR(__xludf.DUMMYFUNCTION("GOOGLETRANSLATE(B63,""en"",""es"")"),"OK")</f>
        <v>OK</v>
      </c>
      <c r="M63" s="7" t="str">
        <f>IFERROR(__xludf.DUMMYFUNCTION("GOOGLETRANSLATE(B63,""en"",""iw"")"),"בסדר")</f>
        <v>בסדר</v>
      </c>
      <c r="N63" s="6" t="str">
        <f>IFERROR(__xludf.DUMMYFUNCTION("GOOGLETRANSLATE(B63,""en"",""bn"")"),"ঠিক আছে")</f>
        <v>ঠিক আছে</v>
      </c>
      <c r="O63" s="6"/>
      <c r="P63" s="6"/>
    </row>
    <row r="64">
      <c r="A64" s="8" t="s">
        <v>137</v>
      </c>
      <c r="B64" s="9" t="s">
        <v>138</v>
      </c>
      <c r="C64" s="5" t="str">
        <f>IFERROR(__xludf.DUMMYFUNCTION("GOOGLETRANSLATE(B64,""en"",""hi"")"),"हर समय स्थान की अनुमति दें - एक सवारी बुक करने के लिए")</f>
        <v>हर समय स्थान की अनुमति दें - एक सवारी बुक करने के लिए</v>
      </c>
      <c r="D64" s="6" t="str">
        <f>IFERROR(__xludf.DUMMYFUNCTION("GOOGLETRANSLATE(B64,""en"",""ar"")"),"اسمح للموقع طوال الوقت - لحجز رحلة")</f>
        <v>اسمح للموقع طوال الوقت - لحجز رحلة</v>
      </c>
      <c r="E64" s="6" t="str">
        <f>IFERROR(__xludf.DUMMYFUNCTION("GOOGLETRANSLATE(B64,""en"",""fr"")"),"Autoriser l'emplacement tout le temps - pour réserver un trajet")</f>
        <v>Autoriser l'emplacement tout le temps - pour réserver un trajet</v>
      </c>
      <c r="F64" s="6" t="str">
        <f>IFERROR(__xludf.DUMMYFUNCTION("GOOGLETRANSLATE(B64,""en"",""tr"")"),"Her zaman konuma izin verin - bir yolculuk rezervasyonu")</f>
        <v>Her zaman konuma izin verin - bir yolculuk rezervasyonu</v>
      </c>
      <c r="G64" s="6" t="str">
        <f>IFERROR(__xludf.DUMMYFUNCTION("GOOGLETRANSLATE(B64,""en"",""ru"")"),"Разрешить местоположение все время - забронировать поездку")</f>
        <v>Разрешить местоположение все время - забронировать поездку</v>
      </c>
      <c r="H64" s="6" t="str">
        <f>IFERROR(__xludf.DUMMYFUNCTION("GOOGLETRANSLATE(B64,""en"",""it"")"),"Consenti sempre la posizione - per prenotare un giro")</f>
        <v>Consenti sempre la posizione - per prenotare un giro</v>
      </c>
      <c r="I64" s="6" t="str">
        <f>IFERROR(__xludf.DUMMYFUNCTION("GOOGLETRANSLATE(B64,""en"",""de"")"),"Lassen Sie die Lage ständig zulassen - eine Fahrt buchen")</f>
        <v>Lassen Sie die Lage ständig zulassen - eine Fahrt buchen</v>
      </c>
      <c r="J64" s="6" t="str">
        <f>IFERROR(__xludf.DUMMYFUNCTION("GOOGLETRANSLATE(B64,""en"",""ko"")"),"항상 위치 허용 - 승차 예약")</f>
        <v>항상 위치 허용 - 승차 예약</v>
      </c>
      <c r="K64" s="6" t="str">
        <f>IFERROR(__xludf.DUMMYFUNCTION("GOOGLETRANSLATE(B64,""en"",""zh"")"),"一直允许位置 - 预订")</f>
        <v>一直允许位置 - 预订</v>
      </c>
      <c r="L64" s="6" t="str">
        <f>IFERROR(__xludf.DUMMYFUNCTION("GOOGLETRANSLATE(B64,""en"",""es"")"),"Permitir ubicación todo el tiempo - para reservar un paseo")</f>
        <v>Permitir ubicación todo el tiempo - para reservar un paseo</v>
      </c>
      <c r="M64" s="7" t="str">
        <f>IFERROR(__xludf.DUMMYFUNCTION("GOOGLETRANSLATE(B64,""en"",""iw"")"),"אפשר למיקום כל הזמן - להזמין טרמפ")</f>
        <v>אפשר למיקום כל הזמן - להזמין טרמפ</v>
      </c>
      <c r="N64" s="6" t="str">
        <f>IFERROR(__xludf.DUMMYFUNCTION("GOOGLETRANSLATE(B64,""en"",""bn"")"),"সারাক্ষণ অবস্থানের অনুমতি দিন - একটি যাত্রা বুক করতে")</f>
        <v>সারাক্ষণ অবস্থানের অনুমতি দিন - একটি যাত্রা বুক করতে</v>
      </c>
      <c r="O64" s="6"/>
      <c r="P64" s="6"/>
    </row>
    <row r="65">
      <c r="A65" s="8" t="s">
        <v>139</v>
      </c>
      <c r="B65" s="9" t="s">
        <v>140</v>
      </c>
      <c r="C65" s="5" t="str">
        <f>IFERROR(__xludf.DUMMYFUNCTION("GOOGLETRANSLATE(B65,""en"",""hi"")"),"काम पर")</f>
        <v>काम पर</v>
      </c>
      <c r="D65" s="6" t="str">
        <f>IFERROR(__xludf.DUMMYFUNCTION("GOOGLETRANSLATE(B65,""en"",""ar"")"),"في الخدمة")</f>
        <v>في الخدمة</v>
      </c>
      <c r="E65" s="6" t="str">
        <f>IFERROR(__xludf.DUMMYFUNCTION("GOOGLETRANSLATE(B65,""en"",""fr"")"),"En service")</f>
        <v>En service</v>
      </c>
      <c r="F65" s="6" t="str">
        <f>IFERROR(__xludf.DUMMYFUNCTION("GOOGLETRANSLATE(B65,""en"",""tr"")"),"Görevde")</f>
        <v>Görevde</v>
      </c>
      <c r="G65" s="6" t="str">
        <f>IFERROR(__xludf.DUMMYFUNCTION("GOOGLETRANSLATE(B65,""en"",""ru"")"),"На службе")</f>
        <v>На службе</v>
      </c>
      <c r="H65" s="6" t="str">
        <f>IFERROR(__xludf.DUMMYFUNCTION("GOOGLETRANSLATE(B65,""en"",""it"")"),"In servizio")</f>
        <v>In servizio</v>
      </c>
      <c r="I65" s="6" t="str">
        <f>IFERROR(__xludf.DUMMYFUNCTION("GOOGLETRANSLATE(B65,""en"",""de"")"),"Im Dienst")</f>
        <v>Im Dienst</v>
      </c>
      <c r="J65" s="6" t="str">
        <f>IFERROR(__xludf.DUMMYFUNCTION("GOOGLETRANSLATE(B65,""en"",""ko"")"),"근무중인")</f>
        <v>근무중인</v>
      </c>
      <c r="K65" s="6" t="str">
        <f>IFERROR(__xludf.DUMMYFUNCTION("GOOGLETRANSLATE(B65,""en"",""zh"")"),"值班")</f>
        <v>值班</v>
      </c>
      <c r="L65" s="6" t="str">
        <f>IFERROR(__xludf.DUMMYFUNCTION("GOOGLETRANSLATE(B65,""en"",""es"")"),"De servicio")</f>
        <v>De servicio</v>
      </c>
      <c r="M65" s="7" t="str">
        <f>IFERROR(__xludf.DUMMYFUNCTION("GOOGLETRANSLATE(B65,""en"",""iw"")"),"בתפקיד")</f>
        <v>בתפקיד</v>
      </c>
      <c r="N65" s="6" t="str">
        <f>IFERROR(__xludf.DUMMYFUNCTION("GOOGLETRANSLATE(B65,""en"",""bn"")"),"কাজে আছি")</f>
        <v>কাজে আছি</v>
      </c>
      <c r="O65" s="6"/>
      <c r="P65" s="6"/>
    </row>
    <row r="66">
      <c r="A66" s="8" t="s">
        <v>141</v>
      </c>
      <c r="B66" s="9" t="s">
        <v>142</v>
      </c>
      <c r="C66" s="5" t="str">
        <f>IFERROR(__xludf.DUMMYFUNCTION("GOOGLETRANSLATE(B66,""en"",""hi"")"),"काम के समय के बाद")</f>
        <v>काम के समय के बाद</v>
      </c>
      <c r="D66" s="6" t="str">
        <f>IFERROR(__xludf.DUMMYFUNCTION("GOOGLETRANSLATE(B66,""en"",""ar"")"),"خارج الخدمه")</f>
        <v>خارج الخدمه</v>
      </c>
      <c r="E66" s="6" t="str">
        <f>IFERROR(__xludf.DUMMYFUNCTION("GOOGLETRANSLATE(B66,""en"",""fr"")"),"En congé")</f>
        <v>En congé</v>
      </c>
      <c r="F66" s="6" t="str">
        <f>IFERROR(__xludf.DUMMYFUNCTION("GOOGLETRANSLATE(B66,""en"",""tr"")"),"Görev dışı")</f>
        <v>Görev dışı</v>
      </c>
      <c r="G66" s="6" t="str">
        <f>IFERROR(__xludf.DUMMYFUNCTION("GOOGLETRANSLATE(B66,""en"",""ru"")"),"Вне службы")</f>
        <v>Вне службы</v>
      </c>
      <c r="H66" s="6" t="str">
        <f>IFERROR(__xludf.DUMMYFUNCTION("GOOGLETRANSLATE(B66,""en"",""it"")"),"Fuori servizio")</f>
        <v>Fuori servizio</v>
      </c>
      <c r="I66" s="6" t="str">
        <f>IFERROR(__xludf.DUMMYFUNCTION("GOOGLETRANSLATE(B66,""en"",""de"")"),"Aus Dienst außerhalb des Dienstes")</f>
        <v>Aus Dienst außerhalb des Dienstes</v>
      </c>
      <c r="J66" s="6" t="str">
        <f>IFERROR(__xludf.DUMMYFUNCTION("GOOGLETRANSLATE(B66,""en"",""ko"")"),"근무 외부")</f>
        <v>근무 외부</v>
      </c>
      <c r="K66" s="6" t="str">
        <f>IFERROR(__xludf.DUMMYFUNCTION("GOOGLETRANSLATE(B66,""en"",""zh"")"),"下班")</f>
        <v>下班</v>
      </c>
      <c r="L66" s="6" t="str">
        <f>IFERROR(__xludf.DUMMYFUNCTION("GOOGLETRANSLATE(B66,""en"",""es"")"),"Fuera de servicio")</f>
        <v>Fuera de servicio</v>
      </c>
      <c r="M66" s="7" t="str">
        <f>IFERROR(__xludf.DUMMYFUNCTION("GOOGLETRANSLATE(B66,""en"",""iw"")"),"לא בתפקיד")</f>
        <v>לא בתפקיד</v>
      </c>
      <c r="N66" s="6" t="str">
        <f>IFERROR(__xludf.DUMMYFUNCTION("GOOGLETRANSLATE(B66,""en"",""bn"")"),"দায়িত্ব বন্ধ")</f>
        <v>দায়িত্ব বন্ধ</v>
      </c>
      <c r="O66" s="6"/>
      <c r="P66" s="6"/>
    </row>
    <row r="67">
      <c r="A67" s="8" t="s">
        <v>143</v>
      </c>
      <c r="B67" s="9" t="s">
        <v>144</v>
      </c>
      <c r="C67" s="5" t="str">
        <f>IFERROR(__xludf.DUMMYFUNCTION("GOOGLETRANSLATE(B67,""en"",""hi"")"),"पिक अप बिंदु")</f>
        <v>पिक अप बिंदु</v>
      </c>
      <c r="D67" s="6" t="str">
        <f>IFERROR(__xludf.DUMMYFUNCTION("GOOGLETRANSLATE(B67,""en"",""ar"")"),"نقطة التقاط")</f>
        <v>نقطة التقاط</v>
      </c>
      <c r="E67" s="6" t="str">
        <f>IFERROR(__xludf.DUMMYFUNCTION("GOOGLETRANSLATE(B67,""en"",""fr"")"),"Point de ramassage")</f>
        <v>Point de ramassage</v>
      </c>
      <c r="F67" s="6" t="str">
        <f>IFERROR(__xludf.DUMMYFUNCTION("GOOGLETRANSLATE(B67,""en"",""tr"")"),"Pikap noktası")</f>
        <v>Pikap noktası</v>
      </c>
      <c r="G67" s="6" t="str">
        <f>IFERROR(__xludf.DUMMYFUNCTION("GOOGLETRANSLATE(B67,""en"",""ru"")"),"Место сбора")</f>
        <v>Место сбора</v>
      </c>
      <c r="H67" s="6" t="str">
        <f>IFERROR(__xludf.DUMMYFUNCTION("GOOGLETRANSLATE(B67,""en"",""it"")"),"Punto di raccolta")</f>
        <v>Punto di raccolta</v>
      </c>
      <c r="I67" s="6" t="str">
        <f>IFERROR(__xludf.DUMMYFUNCTION("GOOGLETRANSLATE(B67,""en"",""de"")"),"Abholpunkt")</f>
        <v>Abholpunkt</v>
      </c>
      <c r="J67" s="6" t="str">
        <f>IFERROR(__xludf.DUMMYFUNCTION("GOOGLETRANSLATE(B67,""en"",""ko"")"),"픽업 지점")</f>
        <v>픽업 지점</v>
      </c>
      <c r="K67" s="6" t="str">
        <f>IFERROR(__xludf.DUMMYFUNCTION("GOOGLETRANSLATE(B67,""en"",""zh"")"),"接送的地点")</f>
        <v>接送的地点</v>
      </c>
      <c r="L67" s="6" t="str">
        <f>IFERROR(__xludf.DUMMYFUNCTION("GOOGLETRANSLATE(B67,""en"",""es"")"),"Punto de recogida")</f>
        <v>Punto de recogida</v>
      </c>
      <c r="M67" s="7" t="str">
        <f>IFERROR(__xludf.DUMMYFUNCTION("GOOGLETRANSLATE(B67,""en"",""iw"")"),"נקודת איסוף")</f>
        <v>נקודת איסוף</v>
      </c>
      <c r="N67" s="6" t="str">
        <f>IFERROR(__xludf.DUMMYFUNCTION("GOOGLETRANSLATE(B67,""en"",""bn"")"),"সংগ্রহের স্থান")</f>
        <v>সংগ্রহের স্থান</v>
      </c>
      <c r="O67" s="6"/>
      <c r="P67" s="6"/>
    </row>
    <row r="68">
      <c r="A68" s="8" t="s">
        <v>145</v>
      </c>
      <c r="B68" s="9" t="s">
        <v>146</v>
      </c>
      <c r="C68" s="5" t="str">
        <f>IFERROR(__xludf.DUMMYFUNCTION("GOOGLETRANSLATE(B68,""en"",""hi"")"),"ड्रॉपआउट प्वाइंट")</f>
        <v>ड्रॉपआउट प्वाइंट</v>
      </c>
      <c r="D68" s="6" t="str">
        <f>IFERROR(__xludf.DUMMYFUNCTION("GOOGLETRANSLATE(B68,""en"",""ar"")"),"نقطة التسرب")</f>
        <v>نقطة التسرب</v>
      </c>
      <c r="E68" s="6" t="str">
        <f>IFERROR(__xludf.DUMMYFUNCTION("GOOGLETRANSLATE(B68,""en"",""fr"")"),"Point de décrochage")</f>
        <v>Point de décrochage</v>
      </c>
      <c r="F68" s="6" t="str">
        <f>IFERROR(__xludf.DUMMYFUNCTION("GOOGLETRANSLATE(B68,""en"",""tr"")"),"Ayrılma noktası")</f>
        <v>Ayrılma noktası</v>
      </c>
      <c r="G68" s="6" t="str">
        <f>IFERROR(__xludf.DUMMYFUNCTION("GOOGLETRANSLATE(B68,""en"",""ru"")"),"Отсутствие точки")</f>
        <v>Отсутствие точки</v>
      </c>
      <c r="H68" s="6" t="str">
        <f>IFERROR(__xludf.DUMMYFUNCTION("GOOGLETRANSLATE(B68,""en"",""it"")"),"Punto di abbandono")</f>
        <v>Punto di abbandono</v>
      </c>
      <c r="I68" s="6" t="str">
        <f>IFERROR(__xludf.DUMMYFUNCTION("GOOGLETRANSLATE(B68,""en"",""de"")"),"Dropout -Punkt")</f>
        <v>Dropout -Punkt</v>
      </c>
      <c r="J68" s="6" t="str">
        <f>IFERROR(__xludf.DUMMYFUNCTION("GOOGLETRANSLATE(B68,""en"",""ko"")"),"드롭 아웃 포인트")</f>
        <v>드롭 아웃 포인트</v>
      </c>
      <c r="K68" s="6" t="str">
        <f>IFERROR(__xludf.DUMMYFUNCTION("GOOGLETRANSLATE(B68,""en"",""zh"")"),"辍学点")</f>
        <v>辍学点</v>
      </c>
      <c r="L68" s="6" t="str">
        <f>IFERROR(__xludf.DUMMYFUNCTION("GOOGLETRANSLATE(B68,""en"",""es"")"),"Punto de salida")</f>
        <v>Punto de salida</v>
      </c>
      <c r="M68" s="7" t="str">
        <f>IFERROR(__xludf.DUMMYFUNCTION("GOOGLETRANSLATE(B68,""en"",""iw"")"),"נקודת נשירה")</f>
        <v>נקודת נשירה</v>
      </c>
      <c r="N68" s="6" t="str">
        <f>IFERROR(__xludf.DUMMYFUNCTION("GOOGLETRANSLATE(B68,""en"",""bn"")"),"ড্রপআউট পয়েন্ট")</f>
        <v>ড্রপআউট পয়েন্ট</v>
      </c>
      <c r="O68" s="6"/>
      <c r="P68" s="6"/>
    </row>
    <row r="69">
      <c r="A69" s="8" t="s">
        <v>147</v>
      </c>
      <c r="B69" s="11" t="s">
        <v>148</v>
      </c>
      <c r="C69" s="5" t="str">
        <f>IFERROR(__xludf.DUMMYFUNCTION("GOOGLETRANSLATE(B69,""en"",""hi"")"),"पतन")</f>
        <v>पतन</v>
      </c>
      <c r="D69" s="6" t="str">
        <f>IFERROR(__xludf.DUMMYFUNCTION("GOOGLETRANSLATE(B69,""en"",""ar"")"),"انخفاض")</f>
        <v>انخفاض</v>
      </c>
      <c r="E69" s="6" t="str">
        <f>IFERROR(__xludf.DUMMYFUNCTION("GOOGLETRANSLATE(B69,""en"",""fr"")"),"Déclin")</f>
        <v>Déclin</v>
      </c>
      <c r="F69" s="6" t="str">
        <f>IFERROR(__xludf.DUMMYFUNCTION("GOOGLETRANSLATE(B69,""en"",""tr"")"),"Reddetmek")</f>
        <v>Reddetmek</v>
      </c>
      <c r="G69" s="6" t="str">
        <f>IFERROR(__xludf.DUMMYFUNCTION("GOOGLETRANSLATE(B69,""en"",""ru"")"),"Отклонить")</f>
        <v>Отклонить</v>
      </c>
      <c r="H69" s="6" t="str">
        <f>IFERROR(__xludf.DUMMYFUNCTION("GOOGLETRANSLATE(B69,""en"",""it"")"),"Declino")</f>
        <v>Declino</v>
      </c>
      <c r="I69" s="6" t="str">
        <f>IFERROR(__xludf.DUMMYFUNCTION("GOOGLETRANSLATE(B69,""en"",""de"")"),"Abfall")</f>
        <v>Abfall</v>
      </c>
      <c r="J69" s="6" t="str">
        <f>IFERROR(__xludf.DUMMYFUNCTION("GOOGLETRANSLATE(B69,""en"",""ko"")"),"감소")</f>
        <v>감소</v>
      </c>
      <c r="K69" s="6" t="str">
        <f>IFERROR(__xludf.DUMMYFUNCTION("GOOGLETRANSLATE(B69,""en"",""zh"")"),"衰退")</f>
        <v>衰退</v>
      </c>
      <c r="L69" s="6" t="str">
        <f>IFERROR(__xludf.DUMMYFUNCTION("GOOGLETRANSLATE(B69,""en"",""es"")"),"Rechazar")</f>
        <v>Rechazar</v>
      </c>
      <c r="M69" s="7" t="str">
        <f>IFERROR(__xludf.DUMMYFUNCTION("GOOGLETRANSLATE(B69,""en"",""iw"")"),"יְרִידָה")</f>
        <v>יְרִידָה</v>
      </c>
      <c r="N69" s="6" t="str">
        <f>IFERROR(__xludf.DUMMYFUNCTION("GOOGLETRANSLATE(B69,""en"",""bn"")"),"পতন")</f>
        <v>পতন</v>
      </c>
      <c r="O69" s="6"/>
      <c r="P69" s="6"/>
    </row>
    <row r="70">
      <c r="A70" s="8" t="s">
        <v>149</v>
      </c>
      <c r="B70" s="9" t="s">
        <v>150</v>
      </c>
      <c r="C70" s="5" t="str">
        <f>IFERROR(__xludf.DUMMYFUNCTION("GOOGLETRANSLATE(B70,""en"",""hi"")"),"स्वीकार करना")</f>
        <v>स्वीकार करना</v>
      </c>
      <c r="D70" s="6" t="str">
        <f>IFERROR(__xludf.DUMMYFUNCTION("GOOGLETRANSLATE(B70,""en"",""ar"")"),"قبول")</f>
        <v>قبول</v>
      </c>
      <c r="E70" s="6" t="str">
        <f>IFERROR(__xludf.DUMMYFUNCTION("GOOGLETRANSLATE(B70,""en"",""fr"")"),"Accepter")</f>
        <v>Accepter</v>
      </c>
      <c r="F70" s="6" t="str">
        <f>IFERROR(__xludf.DUMMYFUNCTION("GOOGLETRANSLATE(B70,""en"",""tr"")"),"Kabul")</f>
        <v>Kabul</v>
      </c>
      <c r="G70" s="6" t="str">
        <f>IFERROR(__xludf.DUMMYFUNCTION("GOOGLETRANSLATE(B70,""en"",""ru"")"),"Принимать")</f>
        <v>Принимать</v>
      </c>
      <c r="H70" s="6" t="str">
        <f>IFERROR(__xludf.DUMMYFUNCTION("GOOGLETRANSLATE(B70,""en"",""it"")"),"Accettare")</f>
        <v>Accettare</v>
      </c>
      <c r="I70" s="6" t="str">
        <f>IFERROR(__xludf.DUMMYFUNCTION("GOOGLETRANSLATE(B70,""en"",""de"")"),"Annehmen")</f>
        <v>Annehmen</v>
      </c>
      <c r="J70" s="6" t="str">
        <f>IFERROR(__xludf.DUMMYFUNCTION("GOOGLETRANSLATE(B70,""en"",""ko"")"),"수용하다")</f>
        <v>수용하다</v>
      </c>
      <c r="K70" s="6" t="str">
        <f>IFERROR(__xludf.DUMMYFUNCTION("GOOGLETRANSLATE(B70,""en"",""zh"")"),"接受")</f>
        <v>接受</v>
      </c>
      <c r="L70" s="6" t="str">
        <f>IFERROR(__xludf.DUMMYFUNCTION("GOOGLETRANSLATE(B70,""en"",""es"")"),"Aceptar")</f>
        <v>Aceptar</v>
      </c>
      <c r="M70" s="7" t="str">
        <f>IFERROR(__xludf.DUMMYFUNCTION("GOOGLETRANSLATE(B70,""en"",""iw"")"),"לְקַבֵּל")</f>
        <v>לְקַבֵּל</v>
      </c>
      <c r="N70" s="6" t="str">
        <f>IFERROR(__xludf.DUMMYFUNCTION("GOOGLETRANSLATE(B70,""en"",""bn"")"),"গ্রহণ")</f>
        <v>গ্রহণ</v>
      </c>
      <c r="O70" s="6"/>
      <c r="P70" s="6"/>
    </row>
    <row r="71">
      <c r="A71" s="8" t="s">
        <v>151</v>
      </c>
      <c r="B71" s="9" t="s">
        <v>152</v>
      </c>
      <c r="C71" s="5" t="str">
        <f>IFERROR(__xludf.DUMMYFUNCTION("GOOGLETRANSLATE(B71,""en"",""hi"")"),"बुलाना")</f>
        <v>बुलाना</v>
      </c>
      <c r="D71" s="6" t="str">
        <f>IFERROR(__xludf.DUMMYFUNCTION("GOOGLETRANSLATE(B71,""en"",""ar"")"),"مكالمة")</f>
        <v>مكالمة</v>
      </c>
      <c r="E71" s="6" t="str">
        <f>IFERROR(__xludf.DUMMYFUNCTION("GOOGLETRANSLATE(B71,""en"",""fr"")"),"Appel")</f>
        <v>Appel</v>
      </c>
      <c r="F71" s="6" t="str">
        <f>IFERROR(__xludf.DUMMYFUNCTION("GOOGLETRANSLATE(B71,""en"",""tr"")"),"Telefon etmek")</f>
        <v>Telefon etmek</v>
      </c>
      <c r="G71" s="6" t="str">
        <f>IFERROR(__xludf.DUMMYFUNCTION("GOOGLETRANSLATE(B71,""en"",""ru"")"),"Вызов")</f>
        <v>Вызов</v>
      </c>
      <c r="H71" s="6" t="str">
        <f>IFERROR(__xludf.DUMMYFUNCTION("GOOGLETRANSLATE(B71,""en"",""it"")"),"Chiamata")</f>
        <v>Chiamata</v>
      </c>
      <c r="I71" s="6" t="str">
        <f>IFERROR(__xludf.DUMMYFUNCTION("GOOGLETRANSLATE(B71,""en"",""de"")"),"Anruf")</f>
        <v>Anruf</v>
      </c>
      <c r="J71" s="6" t="str">
        <f>IFERROR(__xludf.DUMMYFUNCTION("GOOGLETRANSLATE(B71,""en"",""ko"")"),"부르다")</f>
        <v>부르다</v>
      </c>
      <c r="K71" s="6" t="str">
        <f>IFERROR(__xludf.DUMMYFUNCTION("GOOGLETRANSLATE(B71,""en"",""zh"")"),"称呼")</f>
        <v>称呼</v>
      </c>
      <c r="L71" s="6" t="str">
        <f>IFERROR(__xludf.DUMMYFUNCTION("GOOGLETRANSLATE(B71,""en"",""es"")"),"Llamar")</f>
        <v>Llamar</v>
      </c>
      <c r="M71" s="7" t="str">
        <f>IFERROR(__xludf.DUMMYFUNCTION("GOOGLETRANSLATE(B71,""en"",""iw"")"),"שִׂיחָה")</f>
        <v>שִׂיחָה</v>
      </c>
      <c r="N71" s="6" t="str">
        <f>IFERROR(__xludf.DUMMYFUNCTION("GOOGLETRANSLATE(B71,""en"",""bn"")"),"কল")</f>
        <v>কল</v>
      </c>
      <c r="O71" s="6"/>
      <c r="P71" s="6"/>
    </row>
    <row r="72">
      <c r="A72" s="8" t="s">
        <v>153</v>
      </c>
      <c r="B72" s="9" t="s">
        <v>154</v>
      </c>
      <c r="C72" s="5" t="str">
        <f>IFERROR(__xludf.DUMMYFUNCTION("GOOGLETRANSLATE(B72,""en"",""hi"")"),"बात करना")</f>
        <v>बात करना</v>
      </c>
      <c r="D72" s="6" t="str">
        <f>IFERROR(__xludf.DUMMYFUNCTION("GOOGLETRANSLATE(B72,""en"",""ar"")"),"دردشة")</f>
        <v>دردشة</v>
      </c>
      <c r="E72" s="6" t="str">
        <f>IFERROR(__xludf.DUMMYFUNCTION("GOOGLETRANSLATE(B72,""en"",""fr"")"),"Discuter")</f>
        <v>Discuter</v>
      </c>
      <c r="F72" s="6" t="str">
        <f>IFERROR(__xludf.DUMMYFUNCTION("GOOGLETRANSLATE(B72,""en"",""tr"")"),"Sohbet")</f>
        <v>Sohbet</v>
      </c>
      <c r="G72" s="6" t="str">
        <f>IFERROR(__xludf.DUMMYFUNCTION("GOOGLETRANSLATE(B72,""en"",""ru"")"),"Чат")</f>
        <v>Чат</v>
      </c>
      <c r="H72" s="6" t="str">
        <f>IFERROR(__xludf.DUMMYFUNCTION("GOOGLETRANSLATE(B72,""en"",""it"")"),"Chiacchierata")</f>
        <v>Chiacchierata</v>
      </c>
      <c r="I72" s="6" t="str">
        <f>IFERROR(__xludf.DUMMYFUNCTION("GOOGLETRANSLATE(B72,""en"",""de"")"),"Plaudern")</f>
        <v>Plaudern</v>
      </c>
      <c r="J72" s="6" t="str">
        <f>IFERROR(__xludf.DUMMYFUNCTION("GOOGLETRANSLATE(B72,""en"",""ko"")"),"채팅")</f>
        <v>채팅</v>
      </c>
      <c r="K72" s="6" t="str">
        <f>IFERROR(__xludf.DUMMYFUNCTION("GOOGLETRANSLATE(B72,""en"",""zh"")"),"聊天")</f>
        <v>聊天</v>
      </c>
      <c r="L72" s="6" t="str">
        <f>IFERROR(__xludf.DUMMYFUNCTION("GOOGLETRANSLATE(B72,""en"",""es"")"),"Charlar")</f>
        <v>Charlar</v>
      </c>
      <c r="M72" s="7" t="str">
        <f>IFERROR(__xludf.DUMMYFUNCTION("GOOGLETRANSLATE(B72,""en"",""iw"")"),"לְשׂוֹחֵחַ")</f>
        <v>לְשׂוֹחֵחַ</v>
      </c>
      <c r="N72" s="6" t="str">
        <f>IFERROR(__xludf.DUMMYFUNCTION("GOOGLETRANSLATE(B72,""en"",""bn"")"),"চ্যাট")</f>
        <v>চ্যাট</v>
      </c>
      <c r="O72" s="6"/>
      <c r="P72" s="6"/>
    </row>
    <row r="73">
      <c r="A73" s="8" t="s">
        <v>155</v>
      </c>
      <c r="B73" s="12" t="s">
        <v>156</v>
      </c>
      <c r="C73" s="5" t="str">
        <f>IFERROR(__xludf.DUMMYFUNCTION("GOOGLETRANSLATE(B73,""en"",""hi"")"),"रद्द करना")</f>
        <v>रद्द करना</v>
      </c>
      <c r="D73" s="6" t="str">
        <f>IFERROR(__xludf.DUMMYFUNCTION("GOOGLETRANSLATE(B73,""en"",""ar"")"),"يلغي")</f>
        <v>يلغي</v>
      </c>
      <c r="E73" s="6" t="str">
        <f>IFERROR(__xludf.DUMMYFUNCTION("GOOGLETRANSLATE(B73,""en"",""fr"")"),"Annuler")</f>
        <v>Annuler</v>
      </c>
      <c r="F73" s="6" t="str">
        <f>IFERROR(__xludf.DUMMYFUNCTION("GOOGLETRANSLATE(B73,""en"",""tr"")"),"İptal")</f>
        <v>İptal</v>
      </c>
      <c r="G73" s="6" t="str">
        <f>IFERROR(__xludf.DUMMYFUNCTION("GOOGLETRANSLATE(B73,""en"",""ru"")"),"Отмена")</f>
        <v>Отмена</v>
      </c>
      <c r="H73" s="6" t="str">
        <f>IFERROR(__xludf.DUMMYFUNCTION("GOOGLETRANSLATE(B73,""en"",""it"")"),"Annulla")</f>
        <v>Annulla</v>
      </c>
      <c r="I73" s="6" t="str">
        <f>IFERROR(__xludf.DUMMYFUNCTION("GOOGLETRANSLATE(B73,""en"",""de"")"),"Absagen")</f>
        <v>Absagen</v>
      </c>
      <c r="J73" s="6" t="str">
        <f>IFERROR(__xludf.DUMMYFUNCTION("GOOGLETRANSLATE(B73,""en"",""ko"")"),"취소")</f>
        <v>취소</v>
      </c>
      <c r="K73" s="6" t="str">
        <f>IFERROR(__xludf.DUMMYFUNCTION("GOOGLETRANSLATE(B73,""en"",""zh"")"),"取消")</f>
        <v>取消</v>
      </c>
      <c r="L73" s="6" t="str">
        <f>IFERROR(__xludf.DUMMYFUNCTION("GOOGLETRANSLATE(B73,""en"",""es"")"),"Cancelar")</f>
        <v>Cancelar</v>
      </c>
      <c r="M73" s="7" t="str">
        <f>IFERROR(__xludf.DUMMYFUNCTION("GOOGLETRANSLATE(B73,""en"",""iw"")"),"לְבַטֵל")</f>
        <v>לְבַטֵל</v>
      </c>
      <c r="N73" s="6" t="str">
        <f>IFERROR(__xludf.DUMMYFUNCTION("GOOGLETRANSLATE(B73,""en"",""bn"")"),"বাতিল")</f>
        <v>বাতিল</v>
      </c>
      <c r="O73" s="6"/>
      <c r="P73" s="6"/>
    </row>
    <row r="74">
      <c r="A74" s="8" t="s">
        <v>157</v>
      </c>
      <c r="B74" s="9" t="s">
        <v>158</v>
      </c>
      <c r="C74" s="5" t="str">
        <f>IFERROR(__xludf.DUMMYFUNCTION("GOOGLETRANSLATE(B74,""en"",""hi"")"),"पहुंच गए")</f>
        <v>पहुंच गए</v>
      </c>
      <c r="D74" s="6" t="str">
        <f>IFERROR(__xludf.DUMMYFUNCTION("GOOGLETRANSLATE(B74,""en"",""ar"")"),"وصل")</f>
        <v>وصل</v>
      </c>
      <c r="E74" s="6" t="str">
        <f>IFERROR(__xludf.DUMMYFUNCTION("GOOGLETRANSLATE(B74,""en"",""fr"")"),"Arrivé")</f>
        <v>Arrivé</v>
      </c>
      <c r="F74" s="6" t="str">
        <f>IFERROR(__xludf.DUMMYFUNCTION("GOOGLETRANSLATE(B74,""en"",""tr"")"),"Ulaşmış")</f>
        <v>Ulaşmış</v>
      </c>
      <c r="G74" s="6" t="str">
        <f>IFERROR(__xludf.DUMMYFUNCTION("GOOGLETRANSLATE(B74,""en"",""ru"")"),"Прибыли")</f>
        <v>Прибыли</v>
      </c>
      <c r="H74" s="6" t="str">
        <f>IFERROR(__xludf.DUMMYFUNCTION("GOOGLETRANSLATE(B74,""en"",""it"")"),"Arrivato")</f>
        <v>Arrivato</v>
      </c>
      <c r="I74" s="6" t="str">
        <f>IFERROR(__xludf.DUMMYFUNCTION("GOOGLETRANSLATE(B74,""en"",""de"")"),"Angekommen")</f>
        <v>Angekommen</v>
      </c>
      <c r="J74" s="6" t="str">
        <f>IFERROR(__xludf.DUMMYFUNCTION("GOOGLETRANSLATE(B74,""en"",""ko"")"),"도착했다")</f>
        <v>도착했다</v>
      </c>
      <c r="K74" s="6" t="str">
        <f>IFERROR(__xludf.DUMMYFUNCTION("GOOGLETRANSLATE(B74,""en"",""zh"")"),"到达的")</f>
        <v>到达的</v>
      </c>
      <c r="L74" s="6" t="str">
        <f>IFERROR(__xludf.DUMMYFUNCTION("GOOGLETRANSLATE(B74,""en"",""es"")"),"Llegado")</f>
        <v>Llegado</v>
      </c>
      <c r="M74" s="7" t="str">
        <f>IFERROR(__xludf.DUMMYFUNCTION("GOOGLETRANSLATE(B74,""en"",""iw"")"),"הגיע")</f>
        <v>הגיע</v>
      </c>
      <c r="N74" s="6" t="str">
        <f>IFERROR(__xludf.DUMMYFUNCTION("GOOGLETRANSLATE(B74,""en"",""bn"")"),"পৌঁছেছে")</f>
        <v>পৌঁছেছে</v>
      </c>
      <c r="O74" s="6"/>
      <c r="P74" s="6"/>
    </row>
    <row r="75">
      <c r="A75" s="8" t="s">
        <v>159</v>
      </c>
      <c r="B75" s="9" t="s">
        <v>160</v>
      </c>
      <c r="C75" s="5" t="str">
        <f>IFERROR(__xludf.DUMMYFUNCTION("GOOGLETRANSLATE(B75,""en"",""hi"")"),"अब आप ऑनलाइन हैं")</f>
        <v>अब आप ऑनलाइन हैं</v>
      </c>
      <c r="D75" s="6" t="str">
        <f>IFERROR(__xludf.DUMMYFUNCTION("GOOGLETRANSLATE(B75,""en"",""ar"")"),"أنت متصل الآن")</f>
        <v>أنت متصل الآن</v>
      </c>
      <c r="E75" s="6" t="str">
        <f>IFERROR(__xludf.DUMMYFUNCTION("GOOGLETRANSLATE(B75,""en"",""fr"")"),"Vous êtes en ligne maintenant")</f>
        <v>Vous êtes en ligne maintenant</v>
      </c>
      <c r="F75" s="6" t="str">
        <f>IFERROR(__xludf.DUMMYFUNCTION("GOOGLETRANSLATE(B75,""en"",""tr"")"),"Şimdi çevrimiçisın")</f>
        <v>Şimdi çevrimiçisın</v>
      </c>
      <c r="G75" s="6" t="str">
        <f>IFERROR(__xludf.DUMMYFUNCTION("GOOGLETRANSLATE(B75,""en"",""ru"")"),"Ты сейчас в сети")</f>
        <v>Ты сейчас в сети</v>
      </c>
      <c r="H75" s="6" t="str">
        <f>IFERROR(__xludf.DUMMYFUNCTION("GOOGLETRANSLATE(B75,""en"",""it"")"),"Sei online adesso")</f>
        <v>Sei online adesso</v>
      </c>
      <c r="I75" s="6" t="str">
        <f>IFERROR(__xludf.DUMMYFUNCTION("GOOGLETRANSLATE(B75,""en"",""de"")"),"Sie sind jetzt online")</f>
        <v>Sie sind jetzt online</v>
      </c>
      <c r="J75" s="6" t="str">
        <f>IFERROR(__xludf.DUMMYFUNCTION("GOOGLETRANSLATE(B75,""en"",""ko"")"),"당신은 지금 온라인입니다")</f>
        <v>당신은 지금 온라인입니다</v>
      </c>
      <c r="K75" s="6" t="str">
        <f>IFERROR(__xludf.DUMMYFUNCTION("GOOGLETRANSLATE(B75,""en"",""zh"")"),"您现在在线")</f>
        <v>您现在在线</v>
      </c>
      <c r="L75" s="6" t="str">
        <f>IFERROR(__xludf.DUMMYFUNCTION("GOOGLETRANSLATE(B75,""en"",""es"")"),"Estás en línea ahora")</f>
        <v>Estás en línea ahora</v>
      </c>
      <c r="M75" s="7" t="str">
        <f>IFERROR(__xludf.DUMMYFUNCTION("GOOGLETRANSLATE(B75,""en"",""iw"")"),"אתה מקוון עכשיו")</f>
        <v>אתה מקוון עכשיו</v>
      </c>
      <c r="N75" s="6" t="str">
        <f>IFERROR(__xludf.DUMMYFUNCTION("GOOGLETRANSLATE(B75,""en"",""bn"")"),"আপনি এখন অনলাইন")</f>
        <v>আপনি এখন অনলাইন</v>
      </c>
      <c r="O75" s="6"/>
      <c r="P75" s="6"/>
    </row>
    <row r="76">
      <c r="A76" s="8" t="s">
        <v>161</v>
      </c>
      <c r="B76" s="9" t="s">
        <v>162</v>
      </c>
      <c r="C76" s="5" t="str">
        <f>IFERROR(__xludf.DUMMYFUNCTION("GOOGLETRANSLATE(B76,""en"",""hi"")"),"अब आप ऑफ़लाइन हैं")</f>
        <v>अब आप ऑफ़लाइन हैं</v>
      </c>
      <c r="D76" s="6" t="str">
        <f>IFERROR(__xludf.DUMMYFUNCTION("GOOGLETRANSLATE(B76,""en"",""ar"")"),"أنت متصل الآن")</f>
        <v>أنت متصل الآن</v>
      </c>
      <c r="E76" s="6" t="str">
        <f>IFERROR(__xludf.DUMMYFUNCTION("GOOGLETRANSLATE(B76,""en"",""fr"")"),"Vous êtes hors ligne maintenant")</f>
        <v>Vous êtes hors ligne maintenant</v>
      </c>
      <c r="F76" s="6" t="str">
        <f>IFERROR(__xludf.DUMMYFUNCTION("GOOGLETRANSLATE(B76,""en"",""tr"")"),"Şimdi çevrimdışısın")</f>
        <v>Şimdi çevrimdışısın</v>
      </c>
      <c r="G76" s="6" t="str">
        <f>IFERROR(__xludf.DUMMYFUNCTION("GOOGLETRANSLATE(B76,""en"",""ru"")"),"Ты сейчас офлайн")</f>
        <v>Ты сейчас офлайн</v>
      </c>
      <c r="H76" s="6" t="str">
        <f>IFERROR(__xludf.DUMMYFUNCTION("GOOGLETRANSLATE(B76,""en"",""it"")"),"Sei offline adesso")</f>
        <v>Sei offline adesso</v>
      </c>
      <c r="I76" s="6" t="str">
        <f>IFERROR(__xludf.DUMMYFUNCTION("GOOGLETRANSLATE(B76,""en"",""de"")"),"Sie sind jetzt offline")</f>
        <v>Sie sind jetzt offline</v>
      </c>
      <c r="J76" s="6" t="str">
        <f>IFERROR(__xludf.DUMMYFUNCTION("GOOGLETRANSLATE(B76,""en"",""ko"")"),"당신은 지금 오프라인입니다")</f>
        <v>당신은 지금 오프라인입니다</v>
      </c>
      <c r="K76" s="6" t="str">
        <f>IFERROR(__xludf.DUMMYFUNCTION("GOOGLETRANSLATE(B76,""en"",""zh"")"),"你现在离线")</f>
        <v>你现在离线</v>
      </c>
      <c r="L76" s="6" t="str">
        <f>IFERROR(__xludf.DUMMYFUNCTION("GOOGLETRANSLATE(B76,""en"",""es"")"),"Estás fuera de línea ahora")</f>
        <v>Estás fuera de línea ahora</v>
      </c>
      <c r="M76" s="7" t="str">
        <f>IFERROR(__xludf.DUMMYFUNCTION("GOOGLETRANSLATE(B76,""en"",""iw"")"),"אתה לא מקוון עכשיו")</f>
        <v>אתה לא מקוון עכשיו</v>
      </c>
      <c r="N76" s="6" t="str">
        <f>IFERROR(__xludf.DUMMYFUNCTION("GOOGLETRANSLATE(B76,""en"",""bn"")"),"আপনি এখন অফলাইন")</f>
        <v>আপনি এখন অফলাইন</v>
      </c>
      <c r="O76" s="6"/>
      <c r="P76" s="6"/>
    </row>
    <row r="77">
      <c r="A77" s="8" t="s">
        <v>163</v>
      </c>
      <c r="B77" s="13" t="s">
        <v>164</v>
      </c>
      <c r="C77" s="5" t="str">
        <f>IFERROR(__xludf.DUMMYFUNCTION("GOOGLETRANSLATE(B77,""en"",""hi"")"),"पहुंचने")</f>
        <v>पहुंचने</v>
      </c>
      <c r="D77" s="6" t="str">
        <f>IFERROR(__xludf.DUMMYFUNCTION("GOOGLETRANSLATE(B77,""en"",""ar"")"),"الوصول")</f>
        <v>الوصول</v>
      </c>
      <c r="E77" s="6" t="str">
        <f>IFERROR(__xludf.DUMMYFUNCTION("GOOGLETRANSLATE(B77,""en"",""fr"")"),"En arrivant")</f>
        <v>En arrivant</v>
      </c>
      <c r="F77" s="6" t="str">
        <f>IFERROR(__xludf.DUMMYFUNCTION("GOOGLETRANSLATE(B77,""en"",""tr"")"),"Gelen")</f>
        <v>Gelen</v>
      </c>
      <c r="G77" s="6" t="str">
        <f>IFERROR(__xludf.DUMMYFUNCTION("GOOGLETRANSLATE(B77,""en"",""ru"")"),"Прибытие")</f>
        <v>Прибытие</v>
      </c>
      <c r="H77" s="6" t="str">
        <f>IFERROR(__xludf.DUMMYFUNCTION("GOOGLETRANSLATE(B77,""en"",""it"")"),"In arrivo")</f>
        <v>In arrivo</v>
      </c>
      <c r="I77" s="6" t="str">
        <f>IFERROR(__xludf.DUMMYFUNCTION("GOOGLETRANSLATE(B77,""en"",""de"")"),"ankommen")</f>
        <v>ankommen</v>
      </c>
      <c r="J77" s="6" t="str">
        <f>IFERROR(__xludf.DUMMYFUNCTION("GOOGLETRANSLATE(B77,""en"",""ko"")"),"도착")</f>
        <v>도착</v>
      </c>
      <c r="K77" s="6" t="str">
        <f>IFERROR(__xludf.DUMMYFUNCTION("GOOGLETRANSLATE(B77,""en"",""zh"")"),"到达")</f>
        <v>到达</v>
      </c>
      <c r="L77" s="6" t="str">
        <f>IFERROR(__xludf.DUMMYFUNCTION("GOOGLETRANSLATE(B77,""en"",""es"")"),"Que llega")</f>
        <v>Que llega</v>
      </c>
      <c r="M77" s="7" t="str">
        <f>IFERROR(__xludf.DUMMYFUNCTION("GOOGLETRANSLATE(B77,""en"",""iw"")"),"מגיע")</f>
        <v>מגיע</v>
      </c>
      <c r="N77" s="6" t="str">
        <f>IFERROR(__xludf.DUMMYFUNCTION("GOOGLETRANSLATE(B77,""en"",""bn"")"),"আগমন")</f>
        <v>আগমন</v>
      </c>
      <c r="O77" s="6"/>
      <c r="P77" s="6"/>
    </row>
    <row r="78">
      <c r="A78" s="8" t="s">
        <v>157</v>
      </c>
      <c r="B78" s="9" t="s">
        <v>158</v>
      </c>
      <c r="C78" s="5" t="str">
        <f>IFERROR(__xludf.DUMMYFUNCTION("GOOGLETRANSLATE(B78,""en"",""hi"")"),"पहुंच गए")</f>
        <v>पहुंच गए</v>
      </c>
      <c r="D78" s="6" t="str">
        <f>IFERROR(__xludf.DUMMYFUNCTION("GOOGLETRANSLATE(B78,""en"",""ar"")"),"وصل")</f>
        <v>وصل</v>
      </c>
      <c r="E78" s="6" t="str">
        <f>IFERROR(__xludf.DUMMYFUNCTION("GOOGLETRANSLATE(B78,""en"",""fr"")"),"Arrivé")</f>
        <v>Arrivé</v>
      </c>
      <c r="F78" s="6" t="str">
        <f>IFERROR(__xludf.DUMMYFUNCTION("GOOGLETRANSLATE(B78,""en"",""tr"")"),"Ulaşmış")</f>
        <v>Ulaşmış</v>
      </c>
      <c r="G78" s="6" t="str">
        <f>IFERROR(__xludf.DUMMYFUNCTION("GOOGLETRANSLATE(B78,""en"",""ru"")"),"Прибыли")</f>
        <v>Прибыли</v>
      </c>
      <c r="H78" s="6" t="str">
        <f>IFERROR(__xludf.DUMMYFUNCTION("GOOGLETRANSLATE(B78,""en"",""it"")"),"Arrivato")</f>
        <v>Arrivato</v>
      </c>
      <c r="I78" s="6" t="str">
        <f>IFERROR(__xludf.DUMMYFUNCTION("GOOGLETRANSLATE(B78,""en"",""de"")"),"Angekommen")</f>
        <v>Angekommen</v>
      </c>
      <c r="J78" s="6" t="str">
        <f>IFERROR(__xludf.DUMMYFUNCTION("GOOGLETRANSLATE(B78,""en"",""ko"")"),"도착했다")</f>
        <v>도착했다</v>
      </c>
      <c r="K78" s="6" t="str">
        <f>IFERROR(__xludf.DUMMYFUNCTION("GOOGLETRANSLATE(B78,""en"",""zh"")"),"到达的")</f>
        <v>到达的</v>
      </c>
      <c r="L78" s="6" t="str">
        <f>IFERROR(__xludf.DUMMYFUNCTION("GOOGLETRANSLATE(B78,""en"",""es"")"),"Llegado")</f>
        <v>Llegado</v>
      </c>
      <c r="M78" s="7" t="str">
        <f>IFERROR(__xludf.DUMMYFUNCTION("GOOGLETRANSLATE(B78,""en"",""iw"")"),"הגיע")</f>
        <v>הגיע</v>
      </c>
      <c r="N78" s="6" t="str">
        <f>IFERROR(__xludf.DUMMYFUNCTION("GOOGLETRANSLATE(B78,""en"",""bn"")"),"পৌঁছেছে")</f>
        <v>পৌঁছেছে</v>
      </c>
      <c r="O78" s="6"/>
      <c r="P78" s="6"/>
    </row>
    <row r="79">
      <c r="A79" s="8" t="s">
        <v>165</v>
      </c>
      <c r="B79" s="9" t="s">
        <v>166</v>
      </c>
      <c r="C79" s="5" t="str">
        <f>IFERROR(__xludf.DUMMYFUNCTION("GOOGLETRANSLATE(B79,""en"",""hi"")"),"छोड़ने का रास्ता")</f>
        <v>छोड़ने का रास्ता</v>
      </c>
      <c r="D79" s="6" t="str">
        <f>IFERROR(__xludf.DUMMYFUNCTION("GOOGLETRANSLATE(B79,""en"",""ar"")"),"طريقة لإسقاط")</f>
        <v>طريقة لإسقاط</v>
      </c>
      <c r="E79" s="6" t="str">
        <f>IFERROR(__xludf.DUMMYFUNCTION("GOOGLETRANSLATE(B79,""en"",""fr"")"),"Façon de tomber")</f>
        <v>Façon de tomber</v>
      </c>
      <c r="F79" s="6" t="str">
        <f>IFERROR(__xludf.DUMMYFUNCTION("GOOGLETRANSLATE(B79,""en"",""tr"")"),"Düşmenin yolu")</f>
        <v>Düşmenin yolu</v>
      </c>
      <c r="G79" s="6" t="str">
        <f>IFERROR(__xludf.DUMMYFUNCTION("GOOGLETRANSLATE(B79,""en"",""ru"")"),"Способ упасть")</f>
        <v>Способ упасть</v>
      </c>
      <c r="H79" s="6" t="str">
        <f>IFERROR(__xludf.DUMMYFUNCTION("GOOGLETRANSLATE(B79,""en"",""it"")"),"Modo di cadere")</f>
        <v>Modo di cadere</v>
      </c>
      <c r="I79" s="6" t="str">
        <f>IFERROR(__xludf.DUMMYFUNCTION("GOOGLETRANSLATE(B79,""en"",""de"")"),"Weg zu fallen")</f>
        <v>Weg zu fallen</v>
      </c>
      <c r="J79" s="6" t="str">
        <f>IFERROR(__xludf.DUMMYFUNCTION("GOOGLETRANSLATE(B79,""en"",""ko"")"),"떨어 뜨리는 방법")</f>
        <v>떨어 뜨리는 방법</v>
      </c>
      <c r="K79" s="6" t="str">
        <f>IFERROR(__xludf.DUMMYFUNCTION("GOOGLETRANSLATE(B79,""en"",""zh"")"),"掉落方式")</f>
        <v>掉落方式</v>
      </c>
      <c r="L79" s="6" t="str">
        <f>IFERROR(__xludf.DUMMYFUNCTION("GOOGLETRANSLATE(B79,""en"",""es"")"),"Manera de dejar caer")</f>
        <v>Manera de dejar caer</v>
      </c>
      <c r="M79" s="7" t="str">
        <f>IFERROR(__xludf.DUMMYFUNCTION("GOOGLETRANSLATE(B79,""en"",""iw"")"),"דרך לרדת")</f>
        <v>דרך לרדת</v>
      </c>
      <c r="N79" s="6" t="str">
        <f>IFERROR(__xludf.DUMMYFUNCTION("GOOGLETRANSLATE(B79,""en"",""bn"")"),"ড্রপ করার উপায়")</f>
        <v>ড্রপ করার উপায়</v>
      </c>
      <c r="O79" s="6"/>
      <c r="P79" s="6"/>
    </row>
    <row r="80">
      <c r="A80" s="8" t="s">
        <v>167</v>
      </c>
      <c r="B80" s="9" t="s">
        <v>168</v>
      </c>
      <c r="C80" s="5" t="str">
        <f>IFERROR(__xludf.DUMMYFUNCTION("GOOGLETRANSLATE(B80,""en"",""hi"")"),"सवारी शुरू करें")</f>
        <v>सवारी शुरू करें</v>
      </c>
      <c r="D80" s="6" t="str">
        <f>IFERROR(__xludf.DUMMYFUNCTION("GOOGLETRANSLATE(B80,""en"",""ar"")"),"ابدأ الركوب")</f>
        <v>ابدأ الركوب</v>
      </c>
      <c r="E80" s="6" t="str">
        <f>IFERROR(__xludf.DUMMYFUNCTION("GOOGLETRANSLATE(B80,""en"",""fr"")"),"Commencer à rouler")</f>
        <v>Commencer à rouler</v>
      </c>
      <c r="F80" s="6" t="str">
        <f>IFERROR(__xludf.DUMMYFUNCTION("GOOGLETRANSLATE(B80,""en"",""tr"")"),"Sürüşe Başla")</f>
        <v>Sürüşe Başla</v>
      </c>
      <c r="G80" s="6" t="str">
        <f>IFERROR(__xludf.DUMMYFUNCTION("GOOGLETRANSLATE(B80,""en"",""ru"")"),"Начать поездку")</f>
        <v>Начать поездку</v>
      </c>
      <c r="H80" s="6" t="str">
        <f>IFERROR(__xludf.DUMMYFUNCTION("GOOGLETRANSLATE(B80,""en"",""it"")"),"Inizia a cavalcare")</f>
        <v>Inizia a cavalcare</v>
      </c>
      <c r="I80" s="6" t="str">
        <f>IFERROR(__xludf.DUMMYFUNCTION("GOOGLETRANSLATE(B80,""en"",""de"")"),"Fahren Sie mit der Fahrt")</f>
        <v>Fahren Sie mit der Fahrt</v>
      </c>
      <c r="J80" s="6" t="str">
        <f>IFERROR(__xludf.DUMMYFUNCTION("GOOGLETRANSLATE(B80,""en"",""ko"")"),"타기 시작하십시오")</f>
        <v>타기 시작하십시오</v>
      </c>
      <c r="K80" s="6" t="str">
        <f>IFERROR(__xludf.DUMMYFUNCTION("GOOGLETRANSLATE(B80,""en"",""zh"")"),"开始骑行")</f>
        <v>开始骑行</v>
      </c>
      <c r="L80" s="6" t="str">
        <f>IFERROR(__xludf.DUMMYFUNCTION("GOOGLETRANSLATE(B80,""en"",""es"")"),"Empezar")</f>
        <v>Empezar</v>
      </c>
      <c r="M80" s="7" t="str">
        <f>IFERROR(__xludf.DUMMYFUNCTION("GOOGLETRANSLATE(B80,""en"",""iw"")"),"התחל לרכוב")</f>
        <v>התחל לרכוב</v>
      </c>
      <c r="N80" s="6" t="str">
        <f>IFERROR(__xludf.DUMMYFUNCTION("GOOGLETRANSLATE(B80,""en"",""bn"")"),"যাত্রা শুরু করুন")</f>
        <v>যাত্রা শুরু করুন</v>
      </c>
      <c r="O80" s="6"/>
      <c r="P80" s="6"/>
    </row>
    <row r="81">
      <c r="A81" s="8" t="s">
        <v>169</v>
      </c>
      <c r="B81" s="9" t="s">
        <v>170</v>
      </c>
      <c r="C81" s="5" t="str">
        <f>IFERROR(__xludf.DUMMYFUNCTION("GOOGLETRANSLATE(B81,""en"",""hi"")"),"अंत यात्रा")</f>
        <v>अंत यात्रा</v>
      </c>
      <c r="D81" s="6" t="str">
        <f>IFERROR(__xludf.DUMMYFUNCTION("GOOGLETRANSLATE(B81,""en"",""ar"")"),"رحلة نهاية")</f>
        <v>رحلة نهاية</v>
      </c>
      <c r="E81" s="6" t="str">
        <f>IFERROR(__xludf.DUMMYFUNCTION("GOOGLETRANSLATE(B81,""en"",""fr"")"),"Voyage final")</f>
        <v>Voyage final</v>
      </c>
      <c r="F81" s="6" t="str">
        <f>IFERROR(__xludf.DUMMYFUNCTION("GOOGLETRANSLATE(B81,""en"",""tr"")"),"Son gezi")</f>
        <v>Son gezi</v>
      </c>
      <c r="G81" s="6" t="str">
        <f>IFERROR(__xludf.DUMMYFUNCTION("GOOGLETRANSLATE(B81,""en"",""ru"")"),"Конечная поездка")</f>
        <v>Конечная поездка</v>
      </c>
      <c r="H81" s="6" t="str">
        <f>IFERROR(__xludf.DUMMYFUNCTION("GOOGLETRANSLATE(B81,""en"",""it"")"),"Trip di fine")</f>
        <v>Trip di fine</v>
      </c>
      <c r="I81" s="6" t="str">
        <f>IFERROR(__xludf.DUMMYFUNCTION("GOOGLETRANSLATE(B81,""en"",""de"")"),"Endreise")</f>
        <v>Endreise</v>
      </c>
      <c r="J81" s="6" t="str">
        <f>IFERROR(__xludf.DUMMYFUNCTION("GOOGLETRANSLATE(B81,""en"",""ko"")"),"종료 여행")</f>
        <v>종료 여행</v>
      </c>
      <c r="K81" s="6" t="str">
        <f>IFERROR(__xludf.DUMMYFUNCTION("GOOGLETRANSLATE(B81,""en"",""zh"")"),"结束旅行")</f>
        <v>结束旅行</v>
      </c>
      <c r="L81" s="6" t="str">
        <f>IFERROR(__xludf.DUMMYFUNCTION("GOOGLETRANSLATE(B81,""en"",""es"")"),"Viaje final")</f>
        <v>Viaje final</v>
      </c>
      <c r="M81" s="7" t="str">
        <f>IFERROR(__xludf.DUMMYFUNCTION("GOOGLETRANSLATE(B81,""en"",""iw"")"),"מסע סיום")</f>
        <v>מסע סיום</v>
      </c>
      <c r="N81" s="6" t="str">
        <f>IFERROR(__xludf.DUMMYFUNCTION("GOOGLETRANSLATE(B81,""en"",""bn"")"),"শেষ ট্রিপ")</f>
        <v>শেষ ট্রিপ</v>
      </c>
      <c r="O81" s="6"/>
      <c r="P81" s="6"/>
    </row>
    <row r="82">
      <c r="A82" s="8" t="s">
        <v>171</v>
      </c>
      <c r="B82" s="9" t="s">
        <v>172</v>
      </c>
      <c r="C82" s="5" t="str">
        <f>IFERROR(__xludf.DUMMYFUNCTION("GOOGLETRANSLATE(B82,""en"",""hi"")"),"OTP दर्ज करें")</f>
        <v>OTP दर्ज करें</v>
      </c>
      <c r="D82" s="6" t="str">
        <f>IFERROR(__xludf.DUMMYFUNCTION("GOOGLETRANSLATE(B82,""en"",""ar"")"),"أدخل OTP")</f>
        <v>أدخل OTP</v>
      </c>
      <c r="E82" s="6" t="str">
        <f>IFERROR(__xludf.DUMMYFUNCTION("GOOGLETRANSLATE(B82,""en"",""fr"")"),"Entrez OTP")</f>
        <v>Entrez OTP</v>
      </c>
      <c r="F82" s="6" t="str">
        <f>IFERROR(__xludf.DUMMYFUNCTION("GOOGLETRANSLATE(B82,""en"",""tr"")"),"OTP girin")</f>
        <v>OTP girin</v>
      </c>
      <c r="G82" s="6" t="str">
        <f>IFERROR(__xludf.DUMMYFUNCTION("GOOGLETRANSLATE(B82,""en"",""ru"")"),"Введите OTP")</f>
        <v>Введите OTP</v>
      </c>
      <c r="H82" s="6" t="str">
        <f>IFERROR(__xludf.DUMMYFUNCTION("GOOGLETRANSLATE(B82,""en"",""it"")"),"Immettere OTP")</f>
        <v>Immettere OTP</v>
      </c>
      <c r="I82" s="6" t="str">
        <f>IFERROR(__xludf.DUMMYFUNCTION("GOOGLETRANSLATE(B82,""en"",""de"")"),"Geben Sie OTP ein")</f>
        <v>Geben Sie OTP ein</v>
      </c>
      <c r="J82" s="6" t="str">
        <f>IFERROR(__xludf.DUMMYFUNCTION("GOOGLETRANSLATE(B82,""en"",""ko"")"),"OTP를 입력하십시오")</f>
        <v>OTP를 입력하십시오</v>
      </c>
      <c r="K82" s="6" t="str">
        <f>IFERROR(__xludf.DUMMYFUNCTION("GOOGLETRANSLATE(B82,""en"",""zh"")"),"输入OTP")</f>
        <v>输入OTP</v>
      </c>
      <c r="L82" s="6" t="str">
        <f>IFERROR(__xludf.DUMMYFUNCTION("GOOGLETRANSLATE(B82,""en"",""es"")"),"Ingrese OTP")</f>
        <v>Ingrese OTP</v>
      </c>
      <c r="M82" s="7" t="str">
        <f>IFERROR(__xludf.DUMMYFUNCTION("GOOGLETRANSLATE(B82,""en"",""iw"")"),"הזן את OTP")</f>
        <v>הזן את OTP</v>
      </c>
      <c r="N82" s="6" t="str">
        <f>IFERROR(__xludf.DUMMYFUNCTION("GOOGLETRANSLATE(B82,""en"",""bn"")"),"ওটিপি প্রবেশ করান")</f>
        <v>ওটিপি প্রবেশ করান</v>
      </c>
      <c r="O82" s="6"/>
      <c r="P82" s="6"/>
    </row>
    <row r="83">
      <c r="A83" s="8" t="s">
        <v>173</v>
      </c>
      <c r="B83" s="9" t="s">
        <v>174</v>
      </c>
      <c r="C83" s="5" t="str">
        <f>IFERROR(__xludf.DUMMYFUNCTION("GOOGLETRANSLATE(B83,""en"",""hi"")"),"सवारी शुरू करने के लिए ग्राहक के मोबाइल में प्रदर्शित ओटीपी दर्ज करें")</f>
        <v>सवारी शुरू करने के लिए ग्राहक के मोबाइल में प्रदर्शित ओटीपी दर्ज करें</v>
      </c>
      <c r="D83" s="6" t="str">
        <f>IFERROR(__xludf.DUMMYFUNCTION("GOOGLETRANSLATE(B83,""en"",""ar"")"),"أدخل OTP المعروضة في هاتف العميل لبدء الرحلة")</f>
        <v>أدخل OTP المعروضة في هاتف العميل لبدء الرحلة</v>
      </c>
      <c r="E83" s="6" t="str">
        <f>IFERROR(__xludf.DUMMYFUNCTION("GOOGLETRANSLATE(B83,""en"",""fr"")"),"Entrez le OTP affiché dans le mobile du client pour commencer la conduite")</f>
        <v>Entrez le OTP affiché dans le mobile du client pour commencer la conduite</v>
      </c>
      <c r="F83" s="6" t="str">
        <f>IFERROR(__xludf.DUMMYFUNCTION("GOOGLETRANSLATE(B83,""en"",""tr"")"),"Sürüşe başlamak için müşterinin cep telefonunda görüntülenen OTP'yi girin")</f>
        <v>Sürüşe başlamak için müşterinin cep telefonunda görüntülenen OTP'yi girin</v>
      </c>
      <c r="G83" s="6" t="str">
        <f>IFERROR(__xludf.DUMMYFUNCTION("GOOGLETRANSLATE(B83,""en"",""ru"")"),"Введите OTP, отображаемый в мобильном клиенте, чтобы начать езду")</f>
        <v>Введите OTP, отображаемый в мобильном клиенте, чтобы начать езду</v>
      </c>
      <c r="H83" s="6" t="str">
        <f>IFERROR(__xludf.DUMMYFUNCTION("GOOGLETRANSLATE(B83,""en"",""it"")"),"Immettere l'OTP visualizzato nel cellulare del cliente per iniziare il viaggio")</f>
        <v>Immettere l'OTP visualizzato nel cellulare del cliente per iniziare il viaggio</v>
      </c>
      <c r="I83" s="6" t="str">
        <f>IFERROR(__xludf.DUMMYFUNCTION("GOOGLETRANSLATE(B83,""en"",""de"")"),"Geben Sie die OTP auf, die im Mobiltelefon des Kunden angezeigt wird, um die Fahrt zu starten")</f>
        <v>Geben Sie die OTP auf, die im Mobiltelefon des Kunden angezeigt wird, um die Fahrt zu starten</v>
      </c>
      <c r="J83" s="6" t="str">
        <f>IFERROR(__xludf.DUMMYFUNCTION("GOOGLETRANSLATE(B83,""en"",""ko"")"),"고객의 모바일에 표시된 OTP를 입력하여 승차를 시작하십시오.")</f>
        <v>고객의 모바일에 표시된 OTP를 입력하여 승차를 시작하십시오.</v>
      </c>
      <c r="K83" s="6" t="str">
        <f>IFERROR(__xludf.DUMMYFUNCTION("GOOGLETRANSLATE(B83,""en"",""zh"")"),"输入客户手机中显示的OTP以开始乘车")</f>
        <v>输入客户手机中显示的OTP以开始乘车</v>
      </c>
      <c r="L83" s="6" t="str">
        <f>IFERROR(__xludf.DUMMYFUNCTION("GOOGLETRANSLATE(B83,""en"",""es"")"),"Ingrese el OTP que se muestra en el móvil del cliente para comenzar el viaje")</f>
        <v>Ingrese el OTP que se muestra en el móvil del cliente para comenzar el viaje</v>
      </c>
      <c r="M83" s="7" t="str">
        <f>IFERROR(__xludf.DUMMYFUNCTION("GOOGLETRANSLATE(B83,""en"",""iw"")"),"הזן את ה- OTP המוצג בנייד של הלקוח כדי להתחיל את הרכיבה")</f>
        <v>הזן את ה- OTP המוצג בנייד של הלקוח כדי להתחיל את הרכיבה</v>
      </c>
      <c r="N83" s="6" t="str">
        <f>IFERROR(__xludf.DUMMYFUNCTION("GOOGLETRANSLATE(B83,""en"",""bn"")"),"যাত্রা শুরু করতে গ্রাহকের মোবাইলে প্রদর্শিত ওটিপি প্রবেশ করান")</f>
        <v>যাত্রা শুরু করতে গ্রাহকের মোবাইলে প্রদর্শিত ওটিপি প্রবেশ করান</v>
      </c>
      <c r="O83" s="6"/>
      <c r="P83" s="6"/>
    </row>
    <row r="84">
      <c r="A84" s="14" t="s">
        <v>175</v>
      </c>
      <c r="B84" s="9" t="s">
        <v>176</v>
      </c>
      <c r="C84" s="5" t="str">
        <f>IFERROR(__xludf.DUMMYFUNCTION("GOOGLETRANSLATE(B84,""en"",""hi"")"),"इतिहास")</f>
        <v>इतिहास</v>
      </c>
      <c r="D84" s="6" t="str">
        <f>IFERROR(__xludf.DUMMYFUNCTION("GOOGLETRANSLATE(B84,""en"",""ar"")"),"تاريخ")</f>
        <v>تاريخ</v>
      </c>
      <c r="E84" s="6" t="str">
        <f>IFERROR(__xludf.DUMMYFUNCTION("GOOGLETRANSLATE(B84,""en"",""fr"")"),"Histoire")</f>
        <v>Histoire</v>
      </c>
      <c r="F84" s="6" t="str">
        <f>IFERROR(__xludf.DUMMYFUNCTION("GOOGLETRANSLATE(B84,""en"",""tr"")"),"Tarih")</f>
        <v>Tarih</v>
      </c>
      <c r="G84" s="6" t="str">
        <f>IFERROR(__xludf.DUMMYFUNCTION("GOOGLETRANSLATE(B84,""en"",""ru"")"),"История")</f>
        <v>История</v>
      </c>
      <c r="H84" s="6" t="str">
        <f>IFERROR(__xludf.DUMMYFUNCTION("GOOGLETRANSLATE(B84,""en"",""it"")"),"Storia")</f>
        <v>Storia</v>
      </c>
      <c r="I84" s="6" t="str">
        <f>IFERROR(__xludf.DUMMYFUNCTION("GOOGLETRANSLATE(B84,""en"",""de"")"),"Geschichte")</f>
        <v>Geschichte</v>
      </c>
      <c r="J84" s="6" t="str">
        <f>IFERROR(__xludf.DUMMYFUNCTION("GOOGLETRANSLATE(B84,""en"",""ko"")"),"역사")</f>
        <v>역사</v>
      </c>
      <c r="K84" s="6" t="str">
        <f>IFERROR(__xludf.DUMMYFUNCTION("GOOGLETRANSLATE(B84,""en"",""zh"")"),"历史")</f>
        <v>历史</v>
      </c>
      <c r="L84" s="6" t="str">
        <f>IFERROR(__xludf.DUMMYFUNCTION("GOOGLETRANSLATE(B84,""en"",""es"")"),"Historia")</f>
        <v>Historia</v>
      </c>
      <c r="M84" s="7" t="str">
        <f>IFERROR(__xludf.DUMMYFUNCTION("GOOGLETRANSLATE(B84,""en"",""iw"")"),"הִיסטוֹרִיָה")</f>
        <v>הִיסטוֹרִיָה</v>
      </c>
      <c r="N84" s="6" t="str">
        <f>IFERROR(__xludf.DUMMYFUNCTION("GOOGLETRANSLATE(B84,""en"",""bn"")"),"ইতিহাস")</f>
        <v>ইতিহাস</v>
      </c>
      <c r="O84" s="6"/>
      <c r="P84" s="6"/>
    </row>
    <row r="85">
      <c r="A85" s="14" t="s">
        <v>177</v>
      </c>
      <c r="B85" s="9" t="s">
        <v>178</v>
      </c>
      <c r="C85" s="5" t="str">
        <f>IFERROR(__xludf.DUMMYFUNCTION("GOOGLETRANSLATE(B85,""en"",""hi"")"),"बटुआ")</f>
        <v>बटुआ</v>
      </c>
      <c r="D85" s="6" t="str">
        <f>IFERROR(__xludf.DUMMYFUNCTION("GOOGLETRANSLATE(B85,""en"",""ar"")"),"محفظة")</f>
        <v>محفظة</v>
      </c>
      <c r="E85" s="6" t="str">
        <f>IFERROR(__xludf.DUMMYFUNCTION("GOOGLETRANSLATE(B85,""en"",""fr"")"),"Porte monnaie")</f>
        <v>Porte monnaie</v>
      </c>
      <c r="F85" s="6" t="str">
        <f>IFERROR(__xludf.DUMMYFUNCTION("GOOGLETRANSLATE(B85,""en"",""tr"")"),"Cüzdan")</f>
        <v>Cüzdan</v>
      </c>
      <c r="G85" s="6" t="str">
        <f>IFERROR(__xludf.DUMMYFUNCTION("GOOGLETRANSLATE(B85,""en"",""ru"")"),"Бумажник")</f>
        <v>Бумажник</v>
      </c>
      <c r="H85" s="6" t="str">
        <f>IFERROR(__xludf.DUMMYFUNCTION("GOOGLETRANSLATE(B85,""en"",""it"")"),"Portafoglio")</f>
        <v>Portafoglio</v>
      </c>
      <c r="I85" s="6" t="str">
        <f>IFERROR(__xludf.DUMMYFUNCTION("GOOGLETRANSLATE(B85,""en"",""de"")"),"Geldbörse")</f>
        <v>Geldbörse</v>
      </c>
      <c r="J85" s="6" t="str">
        <f>IFERROR(__xludf.DUMMYFUNCTION("GOOGLETRANSLATE(B85,""en"",""ko"")"),"지갑")</f>
        <v>지갑</v>
      </c>
      <c r="K85" s="6" t="str">
        <f>IFERROR(__xludf.DUMMYFUNCTION("GOOGLETRANSLATE(B85,""en"",""zh"")"),"钱包")</f>
        <v>钱包</v>
      </c>
      <c r="L85" s="6" t="str">
        <f>IFERROR(__xludf.DUMMYFUNCTION("GOOGLETRANSLATE(B85,""en"",""es"")"),"Cartera")</f>
        <v>Cartera</v>
      </c>
      <c r="M85" s="7" t="str">
        <f>IFERROR(__xludf.DUMMYFUNCTION("GOOGLETRANSLATE(B85,""en"",""iw"")"),"ארנק")</f>
        <v>ארנק</v>
      </c>
      <c r="N85" s="6" t="str">
        <f>IFERROR(__xludf.DUMMYFUNCTION("GOOGLETRANSLATE(B85,""en"",""bn"")"),"ওয়ালেট")</f>
        <v>ওয়ালেট</v>
      </c>
      <c r="O85" s="6"/>
      <c r="P85" s="6"/>
    </row>
    <row r="86">
      <c r="A86" s="14" t="s">
        <v>179</v>
      </c>
      <c r="B86" s="9" t="s">
        <v>180</v>
      </c>
      <c r="C86" s="5" t="str">
        <f>IFERROR(__xludf.DUMMYFUNCTION("GOOGLETRANSLATE(B86,""en"",""hi"")"),"रेफ़रल")</f>
        <v>रेफ़रल</v>
      </c>
      <c r="D86" s="6" t="str">
        <f>IFERROR(__xludf.DUMMYFUNCTION("GOOGLETRANSLATE(B86,""en"",""ar"")"),"إحالة")</f>
        <v>إحالة</v>
      </c>
      <c r="E86" s="6" t="str">
        <f>IFERROR(__xludf.DUMMYFUNCTION("GOOGLETRANSLATE(B86,""en"",""fr"")"),"Référé")</f>
        <v>Référé</v>
      </c>
      <c r="F86" s="6" t="str">
        <f>IFERROR(__xludf.DUMMYFUNCTION("GOOGLETRANSLATE(B86,""en"",""tr"")"),"Yönlendirme")</f>
        <v>Yönlendirme</v>
      </c>
      <c r="G86" s="6" t="str">
        <f>IFERROR(__xludf.DUMMYFUNCTION("GOOGLETRANSLATE(B86,""en"",""ru"")"),"Реферал")</f>
        <v>Реферал</v>
      </c>
      <c r="H86" s="6" t="str">
        <f>IFERROR(__xludf.DUMMYFUNCTION("GOOGLETRANSLATE(B86,""en"",""it"")"),"Referel")</f>
        <v>Referel</v>
      </c>
      <c r="I86" s="6" t="str">
        <f>IFERROR(__xludf.DUMMYFUNCTION("GOOGLETRANSLATE(B86,""en"",""de"")"),"Referal")</f>
        <v>Referal</v>
      </c>
      <c r="J86" s="6" t="str">
        <f>IFERROR(__xludf.DUMMYFUNCTION("GOOGLETRANSLATE(B86,""en"",""ko"")"),"의뢰")</f>
        <v>의뢰</v>
      </c>
      <c r="K86" s="6" t="str">
        <f>IFERROR(__xludf.DUMMYFUNCTION("GOOGLETRANSLATE(B86,""en"",""zh"")"),"推荐")</f>
        <v>推荐</v>
      </c>
      <c r="L86" s="6" t="str">
        <f>IFERROR(__xludf.DUMMYFUNCTION("GOOGLETRANSLATE(B86,""en"",""es"")"),"Referencia")</f>
        <v>Referencia</v>
      </c>
      <c r="M86" s="7" t="str">
        <f>IFERROR(__xludf.DUMMYFUNCTION("GOOGLETRANSLATE(B86,""en"",""iw"")"),"הפניה")</f>
        <v>הפניה</v>
      </c>
      <c r="N86" s="6" t="str">
        <f>IFERROR(__xludf.DUMMYFUNCTION("GOOGLETRANSLATE(B86,""en"",""bn"")"),"রেফারেল")</f>
        <v>রেফারেল</v>
      </c>
      <c r="O86" s="6"/>
      <c r="P86" s="6"/>
    </row>
    <row r="87">
      <c r="A87" s="14" t="s">
        <v>181</v>
      </c>
      <c r="B87" s="9" t="s">
        <v>182</v>
      </c>
      <c r="C87" s="5" t="str">
        <f>IFERROR(__xludf.DUMMYFUNCTION("GOOGLETRANSLATE(B87,""en"",""hi"")"),"सामान्य प्रश्न")</f>
        <v>सामान्य प्रश्न</v>
      </c>
      <c r="D87" s="6" t="str">
        <f>IFERROR(__xludf.DUMMYFUNCTION("GOOGLETRANSLATE(B87,""en"",""ar"")"),"التعليمات")</f>
        <v>التعليمات</v>
      </c>
      <c r="E87" s="6" t="str">
        <f>IFERROR(__xludf.DUMMYFUNCTION("GOOGLETRANSLATE(B87,""en"",""fr"")"),"FAQ")</f>
        <v>FAQ</v>
      </c>
      <c r="F87" s="6" t="str">
        <f>IFERROR(__xludf.DUMMYFUNCTION("GOOGLETRANSLATE(B87,""en"",""tr"")"),"SSS")</f>
        <v>SSS</v>
      </c>
      <c r="G87" s="6" t="str">
        <f>IFERROR(__xludf.DUMMYFUNCTION("GOOGLETRANSLATE(B87,""en"",""ru"")"),"Часто задаваемые вопросы")</f>
        <v>Часто задаваемые вопросы</v>
      </c>
      <c r="H87" s="6" t="str">
        <f>IFERROR(__xludf.DUMMYFUNCTION("GOOGLETRANSLATE(B87,""en"",""it"")"),"FAQ")</f>
        <v>FAQ</v>
      </c>
      <c r="I87" s="6" t="str">
        <f>IFERROR(__xludf.DUMMYFUNCTION("GOOGLETRANSLATE(B87,""en"",""de"")"),"FAQ")</f>
        <v>FAQ</v>
      </c>
      <c r="J87" s="6" t="str">
        <f>IFERROR(__xludf.DUMMYFUNCTION("GOOGLETRANSLATE(B87,""en"",""ko"")"),"자주하는 질문")</f>
        <v>자주하는 질문</v>
      </c>
      <c r="K87" s="6" t="str">
        <f>IFERROR(__xludf.DUMMYFUNCTION("GOOGLETRANSLATE(B87,""en"",""zh"")"),"常问问题")</f>
        <v>常问问题</v>
      </c>
      <c r="L87" s="6" t="str">
        <f>IFERROR(__xludf.DUMMYFUNCTION("GOOGLETRANSLATE(B87,""en"",""es"")"),"Preguntas más frecuentes")</f>
        <v>Preguntas más frecuentes</v>
      </c>
      <c r="M87" s="7" t="str">
        <f>IFERROR(__xludf.DUMMYFUNCTION("GOOGLETRANSLATE(B87,""en"",""iw"")"),"שאלות נפוצות")</f>
        <v>שאלות נפוצות</v>
      </c>
      <c r="N87" s="6" t="str">
        <f>IFERROR(__xludf.DUMMYFUNCTION("GOOGLETRANSLATE(B87,""en"",""bn"")"),"এফএকিউ")</f>
        <v>এফএকিউ</v>
      </c>
      <c r="O87" s="6"/>
      <c r="P87" s="6"/>
    </row>
    <row r="88">
      <c r="A88" s="14" t="s">
        <v>183</v>
      </c>
      <c r="B88" s="9" t="s">
        <v>184</v>
      </c>
      <c r="C88" s="5" t="str">
        <f>IFERROR(__xludf.DUMMYFUNCTION("GOOGLETRANSLATE(B88,""en"",""hi"")"),"मुसीबत का इशारा")</f>
        <v>मुसीबत का इशारा</v>
      </c>
      <c r="D88" s="6" t="str">
        <f>IFERROR(__xludf.DUMMYFUNCTION("GOOGLETRANSLATE(B88,""en"",""ar"")"),"سوس")</f>
        <v>سوس</v>
      </c>
      <c r="E88" s="6" t="str">
        <f>IFERROR(__xludf.DUMMYFUNCTION("GOOGLETRANSLATE(B88,""en"",""fr"")"),"Sos")</f>
        <v>Sos</v>
      </c>
      <c r="F88" s="6" t="str">
        <f>IFERROR(__xludf.DUMMYFUNCTION("GOOGLETRANSLATE(B88,""en"",""tr"")"),"s.o.s.")</f>
        <v>s.o.s.</v>
      </c>
      <c r="G88" s="6" t="str">
        <f>IFERROR(__xludf.DUMMYFUNCTION("GOOGLETRANSLATE(B88,""en"",""ru"")"),"SOS")</f>
        <v>SOS</v>
      </c>
      <c r="H88" s="6" t="str">
        <f>IFERROR(__xludf.DUMMYFUNCTION("GOOGLETRANSLATE(B88,""en"",""it"")"),"sos")</f>
        <v>sos</v>
      </c>
      <c r="I88" s="6" t="str">
        <f>IFERROR(__xludf.DUMMYFUNCTION("GOOGLETRANSLATE(B88,""en"",""de"")"),"SOS")</f>
        <v>SOS</v>
      </c>
      <c r="J88" s="6" t="str">
        <f>IFERROR(__xludf.DUMMYFUNCTION("GOOGLETRANSLATE(B88,""en"",""ko"")"),"위급 신호")</f>
        <v>위급 신호</v>
      </c>
      <c r="K88" s="6" t="str">
        <f>IFERROR(__xludf.DUMMYFUNCTION("GOOGLETRANSLATE(B88,""en"",""zh"")"),"SOS")</f>
        <v>SOS</v>
      </c>
      <c r="L88" s="6" t="str">
        <f>IFERROR(__xludf.DUMMYFUNCTION("GOOGLETRANSLATE(B88,""en"",""es"")"),"llamada de socorro")</f>
        <v>llamada de socorro</v>
      </c>
      <c r="M88" s="7" t="str">
        <f>IFERROR(__xludf.DUMMYFUNCTION("GOOGLETRANSLATE(B88,""en"",""iw"")"),"הַצִילוּ")</f>
        <v>הַצִילוּ</v>
      </c>
      <c r="N88" s="6" t="str">
        <f>IFERROR(__xludf.DUMMYFUNCTION("GOOGLETRANSLATE(B88,""en"",""bn"")"),"Sos")</f>
        <v>Sos</v>
      </c>
      <c r="O88" s="6"/>
      <c r="P88" s="6"/>
    </row>
    <row r="89">
      <c r="A89" s="8" t="s">
        <v>185</v>
      </c>
      <c r="B89" s="9" t="s">
        <v>186</v>
      </c>
      <c r="C89" s="5" t="str">
        <f>IFERROR(__xludf.DUMMYFUNCTION("GOOGLETRANSLATE(B89,""en"",""hi"")"),"भाषा बदलो")</f>
        <v>भाषा बदलो</v>
      </c>
      <c r="D89" s="6" t="str">
        <f>IFERROR(__xludf.DUMMYFUNCTION("GOOGLETRANSLATE(B89,""en"",""ar"")"),"تغيير اللغة")</f>
        <v>تغيير اللغة</v>
      </c>
      <c r="E89" s="6" t="str">
        <f>IFERROR(__xludf.DUMMYFUNCTION("GOOGLETRANSLATE(B89,""en"",""fr"")"),"Changer de langue")</f>
        <v>Changer de langue</v>
      </c>
      <c r="F89" s="6" t="str">
        <f>IFERROR(__xludf.DUMMYFUNCTION("GOOGLETRANSLATE(B89,""en"",""tr"")"),"Dili değiştir")</f>
        <v>Dili değiştir</v>
      </c>
      <c r="G89" s="6" t="str">
        <f>IFERROR(__xludf.DUMMYFUNCTION("GOOGLETRANSLATE(B89,""en"",""ru"")"),"Изменить язык")</f>
        <v>Изменить язык</v>
      </c>
      <c r="H89" s="6" t="str">
        <f>IFERROR(__xludf.DUMMYFUNCTION("GOOGLETRANSLATE(B89,""en"",""it"")"),"Cambia lingua")</f>
        <v>Cambia lingua</v>
      </c>
      <c r="I89" s="6" t="str">
        <f>IFERROR(__xludf.DUMMYFUNCTION("GOOGLETRANSLATE(B89,""en"",""de"")"),"Sprache ändern")</f>
        <v>Sprache ändern</v>
      </c>
      <c r="J89" s="6" t="str">
        <f>IFERROR(__xludf.DUMMYFUNCTION("GOOGLETRANSLATE(B89,""en"",""ko"")"),"언어를 변경하십시오")</f>
        <v>언어를 변경하십시오</v>
      </c>
      <c r="K89" s="6" t="str">
        <f>IFERROR(__xludf.DUMMYFUNCTION("GOOGLETRANSLATE(B89,""en"",""zh"")"),"改变语言")</f>
        <v>改变语言</v>
      </c>
      <c r="L89" s="6" t="str">
        <f>IFERROR(__xludf.DUMMYFUNCTION("GOOGLETRANSLATE(B89,""en"",""es"")"),"Cambiar idioma")</f>
        <v>Cambiar idioma</v>
      </c>
      <c r="M89" s="7" t="str">
        <f>IFERROR(__xludf.DUMMYFUNCTION("GOOGLETRANSLATE(B89,""en"",""iw"")"),"שנה שפה")</f>
        <v>שנה שפה</v>
      </c>
      <c r="N89" s="6" t="str">
        <f>IFERROR(__xludf.DUMMYFUNCTION("GOOGLETRANSLATE(B89,""en"",""bn"")"),"ভাষা পরিবর্তন করুন")</f>
        <v>ভাষা পরিবর্তন করুন</v>
      </c>
      <c r="O89" s="6"/>
      <c r="P89" s="6"/>
    </row>
    <row r="90">
      <c r="A90" s="14" t="s">
        <v>187</v>
      </c>
      <c r="B90" s="15" t="s">
        <v>188</v>
      </c>
      <c r="C90" s="5" t="str">
        <f>IFERROR(__xludf.DUMMYFUNCTION("GOOGLETRANSLATE(B90,""en"",""hi"")"),"के बारे में")</f>
        <v>के बारे में</v>
      </c>
      <c r="D90" s="6" t="str">
        <f>IFERROR(__xludf.DUMMYFUNCTION("GOOGLETRANSLATE(B90,""en"",""ar"")"),"حول")</f>
        <v>حول</v>
      </c>
      <c r="E90" s="6" t="str">
        <f>IFERROR(__xludf.DUMMYFUNCTION("GOOGLETRANSLATE(B90,""en"",""fr"")"),"À propos de")</f>
        <v>À propos de</v>
      </c>
      <c r="F90" s="6" t="str">
        <f>IFERROR(__xludf.DUMMYFUNCTION("GOOGLETRANSLATE(B90,""en"",""tr"")"),"Hakkında")</f>
        <v>Hakkında</v>
      </c>
      <c r="G90" s="6" t="str">
        <f>IFERROR(__xludf.DUMMYFUNCTION("GOOGLETRANSLATE(B90,""en"",""ru"")"),"О")</f>
        <v>О</v>
      </c>
      <c r="H90" s="6" t="str">
        <f>IFERROR(__xludf.DUMMYFUNCTION("GOOGLETRANSLATE(B90,""en"",""it"")"),"Di")</f>
        <v>Di</v>
      </c>
      <c r="I90" s="6" t="str">
        <f>IFERROR(__xludf.DUMMYFUNCTION("GOOGLETRANSLATE(B90,""en"",""de"")"),"Um")</f>
        <v>Um</v>
      </c>
      <c r="J90" s="6" t="str">
        <f>IFERROR(__xludf.DUMMYFUNCTION("GOOGLETRANSLATE(B90,""en"",""ko"")"),"에 대한")</f>
        <v>에 대한</v>
      </c>
      <c r="K90" s="6" t="str">
        <f>IFERROR(__xludf.DUMMYFUNCTION("GOOGLETRANSLATE(B90,""en"",""zh"")"),"关于")</f>
        <v>关于</v>
      </c>
      <c r="L90" s="6" t="str">
        <f>IFERROR(__xludf.DUMMYFUNCTION("GOOGLETRANSLATE(B90,""en"",""es"")"),"Sobre")</f>
        <v>Sobre</v>
      </c>
      <c r="M90" s="7" t="str">
        <f>IFERROR(__xludf.DUMMYFUNCTION("GOOGLETRANSLATE(B90,""en"",""iw"")"),"על אודות")</f>
        <v>על אודות</v>
      </c>
      <c r="N90" s="6" t="str">
        <f>IFERROR(__xludf.DUMMYFUNCTION("GOOGLETRANSLATE(B90,""en"",""bn"")"),"সম্পর্কিত")</f>
        <v>সম্পর্কিত</v>
      </c>
      <c r="O90" s="6"/>
      <c r="P90" s="6"/>
    </row>
    <row r="91">
      <c r="A91" s="14" t="s">
        <v>189</v>
      </c>
      <c r="B91" s="9" t="s">
        <v>190</v>
      </c>
      <c r="C91" s="5" t="str">
        <f>IFERROR(__xludf.DUMMYFUNCTION("GOOGLETRANSLATE(B91,""en"",""hi"")"),"लॉग आउट")</f>
        <v>लॉग आउट</v>
      </c>
      <c r="D91" s="6" t="str">
        <f>IFERROR(__xludf.DUMMYFUNCTION("GOOGLETRANSLATE(B91,""en"",""ar"")"),"تسجيل خروج")</f>
        <v>تسجيل خروج</v>
      </c>
      <c r="E91" s="6" t="str">
        <f>IFERROR(__xludf.DUMMYFUNCTION("GOOGLETRANSLATE(B91,""en"",""fr"")"),"Se déconnecter")</f>
        <v>Se déconnecter</v>
      </c>
      <c r="F91" s="6" t="str">
        <f>IFERROR(__xludf.DUMMYFUNCTION("GOOGLETRANSLATE(B91,""en"",""tr"")"),"Çıkış Yap")</f>
        <v>Çıkış Yap</v>
      </c>
      <c r="G91" s="6" t="str">
        <f>IFERROR(__xludf.DUMMYFUNCTION("GOOGLETRANSLATE(B91,""en"",""ru"")"),"Выйти")</f>
        <v>Выйти</v>
      </c>
      <c r="H91" s="6" t="str">
        <f>IFERROR(__xludf.DUMMYFUNCTION("GOOGLETRANSLATE(B91,""en"",""it"")"),"Disconnettersi")</f>
        <v>Disconnettersi</v>
      </c>
      <c r="I91" s="6" t="str">
        <f>IFERROR(__xludf.DUMMYFUNCTION("GOOGLETRANSLATE(B91,""en"",""de"")"),"Ausloggen")</f>
        <v>Ausloggen</v>
      </c>
      <c r="J91" s="6" t="str">
        <f>IFERROR(__xludf.DUMMYFUNCTION("GOOGLETRANSLATE(B91,""en"",""ko"")"),"로그 아웃")</f>
        <v>로그 아웃</v>
      </c>
      <c r="K91" s="6" t="str">
        <f>IFERROR(__xludf.DUMMYFUNCTION("GOOGLETRANSLATE(B91,""en"",""zh"")"),"登出")</f>
        <v>登出</v>
      </c>
      <c r="L91" s="6" t="str">
        <f>IFERROR(__xludf.DUMMYFUNCTION("GOOGLETRANSLATE(B91,""en"",""es"")"),"Cerrar sesión")</f>
        <v>Cerrar sesión</v>
      </c>
      <c r="M91" s="7" t="str">
        <f>IFERROR(__xludf.DUMMYFUNCTION("GOOGLETRANSLATE(B91,""en"",""iw"")"),"להתנתק")</f>
        <v>להתנתק</v>
      </c>
      <c r="N91" s="6" t="str">
        <f>IFERROR(__xludf.DUMMYFUNCTION("GOOGLETRANSLATE(B91,""en"",""bn"")"),"প্রস্থান")</f>
        <v>প্রস্থান</v>
      </c>
      <c r="O91" s="6"/>
      <c r="P91" s="6"/>
    </row>
    <row r="92">
      <c r="A92" s="8" t="s">
        <v>191</v>
      </c>
      <c r="B92" s="9" t="s">
        <v>192</v>
      </c>
      <c r="C92" s="5" t="str">
        <f>IFERROR(__xludf.DUMMYFUNCTION("GOOGLETRANSLATE(B92,""en"",""hi"")"),"यात्रा सारांश")</f>
        <v>यात्रा सारांश</v>
      </c>
      <c r="D92" s="6" t="str">
        <f>IFERROR(__xludf.DUMMYFUNCTION("GOOGLETRANSLATE(B92,""en"",""ar"")"),"ملخص الرحلة")</f>
        <v>ملخص الرحلة</v>
      </c>
      <c r="E92" s="6" t="str">
        <f>IFERROR(__xludf.DUMMYFUNCTION("GOOGLETRANSLATE(B92,""en"",""fr"")"),"Résumé")</f>
        <v>Résumé</v>
      </c>
      <c r="F92" s="6" t="str">
        <f>IFERROR(__xludf.DUMMYFUNCTION("GOOGLETRANSLATE(B92,""en"",""tr"")"),"Seyahat Özeti")</f>
        <v>Seyahat Özeti</v>
      </c>
      <c r="G92" s="6" t="str">
        <f>IFERROR(__xludf.DUMMYFUNCTION("GOOGLETRANSLATE(B92,""en"",""ru"")"),"Резюме поездки")</f>
        <v>Резюме поездки</v>
      </c>
      <c r="H92" s="6" t="str">
        <f>IFERROR(__xludf.DUMMYFUNCTION("GOOGLETRANSLATE(B92,""en"",""it"")"),"Riepilogo del viaggio")</f>
        <v>Riepilogo del viaggio</v>
      </c>
      <c r="I92" s="6" t="str">
        <f>IFERROR(__xludf.DUMMYFUNCTION("GOOGLETRANSLATE(B92,""en"",""de"")"),"Reisezusammenfassung")</f>
        <v>Reisezusammenfassung</v>
      </c>
      <c r="J92" s="6" t="str">
        <f>IFERROR(__xludf.DUMMYFUNCTION("GOOGLETRANSLATE(B92,""en"",""ko"")"),"여행 요약")</f>
        <v>여행 요약</v>
      </c>
      <c r="K92" s="6" t="str">
        <f>IFERROR(__xludf.DUMMYFUNCTION("GOOGLETRANSLATE(B92,""en"",""zh"")"),"旅行摘要")</f>
        <v>旅行摘要</v>
      </c>
      <c r="L92" s="6" t="str">
        <f>IFERROR(__xludf.DUMMYFUNCTION("GOOGLETRANSLATE(B92,""en"",""es"")"),"Resumen del viaje")</f>
        <v>Resumen del viaje</v>
      </c>
      <c r="M92" s="7" t="str">
        <f>IFERROR(__xludf.DUMMYFUNCTION("GOOGLETRANSLATE(B92,""en"",""iw"")"),"סיכום טיול")</f>
        <v>סיכום טיול</v>
      </c>
      <c r="N92" s="6" t="str">
        <f>IFERROR(__xludf.DUMMYFUNCTION("GOOGLETRANSLATE(B92,""en"",""bn"")"),"ট্রিপ সংক্ষিপ্তসার")</f>
        <v>ট্রিপ সংক্ষিপ্তসার</v>
      </c>
      <c r="O92" s="6"/>
      <c r="P92" s="6"/>
    </row>
    <row r="93">
      <c r="A93" s="8" t="s">
        <v>193</v>
      </c>
      <c r="B93" s="9" t="s">
        <v>194</v>
      </c>
      <c r="C93" s="5" t="str">
        <f>IFERROR(__xludf.DUMMYFUNCTION("GOOGLETRANSLATE(B93,""en"",""hi"")"),"संदर्भ संख्या")</f>
        <v>संदर्भ संख्या</v>
      </c>
      <c r="D93" s="6" t="str">
        <f>IFERROR(__xludf.DUMMYFUNCTION("GOOGLETRANSLATE(B93,""en"",""ar"")"),"رقم المرجع")</f>
        <v>رقم المرجع</v>
      </c>
      <c r="E93" s="6" t="str">
        <f>IFERROR(__xludf.DUMMYFUNCTION("GOOGLETRANSLATE(B93,""en"",""fr"")"),"Numéro de réference")</f>
        <v>Numéro de réference</v>
      </c>
      <c r="F93" s="6" t="str">
        <f>IFERROR(__xludf.DUMMYFUNCTION("GOOGLETRANSLATE(B93,""en"",""tr"")"),"Referans numarası")</f>
        <v>Referans numarası</v>
      </c>
      <c r="G93" s="6" t="str">
        <f>IFERROR(__xludf.DUMMYFUNCTION("GOOGLETRANSLATE(B93,""en"",""ru"")"),"Ссылочный номер")</f>
        <v>Ссылочный номер</v>
      </c>
      <c r="H93" s="6" t="str">
        <f>IFERROR(__xludf.DUMMYFUNCTION("GOOGLETRANSLATE(B93,""en"",""it"")"),"Numero di riferimento")</f>
        <v>Numero di riferimento</v>
      </c>
      <c r="I93" s="6" t="str">
        <f>IFERROR(__xludf.DUMMYFUNCTION("GOOGLETRANSLATE(B93,""en"",""de"")"),"Referenznummer")</f>
        <v>Referenznummer</v>
      </c>
      <c r="J93" s="6" t="str">
        <f>IFERROR(__xludf.DUMMYFUNCTION("GOOGLETRANSLATE(B93,""en"",""ko"")"),"참조 번호")</f>
        <v>참조 번호</v>
      </c>
      <c r="K93" s="6" t="str">
        <f>IFERROR(__xludf.DUMMYFUNCTION("GOOGLETRANSLATE(B93,""en"",""zh"")"),"参考编号")</f>
        <v>参考编号</v>
      </c>
      <c r="L93" s="6" t="str">
        <f>IFERROR(__xludf.DUMMYFUNCTION("GOOGLETRANSLATE(B93,""en"",""es"")"),"Número de referencia")</f>
        <v>Número de referencia</v>
      </c>
      <c r="M93" s="7" t="str">
        <f>IFERROR(__xludf.DUMMYFUNCTION("GOOGLETRANSLATE(B93,""en"",""iw"")"),"מספר הפניה")</f>
        <v>מספר הפניה</v>
      </c>
      <c r="N93" s="6" t="str">
        <f>IFERROR(__xludf.DUMMYFUNCTION("GOOGLETRANSLATE(B93,""en"",""bn"")"),"পরিচিত সংখ্যা")</f>
        <v>পরিচিত সংখ্যা</v>
      </c>
      <c r="O93" s="6"/>
      <c r="P93" s="6"/>
    </row>
    <row r="94">
      <c r="A94" s="8" t="s">
        <v>195</v>
      </c>
      <c r="B94" s="9" t="s">
        <v>196</v>
      </c>
      <c r="C94" s="5" t="str">
        <f>IFERROR(__xludf.DUMMYFUNCTION("GOOGLETRANSLATE(B94,""en"",""hi"")"),"सवारी का प्रकार")</f>
        <v>सवारी का प्रकार</v>
      </c>
      <c r="D94" s="6" t="str">
        <f>IFERROR(__xludf.DUMMYFUNCTION("GOOGLETRANSLATE(B94,""en"",""ar"")"),"نوع الركوب")</f>
        <v>نوع الركوب</v>
      </c>
      <c r="E94" s="6" t="str">
        <f>IFERROR(__xludf.DUMMYFUNCTION("GOOGLETRANSLATE(B94,""en"",""fr"")"),"Type de balade")</f>
        <v>Type de balade</v>
      </c>
      <c r="F94" s="6" t="str">
        <f>IFERROR(__xludf.DUMMYFUNCTION("GOOGLETRANSLATE(B94,""en"",""tr"")"),"Tür sürüş")</f>
        <v>Tür sürüş</v>
      </c>
      <c r="G94" s="6" t="str">
        <f>IFERROR(__xludf.DUMMYFUNCTION("GOOGLETRANSLATE(B94,""en"",""ru"")"),"Тип поездки")</f>
        <v>Тип поездки</v>
      </c>
      <c r="H94" s="6" t="str">
        <f>IFERROR(__xludf.DUMMYFUNCTION("GOOGLETRANSLATE(B94,""en"",""it"")"),"Tipo di corsa")</f>
        <v>Tipo di corsa</v>
      </c>
      <c r="I94" s="6" t="str">
        <f>IFERROR(__xludf.DUMMYFUNCTION("GOOGLETRANSLATE(B94,""en"",""de"")"),"Art der Fahrt")</f>
        <v>Art der Fahrt</v>
      </c>
      <c r="J94" s="6" t="str">
        <f>IFERROR(__xludf.DUMMYFUNCTION("GOOGLETRANSLATE(B94,""en"",""ko"")"),"타는 유형")</f>
        <v>타는 유형</v>
      </c>
      <c r="K94" s="6" t="str">
        <f>IFERROR(__xludf.DUMMYFUNCTION("GOOGLETRANSLATE(B94,""en"",""zh"")"),"骑行类型")</f>
        <v>骑行类型</v>
      </c>
      <c r="L94" s="6" t="str">
        <f>IFERROR(__xludf.DUMMYFUNCTION("GOOGLETRANSLATE(B94,""en"",""es"")"),"Tipo de viaje")</f>
        <v>Tipo de viaje</v>
      </c>
      <c r="M94" s="7" t="str">
        <f>IFERROR(__xludf.DUMMYFUNCTION("GOOGLETRANSLATE(B94,""en"",""iw"")"),"סוג הרכיבה")</f>
        <v>סוג הרכיבה</v>
      </c>
      <c r="N94" s="6" t="str">
        <f>IFERROR(__xludf.DUMMYFUNCTION("GOOGLETRANSLATE(B94,""en"",""bn"")"),"যাত্রার ধরণ")</f>
        <v>যাত্রার ধরণ</v>
      </c>
      <c r="O94" s="6"/>
      <c r="P94" s="6"/>
    </row>
    <row r="95">
      <c r="A95" s="8" t="s">
        <v>197</v>
      </c>
      <c r="B95" s="9" t="s">
        <v>198</v>
      </c>
      <c r="C95" s="5" t="str">
        <f>IFERROR(__xludf.DUMMYFUNCTION("GOOGLETRANSLATE(B95,""en"",""hi"")"),"दूरी")</f>
        <v>दूरी</v>
      </c>
      <c r="D95" s="6" t="str">
        <f>IFERROR(__xludf.DUMMYFUNCTION("GOOGLETRANSLATE(B95,""en"",""ar"")"),"مسافه: بعد")</f>
        <v>مسافه: بعد</v>
      </c>
      <c r="E95" s="6" t="str">
        <f>IFERROR(__xludf.DUMMYFUNCTION("GOOGLETRANSLATE(B95,""en"",""fr"")"),"Distance")</f>
        <v>Distance</v>
      </c>
      <c r="F95" s="6" t="str">
        <f>IFERROR(__xludf.DUMMYFUNCTION("GOOGLETRANSLATE(B95,""en"",""tr"")"),"Mesafe")</f>
        <v>Mesafe</v>
      </c>
      <c r="G95" s="6" t="str">
        <f>IFERROR(__xludf.DUMMYFUNCTION("GOOGLETRANSLATE(B95,""en"",""ru"")"),"Расстояние")</f>
        <v>Расстояние</v>
      </c>
      <c r="H95" s="6" t="str">
        <f>IFERROR(__xludf.DUMMYFUNCTION("GOOGLETRANSLATE(B95,""en"",""it"")"),"Distanza")</f>
        <v>Distanza</v>
      </c>
      <c r="I95" s="6" t="str">
        <f>IFERROR(__xludf.DUMMYFUNCTION("GOOGLETRANSLATE(B95,""en"",""de"")"),"Distanz")</f>
        <v>Distanz</v>
      </c>
      <c r="J95" s="6" t="str">
        <f>IFERROR(__xludf.DUMMYFUNCTION("GOOGLETRANSLATE(B95,""en"",""ko"")"),"거리")</f>
        <v>거리</v>
      </c>
      <c r="K95" s="6" t="str">
        <f>IFERROR(__xludf.DUMMYFUNCTION("GOOGLETRANSLATE(B95,""en"",""zh"")"),"距离")</f>
        <v>距离</v>
      </c>
      <c r="L95" s="6" t="str">
        <f>IFERROR(__xludf.DUMMYFUNCTION("GOOGLETRANSLATE(B95,""en"",""es"")"),"Distancia")</f>
        <v>Distancia</v>
      </c>
      <c r="M95" s="7" t="str">
        <f>IFERROR(__xludf.DUMMYFUNCTION("GOOGLETRANSLATE(B95,""en"",""iw"")"),"מֶרְחָק")</f>
        <v>מֶרְחָק</v>
      </c>
      <c r="N95" s="6" t="str">
        <f>IFERROR(__xludf.DUMMYFUNCTION("GOOGLETRANSLATE(B95,""en"",""bn"")"),"দূরত্ব")</f>
        <v>দূরত্ব</v>
      </c>
      <c r="O95" s="6"/>
      <c r="P95" s="6"/>
    </row>
    <row r="96">
      <c r="A96" s="8" t="s">
        <v>199</v>
      </c>
      <c r="B96" s="12" t="s">
        <v>200</v>
      </c>
      <c r="C96" s="5" t="str">
        <f>IFERROR(__xludf.DUMMYFUNCTION("GOOGLETRANSLATE(B96,""en"",""hi"")"),"अवधि")</f>
        <v>अवधि</v>
      </c>
      <c r="D96" s="6" t="str">
        <f>IFERROR(__xludf.DUMMYFUNCTION("GOOGLETRANSLATE(B96,""en"",""ar"")"),"مدة")</f>
        <v>مدة</v>
      </c>
      <c r="E96" s="6" t="str">
        <f>IFERROR(__xludf.DUMMYFUNCTION("GOOGLETRANSLATE(B96,""en"",""fr"")"),"Durée")</f>
        <v>Durée</v>
      </c>
      <c r="F96" s="6" t="str">
        <f>IFERROR(__xludf.DUMMYFUNCTION("GOOGLETRANSLATE(B96,""en"",""tr"")"),"Süre")</f>
        <v>Süre</v>
      </c>
      <c r="G96" s="6" t="str">
        <f>IFERROR(__xludf.DUMMYFUNCTION("GOOGLETRANSLATE(B96,""en"",""ru"")"),"Продолжительность")</f>
        <v>Продолжительность</v>
      </c>
      <c r="H96" s="6" t="str">
        <f>IFERROR(__xludf.DUMMYFUNCTION("GOOGLETRANSLATE(B96,""en"",""it"")"),"Durata")</f>
        <v>Durata</v>
      </c>
      <c r="I96" s="6" t="str">
        <f>IFERROR(__xludf.DUMMYFUNCTION("GOOGLETRANSLATE(B96,""en"",""de"")"),"Dauer")</f>
        <v>Dauer</v>
      </c>
      <c r="J96" s="6" t="str">
        <f>IFERROR(__xludf.DUMMYFUNCTION("GOOGLETRANSLATE(B96,""en"",""ko"")"),"지속")</f>
        <v>지속</v>
      </c>
      <c r="K96" s="6" t="str">
        <f>IFERROR(__xludf.DUMMYFUNCTION("GOOGLETRANSLATE(B96,""en"",""zh"")"),"期间")</f>
        <v>期间</v>
      </c>
      <c r="L96" s="6" t="str">
        <f>IFERROR(__xludf.DUMMYFUNCTION("GOOGLETRANSLATE(B96,""en"",""es"")"),"Duración")</f>
        <v>Duración</v>
      </c>
      <c r="M96" s="7" t="str">
        <f>IFERROR(__xludf.DUMMYFUNCTION("GOOGLETRANSLATE(B96,""en"",""iw"")"),"מֶשֶׁך")</f>
        <v>מֶשֶׁך</v>
      </c>
      <c r="N96" s="6" t="str">
        <f>IFERROR(__xludf.DUMMYFUNCTION("GOOGLETRANSLATE(B96,""en"",""bn"")"),"সময়কাল")</f>
        <v>সময়কাল</v>
      </c>
      <c r="O96" s="6"/>
      <c r="P96" s="6"/>
    </row>
    <row r="97">
      <c r="A97" s="8" t="s">
        <v>201</v>
      </c>
      <c r="B97" s="9" t="s">
        <v>202</v>
      </c>
      <c r="C97" s="5" t="str">
        <f>IFERROR(__xludf.DUMMYFUNCTION("GOOGLETRANSLATE(B97,""en"",""hi"")"),"किराया ब्रेकअप")</f>
        <v>किराया ब्रेकअप</v>
      </c>
      <c r="D97" s="6" t="str">
        <f>IFERROR(__xludf.DUMMYFUNCTION("GOOGLETRANSLATE(B97,""en"",""ar"")"),"تفكك الأجرة")</f>
        <v>تفكك الأجرة</v>
      </c>
      <c r="E97" s="6" t="str">
        <f>IFERROR(__xludf.DUMMYFUNCTION("GOOGLETRANSLATE(B97,""en"",""fr"")"),"Rupture")</f>
        <v>Rupture</v>
      </c>
      <c r="F97" s="6" t="str">
        <f>IFERROR(__xludf.DUMMYFUNCTION("GOOGLETRANSLATE(B97,""en"",""tr"")"),"Ücret dağılımı")</f>
        <v>Ücret dağılımı</v>
      </c>
      <c r="G97" s="6" t="str">
        <f>IFERROR(__xludf.DUMMYFUNCTION("GOOGLETRANSLATE(B97,""en"",""ru"")"),"Распад тарифа")</f>
        <v>Распад тарифа</v>
      </c>
      <c r="H97" s="6" t="str">
        <f>IFERROR(__xludf.DUMMYFUNCTION("GOOGLETRANSLATE(B97,""en"",""it"")"),"Rottura della tariffa")</f>
        <v>Rottura della tariffa</v>
      </c>
      <c r="I97" s="6" t="str">
        <f>IFERROR(__xludf.DUMMYFUNCTION("GOOGLETRANSLATE(B97,""en"",""de"")"),"Fahrpreisbruch")</f>
        <v>Fahrpreisbruch</v>
      </c>
      <c r="J97" s="6" t="str">
        <f>IFERROR(__xludf.DUMMYFUNCTION("GOOGLETRANSLATE(B97,""en"",""ko"")"),"운임 이별")</f>
        <v>운임 이별</v>
      </c>
      <c r="K97" s="6" t="str">
        <f>IFERROR(__xludf.DUMMYFUNCTION("GOOGLETRANSLATE(B97,""en"",""zh"")"),"票价分手")</f>
        <v>票价分手</v>
      </c>
      <c r="L97" s="6" t="str">
        <f>IFERROR(__xludf.DUMMYFUNCTION("GOOGLETRANSLATE(B97,""en"",""es"")"),"Ruptura de tarifas")</f>
        <v>Ruptura de tarifas</v>
      </c>
      <c r="M97" s="7" t="str">
        <f>IFERROR(__xludf.DUMMYFUNCTION("GOOGLETRANSLATE(B97,""en"",""iw"")"),"התפרקות מחיר")</f>
        <v>התפרקות מחיר</v>
      </c>
      <c r="N97" s="6" t="str">
        <f>IFERROR(__xludf.DUMMYFUNCTION("GOOGLETRANSLATE(B97,""en"",""bn"")"),"ভাড়া ব্রেকআপ")</f>
        <v>ভাড়া ব্রেকআপ</v>
      </c>
      <c r="O97" s="6"/>
      <c r="P97" s="6"/>
    </row>
    <row r="98">
      <c r="A98" s="8" t="s">
        <v>203</v>
      </c>
      <c r="B98" s="9" t="s">
        <v>204</v>
      </c>
      <c r="C98" s="5" t="str">
        <f>IFERROR(__xludf.DUMMYFUNCTION("GOOGLETRANSLATE(B98,""en"",""hi"")"),"आधार मूल्य")</f>
        <v>आधार मूल्य</v>
      </c>
      <c r="D98" s="6" t="str">
        <f>IFERROR(__xludf.DUMMYFUNCTION("GOOGLETRANSLATE(B98,""en"",""ar"")"),"السعر الأساسي")</f>
        <v>السعر الأساسي</v>
      </c>
      <c r="E98" s="6" t="str">
        <f>IFERROR(__xludf.DUMMYFUNCTION("GOOGLETRANSLATE(B98,""en"",""fr"")"),"Prix ​​de base")</f>
        <v>Prix ​​de base</v>
      </c>
      <c r="F98" s="6" t="str">
        <f>IFERROR(__xludf.DUMMYFUNCTION("GOOGLETRANSLATE(B98,""en"",""tr"")"),"Taban fiyat")</f>
        <v>Taban fiyat</v>
      </c>
      <c r="G98" s="6" t="str">
        <f>IFERROR(__xludf.DUMMYFUNCTION("GOOGLETRANSLATE(B98,""en"",""ru"")"),"Базовая цена")</f>
        <v>Базовая цена</v>
      </c>
      <c r="H98" s="6" t="str">
        <f>IFERROR(__xludf.DUMMYFUNCTION("GOOGLETRANSLATE(B98,""en"",""it"")"),"Prezzo base")</f>
        <v>Prezzo base</v>
      </c>
      <c r="I98" s="6" t="str">
        <f>IFERROR(__xludf.DUMMYFUNCTION("GOOGLETRANSLATE(B98,""en"",""de"")"),"Grundpreis")</f>
        <v>Grundpreis</v>
      </c>
      <c r="J98" s="6" t="str">
        <f>IFERROR(__xludf.DUMMYFUNCTION("GOOGLETRANSLATE(B98,""en"",""ko"")"),"기본 가격")</f>
        <v>기본 가격</v>
      </c>
      <c r="K98" s="6" t="str">
        <f>IFERROR(__xludf.DUMMYFUNCTION("GOOGLETRANSLATE(B98,""en"",""zh"")"),"基本价格")</f>
        <v>基本价格</v>
      </c>
      <c r="L98" s="6" t="str">
        <f>IFERROR(__xludf.DUMMYFUNCTION("GOOGLETRANSLATE(B98,""en"",""es"")"),"Precio base")</f>
        <v>Precio base</v>
      </c>
      <c r="M98" s="7" t="str">
        <f>IFERROR(__xludf.DUMMYFUNCTION("GOOGLETRANSLATE(B98,""en"",""iw"")"),"מחיר בסיסי")</f>
        <v>מחיר בסיסי</v>
      </c>
      <c r="N98" s="6" t="str">
        <f>IFERROR(__xludf.DUMMYFUNCTION("GOOGLETRANSLATE(B98,""en"",""bn"")"),"মুলদাম")</f>
        <v>মুলদাম</v>
      </c>
      <c r="O98" s="6"/>
      <c r="P98" s="6"/>
    </row>
    <row r="99">
      <c r="A99" s="8" t="s">
        <v>205</v>
      </c>
      <c r="B99" s="9" t="s">
        <v>206</v>
      </c>
      <c r="C99" s="5" t="str">
        <f>IFERROR(__xludf.DUMMYFUNCTION("GOOGLETRANSLATE(B99,""en"",""hi"")"),"करों")</f>
        <v>करों</v>
      </c>
      <c r="D99" s="6" t="str">
        <f>IFERROR(__xludf.DUMMYFUNCTION("GOOGLETRANSLATE(B99,""en"",""ar"")"),"الضرائب")</f>
        <v>الضرائب</v>
      </c>
      <c r="E99" s="6" t="str">
        <f>IFERROR(__xludf.DUMMYFUNCTION("GOOGLETRANSLATE(B99,""en"",""fr"")"),"Taxes")</f>
        <v>Taxes</v>
      </c>
      <c r="F99" s="6" t="str">
        <f>IFERROR(__xludf.DUMMYFUNCTION("GOOGLETRANSLATE(B99,""en"",""tr"")"),"Vergi")</f>
        <v>Vergi</v>
      </c>
      <c r="G99" s="6" t="str">
        <f>IFERROR(__xludf.DUMMYFUNCTION("GOOGLETRANSLATE(B99,""en"",""ru"")"),"Налоги")</f>
        <v>Налоги</v>
      </c>
      <c r="H99" s="6" t="str">
        <f>IFERROR(__xludf.DUMMYFUNCTION("GOOGLETRANSLATE(B99,""en"",""it"")"),"Le tasse")</f>
        <v>Le tasse</v>
      </c>
      <c r="I99" s="6" t="str">
        <f>IFERROR(__xludf.DUMMYFUNCTION("GOOGLETRANSLATE(B99,""en"",""de"")"),"Steuern")</f>
        <v>Steuern</v>
      </c>
      <c r="J99" s="6" t="str">
        <f>IFERROR(__xludf.DUMMYFUNCTION("GOOGLETRANSLATE(B99,""en"",""ko"")"),"구실")</f>
        <v>구실</v>
      </c>
      <c r="K99" s="6" t="str">
        <f>IFERROR(__xludf.DUMMYFUNCTION("GOOGLETRANSLATE(B99,""en"",""zh"")"),"税")</f>
        <v>税</v>
      </c>
      <c r="L99" s="6" t="str">
        <f>IFERROR(__xludf.DUMMYFUNCTION("GOOGLETRANSLATE(B99,""en"",""es"")"),"Impuestos")</f>
        <v>Impuestos</v>
      </c>
      <c r="M99" s="7" t="str">
        <f>IFERROR(__xludf.DUMMYFUNCTION("GOOGLETRANSLATE(B99,""en"",""iw"")"),"מיסים")</f>
        <v>מיסים</v>
      </c>
      <c r="N99" s="6" t="str">
        <f>IFERROR(__xludf.DUMMYFUNCTION("GOOGLETRANSLATE(B99,""en"",""bn"")"),"করের")</f>
        <v>করের</v>
      </c>
      <c r="O99" s="6"/>
      <c r="P99" s="6"/>
    </row>
    <row r="100">
      <c r="A100" s="8" t="s">
        <v>207</v>
      </c>
      <c r="B100" s="9" t="s">
        <v>208</v>
      </c>
      <c r="C100" s="5" t="str">
        <f>IFERROR(__xludf.DUMMYFUNCTION("GOOGLETRANSLATE(B100,""en"",""hi"")"),"दूरी मूल्य")</f>
        <v>दूरी मूल्य</v>
      </c>
      <c r="D100" s="6" t="str">
        <f>IFERROR(__xludf.DUMMYFUNCTION("GOOGLETRANSLATE(B100,""en"",""ar"")"),"سعر المسافة")</f>
        <v>سعر المسافة</v>
      </c>
      <c r="E100" s="6" t="str">
        <f>IFERROR(__xludf.DUMMYFUNCTION("GOOGLETRANSLATE(B100,""en"",""fr"")"),"Prix ​​à distance")</f>
        <v>Prix ​​à distance</v>
      </c>
      <c r="F100" s="6" t="str">
        <f>IFERROR(__xludf.DUMMYFUNCTION("GOOGLETRANSLATE(B100,""en"",""tr"")"),"Mesafe fiyatı")</f>
        <v>Mesafe fiyatı</v>
      </c>
      <c r="G100" s="6" t="str">
        <f>IFERROR(__xludf.DUMMYFUNCTION("GOOGLETRANSLATE(B100,""en"",""ru"")"),"Цена расстояния")</f>
        <v>Цена расстояния</v>
      </c>
      <c r="H100" s="6" t="str">
        <f>IFERROR(__xludf.DUMMYFUNCTION("GOOGLETRANSLATE(B100,""en"",""it"")"),"Prezzo a distanza")</f>
        <v>Prezzo a distanza</v>
      </c>
      <c r="I100" s="6" t="str">
        <f>IFERROR(__xludf.DUMMYFUNCTION("GOOGLETRANSLATE(B100,""en"",""de"")"),"Entfernungspreis")</f>
        <v>Entfernungspreis</v>
      </c>
      <c r="J100" s="6" t="str">
        <f>IFERROR(__xludf.DUMMYFUNCTION("GOOGLETRANSLATE(B100,""en"",""ko"")"),"원격 가격")</f>
        <v>원격 가격</v>
      </c>
      <c r="K100" s="6" t="str">
        <f>IFERROR(__xludf.DUMMYFUNCTION("GOOGLETRANSLATE(B100,""en"",""zh"")"),"距离价格")</f>
        <v>距离价格</v>
      </c>
      <c r="L100" s="6" t="str">
        <f>IFERROR(__xludf.DUMMYFUNCTION("GOOGLETRANSLATE(B100,""en"",""es"")"),"Precio de distancia")</f>
        <v>Precio de distancia</v>
      </c>
      <c r="M100" s="7" t="str">
        <f>IFERROR(__xludf.DUMMYFUNCTION("GOOGLETRANSLATE(B100,""en"",""iw"")"),"מחיר מרחק")</f>
        <v>מחיר מרחק</v>
      </c>
      <c r="N100" s="6" t="str">
        <f>IFERROR(__xludf.DUMMYFUNCTION("GOOGLETRANSLATE(B100,""en"",""bn"")"),"দূরত্বের দাম")</f>
        <v>দূরত্বের দাম</v>
      </c>
      <c r="O100" s="6"/>
      <c r="P100" s="6"/>
    </row>
    <row r="101">
      <c r="A101" s="8" t="s">
        <v>209</v>
      </c>
      <c r="B101" s="9" t="s">
        <v>210</v>
      </c>
      <c r="C101" s="5" t="str">
        <f>IFERROR(__xludf.DUMMYFUNCTION("GOOGLETRANSLATE(B101,""en"",""hi"")"),"समय की कीमत")</f>
        <v>समय की कीमत</v>
      </c>
      <c r="D101" s="6" t="str">
        <f>IFERROR(__xludf.DUMMYFUNCTION("GOOGLETRANSLATE(B101,""en"",""ar"")"),"سعر الوقت")</f>
        <v>سعر الوقت</v>
      </c>
      <c r="E101" s="6" t="str">
        <f>IFERROR(__xludf.DUMMYFUNCTION("GOOGLETRANSLATE(B101,""en"",""fr"")"),"Prix ​​de temps")</f>
        <v>Prix ​​de temps</v>
      </c>
      <c r="F101" s="6" t="str">
        <f>IFERROR(__xludf.DUMMYFUNCTION("GOOGLETRANSLATE(B101,""en"",""tr"")"),"Zaman fiyatı")</f>
        <v>Zaman fiyatı</v>
      </c>
      <c r="G101" s="6" t="str">
        <f>IFERROR(__xludf.DUMMYFUNCTION("GOOGLETRANSLATE(B101,""en"",""ru"")"),"Временная цена")</f>
        <v>Временная цена</v>
      </c>
      <c r="H101" s="6" t="str">
        <f>IFERROR(__xludf.DUMMYFUNCTION("GOOGLETRANSLATE(B101,""en"",""it"")"),"Prezzo temporale")</f>
        <v>Prezzo temporale</v>
      </c>
      <c r="I101" s="6" t="str">
        <f>IFERROR(__xludf.DUMMYFUNCTION("GOOGLETRANSLATE(B101,""en"",""de"")"),"Zeitpreis")</f>
        <v>Zeitpreis</v>
      </c>
      <c r="J101" s="6" t="str">
        <f>IFERROR(__xludf.DUMMYFUNCTION("GOOGLETRANSLATE(B101,""en"",""ko"")"),"시간 가격")</f>
        <v>시간 가격</v>
      </c>
      <c r="K101" s="6" t="str">
        <f>IFERROR(__xludf.DUMMYFUNCTION("GOOGLETRANSLATE(B101,""en"",""zh"")"),"时间价格")</f>
        <v>时间价格</v>
      </c>
      <c r="L101" s="6" t="str">
        <f>IFERROR(__xludf.DUMMYFUNCTION("GOOGLETRANSLATE(B101,""en"",""es"")"),"Precio de tiempo")</f>
        <v>Precio de tiempo</v>
      </c>
      <c r="M101" s="7" t="str">
        <f>IFERROR(__xludf.DUMMYFUNCTION("GOOGLETRANSLATE(B101,""en"",""iw"")"),"מחיר זמן")</f>
        <v>מחיר זמן</v>
      </c>
      <c r="N101" s="6" t="str">
        <f>IFERROR(__xludf.DUMMYFUNCTION("GOOGLETRANSLATE(B101,""en"",""bn"")"),"সময় মূল্য")</f>
        <v>সময় মূল্য</v>
      </c>
      <c r="O101" s="6"/>
      <c r="P101" s="6"/>
    </row>
    <row r="102">
      <c r="A102" s="8" t="s">
        <v>211</v>
      </c>
      <c r="B102" s="9" t="s">
        <v>212</v>
      </c>
      <c r="C102" s="5" t="str">
        <f>IFERROR(__xludf.DUMMYFUNCTION("GOOGLETRANSLATE(B102,""en"",""hi"")"),"रद्दीकरण शुल्क")</f>
        <v>रद्दीकरण शुल्क</v>
      </c>
      <c r="D102" s="6" t="str">
        <f>IFERROR(__xludf.DUMMYFUNCTION("GOOGLETRANSLATE(B102,""en"",""ar"")"),"رسوم الإلغاء")</f>
        <v>رسوم الإلغاء</v>
      </c>
      <c r="E102" s="6" t="str">
        <f>IFERROR(__xludf.DUMMYFUNCTION("GOOGLETRANSLATE(B102,""en"",""fr"")"),"Frais d'annulation")</f>
        <v>Frais d'annulation</v>
      </c>
      <c r="F102" s="6" t="str">
        <f>IFERROR(__xludf.DUMMYFUNCTION("GOOGLETRANSLATE(B102,""en"",""tr"")"),"İptal ücreti")</f>
        <v>İptal ücreti</v>
      </c>
      <c r="G102" s="6" t="str">
        <f>IFERROR(__xludf.DUMMYFUNCTION("GOOGLETRANSLATE(B102,""en"",""ru"")"),"Комиссия при отмене")</f>
        <v>Комиссия при отмене</v>
      </c>
      <c r="H102" s="6" t="str">
        <f>IFERROR(__xludf.DUMMYFUNCTION("GOOGLETRANSLATE(B102,""en"",""it"")"),"Tassa di cancellazione")</f>
        <v>Tassa di cancellazione</v>
      </c>
      <c r="I102" s="6" t="str">
        <f>IFERROR(__xludf.DUMMYFUNCTION("GOOGLETRANSLATE(B102,""en"",""de"")"),"Stornogebühr")</f>
        <v>Stornogebühr</v>
      </c>
      <c r="J102" s="6" t="str">
        <f>IFERROR(__xludf.DUMMYFUNCTION("GOOGLETRANSLATE(B102,""en"",""ko"")"),"취소 요금")</f>
        <v>취소 요금</v>
      </c>
      <c r="K102" s="6" t="str">
        <f>IFERROR(__xludf.DUMMYFUNCTION("GOOGLETRANSLATE(B102,""en"",""zh"")"),"取消费用")</f>
        <v>取消费用</v>
      </c>
      <c r="L102" s="6" t="str">
        <f>IFERROR(__xludf.DUMMYFUNCTION("GOOGLETRANSLATE(B102,""en"",""es"")"),"Tarifa de cancelación")</f>
        <v>Tarifa de cancelación</v>
      </c>
      <c r="M102" s="7" t="str">
        <f>IFERROR(__xludf.DUMMYFUNCTION("GOOGLETRANSLATE(B102,""en"",""iw"")"),"דמי ביטול")</f>
        <v>דמי ביטול</v>
      </c>
      <c r="N102" s="6" t="str">
        <f>IFERROR(__xludf.DUMMYFUNCTION("GOOGLETRANSLATE(B102,""en"",""bn"")"),"বাতিল ফি")</f>
        <v>বাতিল ফি</v>
      </c>
      <c r="O102" s="6"/>
      <c r="P102" s="6"/>
    </row>
    <row r="103">
      <c r="A103" s="8" t="s">
        <v>213</v>
      </c>
      <c r="B103" s="9" t="s">
        <v>214</v>
      </c>
      <c r="C103" s="5" t="str">
        <f>IFERROR(__xludf.DUMMYFUNCTION("GOOGLETRANSLATE(B103,""en"",""hi"")"),"सुविधा शुल्क")</f>
        <v>सुविधा शुल्क</v>
      </c>
      <c r="D103" s="6" t="str">
        <f>IFERROR(__xludf.DUMMYFUNCTION("GOOGLETRANSLATE(B103,""en"",""ar"")"),"رسوم الراحة")</f>
        <v>رسوم الراحة</v>
      </c>
      <c r="E103" s="6" t="str">
        <f>IFERROR(__xludf.DUMMYFUNCTION("GOOGLETRANSLATE(B103,""en"",""fr"")"),"frais de commodité")</f>
        <v>frais de commodité</v>
      </c>
      <c r="F103" s="6" t="str">
        <f>IFERROR(__xludf.DUMMYFUNCTION("GOOGLETRANSLATE(B103,""en"",""tr"")"),"Uygunluk ücreti")</f>
        <v>Uygunluk ücreti</v>
      </c>
      <c r="G103" s="6" t="str">
        <f>IFERROR(__xludf.DUMMYFUNCTION("GOOGLETRANSLATE(B103,""en"",""ru"")"),"Удобство Плата")</f>
        <v>Удобство Плата</v>
      </c>
      <c r="H103" s="6" t="str">
        <f>IFERROR(__xludf.DUMMYFUNCTION("GOOGLETRANSLATE(B103,""en"",""it"")"),"Commissione di convenienza")</f>
        <v>Commissione di convenienza</v>
      </c>
      <c r="I103" s="6" t="str">
        <f>IFERROR(__xludf.DUMMYFUNCTION("GOOGLETRANSLATE(B103,""en"",""de"")"),"Komfortgebühr")</f>
        <v>Komfortgebühr</v>
      </c>
      <c r="J103" s="6" t="str">
        <f>IFERROR(__xludf.DUMMYFUNCTION("GOOGLETRANSLATE(B103,""en"",""ko"")"),"편의 수수료")</f>
        <v>편의 수수료</v>
      </c>
      <c r="K103" s="6" t="str">
        <f>IFERROR(__xludf.DUMMYFUNCTION("GOOGLETRANSLATE(B103,""en"",""zh"")"),"便利费")</f>
        <v>便利费</v>
      </c>
      <c r="L103" s="6" t="str">
        <f>IFERROR(__xludf.DUMMYFUNCTION("GOOGLETRANSLATE(B103,""en"",""es"")"),"Costes de Gestión")</f>
        <v>Costes de Gestión</v>
      </c>
      <c r="M103" s="7" t="str">
        <f>IFERROR(__xludf.DUMMYFUNCTION("GOOGLETRANSLATE(B103,""en"",""iw"")"),"דמי נוחות")</f>
        <v>דמי נוחות</v>
      </c>
      <c r="N103" s="6" t="str">
        <f>IFERROR(__xludf.DUMMYFUNCTION("GOOGLETRANSLATE(B103,""en"",""bn"")"),"সুবিধার ফি")</f>
        <v>সুবিধার ফি</v>
      </c>
      <c r="O103" s="6"/>
      <c r="P103" s="6"/>
    </row>
    <row r="104">
      <c r="A104" s="8" t="s">
        <v>215</v>
      </c>
      <c r="B104" s="9" t="s">
        <v>216</v>
      </c>
      <c r="C104" s="5" t="str">
        <f>IFERROR(__xludf.DUMMYFUNCTION("GOOGLETRANSLATE(B104,""en"",""hi"")"),"कुल किराया")</f>
        <v>कुल किराया</v>
      </c>
      <c r="D104" s="6" t="str">
        <f>IFERROR(__xludf.DUMMYFUNCTION("GOOGLETRANSLATE(B104,""en"",""ar"")"),"الأجرة الكلية")</f>
        <v>الأجرة الكلية</v>
      </c>
      <c r="E104" s="6" t="str">
        <f>IFERROR(__xludf.DUMMYFUNCTION("GOOGLETRANSLATE(B104,""en"",""fr"")"),"Prix ​​total")</f>
        <v>Prix ​​total</v>
      </c>
      <c r="F104" s="6" t="str">
        <f>IFERROR(__xludf.DUMMYFUNCTION("GOOGLETRANSLATE(B104,""en"",""tr"")"),"Toplam ücret")</f>
        <v>Toplam ücret</v>
      </c>
      <c r="G104" s="6" t="str">
        <f>IFERROR(__xludf.DUMMYFUNCTION("GOOGLETRANSLATE(B104,""en"",""ru"")"),"Общий тариф")</f>
        <v>Общий тариф</v>
      </c>
      <c r="H104" s="6" t="str">
        <f>IFERROR(__xludf.DUMMYFUNCTION("GOOGLETRANSLATE(B104,""en"",""it"")"),"Tariffa totale")</f>
        <v>Tariffa totale</v>
      </c>
      <c r="I104" s="6" t="str">
        <f>IFERROR(__xludf.DUMMYFUNCTION("GOOGLETRANSLATE(B104,""en"",""de"")"),"Gesamtfahrpreis")</f>
        <v>Gesamtfahrpreis</v>
      </c>
      <c r="J104" s="6" t="str">
        <f>IFERROR(__xludf.DUMMYFUNCTION("GOOGLETRANSLATE(B104,""en"",""ko"")"),"총 요금")</f>
        <v>총 요금</v>
      </c>
      <c r="K104" s="6" t="str">
        <f>IFERROR(__xludf.DUMMYFUNCTION("GOOGLETRANSLATE(B104,""en"",""zh"")"),"总票价")</f>
        <v>总票价</v>
      </c>
      <c r="L104" s="6" t="str">
        <f>IFERROR(__xludf.DUMMYFUNCTION("GOOGLETRANSLATE(B104,""en"",""es"")"),"Tarifa total")</f>
        <v>Tarifa total</v>
      </c>
      <c r="M104" s="7" t="str">
        <f>IFERROR(__xludf.DUMMYFUNCTION("GOOGLETRANSLATE(B104,""en"",""iw"")"),"מחיר סה""כ")</f>
        <v>מחיר סה"כ</v>
      </c>
      <c r="N104" s="6" t="str">
        <f>IFERROR(__xludf.DUMMYFUNCTION("GOOGLETRANSLATE(B104,""en"",""bn"")"),"মোট ভাড়া")</f>
        <v>মোট ভাড়া</v>
      </c>
      <c r="O104" s="6"/>
      <c r="P104" s="6"/>
    </row>
    <row r="105">
      <c r="A105" s="8" t="s">
        <v>217</v>
      </c>
      <c r="B105" s="9" t="s">
        <v>218</v>
      </c>
      <c r="C105" s="5" t="str">
        <f>IFERROR(__xludf.DUMMYFUNCTION("GOOGLETRANSLATE(B105,""en"",""hi"")"),"नकद")</f>
        <v>नकद</v>
      </c>
      <c r="D105" s="6" t="str">
        <f>IFERROR(__xludf.DUMMYFUNCTION("GOOGLETRANSLATE(B105,""en"",""ar"")"),"نقدي")</f>
        <v>نقدي</v>
      </c>
      <c r="E105" s="6" t="str">
        <f>IFERROR(__xludf.DUMMYFUNCTION("GOOGLETRANSLATE(B105,""en"",""fr"")"),"En espèces")</f>
        <v>En espèces</v>
      </c>
      <c r="F105" s="6" t="str">
        <f>IFERROR(__xludf.DUMMYFUNCTION("GOOGLETRANSLATE(B105,""en"",""tr"")"),"Nakit")</f>
        <v>Nakit</v>
      </c>
      <c r="G105" s="6" t="str">
        <f>IFERROR(__xludf.DUMMYFUNCTION("GOOGLETRANSLATE(B105,""en"",""ru"")"),"Наличные")</f>
        <v>Наличные</v>
      </c>
      <c r="H105" s="6" t="str">
        <f>IFERROR(__xludf.DUMMYFUNCTION("GOOGLETRANSLATE(B105,""en"",""it"")"),"Contanti")</f>
        <v>Contanti</v>
      </c>
      <c r="I105" s="6" t="str">
        <f>IFERROR(__xludf.DUMMYFUNCTION("GOOGLETRANSLATE(B105,""en"",""de"")"),"Kasse")</f>
        <v>Kasse</v>
      </c>
      <c r="J105" s="6" t="str">
        <f>IFERROR(__xludf.DUMMYFUNCTION("GOOGLETRANSLATE(B105,""en"",""ko"")"),"현금")</f>
        <v>현금</v>
      </c>
      <c r="K105" s="6" t="str">
        <f>IFERROR(__xludf.DUMMYFUNCTION("GOOGLETRANSLATE(B105,""en"",""zh"")"),"现金")</f>
        <v>现金</v>
      </c>
      <c r="L105" s="6" t="str">
        <f>IFERROR(__xludf.DUMMYFUNCTION("GOOGLETRANSLATE(B105,""en"",""es"")"),"Dinero")</f>
        <v>Dinero</v>
      </c>
      <c r="M105" s="7" t="str">
        <f>IFERROR(__xludf.DUMMYFUNCTION("GOOGLETRANSLATE(B105,""en"",""iw"")"),"כסף מזומן")</f>
        <v>כסף מזומן</v>
      </c>
      <c r="N105" s="6" t="str">
        <f>IFERROR(__xludf.DUMMYFUNCTION("GOOGLETRANSLATE(B105,""en"",""bn"")"),"নগদ")</f>
        <v>নগদ</v>
      </c>
      <c r="O105" s="6"/>
      <c r="P105" s="6"/>
    </row>
    <row r="106">
      <c r="A106" s="8" t="s">
        <v>219</v>
      </c>
      <c r="B106" s="16" t="s">
        <v>220</v>
      </c>
      <c r="C106" s="5" t="str">
        <f>IFERROR(__xludf.DUMMYFUNCTION("GOOGLETRANSLATE(B106,""en"",""hi"")"),"विश्वसनीय संपर्क")</f>
        <v>विश्वसनीय संपर्क</v>
      </c>
      <c r="D106" s="6" t="str">
        <f>IFERROR(__xludf.DUMMYFUNCTION("GOOGLETRANSLATE(B106,""en"",""ar"")"),"اتصال موثوق به")</f>
        <v>اتصال موثوق به</v>
      </c>
      <c r="E106" s="6" t="str">
        <f>IFERROR(__xludf.DUMMYFUNCTION("GOOGLETRANSLATE(B106,""en"",""fr"")"),"Contact de confiance")</f>
        <v>Contact de confiance</v>
      </c>
      <c r="F106" s="6" t="str">
        <f>IFERROR(__xludf.DUMMYFUNCTION("GOOGLETRANSLATE(B106,""en"",""tr"")"),"Güvenilir iletişim")</f>
        <v>Güvenilir iletişim</v>
      </c>
      <c r="G106" s="6" t="str">
        <f>IFERROR(__xludf.DUMMYFUNCTION("GOOGLETRANSLATE(B106,""en"",""ru"")"),"Доверенный контакт")</f>
        <v>Доверенный контакт</v>
      </c>
      <c r="H106" s="6" t="str">
        <f>IFERROR(__xludf.DUMMYFUNCTION("GOOGLETRANSLATE(B106,""en"",""it"")"),"Contatto affidabile")</f>
        <v>Contatto affidabile</v>
      </c>
      <c r="I106" s="6" t="str">
        <f>IFERROR(__xludf.DUMMYFUNCTION("GOOGLETRANSLATE(B106,""en"",""de"")"),"Vertrauenswürdiger Kontakt")</f>
        <v>Vertrauenswürdiger Kontakt</v>
      </c>
      <c r="J106" s="6" t="str">
        <f>IFERROR(__xludf.DUMMYFUNCTION("GOOGLETRANSLATE(B106,""en"",""ko"")"),"신뢰할 수있는 연락처")</f>
        <v>신뢰할 수있는 연락처</v>
      </c>
      <c r="K106" s="6" t="str">
        <f>IFERROR(__xludf.DUMMYFUNCTION("GOOGLETRANSLATE(B106,""en"",""zh"")"),"可信赖的联系人")</f>
        <v>可信赖的联系人</v>
      </c>
      <c r="L106" s="6" t="str">
        <f>IFERROR(__xludf.DUMMYFUNCTION("GOOGLETRANSLATE(B106,""en"",""es"")"),"Contacto de confianza")</f>
        <v>Contacto de confianza</v>
      </c>
      <c r="M106" s="7" t="str">
        <f>IFERROR(__xludf.DUMMYFUNCTION("GOOGLETRANSLATE(B106,""en"",""iw"")"),"איש קשר מהימן")</f>
        <v>איש קשר מהימן</v>
      </c>
      <c r="N106" s="6" t="str">
        <f>IFERROR(__xludf.DUMMYFUNCTION("GOOGLETRANSLATE(B106,""en"",""bn"")"),"বিশ্বস্ত যোগাযোগ")</f>
        <v>বিশ্বস্ত যোগাযোগ</v>
      </c>
      <c r="O106" s="6"/>
      <c r="P106" s="6"/>
    </row>
    <row r="107">
      <c r="A107" s="8" t="s">
        <v>221</v>
      </c>
      <c r="B107" s="17" t="s">
        <v>222</v>
      </c>
      <c r="C107" s="5" t="str">
        <f>IFERROR(__xludf.DUMMYFUNCTION("GOOGLETRANSLATE(B107,""en"",""hi"")"),"अपनी यात्रा की स्थिति साझा करें")</f>
        <v>अपनी यात्रा की स्थिति साझा करें</v>
      </c>
      <c r="D107" s="6" t="str">
        <f>IFERROR(__xludf.DUMMYFUNCTION("GOOGLETRANSLATE(B107,""en"",""ar"")"),"شارك حالة رحلتك")</f>
        <v>شارك حالة رحلتك</v>
      </c>
      <c r="E107" s="6" t="str">
        <f>IFERROR(__xludf.DUMMYFUNCTION("GOOGLETRANSLATE(B107,""en"",""fr"")"),"Partagez votre statut de voyage")</f>
        <v>Partagez votre statut de voyage</v>
      </c>
      <c r="F107" s="6" t="str">
        <f>IFERROR(__xludf.DUMMYFUNCTION("GOOGLETRANSLATE(B107,""en"",""tr"")"),"Seyahat durumunuzu paylaşın")</f>
        <v>Seyahat durumunuzu paylaşın</v>
      </c>
      <c r="G107" s="6" t="str">
        <f>IFERROR(__xludf.DUMMYFUNCTION("GOOGLETRANSLATE(B107,""en"",""ru"")"),"Поделитесь статусом поездки")</f>
        <v>Поделитесь статусом поездки</v>
      </c>
      <c r="H107" s="6" t="str">
        <f>IFERROR(__xludf.DUMMYFUNCTION("GOOGLETRANSLATE(B107,""en"",""it"")"),"Condividi il tuo stato di viaggio")</f>
        <v>Condividi il tuo stato di viaggio</v>
      </c>
      <c r="I107" s="6" t="str">
        <f>IFERROR(__xludf.DUMMYFUNCTION("GOOGLETRANSLATE(B107,""en"",""de"")"),"Teilen Sie Ihren Reisestatus mit")</f>
        <v>Teilen Sie Ihren Reisestatus mit</v>
      </c>
      <c r="J107" s="6" t="str">
        <f>IFERROR(__xludf.DUMMYFUNCTION("GOOGLETRANSLATE(B107,""en"",""ko"")"),"여행 상태를 공유하십시오")</f>
        <v>여행 상태를 공유하십시오</v>
      </c>
      <c r="K107" s="6" t="str">
        <f>IFERROR(__xludf.DUMMYFUNCTION("GOOGLETRANSLATE(B107,""en"",""zh"")"),"分享您的旅行状态")</f>
        <v>分享您的旅行状态</v>
      </c>
      <c r="L107" s="6" t="str">
        <f>IFERROR(__xludf.DUMMYFUNCTION("GOOGLETRANSLATE(B107,""en"",""es"")"),"Comparte el estado de tu viaje")</f>
        <v>Comparte el estado de tu viaje</v>
      </c>
      <c r="M107" s="7" t="str">
        <f>IFERROR(__xludf.DUMMYFUNCTION("GOOGLETRANSLATE(B107,""en"",""iw"")"),"שתף את סטטוס הטיול שלך")</f>
        <v>שתף את סטטוס הטיול שלך</v>
      </c>
      <c r="N107" s="6" t="str">
        <f>IFERROR(__xludf.DUMMYFUNCTION("GOOGLETRANSLATE(B107,""en"",""bn"")"),"আপনার ভ্রমণের স্থিতি ভাগ করুন")</f>
        <v>আপনার ভ্রমণের স্থিতি ভাগ করুন</v>
      </c>
      <c r="O107" s="6"/>
      <c r="P107" s="6"/>
    </row>
    <row r="108">
      <c r="A108" s="18" t="s">
        <v>223</v>
      </c>
      <c r="B108" s="17" t="s">
        <v>224</v>
      </c>
      <c r="C108" s="5" t="str">
        <f>IFERROR(__xludf.DUMMYFUNCTION("GOOGLETRANSLATE(B108,""en"",""hi"")"),"आप किसी भी यात्रा के दौरान एक या एक से अधिक संपर्कों के साथ अपने लाइव स्थान को साझा करने में सक्षम होंगे")</f>
        <v>आप किसी भी यात्रा के दौरान एक या एक से अधिक संपर्कों के साथ अपने लाइव स्थान को साझा करने में सक्षम होंगे</v>
      </c>
      <c r="D108" s="6" t="str">
        <f>IFERROR(__xludf.DUMMYFUNCTION("GOOGLETRANSLATE(B108,""en"",""ar"")"),"ستتمكن من مشاركة موقعك المباشر مع واحد أو أكثر من جهات اتصال خلال أي رحلة")</f>
        <v>ستتمكن من مشاركة موقعك المباشر مع واحد أو أكثر من جهات اتصال خلال أي رحلة</v>
      </c>
      <c r="E108" s="6" t="str">
        <f>IFERROR(__xludf.DUMMYFUNCTION("GOOGLETRANSLATE(B108,""en"",""fr"")"),"Vous pourrez partager votre emplacement en direct avec un ou plusieurs contacts pendant tout voyage")</f>
        <v>Vous pourrez partager votre emplacement en direct avec un ou plusieurs contacts pendant tout voyage</v>
      </c>
      <c r="F108" s="6" t="str">
        <f>IFERROR(__xludf.DUMMYFUNCTION("GOOGLETRANSLATE(B108,""en"",""tr"")"),"Herhangi bir yolculuk sırasında canlı konumunuzu bir veya daha fazla kişiyle paylaşabilirsiniz.")</f>
        <v>Herhangi bir yolculuk sırasında canlı konumunuzu bir veya daha fazla kişiyle paylaşabilirsiniz.</v>
      </c>
      <c r="G108" s="6" t="str">
        <f>IFERROR(__xludf.DUMMYFUNCTION("GOOGLETRANSLATE(B108,""en"",""ru"")"),"Вы сможете поделиться своим живым местоположением с одним или несколькими контактами во время любой поездки")</f>
        <v>Вы сможете поделиться своим живым местоположением с одним или несколькими контактами во время любой поездки</v>
      </c>
      <c r="H108" s="6" t="str">
        <f>IFERROR(__xludf.DUMMYFUNCTION("GOOGLETRANSLATE(B108,""en"",""it"")"),"Sarai in grado di condividere la tua posizione in diretta con uno o più contatti durante qualsiasi viaggio")</f>
        <v>Sarai in grado di condividere la tua posizione in diretta con uno o più contatti durante qualsiasi viaggio</v>
      </c>
      <c r="I108" s="6" t="str">
        <f>IFERROR(__xludf.DUMMYFUNCTION("GOOGLETRANSLATE(B108,""en"",""de"")"),"Sie können Ihren Live -Standort während einer Reise mit einem oder mehreren Kontakten teilen")</f>
        <v>Sie können Ihren Live -Standort während einer Reise mit einem oder mehreren Kontakten teilen</v>
      </c>
      <c r="J108" s="6" t="str">
        <f>IFERROR(__xludf.DUMMYFUNCTION("GOOGLETRANSLATE(B108,""en"",""ko"")"),"여행 중에 살아있는 위치를 하나 이상의 연락처와 공유 할 수 있습니다.")</f>
        <v>여행 중에 살아있는 위치를 하나 이상의 연락처와 공유 할 수 있습니다.</v>
      </c>
      <c r="K108" s="6" t="str">
        <f>IFERROR(__xludf.DUMMYFUNCTION("GOOGLETRANSLATE(B108,""en"",""zh"")"),"在任何旅行中，您都可以与一个或多个联系人分享您的现场位置")</f>
        <v>在任何旅行中，您都可以与一个或多个联系人分享您的现场位置</v>
      </c>
      <c r="L108" s="6" t="str">
        <f>IFERROR(__xludf.DUMMYFUNCTION("GOOGLETRANSLATE(B108,""en"",""es"")"),"Podrá compartir su ubicación en vivo con uno o más contactos durante cualquier viaje")</f>
        <v>Podrá compartir su ubicación en vivo con uno o más contactos durante cualquier viaje</v>
      </c>
      <c r="M108" s="7" t="str">
        <f>IFERROR(__xludf.DUMMYFUNCTION("GOOGLETRANSLATE(B108,""en"",""iw"")"),"תוכל לשתף את המיקום החי שלך עם אנשי קשר אחד או יותר בכל טיול")</f>
        <v>תוכל לשתף את המיקום החי שלך עם אנשי קשר אחד או יותר בכל טיול</v>
      </c>
      <c r="N108" s="6" t="str">
        <f>IFERROR(__xludf.DUMMYFUNCTION("GOOGLETRANSLATE(B108,""en"",""bn"")"),"আপনি যে কোনও ভ্রমণের সময় এক বা একাধিক পরিচিতির সাথে আপনার লাইভ অবস্থানটি ভাগ করতে সক্ষম হবেন")</f>
        <v>আপনি যে কোনও ভ্রমণের সময় এক বা একাধিক পরিচিতির সাথে আপনার লাইভ অবস্থানটি ভাগ করতে সক্ষম হবেন</v>
      </c>
      <c r="O108" s="6"/>
      <c r="P108" s="6"/>
    </row>
    <row r="109">
      <c r="A109" s="18" t="s">
        <v>225</v>
      </c>
      <c r="B109" s="17" t="s">
        <v>226</v>
      </c>
      <c r="C109" s="5" t="str">
        <f>IFERROR(__xludf.DUMMYFUNCTION("GOOGLETRANSLATE(B109,""en"",""hi"")"),"अपने आपातकालीन संपर्क सेट करें")</f>
        <v>अपने आपातकालीन संपर्क सेट करें</v>
      </c>
      <c r="D109" s="6" t="str">
        <f>IFERROR(__xludf.DUMMYFUNCTION("GOOGLETRANSLATE(B109,""en"",""ar"")"),"اضبط جهات اتصال الطوارئ الخاصة بك")</f>
        <v>اضبط جهات اتصال الطوارئ الخاصة بك</v>
      </c>
      <c r="E109" s="6" t="str">
        <f>IFERROR(__xludf.DUMMYFUNCTION("GOOGLETRANSLATE(B109,""en"",""fr"")"),"Définissez vos contacts d'urgence")</f>
        <v>Définissez vos contacts d'urgence</v>
      </c>
      <c r="F109" s="6" t="str">
        <f>IFERROR(__xludf.DUMMYFUNCTION("GOOGLETRANSLATE(B109,""en"",""tr"")"),"Acil durum kontaklarınızı ayarlayın")</f>
        <v>Acil durum kontaklarınızı ayarlayın</v>
      </c>
      <c r="G109" s="6" t="str">
        <f>IFERROR(__xludf.DUMMYFUNCTION("GOOGLETRANSLATE(B109,""en"",""ru"")"),"Установите свои экстренные контакты")</f>
        <v>Установите свои экстренные контакты</v>
      </c>
      <c r="H109" s="6" t="str">
        <f>IFERROR(__xludf.DUMMYFUNCTION("GOOGLETRANSLATE(B109,""en"",""it"")"),"Imposta i tuoi contatti di emergenza")</f>
        <v>Imposta i tuoi contatti di emergenza</v>
      </c>
      <c r="I109" s="6" t="str">
        <f>IFERROR(__xludf.DUMMYFUNCTION("GOOGLETRANSLATE(B109,""en"",""de"")"),"Stellen Sie Ihre Notfallkontakte ein")</f>
        <v>Stellen Sie Ihre Notfallkontakte ein</v>
      </c>
      <c r="J109" s="6" t="str">
        <f>IFERROR(__xludf.DUMMYFUNCTION("GOOGLETRANSLATE(B109,""en"",""ko"")"),"비상 연락처를 설정하십시오")</f>
        <v>비상 연락처를 설정하십시오</v>
      </c>
      <c r="K109" s="6" t="str">
        <f>IFERROR(__xludf.DUMMYFUNCTION("GOOGLETRANSLATE(B109,""en"",""zh"")"),"设置紧急联系人")</f>
        <v>设置紧急联系人</v>
      </c>
      <c r="L109" s="6" t="str">
        <f>IFERROR(__xludf.DUMMYFUNCTION("GOOGLETRANSLATE(B109,""en"",""es"")"),"Establezca sus contactos de emergencia")</f>
        <v>Establezca sus contactos de emergencia</v>
      </c>
      <c r="M109" s="7" t="str">
        <f>IFERROR(__xludf.DUMMYFUNCTION("GOOGLETRANSLATE(B109,""en"",""iw"")"),"הגדר את אנשי הקשר לחירום שלך")</f>
        <v>הגדר את אנשי הקשר לחירום שלך</v>
      </c>
      <c r="N109" s="6" t="str">
        <f>IFERROR(__xludf.DUMMYFUNCTION("GOOGLETRANSLATE(B109,""en"",""bn"")"),"আপনার জরুরি যোগাযোগগুলি সেট করুন")</f>
        <v>আপনার জরুরি যোগাযোগগুলি সেট করুন</v>
      </c>
      <c r="O109" s="6"/>
      <c r="P109" s="6"/>
    </row>
    <row r="110">
      <c r="A110" s="18" t="s">
        <v>227</v>
      </c>
      <c r="B110" s="17" t="s">
        <v>228</v>
      </c>
      <c r="C110" s="5" t="str">
        <f>IFERROR(__xludf.DUMMYFUNCTION("GOOGLETRANSLATE(B110,""en"",""hi"")"),"आप एक विश्वसनीय संपर्क एक आपातकालीन संपर्क बना सकते हैं। आप आपातकाल के मामले में उन्हें कॉल कर सकते हैं।")</f>
        <v>आप एक विश्वसनीय संपर्क एक आपातकालीन संपर्क बना सकते हैं। आप आपातकाल के मामले में उन्हें कॉल कर सकते हैं।</v>
      </c>
      <c r="D110" s="6" t="str">
        <f>IFERROR(__xludf.DUMMYFUNCTION("GOOGLETRANSLATE(B110,""en"",""ar"")"),"يمكنك إجراء جهة اتصال موثوق بها في حالات الاتصال. يمكنك الاتصال بهم في حالة الطوارئ.")</f>
        <v>يمكنك إجراء جهة اتصال موثوق بها في حالات الاتصال. يمكنك الاتصال بهم في حالة الطوارئ.</v>
      </c>
      <c r="E110" s="6" t="str">
        <f>IFERROR(__xludf.DUMMYFUNCTION("GOOGLETRANSLATE(B110,""en"",""fr"")"),"Vous pouvez établir un contact de confiance un contact d'urgence. Vous pouvez les appeler en cas d'urgence.")</f>
        <v>Vous pouvez établir un contact de confiance un contact d'urgence. Vous pouvez les appeler en cas d'urgence.</v>
      </c>
      <c r="F110" s="6" t="str">
        <f>IFERROR(__xludf.DUMMYFUNCTION("GOOGLETRANSLATE(B110,""en"",""tr"")"),"Güvenilir bir iletişim kurabilirsiniz acil durum teması. Acil durumlarda onları arayabilirsiniz.")</f>
        <v>Güvenilir bir iletişim kurabilirsiniz acil durum teması. Acil durumlarda onları arayabilirsiniz.</v>
      </c>
      <c r="G110" s="6" t="str">
        <f>IFERROR(__xludf.DUMMYFUNCTION("GOOGLETRANSLATE(B110,""en"",""ru"")"),"Вы можете сделать надежный контакт экстренного контакта. Вы можете позвонить им в случае чрезвычайной ситуации.")</f>
        <v>Вы можете сделать надежный контакт экстренного контакта. Вы можете позвонить им в случае чрезвычайной ситуации.</v>
      </c>
      <c r="H110" s="6" t="str">
        <f>IFERROR(__xludf.DUMMYFUNCTION("GOOGLETRANSLATE(B110,""en"",""it"")"),"È possibile stabilire un contatto di fiducia in un contatto di emergenza. Puoi chiamarli in caso di emergenza.")</f>
        <v>È possibile stabilire un contatto di fiducia in un contatto di emergenza. Puoi chiamarli in caso di emergenza.</v>
      </c>
      <c r="I110" s="6" t="str">
        <f>IFERROR(__xludf.DUMMYFUNCTION("GOOGLETRANSLATE(B110,""en"",""de"")"),"Sie können einen vertrauenswürdigen Kontakt mit einem Notfallkontakt herstellen. Sie können sie im Notfall anrufen.")</f>
        <v>Sie können einen vertrauenswürdigen Kontakt mit einem Notfallkontakt herstellen. Sie können sie im Notfall anrufen.</v>
      </c>
      <c r="J110" s="6" t="str">
        <f>IFERROR(__xludf.DUMMYFUNCTION("GOOGLETRANSLATE(B110,""en"",""ko"")"),"신뢰할 수있는 연락처를 비상 연락처로 만들 수 있습니다. 응급 상황에 따라 전화 할 수 있습니다.")</f>
        <v>신뢰할 수있는 연락처를 비상 연락처로 만들 수 있습니다. 응급 상황에 따라 전화 할 수 있습니다.</v>
      </c>
      <c r="K110" s="6" t="str">
        <f>IFERROR(__xludf.DUMMYFUNCTION("GOOGLETRANSLATE(B110,""en"",""zh"")"),"您可以将可信赖的联系人联系到紧急联系人。您可以在紧急情况下称呼它们。")</f>
        <v>您可以将可信赖的联系人联系到紧急联系人。您可以在紧急情况下称呼它们。</v>
      </c>
      <c r="L110" s="6" t="str">
        <f>IFERROR(__xludf.DUMMYFUNCTION("GOOGLETRANSLATE(B110,""en"",""es"")"),"Puede hacer que un contacto de confianza sea un contacto de emergencia. Puede llamarlos en caso de emergencia.")</f>
        <v>Puede hacer que un contacto de confianza sea un contacto de emergencia. Puede llamarlos en caso de emergencia.</v>
      </c>
      <c r="M110" s="7" t="str">
        <f>IFERROR(__xludf.DUMMYFUNCTION("GOOGLETRANSLATE(B110,""en"",""iw"")"),"אתה יכול ליצור קשר מהימן ליצירת קשר חירום. אתה יכול להתקשר אליהם במקרה חירום.")</f>
        <v>אתה יכול ליצור קשר מהימן ליצירת קשר חירום. אתה יכול להתקשר אליהם במקרה חירום.</v>
      </c>
      <c r="N110" s="6" t="str">
        <f>IFERROR(__xludf.DUMMYFUNCTION("GOOGLETRANSLATE(B110,""en"",""bn"")"),"আপনি একটি বিশ্বস্ত যোগাযোগ একটি জরুরি যোগাযোগ করতে পারেন। জরুরী ক্ষেত্রে আপনি তাদের কল করতে পারেন।")</f>
        <v>আপনি একটি বিশ্বস্ত যোগাযোগ একটি জরুরি যোগাযোগ করতে পারেন। জরুরী ক্ষেত্রে আপনি তাদের কল করতে পারেন।</v>
      </c>
      <c r="O110" s="6"/>
      <c r="P110" s="6"/>
    </row>
    <row r="111">
      <c r="A111" s="8" t="s">
        <v>229</v>
      </c>
      <c r="B111" s="17" t="s">
        <v>230</v>
      </c>
      <c r="C111" s="5" t="str">
        <f>IFERROR(__xludf.DUMMYFUNCTION("GOOGLETRANSLATE(B111,""en"",""hi"")"),"विश्वसनीय संपर्क जोड़ें")</f>
        <v>विश्वसनीय संपर्क जोड़ें</v>
      </c>
      <c r="D111" s="6" t="str">
        <f>IFERROR(__xludf.DUMMYFUNCTION("GOOGLETRANSLATE(B111,""en"",""ar"")"),"أضف جهة اتصال موثوق بها")</f>
        <v>أضف جهة اتصال موثوق بها</v>
      </c>
      <c r="E111" s="6" t="str">
        <f>IFERROR(__xludf.DUMMYFUNCTION("GOOGLETRANSLATE(B111,""en"",""fr"")"),"Ajouter un contact de confiance")</f>
        <v>Ajouter un contact de confiance</v>
      </c>
      <c r="F111" s="6" t="str">
        <f>IFERROR(__xludf.DUMMYFUNCTION("GOOGLETRANSLATE(B111,""en"",""tr"")"),"Güvenilir iletişim ekleyin")</f>
        <v>Güvenilir iletişim ekleyin</v>
      </c>
      <c r="G111" s="6" t="str">
        <f>IFERROR(__xludf.DUMMYFUNCTION("GOOGLETRANSLATE(B111,""en"",""ru"")"),"Добавить доверенный контакт")</f>
        <v>Добавить доверенный контакт</v>
      </c>
      <c r="H111" s="6" t="str">
        <f>IFERROR(__xludf.DUMMYFUNCTION("GOOGLETRANSLATE(B111,""en"",""it"")"),"Aggiungi contatto affidabile")</f>
        <v>Aggiungi contatto affidabile</v>
      </c>
      <c r="I111" s="6" t="str">
        <f>IFERROR(__xludf.DUMMYFUNCTION("GOOGLETRANSLATE(B111,""en"",""de"")"),"Fügen Sie vertrauenswürdiger Kontakt hinzu")</f>
        <v>Fügen Sie vertrauenswürdiger Kontakt hinzu</v>
      </c>
      <c r="J111" s="6" t="str">
        <f>IFERROR(__xludf.DUMMYFUNCTION("GOOGLETRANSLATE(B111,""en"",""ko"")"),"신뢰할 수있는 연락처를 추가하십시오")</f>
        <v>신뢰할 수있는 연락처를 추가하십시오</v>
      </c>
      <c r="K111" s="6" t="str">
        <f>IFERROR(__xludf.DUMMYFUNCTION("GOOGLETRANSLATE(B111,""en"",""zh"")"),"添加可信赖的联系人")</f>
        <v>添加可信赖的联系人</v>
      </c>
      <c r="L111" s="6" t="str">
        <f>IFERROR(__xludf.DUMMYFUNCTION("GOOGLETRANSLATE(B111,""en"",""es"")"),"Agregar contacto de confianza")</f>
        <v>Agregar contacto de confianza</v>
      </c>
      <c r="M111" s="7" t="str">
        <f>IFERROR(__xludf.DUMMYFUNCTION("GOOGLETRANSLATE(B111,""en"",""iw"")"),"הוסף איש קשר מהימן")</f>
        <v>הוסף איש קשר מהימן</v>
      </c>
      <c r="N111" s="6" t="str">
        <f>IFERROR(__xludf.DUMMYFUNCTION("GOOGLETRANSLATE(B111,""en"",""bn"")"),"বিশ্বস্ত যোগাযোগ যুক্ত করুন")</f>
        <v>বিশ্বস্ত যোগাযোগ যুক্ত করুন</v>
      </c>
      <c r="O111" s="6"/>
      <c r="P111" s="6"/>
    </row>
    <row r="112">
      <c r="A112" s="8" t="s">
        <v>231</v>
      </c>
      <c r="B112" s="9" t="s">
        <v>232</v>
      </c>
      <c r="C112" s="5" t="str">
        <f>IFERROR(__xludf.DUMMYFUNCTION("GOOGLETRANSLATE(B112,""en"",""hi"")"),"प्रस्तुत करना")</f>
        <v>प्रस्तुत करना</v>
      </c>
      <c r="D112" s="6" t="str">
        <f>IFERROR(__xludf.DUMMYFUNCTION("GOOGLETRANSLATE(B112,""en"",""ar"")"),"يُقدِّم")</f>
        <v>يُقدِّم</v>
      </c>
      <c r="E112" s="6" t="str">
        <f>IFERROR(__xludf.DUMMYFUNCTION("GOOGLETRANSLATE(B112,""en"",""fr"")"),"Soumettre")</f>
        <v>Soumettre</v>
      </c>
      <c r="F112" s="6" t="str">
        <f>IFERROR(__xludf.DUMMYFUNCTION("GOOGLETRANSLATE(B112,""en"",""tr"")"),"Göndermek")</f>
        <v>Göndermek</v>
      </c>
      <c r="G112" s="6" t="str">
        <f>IFERROR(__xludf.DUMMYFUNCTION("GOOGLETRANSLATE(B112,""en"",""ru"")"),"Представлять на рассмотрение")</f>
        <v>Представлять на рассмотрение</v>
      </c>
      <c r="H112" s="6" t="str">
        <f>IFERROR(__xludf.DUMMYFUNCTION("GOOGLETRANSLATE(B112,""en"",""it"")"),"Invia")</f>
        <v>Invia</v>
      </c>
      <c r="I112" s="6" t="str">
        <f>IFERROR(__xludf.DUMMYFUNCTION("GOOGLETRANSLATE(B112,""en"",""de"")"),"Einreichen")</f>
        <v>Einreichen</v>
      </c>
      <c r="J112" s="6" t="str">
        <f>IFERROR(__xludf.DUMMYFUNCTION("GOOGLETRANSLATE(B112,""en"",""ko"")"),"제출하다")</f>
        <v>제출하다</v>
      </c>
      <c r="K112" s="6" t="str">
        <f>IFERROR(__xludf.DUMMYFUNCTION("GOOGLETRANSLATE(B112,""en"",""zh"")"),"提交")</f>
        <v>提交</v>
      </c>
      <c r="L112" s="6" t="str">
        <f>IFERROR(__xludf.DUMMYFUNCTION("GOOGLETRANSLATE(B112,""en"",""es"")"),"Enviar")</f>
        <v>Enviar</v>
      </c>
      <c r="M112" s="7" t="str">
        <f>IFERROR(__xludf.DUMMYFUNCTION("GOOGLETRANSLATE(B112,""en"",""iw"")"),"שלח")</f>
        <v>שלח</v>
      </c>
      <c r="N112" s="6" t="str">
        <f>IFERROR(__xludf.DUMMYFUNCTION("GOOGLETRANSLATE(B112,""en"",""bn"")"),"জমা দিন")</f>
        <v>জমা দিন</v>
      </c>
      <c r="O112" s="6"/>
      <c r="P112" s="6"/>
    </row>
    <row r="113">
      <c r="A113" s="8" t="s">
        <v>233</v>
      </c>
      <c r="B113" s="12" t="s">
        <v>234</v>
      </c>
      <c r="C113" s="5" t="str">
        <f>IFERROR(__xludf.DUMMYFUNCTION("GOOGLETRANSLATE(B113,""en"",""hi"")"),"अपनी प्रतिक्रिया दें")</f>
        <v>अपनी प्रतिक्रिया दें</v>
      </c>
      <c r="D113" s="6" t="str">
        <f>IFERROR(__xludf.DUMMYFUNCTION("GOOGLETRANSLATE(B113,""en"",""ar"")"),"أعط ملاحظاتك")</f>
        <v>أعط ملاحظاتك</v>
      </c>
      <c r="E113" s="6" t="str">
        <f>IFERROR(__xludf.DUMMYFUNCTION("GOOGLETRANSLATE(B113,""en"",""fr"")"),"Donnez vos commentaires")</f>
        <v>Donnez vos commentaires</v>
      </c>
      <c r="F113" s="6" t="str">
        <f>IFERROR(__xludf.DUMMYFUNCTION("GOOGLETRANSLATE(B113,""en"",""tr"")"),"Geri bildiriminizi verin")</f>
        <v>Geri bildiriminizi verin</v>
      </c>
      <c r="G113" s="6" t="str">
        <f>IFERROR(__xludf.DUMMYFUNCTION("GOOGLETRANSLATE(B113,""en"",""ru"")"),"Дайте свой отзыв")</f>
        <v>Дайте свой отзыв</v>
      </c>
      <c r="H113" s="6" t="str">
        <f>IFERROR(__xludf.DUMMYFUNCTION("GOOGLETRANSLATE(B113,""en"",""it"")"),"Dai il tuo feedback")</f>
        <v>Dai il tuo feedback</v>
      </c>
      <c r="I113" s="6" t="str">
        <f>IFERROR(__xludf.DUMMYFUNCTION("GOOGLETRANSLATE(B113,""en"",""de"")"),"Geben Sie Ihr Feedback")</f>
        <v>Geben Sie Ihr Feedback</v>
      </c>
      <c r="J113" s="6" t="str">
        <f>IFERROR(__xludf.DUMMYFUNCTION("GOOGLETRANSLATE(B113,""en"",""ko"")"),"피드백을 제공하십시오")</f>
        <v>피드백을 제공하십시오</v>
      </c>
      <c r="K113" s="6" t="str">
        <f>IFERROR(__xludf.DUMMYFUNCTION("GOOGLETRANSLATE(B113,""en"",""zh"")"),"给予您的反馈")</f>
        <v>给予您的反馈</v>
      </c>
      <c r="L113" s="6" t="str">
        <f>IFERROR(__xludf.DUMMYFUNCTION("GOOGLETRANSLATE(B113,""en"",""es"")"),"Da tus comentarios")</f>
        <v>Da tus comentarios</v>
      </c>
      <c r="M113" s="7" t="str">
        <f>IFERROR(__xludf.DUMMYFUNCTION("GOOGLETRANSLATE(B113,""en"",""iw"")"),"תן את המשוב שלך")</f>
        <v>תן את המשוב שלך</v>
      </c>
      <c r="N113" s="6" t="str">
        <f>IFERROR(__xludf.DUMMYFUNCTION("GOOGLETRANSLATE(B113,""en"",""bn"")"),"আপনার মতামত দিন")</f>
        <v>আপনার মতামত দিন</v>
      </c>
      <c r="O113" s="6"/>
      <c r="P113" s="6"/>
    </row>
    <row r="114">
      <c r="A114" s="8" t="s">
        <v>235</v>
      </c>
      <c r="B114" s="9" t="s">
        <v>236</v>
      </c>
      <c r="C114" s="5" t="str">
        <f>IFERROR(__xludf.DUMMYFUNCTION("GOOGLETRANSLATE(B114,""en"",""hi"")"),"परिक्षण")</f>
        <v>परिक्षण</v>
      </c>
      <c r="D114" s="6" t="str">
        <f>IFERROR(__xludf.DUMMYFUNCTION("GOOGLETRANSLATE(B114,""en"",""ar"")"),"اختبارات")</f>
        <v>اختبارات</v>
      </c>
      <c r="E114" s="6" t="str">
        <f>IFERROR(__xludf.DUMMYFUNCTION("GOOGLETRANSLATE(B114,""en"",""fr"")"),"Essai")</f>
        <v>Essai</v>
      </c>
      <c r="F114" s="6" t="str">
        <f>IFERROR(__xludf.DUMMYFUNCTION("GOOGLETRANSLATE(B114,""en"",""tr"")"),"Test yapmak")</f>
        <v>Test yapmak</v>
      </c>
      <c r="G114" s="6" t="str">
        <f>IFERROR(__xludf.DUMMYFUNCTION("GOOGLETRANSLATE(B114,""en"",""ru"")"),"Тестирование")</f>
        <v>Тестирование</v>
      </c>
      <c r="H114" s="6" t="str">
        <f>IFERROR(__xludf.DUMMYFUNCTION("GOOGLETRANSLATE(B114,""en"",""it"")"),"Test")</f>
        <v>Test</v>
      </c>
      <c r="I114" s="6" t="str">
        <f>IFERROR(__xludf.DUMMYFUNCTION("GOOGLETRANSLATE(B114,""en"",""de"")"),"Testen")</f>
        <v>Testen</v>
      </c>
      <c r="J114" s="6" t="str">
        <f>IFERROR(__xludf.DUMMYFUNCTION("GOOGLETRANSLATE(B114,""en"",""ko"")"),"테스트")</f>
        <v>테스트</v>
      </c>
      <c r="K114" s="6" t="str">
        <f>IFERROR(__xludf.DUMMYFUNCTION("GOOGLETRANSLATE(B114,""en"",""zh"")"),"测试")</f>
        <v>测试</v>
      </c>
      <c r="L114" s="6" t="str">
        <f>IFERROR(__xludf.DUMMYFUNCTION("GOOGLETRANSLATE(B114,""en"",""es"")"),"Pruebas")</f>
        <v>Pruebas</v>
      </c>
      <c r="M114" s="7" t="str">
        <f>IFERROR(__xludf.DUMMYFUNCTION("GOOGLETRANSLATE(B114,""en"",""iw"")"),"בדיקה")</f>
        <v>בדיקה</v>
      </c>
      <c r="N114" s="6" t="str">
        <f>IFERROR(__xludf.DUMMYFUNCTION("GOOGLETRANSLATE(B114,""en"",""bn"")"),"পরীক্ষামূলক")</f>
        <v>পরীক্ষামূলক</v>
      </c>
      <c r="O114" s="6"/>
      <c r="P114" s="6"/>
    </row>
    <row r="115">
      <c r="A115" s="8" t="s">
        <v>237</v>
      </c>
      <c r="B115" s="9" t="s">
        <v>238</v>
      </c>
      <c r="C115" s="5" t="str">
        <f>IFERROR(__xludf.DUMMYFUNCTION("GOOGLETRANSLATE(B115,""en"",""hi"")"),"कारण रद्द करें")</f>
        <v>कारण रद्द करें</v>
      </c>
      <c r="D115" s="6" t="str">
        <f>IFERROR(__xludf.DUMMYFUNCTION("GOOGLETRANSLATE(B115,""en"",""ar"")"),"إلغاء السبب")</f>
        <v>إلغاء السبب</v>
      </c>
      <c r="E115" s="6" t="str">
        <f>IFERROR(__xludf.DUMMYFUNCTION("GOOGLETRANSLATE(B115,""en"",""fr"")"),"Annuler la raison")</f>
        <v>Annuler la raison</v>
      </c>
      <c r="F115" s="6" t="str">
        <f>IFERROR(__xludf.DUMMYFUNCTION("GOOGLETRANSLATE(B115,""en"",""tr"")"),"Sebebi İptal Et")</f>
        <v>Sebebi İptal Et</v>
      </c>
      <c r="G115" s="6" t="str">
        <f>IFERROR(__xludf.DUMMYFUNCTION("GOOGLETRANSLATE(B115,""en"",""ru"")"),"Отменить разум")</f>
        <v>Отменить разум</v>
      </c>
      <c r="H115" s="6" t="str">
        <f>IFERROR(__xludf.DUMMYFUNCTION("GOOGLETRANSLATE(B115,""en"",""it"")"),"Annulla la ragione")</f>
        <v>Annulla la ragione</v>
      </c>
      <c r="I115" s="6" t="str">
        <f>IFERROR(__xludf.DUMMYFUNCTION("GOOGLETRANSLATE(B115,""en"",""de"")"),"Vernunft abbrechen")</f>
        <v>Vernunft abbrechen</v>
      </c>
      <c r="J115" s="6" t="str">
        <f>IFERROR(__xludf.DUMMYFUNCTION("GOOGLETRANSLATE(B115,""en"",""ko"")"),"이유를 취소합니다")</f>
        <v>이유를 취소합니다</v>
      </c>
      <c r="K115" s="6" t="str">
        <f>IFERROR(__xludf.DUMMYFUNCTION("GOOGLETRANSLATE(B115,""en"",""zh"")"),"取消原因")</f>
        <v>取消原因</v>
      </c>
      <c r="L115" s="6" t="str">
        <f>IFERROR(__xludf.DUMMYFUNCTION("GOOGLETRANSLATE(B115,""en"",""es"")"),"Cancelar razón")</f>
        <v>Cancelar razón</v>
      </c>
      <c r="M115" s="7" t="str">
        <f>IFERROR(__xludf.DUMMYFUNCTION("GOOGLETRANSLATE(B115,""en"",""iw"")"),"בטל סיבה")</f>
        <v>בטל סיבה</v>
      </c>
      <c r="N115" s="6" t="str">
        <f>IFERROR(__xludf.DUMMYFUNCTION("GOOGLETRANSLATE(B115,""en"",""bn"")"),"কারণ বাতিল করুন")</f>
        <v>কারণ বাতিল করুন</v>
      </c>
      <c r="O115" s="6"/>
      <c r="P115" s="6"/>
    </row>
    <row r="116">
      <c r="A116" s="8" t="s">
        <v>239</v>
      </c>
      <c r="B116" s="9" t="s">
        <v>240</v>
      </c>
      <c r="C116" s="5" t="str">
        <f>IFERROR(__xludf.DUMMYFUNCTION("GOOGLETRANSLATE(B116,""en"",""hi"")"),"अनुरोध रद्द")</f>
        <v>अनुरोध रद्द</v>
      </c>
      <c r="D116" s="6" t="str">
        <f>IFERROR(__xludf.DUMMYFUNCTION("GOOGLETRANSLATE(B116,""en"",""ar"")"),"إلغاء الطلب")</f>
        <v>إلغاء الطلب</v>
      </c>
      <c r="E116" s="6" t="str">
        <f>IFERROR(__xludf.DUMMYFUNCTION("GOOGLETRANSLATE(B116,""en"",""fr"")"),"Demande d'annulation")</f>
        <v>Demande d'annulation</v>
      </c>
      <c r="F116" s="6" t="str">
        <f>IFERROR(__xludf.DUMMYFUNCTION("GOOGLETRANSLATE(B116,""en"",""tr"")"),"İsteği iptal et")</f>
        <v>İsteği iptal et</v>
      </c>
      <c r="G116" s="6" t="str">
        <f>IFERROR(__xludf.DUMMYFUNCTION("GOOGLETRANSLATE(B116,""en"",""ru"")"),"Отменить запрос")</f>
        <v>Отменить запрос</v>
      </c>
      <c r="H116" s="6" t="str">
        <f>IFERROR(__xludf.DUMMYFUNCTION("GOOGLETRANSLATE(B116,""en"",""it"")"),"Richiesta cancellata")</f>
        <v>Richiesta cancellata</v>
      </c>
      <c r="I116" s="6" t="str">
        <f>IFERROR(__xludf.DUMMYFUNCTION("GOOGLETRANSLATE(B116,""en"",""de"")"),"Anfrage abbrechen")</f>
        <v>Anfrage abbrechen</v>
      </c>
      <c r="J116" s="6" t="str">
        <f>IFERROR(__xludf.DUMMYFUNCTION("GOOGLETRANSLATE(B116,""en"",""ko"")"),"요청 취소")</f>
        <v>요청 취소</v>
      </c>
      <c r="K116" s="6" t="str">
        <f>IFERROR(__xludf.DUMMYFUNCTION("GOOGLETRANSLATE(B116,""en"",""zh"")"),"取消请求")</f>
        <v>取消请求</v>
      </c>
      <c r="L116" s="6" t="str">
        <f>IFERROR(__xludf.DUMMYFUNCTION("GOOGLETRANSLATE(B116,""en"",""es"")"),"Cancelar petición")</f>
        <v>Cancelar petición</v>
      </c>
      <c r="M116" s="7" t="str">
        <f>IFERROR(__xludf.DUMMYFUNCTION("GOOGLETRANSLATE(B116,""en"",""iw"")"),"בטל בקשה")</f>
        <v>בטל בקשה</v>
      </c>
      <c r="N116" s="6" t="str">
        <f>IFERROR(__xludf.DUMMYFUNCTION("GOOGLETRANSLATE(B116,""en"",""bn"")"),"অনুরোধ বাতিল")</f>
        <v>অনুরোধ বাতিল</v>
      </c>
      <c r="O116" s="6"/>
      <c r="P116" s="6"/>
    </row>
    <row r="117">
      <c r="A117" s="8" t="s">
        <v>241</v>
      </c>
      <c r="B117" s="9" t="s">
        <v>242</v>
      </c>
      <c r="C117" s="5" t="str">
        <f>IFERROR(__xludf.DUMMYFUNCTION("GOOGLETRANSLATE(B117,""en"",""hi"")"),"रद्द करें कारण दर्ज करें")</f>
        <v>रद्द करें कारण दर्ज करें</v>
      </c>
      <c r="D117" s="6" t="str">
        <f>IFERROR(__xludf.DUMMYFUNCTION("GOOGLETRANSLATE(B117,""en"",""ar"")"),"أدخل سبب إلغاء")</f>
        <v>أدخل سبب إلغاء</v>
      </c>
      <c r="E117" s="6" t="str">
        <f>IFERROR(__xludf.DUMMYFUNCTION("GOOGLETRANSLATE(B117,""en"",""fr"")"),"Entrez Annuler la raison")</f>
        <v>Entrez Annuler la raison</v>
      </c>
      <c r="F117" s="6" t="str">
        <f>IFERROR(__xludf.DUMMYFUNCTION("GOOGLETRANSLATE(B117,""en"",""tr"")"),"İptal Aklını Girin")</f>
        <v>İptal Aklını Girin</v>
      </c>
      <c r="G117" s="6" t="str">
        <f>IFERROR(__xludf.DUMMYFUNCTION("GOOGLETRANSLATE(B117,""en"",""ru"")"),"Введите разбор")</f>
        <v>Введите разбор</v>
      </c>
      <c r="H117" s="6" t="str">
        <f>IFERROR(__xludf.DUMMYFUNCTION("GOOGLETRANSLATE(B117,""en"",""it"")"),"Inserisci Annulla Reason")</f>
        <v>Inserisci Annulla Reason</v>
      </c>
      <c r="I117" s="6" t="str">
        <f>IFERROR(__xludf.DUMMYFUNCTION("GOOGLETRANSLATE(B117,""en"",""de"")"),"Geben Sie den Abbrechen der Vernunft ein")</f>
        <v>Geben Sie den Abbrechen der Vernunft ein</v>
      </c>
      <c r="J117" s="6" t="str">
        <f>IFERROR(__xludf.DUMMYFUNCTION("GOOGLETRANSLATE(B117,""en"",""ko"")"),"취소 이유를 입력하십시오")</f>
        <v>취소 이유를 입력하십시오</v>
      </c>
      <c r="K117" s="6" t="str">
        <f>IFERROR(__xludf.DUMMYFUNCTION("GOOGLETRANSLATE(B117,""en"",""zh"")"),"输入取消原因")</f>
        <v>输入取消原因</v>
      </c>
      <c r="L117" s="6" t="str">
        <f>IFERROR(__xludf.DUMMYFUNCTION("GOOGLETRANSLATE(B117,""en"",""es"")"),"Ingrese la razón de cancelar")</f>
        <v>Ingrese la razón de cancelar</v>
      </c>
      <c r="M117" s="7" t="str">
        <f>IFERROR(__xludf.DUMMYFUNCTION("GOOGLETRANSLATE(B117,""en"",""iw"")"),"הזן סיבה לבטל")</f>
        <v>הזן סיבה לבטל</v>
      </c>
      <c r="N117" s="6" t="str">
        <f>IFERROR(__xludf.DUMMYFUNCTION("GOOGLETRANSLATE(B117,""en"",""bn"")"),"বাতিল কারণ প্রবেশ করুন")</f>
        <v>বাতিল কারণ প্রবেশ করুন</v>
      </c>
      <c r="O117" s="6"/>
      <c r="P117" s="6"/>
    </row>
    <row r="118">
      <c r="A118" s="8" t="s">
        <v>243</v>
      </c>
      <c r="B118" s="11" t="s">
        <v>244</v>
      </c>
      <c r="C118" s="5" t="str">
        <f>IFERROR(__xludf.DUMMYFUNCTION("GOOGLETRANSLATE(B118,""en"",""hi"")"),"ड्रॉप लोकेशन चुनें")</f>
        <v>ड्रॉप लोकेशन चुनें</v>
      </c>
      <c r="D118" s="6" t="str">
        <f>IFERROR(__xludf.DUMMYFUNCTION("GOOGLETRANSLATE(B118,""en"",""ar"")"),"اختر موقع إسقاط")</f>
        <v>اختر موقع إسقاط</v>
      </c>
      <c r="E118" s="6" t="str">
        <f>IFERROR(__xludf.DUMMYFUNCTION("GOOGLETRANSLATE(B118,""en"",""fr"")"),"Choisissez l'emplacement de la chute")</f>
        <v>Choisissez l'emplacement de la chute</v>
      </c>
      <c r="F118" s="6" t="str">
        <f>IFERROR(__xludf.DUMMYFUNCTION("GOOGLETRANSLATE(B118,""en"",""tr"")"),"Bırak Konumunu Seçin")</f>
        <v>Bırak Konumunu Seçin</v>
      </c>
      <c r="G118" s="6" t="str">
        <f>IFERROR(__xludf.DUMMYFUNCTION("GOOGLETRANSLATE(B118,""en"",""ru"")"),"Выберите местоположение падения")</f>
        <v>Выберите местоположение падения</v>
      </c>
      <c r="H118" s="6" t="str">
        <f>IFERROR(__xludf.DUMMYFUNCTION("GOOGLETRANSLATE(B118,""en"",""it"")"),"Scegli la posizione di caduta")</f>
        <v>Scegli la posizione di caduta</v>
      </c>
      <c r="I118" s="6" t="str">
        <f>IFERROR(__xludf.DUMMYFUNCTION("GOOGLETRANSLATE(B118,""en"",""de"")"),"Wählen Sie Drop -Standort")</f>
        <v>Wählen Sie Drop -Standort</v>
      </c>
      <c r="J118" s="6" t="str">
        <f>IFERROR(__xludf.DUMMYFUNCTION("GOOGLETRANSLATE(B118,""en"",""ko"")"),"드롭 위치를 선택하십시오")</f>
        <v>드롭 위치를 선택하십시오</v>
      </c>
      <c r="K118" s="6" t="str">
        <f>IFERROR(__xludf.DUMMYFUNCTION("GOOGLETRANSLATE(B118,""en"",""zh"")"),"选择Drop位置")</f>
        <v>选择Drop位置</v>
      </c>
      <c r="L118" s="6" t="str">
        <f>IFERROR(__xludf.DUMMYFUNCTION("GOOGLETRANSLATE(B118,""en"",""es"")"),"Elija la ubicación de Drop")</f>
        <v>Elija la ubicación de Drop</v>
      </c>
      <c r="M118" s="7" t="str">
        <f>IFERROR(__xludf.DUMMYFUNCTION("GOOGLETRANSLATE(B118,""en"",""iw"")"),"בחר מיקום טיפה")</f>
        <v>בחר מיקום טיפה</v>
      </c>
      <c r="N118" s="6" t="str">
        <f>IFERROR(__xludf.DUMMYFUNCTION("GOOGLETRANSLATE(B118,""en"",""bn"")"),"ড্রপ অবস্থান চয়ন করুন")</f>
        <v>ড্রপ অবস্থান চয়ন করুন</v>
      </c>
      <c r="O118" s="6"/>
      <c r="P118" s="6"/>
    </row>
    <row r="119">
      <c r="A119" s="8" t="s">
        <v>245</v>
      </c>
      <c r="B119" s="9" t="s">
        <v>246</v>
      </c>
      <c r="C119" s="5" t="str">
        <f>IFERROR(__xludf.DUMMYFUNCTION("GOOGLETRANSLATE(B119,""en"",""hi"")"),"पिक लोकेशन चुनें")</f>
        <v>पिक लोकेशन चुनें</v>
      </c>
      <c r="D119" s="6" t="str">
        <f>IFERROR(__xludf.DUMMYFUNCTION("GOOGLETRANSLATE(B119,""en"",""ar"")"),"اختر موقع اختيار")</f>
        <v>اختر موقع اختيار</v>
      </c>
      <c r="E119" s="6" t="str">
        <f>IFERROR(__xludf.DUMMYFUNCTION("GOOGLETRANSLATE(B119,""en"",""fr"")"),"Choisissez l'emplacement de choix")</f>
        <v>Choisissez l'emplacement de choix</v>
      </c>
      <c r="F119" s="6" t="str">
        <f>IFERROR(__xludf.DUMMYFUNCTION("GOOGLETRANSLATE(B119,""en"",""tr"")"),"Konumu seçin")</f>
        <v>Konumu seçin</v>
      </c>
      <c r="G119" s="6" t="str">
        <f>IFERROR(__xludf.DUMMYFUNCTION("GOOGLETRANSLATE(B119,""en"",""ru"")"),"Выберите место выбора")</f>
        <v>Выберите место выбора</v>
      </c>
      <c r="H119" s="6" t="str">
        <f>IFERROR(__xludf.DUMMYFUNCTION("GOOGLETRANSLATE(B119,""en"",""it"")"),"Scegli la posizione Scegli")</f>
        <v>Scegli la posizione Scegli</v>
      </c>
      <c r="I119" s="6" t="str">
        <f>IFERROR(__xludf.DUMMYFUNCTION("GOOGLETRANSLATE(B119,""en"",""de"")"),"Wählen Sie auswählen Standort")</f>
        <v>Wählen Sie auswählen Standort</v>
      </c>
      <c r="J119" s="6" t="str">
        <f>IFERROR(__xludf.DUMMYFUNCTION("GOOGLETRANSLATE(B119,""en"",""ko"")"),"선택 위치를 선택하십시오")</f>
        <v>선택 위치를 선택하십시오</v>
      </c>
      <c r="K119" s="6" t="str">
        <f>IFERROR(__xludf.DUMMYFUNCTION("GOOGLETRANSLATE(B119,""en"",""zh"")"),"选择选择位置")</f>
        <v>选择选择位置</v>
      </c>
      <c r="L119" s="6" t="str">
        <f>IFERROR(__xludf.DUMMYFUNCTION("GOOGLETRANSLATE(B119,""en"",""es"")"),"Elija la ubicación de selección")</f>
        <v>Elija la ubicación de selección</v>
      </c>
      <c r="M119" s="7" t="str">
        <f>IFERROR(__xludf.DUMMYFUNCTION("GOOGLETRANSLATE(B119,""en"",""iw"")"),"בחר מיקום בחר")</f>
        <v>בחר מיקום בחר</v>
      </c>
      <c r="N119" s="6" t="str">
        <f>IFERROR(__xludf.DUMMYFUNCTION("GOOGLETRANSLATE(B119,""en"",""bn"")"),"পিক অবস্থান চয়ন করুন")</f>
        <v>পিক অবস্থান চয়ন করুন</v>
      </c>
      <c r="O119" s="6"/>
      <c r="P119" s="6"/>
    </row>
    <row r="120">
      <c r="A120" s="8" t="s">
        <v>247</v>
      </c>
      <c r="B120" s="9" t="s">
        <v>248</v>
      </c>
      <c r="C120" s="5" t="str">
        <f>IFERROR(__xludf.DUMMYFUNCTION("GOOGLETRANSLATE(B120,""en"",""hi"")"),"पसंदीदा पता")</f>
        <v>पसंदीदा पता</v>
      </c>
      <c r="D120" s="6" t="str">
        <f>IFERROR(__xludf.DUMMYFUNCTION("GOOGLETRANSLATE(B120,""en"",""ar"")"),"العنوان المفضل")</f>
        <v>العنوان المفضل</v>
      </c>
      <c r="E120" s="6" t="str">
        <f>IFERROR(__xludf.DUMMYFUNCTION("GOOGLETRANSLATE(B120,""en"",""fr"")"),"Adresse préférée")</f>
        <v>Adresse préférée</v>
      </c>
      <c r="F120" s="6" t="str">
        <f>IFERROR(__xludf.DUMMYFUNCTION("GOOGLETRANSLATE(B120,""en"",""tr"")"),"Favori Adres")</f>
        <v>Favori Adres</v>
      </c>
      <c r="G120" s="6" t="str">
        <f>IFERROR(__xludf.DUMMYFUNCTION("GOOGLETRANSLATE(B120,""en"",""ru"")"),"Любимый адрес")</f>
        <v>Любимый адрес</v>
      </c>
      <c r="H120" s="6" t="str">
        <f>IFERROR(__xludf.DUMMYFUNCTION("GOOGLETRANSLATE(B120,""en"",""it"")"),"Indirizzo preferito")</f>
        <v>Indirizzo preferito</v>
      </c>
      <c r="I120" s="6" t="str">
        <f>IFERROR(__xludf.DUMMYFUNCTION("GOOGLETRANSLATE(B120,""en"",""de"")"),"Lieblingsadresse")</f>
        <v>Lieblingsadresse</v>
      </c>
      <c r="J120" s="6" t="str">
        <f>IFERROR(__xludf.DUMMYFUNCTION("GOOGLETRANSLATE(B120,""en"",""ko"")"),"좋아하는 주소")</f>
        <v>좋아하는 주소</v>
      </c>
      <c r="K120" s="6" t="str">
        <f>IFERROR(__xludf.DUMMYFUNCTION("GOOGLETRANSLATE(B120,""en"",""zh"")"),"最喜欢的地址")</f>
        <v>最喜欢的地址</v>
      </c>
      <c r="L120" s="6" t="str">
        <f>IFERROR(__xludf.DUMMYFUNCTION("GOOGLETRANSLATE(B120,""en"",""es"")"),"Dirección favorita")</f>
        <v>Dirección favorita</v>
      </c>
      <c r="M120" s="7" t="str">
        <f>IFERROR(__xludf.DUMMYFUNCTION("GOOGLETRANSLATE(B120,""en"",""iw"")"),"כתובת אהובה")</f>
        <v>כתובת אהובה</v>
      </c>
      <c r="N120" s="6" t="str">
        <f>IFERROR(__xludf.DUMMYFUNCTION("GOOGLETRANSLATE(B120,""en"",""bn"")"),"প্রিয় ঠিকানা")</f>
        <v>প্রিয় ঠিকানা</v>
      </c>
      <c r="O120" s="6"/>
      <c r="P120" s="6"/>
    </row>
    <row r="121">
      <c r="A121" s="8" t="s">
        <v>249</v>
      </c>
      <c r="B121" s="9" t="s">
        <v>250</v>
      </c>
      <c r="C121" s="5" t="str">
        <f>IFERROR(__xludf.DUMMYFUNCTION("GOOGLETRANSLATE(B121,""en"",""hi"")"),"पिकअप सुझाव")</f>
        <v>पिकअप सुझाव</v>
      </c>
      <c r="D121" s="6" t="str">
        <f>IFERROR(__xludf.DUMMYFUNCTION("GOOGLETRANSLATE(B121,""en"",""ar"")"),"اقتراح التقاط")</f>
        <v>اقتراح التقاط</v>
      </c>
      <c r="E121" s="6" t="str">
        <f>IFERROR(__xludf.DUMMYFUNCTION("GOOGLETRANSLATE(B121,""en"",""fr"")"),"Suggestion de ramassage")</f>
        <v>Suggestion de ramassage</v>
      </c>
      <c r="F121" s="6" t="str">
        <f>IFERROR(__xludf.DUMMYFUNCTION("GOOGLETRANSLATE(B121,""en"",""tr"")"),"Pikap Öneri")</f>
        <v>Pikap Öneri</v>
      </c>
      <c r="G121" s="6" t="str">
        <f>IFERROR(__xludf.DUMMYFUNCTION("GOOGLETRANSLATE(B121,""en"",""ru"")"),"Предложение о получении")</f>
        <v>Предложение о получении</v>
      </c>
      <c r="H121" s="6" t="str">
        <f>IFERROR(__xludf.DUMMYFUNCTION("GOOGLETRANSLATE(B121,""en"",""it"")"),"Suggerimento di raccolta")</f>
        <v>Suggerimento di raccolta</v>
      </c>
      <c r="I121" s="6" t="str">
        <f>IFERROR(__xludf.DUMMYFUNCTION("GOOGLETRANSLATE(B121,""en"",""de"")"),"Pickup -Vorschlag")</f>
        <v>Pickup -Vorschlag</v>
      </c>
      <c r="J121" s="6" t="str">
        <f>IFERROR(__xludf.DUMMYFUNCTION("GOOGLETRANSLATE(B121,""en"",""ko"")"),"픽업 제안")</f>
        <v>픽업 제안</v>
      </c>
      <c r="K121" s="6" t="str">
        <f>IFERROR(__xludf.DUMMYFUNCTION("GOOGLETRANSLATE(B121,""en"",""zh"")"),"接送建议")</f>
        <v>接送建议</v>
      </c>
      <c r="L121" s="6" t="str">
        <f>IFERROR(__xludf.DUMMYFUNCTION("GOOGLETRANSLATE(B121,""en"",""es"")"),"Sugerencia de recogida")</f>
        <v>Sugerencia de recogida</v>
      </c>
      <c r="M121" s="7" t="str">
        <f>IFERROR(__xludf.DUMMYFUNCTION("GOOGLETRANSLATE(B121,""en"",""iw"")"),"הצעת איסוף")</f>
        <v>הצעת איסוף</v>
      </c>
      <c r="N121" s="6" t="str">
        <f>IFERROR(__xludf.DUMMYFUNCTION("GOOGLETRANSLATE(B121,""en"",""bn"")"),"পিকআপ পরামর্শ")</f>
        <v>পিকআপ পরামর্শ</v>
      </c>
      <c r="O121" s="6"/>
      <c r="P121" s="6"/>
    </row>
    <row r="122">
      <c r="A122" s="8" t="s">
        <v>251</v>
      </c>
      <c r="B122" s="9" t="s">
        <v>252</v>
      </c>
      <c r="C122" s="5" t="str">
        <f>IFERROR(__xludf.DUMMYFUNCTION("GOOGLETRANSLATE(B122,""en"",""hi"")"),"ड्रॉप सुझाव")</f>
        <v>ड्रॉप सुझाव</v>
      </c>
      <c r="D122" s="6" t="str">
        <f>IFERROR(__xludf.DUMMYFUNCTION("GOOGLETRANSLATE(B122,""en"",""ar"")"),"اقتراح إسقاط")</f>
        <v>اقتراح إسقاط</v>
      </c>
      <c r="E122" s="6" t="str">
        <f>IFERROR(__xludf.DUMMYFUNCTION("GOOGLETRANSLATE(B122,""en"",""fr"")"),"Suggestion de chute")</f>
        <v>Suggestion de chute</v>
      </c>
      <c r="F122" s="6" t="str">
        <f>IFERROR(__xludf.DUMMYFUNCTION("GOOGLETRANSLATE(B122,""en"",""tr"")"),"Drop önerisi")</f>
        <v>Drop önerisi</v>
      </c>
      <c r="G122" s="6" t="str">
        <f>IFERROR(__xludf.DUMMYFUNCTION("GOOGLETRANSLATE(B122,""en"",""ru"")"),"Погрузиться в предложение")</f>
        <v>Погрузиться в предложение</v>
      </c>
      <c r="H122" s="6" t="str">
        <f>IFERROR(__xludf.DUMMYFUNCTION("GOOGLETRANSLATE(B122,""en"",""it"")"),"Drop suggerimenti")</f>
        <v>Drop suggerimenti</v>
      </c>
      <c r="I122" s="6" t="str">
        <f>IFERROR(__xludf.DUMMYFUNCTION("GOOGLETRANSLATE(B122,""en"",""de"")"),"Vorschläge fallen")</f>
        <v>Vorschläge fallen</v>
      </c>
      <c r="J122" s="6" t="str">
        <f>IFERROR(__xludf.DUMMYFUNCTION("GOOGLETRANSLATE(B122,""en"",""ko"")"),"낙하 제안")</f>
        <v>낙하 제안</v>
      </c>
      <c r="K122" s="6" t="str">
        <f>IFERROR(__xludf.DUMMYFUNCTION("GOOGLETRANSLATE(B122,""en"",""zh"")"),"下降建议")</f>
        <v>下降建议</v>
      </c>
      <c r="L122" s="6" t="str">
        <f>IFERROR(__xludf.DUMMYFUNCTION("GOOGLETRANSLATE(B122,""en"",""es"")"),"Sugerencia de caída")</f>
        <v>Sugerencia de caída</v>
      </c>
      <c r="M122" s="7" t="str">
        <f>IFERROR(__xludf.DUMMYFUNCTION("GOOGLETRANSLATE(B122,""en"",""iw"")"),"הצעה להפיל")</f>
        <v>הצעה להפיל</v>
      </c>
      <c r="N122" s="6" t="str">
        <f>IFERROR(__xludf.DUMMYFUNCTION("GOOGLETRANSLATE(B122,""en"",""bn"")"),"ড্রপ পরামর্শ")</f>
        <v>ড্রপ পরামর্শ</v>
      </c>
      <c r="O122" s="6"/>
      <c r="P122" s="6"/>
    </row>
    <row r="123">
      <c r="A123" s="8" t="s">
        <v>253</v>
      </c>
      <c r="B123" s="9" t="s">
        <v>254</v>
      </c>
      <c r="C123" s="5" t="str">
        <f>IFERROR(__xludf.DUMMYFUNCTION("GOOGLETRANSLATE(B123,""en"",""hi"")"),"नक्शे पर खोजें")</f>
        <v>नक्शे पर खोजें</v>
      </c>
      <c r="D123" s="6" t="str">
        <f>IFERROR(__xludf.DUMMYFUNCTION("GOOGLETRANSLATE(B123,""en"",""ar"")"),"تحديد موقع على الخريطة")</f>
        <v>تحديد موقع على الخريطة</v>
      </c>
      <c r="E123" s="6" t="str">
        <f>IFERROR(__xludf.DUMMYFUNCTION("GOOGLETRANSLATE(B123,""en"",""fr"")"),"Localiser sur la carte")</f>
        <v>Localiser sur la carte</v>
      </c>
      <c r="F123" s="6" t="str">
        <f>IFERROR(__xludf.DUMMYFUNCTION("GOOGLETRANSLATE(B123,""en"",""tr"")"),"Haritada bulun")</f>
        <v>Haritada bulun</v>
      </c>
      <c r="G123" s="6" t="str">
        <f>IFERROR(__xludf.DUMMYFUNCTION("GOOGLETRANSLATE(B123,""en"",""ru"")"),"Найдите на карте")</f>
        <v>Найдите на карте</v>
      </c>
      <c r="H123" s="6" t="str">
        <f>IFERROR(__xludf.DUMMYFUNCTION("GOOGLETRANSLATE(B123,""en"",""it"")"),"Individuare su mappa")</f>
        <v>Individuare su mappa</v>
      </c>
      <c r="I123" s="6" t="str">
        <f>IFERROR(__xludf.DUMMYFUNCTION("GOOGLETRANSLATE(B123,""en"",""de"")"),"Suchen Sie auf der Karte")</f>
        <v>Suchen Sie auf der Karte</v>
      </c>
      <c r="J123" s="6" t="str">
        <f>IFERROR(__xludf.DUMMYFUNCTION("GOOGLETRANSLATE(B123,""en"",""ko"")"),"지도에서 찾으십시오")</f>
        <v>지도에서 찾으십시오</v>
      </c>
      <c r="K123" s="6" t="str">
        <f>IFERROR(__xludf.DUMMYFUNCTION("GOOGLETRANSLATE(B123,""en"",""zh"")"),"位于地图上")</f>
        <v>位于地图上</v>
      </c>
      <c r="L123" s="6" t="str">
        <f>IFERROR(__xludf.DUMMYFUNCTION("GOOGLETRANSLATE(B123,""en"",""es"")"),"Localizar en el mapa")</f>
        <v>Localizar en el mapa</v>
      </c>
      <c r="M123" s="7" t="str">
        <f>IFERROR(__xludf.DUMMYFUNCTION("GOOGLETRANSLATE(B123,""en"",""iw"")"),"אתר על המפה")</f>
        <v>אתר על המפה</v>
      </c>
      <c r="N123" s="6" t="str">
        <f>IFERROR(__xludf.DUMMYFUNCTION("GOOGLETRANSLATE(B123,""en"",""bn"")"),"মানচিত্রে সনাক্ত করুন")</f>
        <v>মানচিত্রে সনাক্ত করুন</v>
      </c>
      <c r="O123" s="6"/>
      <c r="P123" s="6"/>
    </row>
    <row r="124">
      <c r="A124" s="8" t="s">
        <v>255</v>
      </c>
      <c r="B124" s="9" t="s">
        <v>256</v>
      </c>
      <c r="C124" s="5" t="str">
        <f>IFERROR(__xludf.DUMMYFUNCTION("GOOGLETRANSLATE(B124,""en"",""hi"")"),"खोज करने के लिए 4 पत्र दर्ज करें")</f>
        <v>खोज करने के लिए 4 पत्र दर्ज करें</v>
      </c>
      <c r="D124" s="6" t="str">
        <f>IFERROR(__xludf.DUMMYFUNCTION("GOOGLETRANSLATE(B124,""en"",""ar"")"),"أدخل 4 رسائل للبحث")</f>
        <v>أدخل 4 رسائل للبحث</v>
      </c>
      <c r="E124" s="6" t="str">
        <f>IFERROR(__xludf.DUMMYFUNCTION("GOOGLETRANSLATE(B124,""en"",""fr"")"),"Entrez 4 lettres à la recherche")</f>
        <v>Entrez 4 lettres à la recherche</v>
      </c>
      <c r="F124" s="6" t="str">
        <f>IFERROR(__xludf.DUMMYFUNCTION("GOOGLETRANSLATE(B124,""en"",""tr"")"),"Aramak için 4 harf girin")</f>
        <v>Aramak için 4 harf girin</v>
      </c>
      <c r="G124" s="6" t="str">
        <f>IFERROR(__xludf.DUMMYFUNCTION("GOOGLETRANSLATE(B124,""en"",""ru"")"),"Введите 4 буквы для поиска")</f>
        <v>Введите 4 буквы для поиска</v>
      </c>
      <c r="H124" s="6" t="str">
        <f>IFERROR(__xludf.DUMMYFUNCTION("GOOGLETRANSLATE(B124,""en"",""it"")"),"Immettere 4 lettere da cercare")</f>
        <v>Immettere 4 lettere da cercare</v>
      </c>
      <c r="I124" s="6" t="str">
        <f>IFERROR(__xludf.DUMMYFUNCTION("GOOGLETRANSLATE(B124,""en"",""de"")"),"Geben Sie 4 Buchstaben zur Suche ein")</f>
        <v>Geben Sie 4 Buchstaben zur Suche ein</v>
      </c>
      <c r="J124" s="6" t="str">
        <f>IFERROR(__xludf.DUMMYFUNCTION("GOOGLETRANSLATE(B124,""en"",""ko"")"),"검색하려면 4 개의 글자를 입력하십시오")</f>
        <v>검색하려면 4 개의 글자를 입력하십시오</v>
      </c>
      <c r="K124" s="6" t="str">
        <f>IFERROR(__xludf.DUMMYFUNCTION("GOOGLETRANSLATE(B124,""en"",""zh"")"),"输入4封信进行搜索")</f>
        <v>输入4封信进行搜索</v>
      </c>
      <c r="L124" s="6" t="str">
        <f>IFERROR(__xludf.DUMMYFUNCTION("GOOGLETRANSLATE(B124,""en"",""es"")"),"Ingrese 4 letras para buscar")</f>
        <v>Ingrese 4 letras para buscar</v>
      </c>
      <c r="M124" s="7" t="str">
        <f>IFERROR(__xludf.DUMMYFUNCTION("GOOGLETRANSLATE(B124,""en"",""iw"")"),"הזן 4 אותיות לחיפוש")</f>
        <v>הזן 4 אותיות לחיפוש</v>
      </c>
      <c r="N124" s="6" t="str">
        <f>IFERROR(__xludf.DUMMYFUNCTION("GOOGLETRANSLATE(B124,""en"",""bn"")"),"অনুসন্ধানে 4 টি অক্ষর লিখুন")</f>
        <v>অনুসন্ধানে 4 টি অক্ষর লিখুন</v>
      </c>
      <c r="O124" s="6"/>
      <c r="P124" s="6"/>
    </row>
    <row r="125">
      <c r="A125" s="8" t="s">
        <v>257</v>
      </c>
      <c r="B125" s="9" t="s">
        <v>258</v>
      </c>
      <c r="C125" s="5" t="str">
        <f>IFERROR(__xludf.DUMMYFUNCTION("GOOGLETRANSLATE(B125,""en"",""hi"")"),"उपलब्ध सवारी")</f>
        <v>उपलब्ध सवारी</v>
      </c>
      <c r="D125" s="6" t="str">
        <f>IFERROR(__xludf.DUMMYFUNCTION("GOOGLETRANSLATE(B125,""en"",""ar"")"),"ركوب الخيل المتاحة")</f>
        <v>ركوب الخيل المتاحة</v>
      </c>
      <c r="E125" s="6" t="str">
        <f>IFERROR(__xludf.DUMMYFUNCTION("GOOGLETRANSLATE(B125,""en"",""fr"")"),"Rides disponibles")</f>
        <v>Rides disponibles</v>
      </c>
      <c r="F125" s="6" t="str">
        <f>IFERROR(__xludf.DUMMYFUNCTION("GOOGLETRANSLATE(B125,""en"",""tr"")"),"Mevcut sürüşler")</f>
        <v>Mevcut sürüşler</v>
      </c>
      <c r="G125" s="6" t="str">
        <f>IFERROR(__xludf.DUMMYFUNCTION("GOOGLETRANSLATE(B125,""en"",""ru"")"),"Доступные поездки")</f>
        <v>Доступные поездки</v>
      </c>
      <c r="H125" s="6" t="str">
        <f>IFERROR(__xludf.DUMMYFUNCTION("GOOGLETRANSLATE(B125,""en"",""it"")"),"Giostre disponibili")</f>
        <v>Giostre disponibili</v>
      </c>
      <c r="I125" s="6" t="str">
        <f>IFERROR(__xludf.DUMMYFUNCTION("GOOGLETRANSLATE(B125,""en"",""de"")"),"Verfügbare Fahrten")</f>
        <v>Verfügbare Fahrten</v>
      </c>
      <c r="J125" s="6" t="str">
        <f>IFERROR(__xludf.DUMMYFUNCTION("GOOGLETRANSLATE(B125,""en"",""ko"")"),"사용 가능한 놀이기구")</f>
        <v>사용 가능한 놀이기구</v>
      </c>
      <c r="K125" s="6" t="str">
        <f>IFERROR(__xludf.DUMMYFUNCTION("GOOGLETRANSLATE(B125,""en"",""zh"")"),"可用的骑行")</f>
        <v>可用的骑行</v>
      </c>
      <c r="L125" s="6" t="str">
        <f>IFERROR(__xludf.DUMMYFUNCTION("GOOGLETRANSLATE(B125,""en"",""es"")"),"Pasos disponibles")</f>
        <v>Pasos disponibles</v>
      </c>
      <c r="M125" s="7" t="str">
        <f>IFERROR(__xludf.DUMMYFUNCTION("GOOGLETRANSLATE(B125,""en"",""iw"")"),"טרמפים זמינים")</f>
        <v>טרמפים זמינים</v>
      </c>
      <c r="N125" s="6" t="str">
        <f>IFERROR(__xludf.DUMMYFUNCTION("GOOGLETRANSLATE(B125,""en"",""bn"")"),"উপলভ্য রাইড")</f>
        <v>উপলভ্য রাইড</v>
      </c>
      <c r="O125" s="6"/>
      <c r="P125" s="6"/>
    </row>
    <row r="126">
      <c r="A126" s="8" t="s">
        <v>259</v>
      </c>
      <c r="B126" s="12" t="s">
        <v>260</v>
      </c>
      <c r="C126" s="5" t="str">
        <f>IFERROR(__xludf.DUMMYFUNCTION("GOOGLETRANSLATE(B126,""en"",""hi"")"),"भुगतान का तरीका")</f>
        <v>भुगतान का तरीका</v>
      </c>
      <c r="D126" s="6" t="str">
        <f>IFERROR(__xludf.DUMMYFUNCTION("GOOGLETRANSLATE(B126,""en"",""ar"")"),"طريقة الدفع او السداد")</f>
        <v>طريقة الدفع او السداد</v>
      </c>
      <c r="E126" s="6" t="str">
        <f>IFERROR(__xludf.DUMMYFUNCTION("GOOGLETRANSLATE(B126,""en"",""fr"")"),"Mode de paiement")</f>
        <v>Mode de paiement</v>
      </c>
      <c r="F126" s="6" t="str">
        <f>IFERROR(__xludf.DUMMYFUNCTION("GOOGLETRANSLATE(B126,""en"",""tr"")"),"Ödeme şekli")</f>
        <v>Ödeme şekli</v>
      </c>
      <c r="G126" s="6" t="str">
        <f>IFERROR(__xludf.DUMMYFUNCTION("GOOGLETRANSLATE(B126,""en"",""ru"")"),"Метод оплаты")</f>
        <v>Метод оплаты</v>
      </c>
      <c r="H126" s="6" t="str">
        <f>IFERROR(__xludf.DUMMYFUNCTION("GOOGLETRANSLATE(B126,""en"",""it"")"),"Metodo di pagamento")</f>
        <v>Metodo di pagamento</v>
      </c>
      <c r="I126" s="6" t="str">
        <f>IFERROR(__xludf.DUMMYFUNCTION("GOOGLETRANSLATE(B126,""en"",""de"")"),"Zahlungsmethode")</f>
        <v>Zahlungsmethode</v>
      </c>
      <c r="J126" s="6" t="str">
        <f>IFERROR(__xludf.DUMMYFUNCTION("GOOGLETRANSLATE(B126,""en"",""ko"")"),"지불 방법")</f>
        <v>지불 방법</v>
      </c>
      <c r="K126" s="6" t="str">
        <f>IFERROR(__xludf.DUMMYFUNCTION("GOOGLETRANSLATE(B126,""en"",""zh"")"),"付款方式")</f>
        <v>付款方式</v>
      </c>
      <c r="L126" s="6" t="str">
        <f>IFERROR(__xludf.DUMMYFUNCTION("GOOGLETRANSLATE(B126,""en"",""es"")"),"Método de pago")</f>
        <v>Método de pago</v>
      </c>
      <c r="M126" s="7" t="str">
        <f>IFERROR(__xludf.DUMMYFUNCTION("GOOGLETRANSLATE(B126,""en"",""iw"")"),"אמצעי תשלום")</f>
        <v>אמצעי תשלום</v>
      </c>
      <c r="N126" s="6" t="str">
        <f>IFERROR(__xludf.DUMMYFUNCTION("GOOGLETRANSLATE(B126,""en"",""bn"")"),"মূল্যপরিশোধ পদ্ধতি")</f>
        <v>মূল্যপরিশোধ পদ্ধতি</v>
      </c>
      <c r="O126" s="6"/>
      <c r="P126" s="6"/>
    </row>
    <row r="127">
      <c r="A127" s="8" t="s">
        <v>261</v>
      </c>
      <c r="B127" s="9" t="s">
        <v>262</v>
      </c>
      <c r="C127" s="5" t="str">
        <f>IFERROR(__xludf.DUMMYFUNCTION("GOOGLETRANSLATE(B127,""en"",""hi"")"),"अपना भुगतान अभी या बाद में चुनें")</f>
        <v>अपना भुगतान अभी या बाद में चुनें</v>
      </c>
      <c r="D127" s="6" t="str">
        <f>IFERROR(__xludf.DUMMYFUNCTION("GOOGLETRANSLATE(B127,""en"",""ar"")"),"اختر دفعتك الآن أو آجلاً")</f>
        <v>اختر دفعتك الآن أو آجلاً</v>
      </c>
      <c r="E127" s="6" t="str">
        <f>IFERROR(__xludf.DUMMYFUNCTION("GOOGLETRANSLATE(B127,""en"",""fr"")"),"Choisissez votre paiement maintenant ou plus tard")</f>
        <v>Choisissez votre paiement maintenant ou plus tard</v>
      </c>
      <c r="F127" s="6" t="str">
        <f>IFERROR(__xludf.DUMMYFUNCTION("GOOGLETRANSLATE(B127,""en"",""tr"")"),"Ödemenizi şimdi veya sonra seçin")</f>
        <v>Ödemenizi şimdi veya sonra seçin</v>
      </c>
      <c r="G127" s="6" t="str">
        <f>IFERROR(__xludf.DUMMYFUNCTION("GOOGLETRANSLATE(B127,""en"",""ru"")"),"Выберите свой платеж сейчас или позже")</f>
        <v>Выберите свой платеж сейчас или позже</v>
      </c>
      <c r="H127" s="6" t="str">
        <f>IFERROR(__xludf.DUMMYFUNCTION("GOOGLETRANSLATE(B127,""en"",""it"")"),"Scegli il tuo pagamento ora o dopo")</f>
        <v>Scegli il tuo pagamento ora o dopo</v>
      </c>
      <c r="I127" s="6" t="str">
        <f>IFERROR(__xludf.DUMMYFUNCTION("GOOGLETRANSLATE(B127,""en"",""de"")"),"Wählen Sie Ihre Zahlung jetzt oder später aus")</f>
        <v>Wählen Sie Ihre Zahlung jetzt oder später aus</v>
      </c>
      <c r="J127" s="6" t="str">
        <f>IFERROR(__xludf.DUMMYFUNCTION("GOOGLETRANSLATE(B127,""en"",""ko"")"),"지금 또는 나중에 지불을 선택하십시오")</f>
        <v>지금 또는 나중에 지불을 선택하십시오</v>
      </c>
      <c r="K127" s="6" t="str">
        <f>IFERROR(__xludf.DUMMYFUNCTION("GOOGLETRANSLATE(B127,""en"",""zh"")"),"现在或以后选择您的付款")</f>
        <v>现在或以后选择您的付款</v>
      </c>
      <c r="L127" s="6" t="str">
        <f>IFERROR(__xludf.DUMMYFUNCTION("GOOGLETRANSLATE(B127,""en"",""es"")"),"Elija su pago ahora o más tarde")</f>
        <v>Elija su pago ahora o más tarde</v>
      </c>
      <c r="M127" s="7" t="str">
        <f>IFERROR(__xludf.DUMMYFUNCTION("GOOGLETRANSLATE(B127,""en"",""iw"")"),"בחר את התשלום שלך עכשיו או מאוחר יותר")</f>
        <v>בחר את התשלום שלך עכשיו או מאוחר יותר</v>
      </c>
      <c r="N127" s="6" t="str">
        <f>IFERROR(__xludf.DUMMYFUNCTION("GOOGLETRANSLATE(B127,""en"",""bn"")"),"আপনার অর্থ প্রদান এখন বা পরে চয়ন করুন")</f>
        <v>আপনার অর্থ প্রদান এখন বা পরে চয়ন করুন</v>
      </c>
      <c r="O127" s="6"/>
      <c r="P127" s="6"/>
    </row>
    <row r="128">
      <c r="A128" s="8" t="s">
        <v>263</v>
      </c>
      <c r="B128" s="9" t="s">
        <v>264</v>
      </c>
      <c r="C128" s="5" t="str">
        <f>IFERROR(__xludf.DUMMYFUNCTION("GOOGLETRANSLATE(B128,""en"",""hi"")"),"यात्रा समाप्त होने पर भुगतान करें")</f>
        <v>यात्रा समाप्त होने पर भुगतान करें</v>
      </c>
      <c r="D128" s="6" t="str">
        <f>IFERROR(__xludf.DUMMYFUNCTION("GOOGLETRANSLATE(B128,""en"",""ar"")"),"ادفع عندما تنتهي الرحلة")</f>
        <v>ادفع عندما تنتهي الرحلة</v>
      </c>
      <c r="E128" s="6" t="str">
        <f>IFERROR(__xludf.DUMMYFUNCTION("GOOGLETRANSLATE(B128,""en"",""fr"")"),"Payer quand le voyage se termine")</f>
        <v>Payer quand le voyage se termine</v>
      </c>
      <c r="F128" s="6" t="str">
        <f>IFERROR(__xludf.DUMMYFUNCTION("GOOGLETRANSLATE(B128,""en"",""tr"")"),"Gezi bittiğinde ödeme")</f>
        <v>Gezi bittiğinde ödeme</v>
      </c>
      <c r="G128" s="6" t="str">
        <f>IFERROR(__xludf.DUMMYFUNCTION("GOOGLETRANSLATE(B128,""en"",""ru"")"),"Платить, когда поездка заканчивается")</f>
        <v>Платить, когда поездка заканчивается</v>
      </c>
      <c r="H128" s="6" t="str">
        <f>IFERROR(__xludf.DUMMYFUNCTION("GOOGLETRANSLATE(B128,""en"",""it"")"),"Paga quando il viaggio termina")</f>
        <v>Paga quando il viaggio termina</v>
      </c>
      <c r="I128" s="6" t="str">
        <f>IFERROR(__xludf.DUMMYFUNCTION("GOOGLETRANSLATE(B128,""en"",""de"")"),"Bezahlung, wenn die Reise endet")</f>
        <v>Bezahlung, wenn die Reise endet</v>
      </c>
      <c r="J128" s="6" t="str">
        <f>IFERROR(__xludf.DUMMYFUNCTION("GOOGLETRANSLATE(B128,""en"",""ko"")"),"여행이 끝날 때 지불하십시오")</f>
        <v>여행이 끝날 때 지불하십시오</v>
      </c>
      <c r="K128" s="6" t="str">
        <f>IFERROR(__xludf.DUMMYFUNCTION("GOOGLETRANSLATE(B128,""en"",""zh"")"),"旅行结束时付款")</f>
        <v>旅行结束时付款</v>
      </c>
      <c r="L128" s="6" t="str">
        <f>IFERROR(__xludf.DUMMYFUNCTION("GOOGLETRANSLATE(B128,""en"",""es"")"),"Pagar cuando termine el viaje")</f>
        <v>Pagar cuando termine el viaje</v>
      </c>
      <c r="M128" s="7" t="str">
        <f>IFERROR(__xludf.DUMMYFUNCTION("GOOGLETRANSLATE(B128,""en"",""iw"")"),"שלם כשמסתיים טיול")</f>
        <v>שלם כשמסתיים טיול</v>
      </c>
      <c r="N128" s="6" t="str">
        <f>IFERROR(__xludf.DUMMYFUNCTION("GOOGLETRANSLATE(B128,""en"",""bn"")"),"ট্রিপ শেষ হলে প্রদান")</f>
        <v>ট্রিপ শেষ হলে প্রদান</v>
      </c>
      <c r="O128" s="6"/>
      <c r="P128" s="6"/>
    </row>
    <row r="129">
      <c r="A129" s="8" t="s">
        <v>265</v>
      </c>
      <c r="B129" s="9" t="s">
        <v>266</v>
      </c>
      <c r="C129" s="5" t="str">
        <f>IFERROR(__xludf.DUMMYFUNCTION("GOOGLETRANSLATE(B129,""en"",""hi"")"),"सहज और कम भुगतान से संपर्क करें")</f>
        <v>सहज और कम भुगतान से संपर्क करें</v>
      </c>
      <c r="D129" s="6" t="str">
        <f>IFERROR(__xludf.DUMMYFUNCTION("GOOGLETRANSLATE(B129,""en"",""ar"")"),"لسلس واتصل بدرجة أقل")</f>
        <v>لسلس واتصل بدرجة أقل</v>
      </c>
      <c r="E129" s="6" t="str">
        <f>IFERROR(__xludf.DUMMYFUNCTION("GOOGLETRANSLATE(B129,""en"",""fr"")"),"Pour sans couture et contactez moins de paiement")</f>
        <v>Pour sans couture et contactez moins de paiement</v>
      </c>
      <c r="F129" s="6" t="str">
        <f>IFERROR(__xludf.DUMMYFUNCTION("GOOGLETRANSLATE(B129,""en"",""tr"")"),"Kesintisiz ve daha az ödeme ile iletişime geçin")</f>
        <v>Kesintisiz ve daha az ödeme ile iletişime geçin</v>
      </c>
      <c r="G129" s="6" t="str">
        <f>IFERROR(__xludf.DUMMYFUNCTION("GOOGLETRANSLATE(B129,""en"",""ru"")"),"Для бесшовного и свяжитесь с меньшим количеством оплаты")</f>
        <v>Для бесшовного и свяжитесь с меньшим количеством оплаты</v>
      </c>
      <c r="H129" s="6" t="str">
        <f>IFERROR(__xludf.DUMMYFUNCTION("GOOGLETRANSLATE(B129,""en"",""it"")"),"Per salvi e contattare meno pagamento")</f>
        <v>Per salvi e contattare meno pagamento</v>
      </c>
      <c r="I129" s="6" t="str">
        <f>IFERROR(__xludf.DUMMYFUNCTION("GOOGLETRANSLATE(B129,""en"",""de"")"),"Für nahtlose und kontaktieren Sie weniger Zahlung")</f>
        <v>Für nahtlose und kontaktieren Sie weniger Zahlung</v>
      </c>
      <c r="J129" s="6" t="str">
        <f>IFERROR(__xludf.DUMMYFUNCTION("GOOGLETRANSLATE(B129,""en"",""ko"")"),"원활하고 지불금이 적습니다")</f>
        <v>원활하고 지불금이 적습니다</v>
      </c>
      <c r="K129" s="6" t="str">
        <f>IFERROR(__xludf.DUMMYFUNCTION("GOOGLETRANSLATE(B129,""en"",""zh"")"),"无缝和联系更少的付款")</f>
        <v>无缝和联系更少的付款</v>
      </c>
      <c r="L129" s="6" t="str">
        <f>IFERROR(__xludf.DUMMYFUNCTION("GOOGLETRANSLATE(B129,""en"",""es"")"),"Para el pago sin interrupciones y contacte menos")</f>
        <v>Para el pago sin interrupciones y contacte menos</v>
      </c>
      <c r="M129" s="7" t="str">
        <f>IFERROR(__xludf.DUMMYFUNCTION("GOOGLETRANSLATE(B129,""en"",""iw"")"),"עבור חלק ופנה פחות תשלום")</f>
        <v>עבור חלק ופנה פחות תשלום</v>
      </c>
      <c r="N129" s="6" t="str">
        <f>IFERROR(__xludf.DUMMYFUNCTION("GOOGLETRANSLATE(B129,""en"",""bn"")"),"বিরামবিহীন এবং কম পেমেন্ট যোগাযোগের জন্য")</f>
        <v>বিরামবিহীন এবং কম পেমেন্ট যোগাযোগের জন্য</v>
      </c>
      <c r="O129" s="6"/>
      <c r="P129" s="6"/>
    </row>
    <row r="130">
      <c r="A130" s="8" t="s">
        <v>267</v>
      </c>
      <c r="B130" s="9" t="s">
        <v>268</v>
      </c>
      <c r="C130" s="5" t="str">
        <f>IFERROR(__xludf.DUMMYFUNCTION("GOOGLETRANSLATE(B130,""en"",""hi"")"),"तेजी से भुगतान के लिए")</f>
        <v>तेजी से भुगतान के लिए</v>
      </c>
      <c r="D130" s="6" t="str">
        <f>IFERROR(__xludf.DUMMYFUNCTION("GOOGLETRANSLATE(B130,""en"",""ar"")"),"لدفع أسرع")</f>
        <v>لدفع أسرع</v>
      </c>
      <c r="E130" s="6" t="str">
        <f>IFERROR(__xludf.DUMMYFUNCTION("GOOGLETRANSLATE(B130,""en"",""fr"")"),"Pour un paiement plus rapide")</f>
        <v>Pour un paiement plus rapide</v>
      </c>
      <c r="F130" s="6" t="str">
        <f>IFERROR(__xludf.DUMMYFUNCTION("GOOGLETRANSLATE(B130,""en"",""tr"")"),"Daha hızlı ödeme için")</f>
        <v>Daha hızlı ödeme için</v>
      </c>
      <c r="G130" s="6" t="str">
        <f>IFERROR(__xludf.DUMMYFUNCTION("GOOGLETRANSLATE(B130,""en"",""ru"")"),"За более быструю оплату")</f>
        <v>За более быструю оплату</v>
      </c>
      <c r="H130" s="6" t="str">
        <f>IFERROR(__xludf.DUMMYFUNCTION("GOOGLETRANSLATE(B130,""en"",""it"")"),"Per un pagamento più rapido")</f>
        <v>Per un pagamento più rapido</v>
      </c>
      <c r="I130" s="6" t="str">
        <f>IFERROR(__xludf.DUMMYFUNCTION("GOOGLETRANSLATE(B130,""en"",""de"")"),"Für schnellere Zahlung")</f>
        <v>Für schnellere Zahlung</v>
      </c>
      <c r="J130" s="6" t="str">
        <f>IFERROR(__xludf.DUMMYFUNCTION("GOOGLETRANSLATE(B130,""en"",""ko"")"),"더 빠른 지불을 위해")</f>
        <v>더 빠른 지불을 위해</v>
      </c>
      <c r="K130" s="6" t="str">
        <f>IFERROR(__xludf.DUMMYFUNCTION("GOOGLETRANSLATE(B130,""en"",""zh"")"),"为了更快的付款")</f>
        <v>为了更快的付款</v>
      </c>
      <c r="L130" s="6" t="str">
        <f>IFERROR(__xludf.DUMMYFUNCTION("GOOGLETRANSLATE(B130,""en"",""es"")"),"Para un pago más rápido")</f>
        <v>Para un pago más rápido</v>
      </c>
      <c r="M130" s="7" t="str">
        <f>IFERROR(__xludf.DUMMYFUNCTION("GOOGLETRANSLATE(B130,""en"",""iw"")"),"לתשלום מהיר יותר")</f>
        <v>לתשלום מהיר יותר</v>
      </c>
      <c r="N130" s="6" t="str">
        <f>IFERROR(__xludf.DUMMYFUNCTION("GOOGLETRANSLATE(B130,""en"",""bn"")"),"দ্রুত অর্থ প্রদানের জন্য")</f>
        <v>দ্রুত অর্থ প্রদানের জন্য</v>
      </c>
      <c r="O130" s="6"/>
      <c r="P130" s="6"/>
    </row>
    <row r="131">
      <c r="A131" s="8" t="s">
        <v>269</v>
      </c>
      <c r="B131" s="9" t="s">
        <v>270</v>
      </c>
      <c r="C131" s="5" t="str">
        <f>IFERROR(__xludf.DUMMYFUNCTION("GOOGLETRANSLATE(B131,""en"",""hi"")"),"त्वरित भुगतान के लिए")</f>
        <v>त्वरित भुगतान के लिए</v>
      </c>
      <c r="D131" s="6" t="str">
        <f>IFERROR(__xludf.DUMMYFUNCTION("GOOGLETRANSLATE(B131,""en"",""ar"")"),"للدفع الفوري")</f>
        <v>للدفع الفوري</v>
      </c>
      <c r="E131" s="6" t="str">
        <f>IFERROR(__xludf.DUMMYFUNCTION("GOOGLETRANSLATE(B131,""en"",""fr"")"),"Pour le paiement instantané")</f>
        <v>Pour le paiement instantané</v>
      </c>
      <c r="F131" s="6" t="str">
        <f>IFERROR(__xludf.DUMMYFUNCTION("GOOGLETRANSLATE(B131,""en"",""tr"")"),"Anında ödeme için")</f>
        <v>Anında ödeme için</v>
      </c>
      <c r="G131" s="6" t="str">
        <f>IFERROR(__xludf.DUMMYFUNCTION("GOOGLETRANSLATE(B131,""en"",""ru"")"),"Для мгновенного оплаты")</f>
        <v>Для мгновенного оплаты</v>
      </c>
      <c r="H131" s="6" t="str">
        <f>IFERROR(__xludf.DUMMYFUNCTION("GOOGLETRANSLATE(B131,""en"",""it"")"),"Per pagamento immediato")</f>
        <v>Per pagamento immediato</v>
      </c>
      <c r="I131" s="6" t="str">
        <f>IFERROR(__xludf.DUMMYFUNCTION("GOOGLETRANSLATE(B131,""en"",""de"")"),"Für sofortige Zahlung")</f>
        <v>Für sofortige Zahlung</v>
      </c>
      <c r="J131" s="6" t="str">
        <f>IFERROR(__xludf.DUMMYFUNCTION("GOOGLETRANSLATE(B131,""en"",""ko"")"),"즉시 지불을 위해")</f>
        <v>즉시 지불을 위해</v>
      </c>
      <c r="K131" s="6" t="str">
        <f>IFERROR(__xludf.DUMMYFUNCTION("GOOGLETRANSLATE(B131,""en"",""zh"")"),"即时付款")</f>
        <v>即时付款</v>
      </c>
      <c r="L131" s="6" t="str">
        <f>IFERROR(__xludf.DUMMYFUNCTION("GOOGLETRANSLATE(B131,""en"",""es"")"),"Para pago instantáneo")</f>
        <v>Para pago instantáneo</v>
      </c>
      <c r="M131" s="7" t="str">
        <f>IFERROR(__xludf.DUMMYFUNCTION("GOOGLETRANSLATE(B131,""en"",""iw"")"),"לתשלום מיידי")</f>
        <v>לתשלום מיידי</v>
      </c>
      <c r="N131" s="6" t="str">
        <f>IFERROR(__xludf.DUMMYFUNCTION("GOOGLETRANSLATE(B131,""en"",""bn"")"),"তাত্ক্ষণিক অর্থ প্রদানের জন্য")</f>
        <v>তাত্ক্ষণিক অর্থ প্রদানের জন্য</v>
      </c>
      <c r="O131" s="6"/>
      <c r="P131" s="6"/>
    </row>
    <row r="132">
      <c r="A132" s="8" t="s">
        <v>271</v>
      </c>
      <c r="B132" s="9" t="s">
        <v>272</v>
      </c>
      <c r="C132" s="5" t="str">
        <f>IFERROR(__xludf.DUMMYFUNCTION("GOOGLETRANSLATE(B132,""en"",""hi"")"),"के माध्यम से भुगतान करना")</f>
        <v>के माध्यम से भुगतान करना</v>
      </c>
      <c r="D132" s="6" t="str">
        <f>IFERROR(__xludf.DUMMYFUNCTION("GOOGLETRANSLATE(B132,""en"",""ar"")"),"الدفع عبر")</f>
        <v>الدفع عبر</v>
      </c>
      <c r="E132" s="6" t="str">
        <f>IFERROR(__xludf.DUMMYFUNCTION("GOOGLETRANSLATE(B132,""en"",""fr"")"),"Payer via")</f>
        <v>Payer via</v>
      </c>
      <c r="F132" s="6" t="str">
        <f>IFERROR(__xludf.DUMMYFUNCTION("GOOGLETRANSLATE(B132,""en"",""tr"")"),"Üzerinden ödeme yapmak")</f>
        <v>Üzerinden ödeme yapmak</v>
      </c>
      <c r="G132" s="6" t="str">
        <f>IFERROR(__xludf.DUMMYFUNCTION("GOOGLETRANSLATE(B132,""en"",""ru"")"),"Оплата через")</f>
        <v>Оплата через</v>
      </c>
      <c r="H132" s="6" t="str">
        <f>IFERROR(__xludf.DUMMYFUNCTION("GOOGLETRANSLATE(B132,""en"",""it"")"),"Pagando via")</f>
        <v>Pagando via</v>
      </c>
      <c r="I132" s="6" t="str">
        <f>IFERROR(__xludf.DUMMYFUNCTION("GOOGLETRANSLATE(B132,""en"",""de"")"),"Bezahlen über")</f>
        <v>Bezahlen über</v>
      </c>
      <c r="J132" s="6" t="str">
        <f>IFERROR(__xludf.DUMMYFUNCTION("GOOGLETRANSLATE(B132,""en"",""ko"")"),"비용을 지불합니다")</f>
        <v>비용을 지불합니다</v>
      </c>
      <c r="K132" s="6" t="str">
        <f>IFERROR(__xludf.DUMMYFUNCTION("GOOGLETRANSLATE(B132,""en"",""zh"")"),"付款")</f>
        <v>付款</v>
      </c>
      <c r="L132" s="6" t="str">
        <f>IFERROR(__xludf.DUMMYFUNCTION("GOOGLETRANSLATE(B132,""en"",""es"")"),"Pagando vía")</f>
        <v>Pagando vía</v>
      </c>
      <c r="M132" s="7" t="str">
        <f>IFERROR(__xludf.DUMMYFUNCTION("GOOGLETRANSLATE(B132,""en"",""iw"")"),"לשלם דרך")</f>
        <v>לשלם דרך</v>
      </c>
      <c r="N132" s="6" t="str">
        <f>IFERROR(__xludf.DUMMYFUNCTION("GOOGLETRANSLATE(B132,""en"",""bn"")"),"মাধ্যমে প্রদান")</f>
        <v>মাধ্যমে প্রদান</v>
      </c>
      <c r="O132" s="6"/>
      <c r="P132" s="6"/>
    </row>
    <row r="133">
      <c r="A133" s="8" t="s">
        <v>273</v>
      </c>
      <c r="B133" s="9" t="s">
        <v>274</v>
      </c>
      <c r="C133" s="5" t="str">
        <f>IFERROR(__xludf.DUMMYFUNCTION("GOOGLETRANSLATE(B133,""en"",""hi"")"),"प्रचार कि नियमावली दर्ज करो")</f>
        <v>प्रचार कि नियमावली दर्ज करो</v>
      </c>
      <c r="D133" s="6" t="str">
        <f>IFERROR(__xludf.DUMMYFUNCTION("GOOGLETRANSLATE(B133,""en"",""ar"")"),"إدخال الرمز الترويجي")</f>
        <v>إدخال الرمز الترويجي</v>
      </c>
      <c r="E133" s="6" t="str">
        <f>IFERROR(__xludf.DUMMYFUNCTION("GOOGLETRANSLATE(B133,""en"",""fr"")"),"Saisir le code promotionnel")</f>
        <v>Saisir le code promotionnel</v>
      </c>
      <c r="F133" s="6" t="str">
        <f>IFERROR(__xludf.DUMMYFUNCTION("GOOGLETRANSLATE(B133,""en"",""tr"")"),"Promosyon kodunu girin")</f>
        <v>Promosyon kodunu girin</v>
      </c>
      <c r="G133" s="6" t="str">
        <f>IFERROR(__xludf.DUMMYFUNCTION("GOOGLETRANSLATE(B133,""en"",""ru"")"),"Введите промо-код")</f>
        <v>Введите промо-код</v>
      </c>
      <c r="H133" s="6" t="str">
        <f>IFERROR(__xludf.DUMMYFUNCTION("GOOGLETRANSLATE(B133,""en"",""it"")"),"Immettere il codice promozionale")</f>
        <v>Immettere il codice promozionale</v>
      </c>
      <c r="I133" s="6" t="str">
        <f>IFERROR(__xludf.DUMMYFUNCTION("GOOGLETRANSLATE(B133,""en"",""de"")"),"Geben Sie den Promo -Code ein")</f>
        <v>Geben Sie den Promo -Code ein</v>
      </c>
      <c r="J133" s="6" t="str">
        <f>IFERROR(__xludf.DUMMYFUNCTION("GOOGLETRANSLATE(B133,""en"",""ko"")"),"프로모션 코드 입력하기")</f>
        <v>프로모션 코드 입력하기</v>
      </c>
      <c r="K133" s="6" t="str">
        <f>IFERROR(__xludf.DUMMYFUNCTION("GOOGLETRANSLATE(B133,""en"",""zh"")"),"输入促销代码")</f>
        <v>输入促销代码</v>
      </c>
      <c r="L133" s="6" t="str">
        <f>IFERROR(__xludf.DUMMYFUNCTION("GOOGLETRANSLATE(B133,""en"",""es"")"),"Introduce el código de promoción")</f>
        <v>Introduce el código de promoción</v>
      </c>
      <c r="M133" s="7" t="str">
        <f>IFERROR(__xludf.DUMMYFUNCTION("GOOGLETRANSLATE(B133,""en"",""iw"")"),"הכנס את קוד הזיכוי")</f>
        <v>הכנס את קוד הזיכוי</v>
      </c>
      <c r="N133" s="6" t="str">
        <f>IFERROR(__xludf.DUMMYFUNCTION("GOOGLETRANSLATE(B133,""en"",""bn"")"),"প্রচার কোড লিখুন")</f>
        <v>প্রচার কোড লিখুন</v>
      </c>
      <c r="O133" s="6"/>
      <c r="P133" s="6"/>
    </row>
    <row r="134">
      <c r="A134" s="8" t="s">
        <v>275</v>
      </c>
      <c r="B134" s="9" t="s">
        <v>276</v>
      </c>
      <c r="C134" s="5" t="str">
        <f>IFERROR(__xludf.DUMMYFUNCTION("GOOGLETRANSLATE(B134,""en"",""hi"")"),"हटाना")</f>
        <v>हटाना</v>
      </c>
      <c r="D134" s="6" t="str">
        <f>IFERROR(__xludf.DUMMYFUNCTION("GOOGLETRANSLATE(B134,""en"",""ar"")"),"إزالة")</f>
        <v>إزالة</v>
      </c>
      <c r="E134" s="6" t="str">
        <f>IFERROR(__xludf.DUMMYFUNCTION("GOOGLETRANSLATE(B134,""en"",""fr"")"),"Retirer")</f>
        <v>Retirer</v>
      </c>
      <c r="F134" s="6" t="str">
        <f>IFERROR(__xludf.DUMMYFUNCTION("GOOGLETRANSLATE(B134,""en"",""tr"")"),"Kaldırmak")</f>
        <v>Kaldırmak</v>
      </c>
      <c r="G134" s="6" t="str">
        <f>IFERROR(__xludf.DUMMYFUNCTION("GOOGLETRANSLATE(B134,""en"",""ru"")"),"Удалять")</f>
        <v>Удалять</v>
      </c>
      <c r="H134" s="6" t="str">
        <f>IFERROR(__xludf.DUMMYFUNCTION("GOOGLETRANSLATE(B134,""en"",""it"")"),"Rimuovere")</f>
        <v>Rimuovere</v>
      </c>
      <c r="I134" s="6" t="str">
        <f>IFERROR(__xludf.DUMMYFUNCTION("GOOGLETRANSLATE(B134,""en"",""de"")"),"Entfernen")</f>
        <v>Entfernen</v>
      </c>
      <c r="J134" s="6" t="str">
        <f>IFERROR(__xludf.DUMMYFUNCTION("GOOGLETRANSLATE(B134,""en"",""ko"")"),"제거하다")</f>
        <v>제거하다</v>
      </c>
      <c r="K134" s="6" t="str">
        <f>IFERROR(__xludf.DUMMYFUNCTION("GOOGLETRANSLATE(B134,""en"",""zh"")"),"消除")</f>
        <v>消除</v>
      </c>
      <c r="L134" s="6" t="str">
        <f>IFERROR(__xludf.DUMMYFUNCTION("GOOGLETRANSLATE(B134,""en"",""es"")"),"Remover")</f>
        <v>Remover</v>
      </c>
      <c r="M134" s="7" t="str">
        <f>IFERROR(__xludf.DUMMYFUNCTION("GOOGLETRANSLATE(B134,""en"",""iw"")"),"לְהַסִיר")</f>
        <v>לְהַסִיר</v>
      </c>
      <c r="N134" s="6" t="str">
        <f>IFERROR(__xludf.DUMMYFUNCTION("GOOGLETRANSLATE(B134,""en"",""bn"")"),"অপসারণ")</f>
        <v>অপসারণ</v>
      </c>
      <c r="O134" s="6"/>
      <c r="P134" s="6"/>
    </row>
    <row r="135">
      <c r="A135" s="8" t="s">
        <v>277</v>
      </c>
      <c r="B135" s="9" t="s">
        <v>278</v>
      </c>
      <c r="C135" s="5" t="str">
        <f>IFERROR(__xludf.DUMMYFUNCTION("GOOGLETRANSLATE(B135,""en"",""hi"")"),"संपादन करना")</f>
        <v>संपादन करना</v>
      </c>
      <c r="D135" s="6" t="str">
        <f>IFERROR(__xludf.DUMMYFUNCTION("GOOGLETRANSLATE(B135,""en"",""ar"")"),"يحرر")</f>
        <v>يحرر</v>
      </c>
      <c r="E135" s="6" t="str">
        <f>IFERROR(__xludf.DUMMYFUNCTION("GOOGLETRANSLATE(B135,""en"",""fr"")"),"Éditer")</f>
        <v>Éditer</v>
      </c>
      <c r="F135" s="6" t="str">
        <f>IFERROR(__xludf.DUMMYFUNCTION("GOOGLETRANSLATE(B135,""en"",""tr"")"),"Düzenlemek")</f>
        <v>Düzenlemek</v>
      </c>
      <c r="G135" s="6" t="str">
        <f>IFERROR(__xludf.DUMMYFUNCTION("GOOGLETRANSLATE(B135,""en"",""ru"")"),"Редактировать")</f>
        <v>Редактировать</v>
      </c>
      <c r="H135" s="6" t="str">
        <f>IFERROR(__xludf.DUMMYFUNCTION("GOOGLETRANSLATE(B135,""en"",""it"")"),"Modificare")</f>
        <v>Modificare</v>
      </c>
      <c r="I135" s="6" t="str">
        <f>IFERROR(__xludf.DUMMYFUNCTION("GOOGLETRANSLATE(B135,""en"",""de"")"),"Bearbeiten")</f>
        <v>Bearbeiten</v>
      </c>
      <c r="J135" s="6" t="str">
        <f>IFERROR(__xludf.DUMMYFUNCTION("GOOGLETRANSLATE(B135,""en"",""ko"")"),"편집하다")</f>
        <v>편집하다</v>
      </c>
      <c r="K135" s="6" t="str">
        <f>IFERROR(__xludf.DUMMYFUNCTION("GOOGLETRANSLATE(B135,""en"",""zh"")"),"编辑")</f>
        <v>编辑</v>
      </c>
      <c r="L135" s="6" t="str">
        <f>IFERROR(__xludf.DUMMYFUNCTION("GOOGLETRANSLATE(B135,""en"",""es"")"),"Editar")</f>
        <v>Editar</v>
      </c>
      <c r="M135" s="7" t="str">
        <f>IFERROR(__xludf.DUMMYFUNCTION("GOOGLETRANSLATE(B135,""en"",""iw"")"),"לַעֲרוֹך")</f>
        <v>לַעֲרוֹך</v>
      </c>
      <c r="N135" s="6" t="str">
        <f>IFERROR(__xludf.DUMMYFUNCTION("GOOGLETRANSLATE(B135,""en"",""bn"")"),"সম্পাদনা")</f>
        <v>সম্পাদনা</v>
      </c>
      <c r="O135" s="6"/>
      <c r="P135" s="6"/>
    </row>
    <row r="136">
      <c r="A136" s="8" t="s">
        <v>279</v>
      </c>
      <c r="B136" s="9" t="s">
        <v>280</v>
      </c>
      <c r="C136" s="5" t="str">
        <f>IFERROR(__xludf.DUMMYFUNCTION("GOOGLETRANSLATE(B136,""en"",""hi"")")," कूपन लागू किया हुआ")</f>
        <v> कूपन लागू किया हुआ</v>
      </c>
      <c r="D136" s="6" t="str">
        <f>IFERROR(__xludf.DUMMYFUNCTION("GOOGLETRANSLATE(B136,""en"",""ar"")")," كوبون تطبيق")</f>
        <v> كوبون تطبيق</v>
      </c>
      <c r="E136" s="6" t="str">
        <f>IFERROR(__xludf.DUMMYFUNCTION("GOOGLETRANSLATE(B136,""en"",""fr"")")," Coupon appliqué")</f>
        <v> Coupon appliqué</v>
      </c>
      <c r="F136" s="6" t="str">
        <f>IFERROR(__xludf.DUMMYFUNCTION("GOOGLETRANSLATE(B136,""en"",""tr"")")," Kupon Uygulandı")</f>
        <v> Kupon Uygulandı</v>
      </c>
      <c r="G136" s="6" t="str">
        <f>IFERROR(__xludf.DUMMYFUNCTION("GOOGLETRANSLATE(B136,""en"",""ru"")")," Купон применяется")</f>
        <v> Купон применяется</v>
      </c>
      <c r="H136" s="6" t="str">
        <f>IFERROR(__xludf.DUMMYFUNCTION("GOOGLETRANSLATE(B136,""en"",""it"")")," Coupon applicato")</f>
        <v> Coupon applicato</v>
      </c>
      <c r="I136" s="6" t="str">
        <f>IFERROR(__xludf.DUMMYFUNCTION("GOOGLETRANSLATE(B136,""en"",""de"")")," Gutschein angewendet")</f>
        <v> Gutschein angewendet</v>
      </c>
      <c r="J136" s="6" t="str">
        <f>IFERROR(__xludf.DUMMYFUNCTION("GOOGLETRANSLATE(B136,""en"",""ko"")")," 쿠폰 적용")</f>
        <v> 쿠폰 적용</v>
      </c>
      <c r="K136" s="6" t="str">
        <f>IFERROR(__xludf.DUMMYFUNCTION("GOOGLETRANSLATE(B136,""en"",""zh"")")," 优惠券应用")</f>
        <v> 优惠券应用</v>
      </c>
      <c r="L136" s="6" t="str">
        <f>IFERROR(__xludf.DUMMYFUNCTION("GOOGLETRANSLATE(B136,""en"",""es"")")," Cupón aplicado")</f>
        <v> Cupón aplicado</v>
      </c>
      <c r="M136" s="7" t="str">
        <f>IFERROR(__xludf.DUMMYFUNCTION("GOOGLETRANSLATE(B136,""en"",""iw"")")," קופון מיושם")</f>
        <v> קופון מיושם</v>
      </c>
      <c r="N136" s="6" t="str">
        <f>IFERROR(__xludf.DUMMYFUNCTION("GOOGLETRANSLATE(B136,""en"",""bn"")")," কুপন প্রয়োগ করা হয়েছে")</f>
        <v> কুপন প্রয়োগ করা হয়েছে</v>
      </c>
      <c r="O136" s="6"/>
      <c r="P136" s="6"/>
    </row>
    <row r="137">
      <c r="A137" s="8" t="s">
        <v>281</v>
      </c>
      <c r="B137" s="9" t="s">
        <v>282</v>
      </c>
      <c r="C137" s="5" t="str">
        <f>IFERROR(__xludf.DUMMYFUNCTION("GOOGLETRANSLATE(B137,""en"",""hi"")"),"अमान्य कूपन कोड")</f>
        <v>अमान्य कूपन कोड</v>
      </c>
      <c r="D137" s="6" t="str">
        <f>IFERROR(__xludf.DUMMYFUNCTION("GOOGLETRANSLATE(B137,""en"",""ar"")"),"رقم قسيمه غير صالح")</f>
        <v>رقم قسيمه غير صالح</v>
      </c>
      <c r="E137" s="6" t="str">
        <f>IFERROR(__xludf.DUMMYFUNCTION("GOOGLETRANSLATE(B137,""en"",""fr"")"),"Code de Coupon Invalide")</f>
        <v>Code de Coupon Invalide</v>
      </c>
      <c r="F137" s="6" t="str">
        <f>IFERROR(__xludf.DUMMYFUNCTION("GOOGLETRANSLATE(B137,""en"",""tr"")"),"Geçersiz kupon kodu")</f>
        <v>Geçersiz kupon kodu</v>
      </c>
      <c r="G137" s="6" t="str">
        <f>IFERROR(__xludf.DUMMYFUNCTION("GOOGLETRANSLATE(B137,""en"",""ru"")"),"Неверный код купона")</f>
        <v>Неверный код купона</v>
      </c>
      <c r="H137" s="6" t="str">
        <f>IFERROR(__xludf.DUMMYFUNCTION("GOOGLETRANSLATE(B137,""en"",""it"")"),"Codice del coupon non valido")</f>
        <v>Codice del coupon non valido</v>
      </c>
      <c r="I137" s="6" t="str">
        <f>IFERROR(__xludf.DUMMYFUNCTION("GOOGLETRANSLATE(B137,""en"",""de"")"),"Ungültiger Gutscheincode")</f>
        <v>Ungültiger Gutscheincode</v>
      </c>
      <c r="J137" s="6" t="str">
        <f>IFERROR(__xludf.DUMMYFUNCTION("GOOGLETRANSLATE(B137,""en"",""ko"")"),"잘못된 쿠폰 코드")</f>
        <v>잘못된 쿠폰 코드</v>
      </c>
      <c r="K137" s="6" t="str">
        <f>IFERROR(__xludf.DUMMYFUNCTION("GOOGLETRANSLATE(B137,""en"",""zh"")"),"无效的优惠券代码")</f>
        <v>无效的优惠券代码</v>
      </c>
      <c r="L137" s="6" t="str">
        <f>IFERROR(__xludf.DUMMYFUNCTION("GOOGLETRANSLATE(B137,""en"",""es"")"),"Código de cupón inválido")</f>
        <v>Código de cupón inválido</v>
      </c>
      <c r="M137" s="7" t="str">
        <f>IFERROR(__xludf.DUMMYFUNCTION("GOOGLETRANSLATE(B137,""en"",""iw"")"),"קוד קופון לא חוקי")</f>
        <v>קוד קופון לא חוקי</v>
      </c>
      <c r="N137" s="6" t="str">
        <f>IFERROR(__xludf.DUMMYFUNCTION("GOOGLETRANSLATE(B137,""en"",""bn"")"),"অকার্যকর কুপন কোড")</f>
        <v>অকার্যকর কুপন কোড</v>
      </c>
      <c r="O137" s="6"/>
      <c r="P137" s="6"/>
    </row>
    <row r="138">
      <c r="A138" s="8" t="s">
        <v>283</v>
      </c>
      <c r="B138" s="9" t="s">
        <v>284</v>
      </c>
      <c r="C138" s="5" t="str">
        <f>IFERROR(__xludf.DUMMYFUNCTION("GOOGLETRANSLATE(B138,""en"",""hi"")"),"आस -पास के ड्राइवरों की तलाश में")</f>
        <v>आस -पास के ड्राइवरों की तलाश में</v>
      </c>
      <c r="D138" s="6" t="str">
        <f>IFERROR(__xludf.DUMMYFUNCTION("GOOGLETRANSLATE(B138,""en"",""ar"")"),"تبحث عن السائقين القريبين")</f>
        <v>تبحث عن السائقين القريبين</v>
      </c>
      <c r="E138" s="6" t="str">
        <f>IFERROR(__xludf.DUMMYFUNCTION("GOOGLETRANSLATE(B138,""en"",""fr"")"),"À la recherche de pilotes à proximité")</f>
        <v>À la recherche de pilotes à proximité</v>
      </c>
      <c r="F138" s="6" t="str">
        <f>IFERROR(__xludf.DUMMYFUNCTION("GOOGLETRANSLATE(B138,""en"",""tr"")"),"Yakındaki sürücüleri arıyorum")</f>
        <v>Yakındaki sürücüleri arıyorum</v>
      </c>
      <c r="G138" s="6" t="str">
        <f>IFERROR(__xludf.DUMMYFUNCTION("GOOGLETRANSLATE(B138,""en"",""ru"")"),"Ищу соседних водителей")</f>
        <v>Ищу соседних водителей</v>
      </c>
      <c r="H138" s="6" t="str">
        <f>IFERROR(__xludf.DUMMYFUNCTION("GOOGLETRANSLATE(B138,""en"",""it"")"),"Alla ricerca di piloti vicini")</f>
        <v>Alla ricerca di piloti vicini</v>
      </c>
      <c r="I138" s="6" t="str">
        <f>IFERROR(__xludf.DUMMYFUNCTION("GOOGLETRANSLATE(B138,""en"",""de"")"),"Auf der Suche nach nahe gelegenen Fahrern")</f>
        <v>Auf der Suche nach nahe gelegenen Fahrern</v>
      </c>
      <c r="J138" s="6" t="str">
        <f>IFERROR(__xludf.DUMMYFUNCTION("GOOGLETRANSLATE(B138,""en"",""ko"")"),"근처 운전자를 찾고 있습니다")</f>
        <v>근처 운전자를 찾고 있습니다</v>
      </c>
      <c r="K138" s="6" t="str">
        <f>IFERROR(__xludf.DUMMYFUNCTION("GOOGLETRANSLATE(B138,""en"",""zh"")"),"寻找附近的驾驶员")</f>
        <v>寻找附近的驾驶员</v>
      </c>
      <c r="L138" s="6" t="str">
        <f>IFERROR(__xludf.DUMMYFUNCTION("GOOGLETRANSLATE(B138,""en"",""es"")"),"Buscando conductores cercanos")</f>
        <v>Buscando conductores cercanos</v>
      </c>
      <c r="M138" s="7" t="str">
        <f>IFERROR(__xludf.DUMMYFUNCTION("GOOGLETRANSLATE(B138,""en"",""iw"")"),"מחפש נהגים סמוכים")</f>
        <v>מחפש נהגים סמוכים</v>
      </c>
      <c r="N138" s="6" t="str">
        <f>IFERROR(__xludf.DUMMYFUNCTION("GOOGLETRANSLATE(B138,""en"",""bn"")"),"কাছাকাছি ড্রাইভার খুঁজছেন")</f>
        <v>কাছাকাছি ড্রাইভার খুঁজছেন</v>
      </c>
      <c r="O138" s="6"/>
      <c r="P138" s="6"/>
    </row>
    <row r="139">
      <c r="A139" s="8" t="s">
        <v>285</v>
      </c>
      <c r="B139" s="9" t="s">
        <v>286</v>
      </c>
      <c r="C139" s="5" t="str">
        <f>IFERROR(__xludf.DUMMYFUNCTION("GOOGLETRANSLATE(B139,""en"",""hi"")"),"हम आपकी सवारी को स्वीकार करने के लिए आस -पास के ड्राइवरों की तलाश कर रहे हैं। एक बार स्वीकार कर लिया कि आप हमारे साथ सवारी कर सकते हैं! हम आपके धैर्य की सराहना करते हैं!")</f>
        <v>हम आपकी सवारी को स्वीकार करने के लिए आस -पास के ड्राइवरों की तलाश कर रहे हैं। एक बार स्वीकार कर लिया कि आप हमारे साथ सवारी कर सकते हैं! हम आपके धैर्य की सराहना करते हैं!</v>
      </c>
      <c r="D139" s="6" t="str">
        <f>IFERROR(__xludf.DUMMYFUNCTION("GOOGLETRANSLATE(B139,""en"",""ar"")"),"نحن نبحث عن السائقين القريبين لقبول رحلتك. بمجرد قبول يمكنك ركوب معنا! نحن نقدر صبرك!")</f>
        <v>نحن نبحث عن السائقين القريبين لقبول رحلتك. بمجرد قبول يمكنك ركوب معنا! نحن نقدر صبرك!</v>
      </c>
      <c r="E139" s="6" t="str">
        <f>IFERROR(__xludf.DUMMYFUNCTION("GOOGLETRANSLATE(B139,""en"",""fr"")"),"Nous recherchons des conducteurs à proximité pour accepter votre trajet. Une fois accepté, vous pouvez rouler avec nous! Nous apprécions votre patience!")</f>
        <v>Nous recherchons des conducteurs à proximité pour accepter votre trajet. Une fois accepté, vous pouvez rouler avec nous! Nous apprécions votre patience!</v>
      </c>
      <c r="F139" s="6" t="str">
        <f>IFERROR(__xludf.DUMMYFUNCTION("GOOGLETRANSLATE(B139,""en"",""tr"")"),"Yolculuğunuzu kabul etmek için yakındaki sürücüler arıyoruz. Kabul ettikten sonra bizimle sürebilirsin! Sabrınızı takdir ediyoruz!")</f>
        <v>Yolculuğunuzu kabul etmek için yakındaki sürücüler arıyoruz. Kabul ettikten sonra bizimle sürebilirsin! Sabrınızı takdir ediyoruz!</v>
      </c>
      <c r="G139" s="6" t="str">
        <f>IFERROR(__xludf.DUMMYFUNCTION("GOOGLETRANSLATE(B139,""en"",""ru"")"),"Мы ищем близлежащих водителей, чтобы принять вашу поездку. После принятия вы можете ездить с нами! Мы ценим Ваше терпение!")</f>
        <v>Мы ищем близлежащих водителей, чтобы принять вашу поездку. После принятия вы можете ездить с нами! Мы ценим Ваше терпение!</v>
      </c>
      <c r="H139" s="6" t="str">
        <f>IFERROR(__xludf.DUMMYFUNCTION("GOOGLETRANSLATE(B139,""en"",""it"")"),"Siamo alla ricerca di piloti nelle vicinanze per accettare la tua corsa. Una volta accettato puoi guidare con noi! Apprezziamo la tua pazienza!")</f>
        <v>Siamo alla ricerca di piloti nelle vicinanze per accettare la tua corsa. Una volta accettato puoi guidare con noi! Apprezziamo la tua pazienza!</v>
      </c>
      <c r="I139" s="6" t="str">
        <f>IFERROR(__xludf.DUMMYFUNCTION("GOOGLETRANSLATE(B139,""en"",""de"")"),"Wir suchen nach nahe gelegenen Fahrern, die Ihre Fahrt annehmen. Einmal akzeptiert, können Sie mit uns fahren! Wir schätzen Ihre Geduld!")</f>
        <v>Wir suchen nach nahe gelegenen Fahrern, die Ihre Fahrt annehmen. Einmal akzeptiert, können Sie mit uns fahren! Wir schätzen Ihre Geduld!</v>
      </c>
      <c r="J139" s="6" t="str">
        <f>IFERROR(__xludf.DUMMYFUNCTION("GOOGLETRANSLATE(B139,""en"",""ko"")"),"우리는 당신의 승차를 받아 들일 근처 운전자를 찾고 있습니다. 일단 받아 들일 수 있습니다. 당신은 우리와 함께 탈 수 있습니다! 인내심에 감사드립니다!")</f>
        <v>우리는 당신의 승차를 받아 들일 근처 운전자를 찾고 있습니다. 일단 받아 들일 수 있습니다. 당신은 우리와 함께 탈 수 있습니다! 인내심에 감사드립니다!</v>
      </c>
      <c r="K139" s="6" t="str">
        <f>IFERROR(__xludf.DUMMYFUNCTION("GOOGLETRANSLATE(B139,""en"",""zh"")"),"我们正在寻找附近的驾驶员来接受您的骑行。一旦接受，您就可以和我们一起骑车！感谢您的耐心！")</f>
        <v>我们正在寻找附近的驾驶员来接受您的骑行。一旦接受，您就可以和我们一起骑车！感谢您的耐心！</v>
      </c>
      <c r="L139" s="6" t="str">
        <f>IFERROR(__xludf.DUMMYFUNCTION("GOOGLETRANSLATE(B139,""en"",""es"")"),"Estamos buscando conductores cercanos para aceptar su viaje. ¡Una vez aceptado, puedes viajar con nosotros! ¡Nosotros apreciamos su paciencia!")</f>
        <v>Estamos buscando conductores cercanos para aceptar su viaje. ¡Una vez aceptado, puedes viajar con nosotros! ¡Nosotros apreciamos su paciencia!</v>
      </c>
      <c r="M139" s="7" t="str">
        <f>IFERROR(__xludf.DUMMYFUNCTION("GOOGLETRANSLATE(B139,""en"",""iw"")"),"אנו מחפשים נהגים סמוכים לקבל את הרכיבה שלך. לאחר שהתקבלו תוכלו לרכוב איתנו! אנחנו מעריכים את הסבלנות שלך!")</f>
        <v>אנו מחפשים נהגים סמוכים לקבל את הרכיבה שלך. לאחר שהתקבלו תוכלו לרכוב איתנו! אנחנו מעריכים את הסבלנות שלך!</v>
      </c>
      <c r="N139" s="6" t="str">
        <f>IFERROR(__xludf.DUMMYFUNCTION("GOOGLETRANSLATE(B139,""en"",""bn"")"),"আমরা আপনার যাত্রা গ্রহণ করতে কাছের ড্রাইভারদের সন্ধান করছি। একবার গৃহীত আপনি আমাদের সাথে চড়তে পারেন! আপনার ধৈর্যের প্রশংসা করি আমরা!")</f>
        <v>আমরা আপনার যাত্রা গ্রহণ করতে কাছের ড্রাইভারদের সন্ধান করছি। একবার গৃহীত আপনি আমাদের সাথে চড়তে পারেন! আপনার ধৈর্যের প্রশংসা করি আমরা!</v>
      </c>
      <c r="O139" s="6"/>
      <c r="P139" s="6"/>
    </row>
    <row r="140">
      <c r="A140" s="8" t="s">
        <v>287</v>
      </c>
      <c r="B140" s="9" t="s">
        <v>288</v>
      </c>
      <c r="C140" s="5" t="str">
        <f>IFERROR(__xludf.DUMMYFUNCTION("GOOGLETRANSLATE(B140,""en"",""hi"")"),"पिक अप के लिए कोई निर्देश")</f>
        <v>पिक अप के लिए कोई निर्देश</v>
      </c>
      <c r="D140" s="6" t="str">
        <f>IFERROR(__xludf.DUMMYFUNCTION("GOOGLETRANSLATE(B140,""en"",""ar"")"),"أي تعليمات لالتقاط")</f>
        <v>أي تعليمات لالتقاط</v>
      </c>
      <c r="E140" s="6" t="str">
        <f>IFERROR(__xludf.DUMMYFUNCTION("GOOGLETRANSLATE(B140,""en"",""fr"")"),"Toutes les instructions pour ramasser")</f>
        <v>Toutes les instructions pour ramasser</v>
      </c>
      <c r="F140" s="6" t="str">
        <f>IFERROR(__xludf.DUMMYFUNCTION("GOOGLETRANSLATE(B140,""en"",""tr"")"),"Pick up için herhangi bir talimat")</f>
        <v>Pick up için herhangi bir talimat</v>
      </c>
      <c r="G140" s="6" t="str">
        <f>IFERROR(__xludf.DUMMYFUNCTION("GOOGLETRANSLATE(B140,""en"",""ru"")"),"Любые инструкции по получению")</f>
        <v>Любые инструкции по получению</v>
      </c>
      <c r="H140" s="6" t="str">
        <f>IFERROR(__xludf.DUMMYFUNCTION("GOOGLETRANSLATE(B140,""en"",""it"")"),"Qualsiasi istruzione per il ritiro")</f>
        <v>Qualsiasi istruzione per il ritiro</v>
      </c>
      <c r="I140" s="6" t="str">
        <f>IFERROR(__xludf.DUMMYFUNCTION("GOOGLETRANSLATE(B140,""en"",""de"")"),"Alle Anweisungen zur Abholung")</f>
        <v>Alle Anweisungen zur Abholung</v>
      </c>
      <c r="J140" s="6" t="str">
        <f>IFERROR(__xludf.DUMMYFUNCTION("GOOGLETRANSLATE(B140,""en"",""ko"")"),"픽업에 대한 지침")</f>
        <v>픽업에 대한 지침</v>
      </c>
      <c r="K140" s="6" t="str">
        <f>IFERROR(__xludf.DUMMYFUNCTION("GOOGLETRANSLATE(B140,""en"",""zh"")"),"任何提示的说明")</f>
        <v>任何提示的说明</v>
      </c>
      <c r="L140" s="6" t="str">
        <f>IFERROR(__xludf.DUMMYFUNCTION("GOOGLETRANSLATE(B140,""en"",""es"")"),"Cualquier instrucción para recoger")</f>
        <v>Cualquier instrucción para recoger</v>
      </c>
      <c r="M140" s="7" t="str">
        <f>IFERROR(__xludf.DUMMYFUNCTION("GOOGLETRANSLATE(B140,""en"",""iw"")"),"כל הוראות לאיסוף")</f>
        <v>כל הוראות לאיסוף</v>
      </c>
      <c r="N140" s="6" t="str">
        <f>IFERROR(__xludf.DUMMYFUNCTION("GOOGLETRANSLATE(B140,""en"",""bn"")"),"বাছাইয়ের জন্য কোনও নির্দেশনা")</f>
        <v>বাছাইয়ের জন্য কোনও নির্দেশনা</v>
      </c>
      <c r="O140" s="6"/>
      <c r="P140" s="6"/>
    </row>
    <row r="141">
      <c r="A141" s="8" t="s">
        <v>289</v>
      </c>
      <c r="B141" s="9" t="s">
        <v>290</v>
      </c>
      <c r="C141" s="5" t="str">
        <f>IFERROR(__xludf.DUMMYFUNCTION("GOOGLETRANSLATE(B141,""en"",""hi"")"),"शेयर सवारी")</f>
        <v>शेयर सवारी</v>
      </c>
      <c r="D141" s="6" t="str">
        <f>IFERROR(__xludf.DUMMYFUNCTION("GOOGLETRANSLATE(B141,""en"",""ar"")"),"مشاركة ركوب")</f>
        <v>مشاركة ركوب</v>
      </c>
      <c r="E141" s="6" t="str">
        <f>IFERROR(__xludf.DUMMYFUNCTION("GOOGLETRANSLATE(B141,""en"",""fr"")"),"Partager")</f>
        <v>Partager</v>
      </c>
      <c r="F141" s="6" t="str">
        <f>IFERROR(__xludf.DUMMYFUNCTION("GOOGLETRANSLATE(B141,""en"",""tr"")"),"Paylaşım Yolculuğu")</f>
        <v>Paylaşım Yolculuğu</v>
      </c>
      <c r="G141" s="6" t="str">
        <f>IFERROR(__xludf.DUMMYFUNCTION("GOOGLETRANSLATE(B141,""en"",""ru"")"),"Поделиться ездой")</f>
        <v>Поделиться ездой</v>
      </c>
      <c r="H141" s="6" t="str">
        <f>IFERROR(__xludf.DUMMYFUNCTION("GOOGLETRANSLATE(B141,""en"",""it"")"),"Condividi")</f>
        <v>Condividi</v>
      </c>
      <c r="I141" s="6" t="str">
        <f>IFERROR(__xludf.DUMMYFUNCTION("GOOGLETRANSLATE(B141,""en"",""de"")"),"Teilenfahrt")</f>
        <v>Teilenfahrt</v>
      </c>
      <c r="J141" s="6" t="str">
        <f>IFERROR(__xludf.DUMMYFUNCTION("GOOGLETRANSLATE(B141,""en"",""ko"")"),"공유 라이드")</f>
        <v>공유 라이드</v>
      </c>
      <c r="K141" s="6" t="str">
        <f>IFERROR(__xludf.DUMMYFUNCTION("GOOGLETRANSLATE(B141,""en"",""zh"")"),"分享骑行")</f>
        <v>分享骑行</v>
      </c>
      <c r="L141" s="6" t="str">
        <f>IFERROR(__xludf.DUMMYFUNCTION("GOOGLETRANSLATE(B141,""en"",""es"")"),"Compartir un paseo")</f>
        <v>Compartir un paseo</v>
      </c>
      <c r="M141" s="7" t="str">
        <f>IFERROR(__xludf.DUMMYFUNCTION("GOOGLETRANSLATE(B141,""en"",""iw"")"),"שתף נסיעה")</f>
        <v>שתף נסיעה</v>
      </c>
      <c r="N141" s="6" t="str">
        <f>IFERROR(__xludf.DUMMYFUNCTION("GOOGLETRANSLATE(B141,""en"",""bn"")"),"শেয়ার রাইড")</f>
        <v>শেয়ার রাইড</v>
      </c>
      <c r="O141" s="6"/>
      <c r="P141" s="6"/>
    </row>
    <row r="142">
      <c r="A142" s="8" t="s">
        <v>291</v>
      </c>
      <c r="B142" s="9" t="s">
        <v>292</v>
      </c>
      <c r="C142" s="5" t="str">
        <f>IFERROR(__xludf.DUMMYFUNCTION("GOOGLETRANSLATE(B142,""en"",""hi"")"),"क्या आप सवारी रद्द करना सुनिश्चित कर रहे हैं")</f>
        <v>क्या आप सवारी रद्द करना सुनिश्चित कर रहे हैं</v>
      </c>
      <c r="D142" s="6" t="str">
        <f>IFERROR(__xludf.DUMMYFUNCTION("GOOGLETRANSLATE(B142,""en"",""ar"")"),"هل أنت متأكد من إلغاء الركوب")</f>
        <v>هل أنت متأكد من إلغاء الركوب</v>
      </c>
      <c r="E142" s="6" t="str">
        <f>IFERROR(__xludf.DUMMYFUNCTION("GOOGLETRANSLATE(B142,""en"",""fr"")"),"Êtes-vous sûr d'annuler le trajet")</f>
        <v>Êtes-vous sûr d'annuler le trajet</v>
      </c>
      <c r="F142" s="6" t="str">
        <f>IFERROR(__xludf.DUMMYFUNCTION("GOOGLETRANSLATE(B142,""en"",""tr"")"),"Sürüşü iptal edeceğinden emin misin")</f>
        <v>Sürüşü iptal edeceğinden emin misin</v>
      </c>
      <c r="G142" s="6" t="str">
        <f>IFERROR(__xludf.DUMMYFUNCTION("GOOGLETRANSLATE(B142,""en"",""ru"")"),"Вы обязательно отмените езду")</f>
        <v>Вы обязательно отмените езду</v>
      </c>
      <c r="H142" s="6" t="str">
        <f>IFERROR(__xludf.DUMMYFUNCTION("GOOGLETRANSLATE(B142,""en"",""it"")"),"Sei sicuro di annullare la corsa")</f>
        <v>Sei sicuro di annullare la corsa</v>
      </c>
      <c r="I142" s="6" t="str">
        <f>IFERROR(__xludf.DUMMYFUNCTION("GOOGLETRANSLATE(B142,""en"",""de"")"),"Sind Sie sicher, Ride zu stornieren?")</f>
        <v>Sind Sie sicher, Ride zu stornieren?</v>
      </c>
      <c r="J142" s="6" t="str">
        <f>IFERROR(__xludf.DUMMYFUNCTION("GOOGLETRANSLATE(B142,""en"",""ko"")"),"타기를 취소 하시겠습니까?")</f>
        <v>타기를 취소 하시겠습니까?</v>
      </c>
      <c r="K142" s="6" t="str">
        <f>IFERROR(__xludf.DUMMYFUNCTION("GOOGLETRANSLATE(B142,""en"",""zh"")"),"你确定取消骑行吗")</f>
        <v>你确定取消骑行吗</v>
      </c>
      <c r="L142" s="6" t="str">
        <f>IFERROR(__xludf.DUMMYFUNCTION("GOOGLETRANSLATE(B142,""en"",""es"")"),"¿Estás seguro de cancelar el paseo?")</f>
        <v>¿Estás seguro de cancelar el paseo?</v>
      </c>
      <c r="M142" s="7" t="str">
        <f>IFERROR(__xludf.DUMMYFUNCTION("GOOGLETRANSLATE(B142,""en"",""iw"")"),"האם אתה בטוח לבטל את הרכיבה")</f>
        <v>האם אתה בטוח לבטל את הרכיבה</v>
      </c>
      <c r="N142" s="6" t="str">
        <f>IFERROR(__xludf.DUMMYFUNCTION("GOOGLETRANSLATE(B142,""en"",""bn"")"),"আপনি কি রাইড বাতিল করতে ভুলবেন না?")</f>
        <v>আপনি কি রাইড বাতিল করতে ভুলবেন না?</v>
      </c>
      <c r="O142" s="6"/>
      <c r="P142" s="6"/>
    </row>
    <row r="143">
      <c r="A143" s="8" t="s">
        <v>293</v>
      </c>
      <c r="B143" s="9" t="s">
        <v>294</v>
      </c>
      <c r="C143" s="5" t="str">
        <f>IFERROR(__xludf.DUMMYFUNCTION("GOOGLETRANSLATE(B143,""en"",""hi"")"),"आपकी सवारी रद्द कर दी जाएगी और मुख्य मेनू में वापस आ जाएगी। इससे रद्द करने का शुल्क होगा")</f>
        <v>आपकी सवारी रद्द कर दी जाएगी और मुख्य मेनू में वापस आ जाएगी। इससे रद्द करने का शुल्क होगा</v>
      </c>
      <c r="D143" s="6" t="str">
        <f>IFERROR(__xludf.DUMMYFUNCTION("GOOGLETRANSLATE(B143,""en"",""ar"")"),"سيتم إلغاء رحلتك وإعادتها إلى القائمة الرئيسية. سيؤدي هذا إلى رسوم الإلغاء")</f>
        <v>سيتم إلغاء رحلتك وإعادتها إلى القائمة الرئيسية. سيؤدي هذا إلى رسوم الإلغاء</v>
      </c>
      <c r="E143" s="6" t="str">
        <f>IFERROR(__xludf.DUMMYFUNCTION("GOOGLETRANSLATE(B143,""en"",""fr"")"),"Votre trajet sera annulé et retourné au menu principal. Cela entraînera des frais d'annulation")</f>
        <v>Votre trajet sera annulé et retourné au menu principal. Cela entraînera des frais d'annulation</v>
      </c>
      <c r="F143" s="6" t="str">
        <f>IFERROR(__xludf.DUMMYFUNCTION("GOOGLETRANSLATE(B143,""en"",""tr"")"),"Sürüşünüz iptal edilecek ve ana menüye iade edilecektir. Bu iptal ücretine yol açacaktır")</f>
        <v>Sürüşünüz iptal edilecek ve ana menüye iade edilecektir. Bu iptal ücretine yol açacaktır</v>
      </c>
      <c r="G143" s="6" t="str">
        <f>IFERROR(__xludf.DUMMYFUNCTION("GOOGLETRANSLATE(B143,""en"",""ru"")"),"Ваша поездка будет отменена и возвращена в главное меню. Это приведет к оплате отмены")</f>
        <v>Ваша поездка будет отменена и возвращена в главное меню. Это приведет к оплате отмены</v>
      </c>
      <c r="H143" s="6" t="str">
        <f>IFERROR(__xludf.DUMMYFUNCTION("GOOGLETRANSLATE(B143,""en"",""it"")"),"La tua corsa verrà annullata e restituita al menu principale. Ciò porterà a una commissione di cancellazione")</f>
        <v>La tua corsa verrà annullata e restituita al menu principale. Ciò porterà a una commissione di cancellazione</v>
      </c>
      <c r="I143" s="6" t="str">
        <f>IFERROR(__xludf.DUMMYFUNCTION("GOOGLETRANSLATE(B143,""en"",""de"")"),"Ihre Fahrt wird storniert und zum Hauptmenü zurückgegeben. Dies führt zu einer Stornierungsgebühr")</f>
        <v>Ihre Fahrt wird storniert und zum Hauptmenü zurückgegeben. Dies führt zu einer Stornierungsgebühr</v>
      </c>
      <c r="J143" s="6" t="str">
        <f>IFERROR(__xludf.DUMMYFUNCTION("GOOGLETRANSLATE(B143,""en"",""ko"")"),"승차감이 취소되어 메인 메뉴로 돌아갑니다. 이것은 취소 수수료로 이어질 것입니다")</f>
        <v>승차감이 취소되어 메인 메뉴로 돌아갑니다. 이것은 취소 수수료로 이어질 것입니다</v>
      </c>
      <c r="K143" s="6" t="str">
        <f>IFERROR(__xludf.DUMMYFUNCTION("GOOGLETRANSLATE(B143,""en"",""zh"")"),"您的乘车将被取消并返回主菜单。这将导致取消费")</f>
        <v>您的乘车将被取消并返回主菜单。这将导致取消费</v>
      </c>
      <c r="L143" s="6" t="str">
        <f>IFERROR(__xludf.DUMMYFUNCTION("GOOGLETRANSLATE(B143,""en"",""es"")"),"Su viaje será cancelado y devuelto al menú principal. Esto conducirá a una tarifa de cancelación")</f>
        <v>Su viaje será cancelado y devuelto al menú principal. Esto conducirá a una tarifa de cancelación</v>
      </c>
      <c r="M143" s="7" t="str">
        <f>IFERROR(__xludf.DUMMYFUNCTION("GOOGLETRANSLATE(B143,""en"",""iw"")"),"הנסיעה שלך תבוטל ותוחזר לתפריט הראשי. זה יוביל לדמי ביטול")</f>
        <v>הנסיעה שלך תבוטל ותוחזר לתפריט הראשי. זה יוביל לדמי ביטול</v>
      </c>
      <c r="N143" s="6" t="str">
        <f>IFERROR(__xludf.DUMMYFUNCTION("GOOGLETRANSLATE(B143,""en"",""bn"")"),"আপনার যাত্রাটি বাতিল হয়ে যাবে এবং মেইন মেনুতে ফিরে আসবে। এটি বাতিল ফি বাড়ে")</f>
        <v>আপনার যাত্রাটি বাতিল হয়ে যাবে এবং মেইন মেনুতে ফিরে আসবে। এটি বাতিল ফি বাড়ে</v>
      </c>
      <c r="O143" s="6"/>
      <c r="P143" s="6"/>
    </row>
    <row r="144">
      <c r="A144" s="8" t="s">
        <v>295</v>
      </c>
      <c r="B144" s="9" t="s">
        <v>296</v>
      </c>
      <c r="C144" s="5" t="str">
        <f>IFERROR(__xludf.DUMMYFUNCTION("GOOGLETRANSLATE(B144,""en"",""hi"")"),"रद्द न करें")</f>
        <v>रद्द न करें</v>
      </c>
      <c r="D144" s="6" t="str">
        <f>IFERROR(__xludf.DUMMYFUNCTION("GOOGLETRANSLATE(B144,""en"",""ar"")"),"لا تلغي")</f>
        <v>لا تلغي</v>
      </c>
      <c r="E144" s="6" t="str">
        <f>IFERROR(__xludf.DUMMYFUNCTION("GOOGLETRANSLATE(B144,""en"",""fr"")"),"N'annulez pas")</f>
        <v>N'annulez pas</v>
      </c>
      <c r="F144" s="6" t="str">
        <f>IFERROR(__xludf.DUMMYFUNCTION("GOOGLETRANSLATE(B144,""en"",""tr"")"),"İptal Etme")</f>
        <v>İptal Etme</v>
      </c>
      <c r="G144" s="6" t="str">
        <f>IFERROR(__xludf.DUMMYFUNCTION("GOOGLETRANSLATE(B144,""en"",""ru"")"),"Не отменяйся")</f>
        <v>Не отменяйся</v>
      </c>
      <c r="H144" s="6" t="str">
        <f>IFERROR(__xludf.DUMMYFUNCTION("GOOGLETRANSLATE(B144,""en"",""it"")"),"Non annullare")</f>
        <v>Non annullare</v>
      </c>
      <c r="I144" s="6" t="str">
        <f>IFERROR(__xludf.DUMMYFUNCTION("GOOGLETRANSLATE(B144,""en"",""de"")"),"Nicht abbrechen")</f>
        <v>Nicht abbrechen</v>
      </c>
      <c r="J144" s="6" t="str">
        <f>IFERROR(__xludf.DUMMYFUNCTION("GOOGLETRANSLATE(B144,""en"",""ko"")"),"취소하지 마십시오")</f>
        <v>취소하지 마십시오</v>
      </c>
      <c r="K144" s="6" t="str">
        <f>IFERROR(__xludf.DUMMYFUNCTION("GOOGLETRANSLATE(B144,""en"",""zh"")"),"不要取消")</f>
        <v>不要取消</v>
      </c>
      <c r="L144" s="6" t="str">
        <f>IFERROR(__xludf.DUMMYFUNCTION("GOOGLETRANSLATE(B144,""en"",""es"")"),"No canceles")</f>
        <v>No canceles</v>
      </c>
      <c r="M144" s="7" t="str">
        <f>IFERROR(__xludf.DUMMYFUNCTION("GOOGLETRANSLATE(B144,""en"",""iw"")"),"אל תבטל")</f>
        <v>אל תבטל</v>
      </c>
      <c r="N144" s="6" t="str">
        <f>IFERROR(__xludf.DUMMYFUNCTION("GOOGLETRANSLATE(B144,""en"",""bn"")"),"বাতিল করবেন না")</f>
        <v>বাতিল করবেন না</v>
      </c>
      <c r="O144" s="6"/>
      <c r="P144" s="6"/>
    </row>
    <row r="145">
      <c r="A145" s="8" t="s">
        <v>297</v>
      </c>
      <c r="B145" s="9" t="s">
        <v>298</v>
      </c>
      <c r="C145" s="5" t="str">
        <f>IFERROR(__xludf.DUMMYFUNCTION("GOOGLETRANSLATE(B145,""en"",""hi"")"),"सवारी रद्द करने का कारण")</f>
        <v>सवारी रद्द करने का कारण</v>
      </c>
      <c r="D145" s="6" t="str">
        <f>IFERROR(__xludf.DUMMYFUNCTION("GOOGLETRANSLATE(B145,""en"",""ar"")"),"سبب لإلغاء الركوب")</f>
        <v>سبب لإلغاء الركوب</v>
      </c>
      <c r="E145" s="6" t="str">
        <f>IFERROR(__xludf.DUMMYFUNCTION("GOOGLETRANSLATE(B145,""en"",""fr"")"),"Raison d'annuler le trajet")</f>
        <v>Raison d'annuler le trajet</v>
      </c>
      <c r="F145" s="6" t="str">
        <f>IFERROR(__xludf.DUMMYFUNCTION("GOOGLETRANSLATE(B145,""en"",""tr"")"),"Sürüşü iptal etmenin nedeni")</f>
        <v>Sürüşü iptal etmenin nedeni</v>
      </c>
      <c r="G145" s="6" t="str">
        <f>IFERROR(__xludf.DUMMYFUNCTION("GOOGLETRANSLATE(B145,""en"",""ru"")"),"Причина отмены поездки")</f>
        <v>Причина отмены поездки</v>
      </c>
      <c r="H145" s="6" t="str">
        <f>IFERROR(__xludf.DUMMYFUNCTION("GOOGLETRANSLATE(B145,""en"",""it"")"),"Motivo per annullare il viaggio")</f>
        <v>Motivo per annullare il viaggio</v>
      </c>
      <c r="I145" s="6" t="str">
        <f>IFERROR(__xludf.DUMMYFUNCTION("GOOGLETRANSLATE(B145,""en"",""de"")"),"Grund für die Stornierung der Fahrt")</f>
        <v>Grund für die Stornierung der Fahrt</v>
      </c>
      <c r="J145" s="6" t="str">
        <f>IFERROR(__xludf.DUMMYFUNCTION("GOOGLETRANSLATE(B145,""en"",""ko"")"),"승차를 취소하는 이유")</f>
        <v>승차를 취소하는 이유</v>
      </c>
      <c r="K145" s="6" t="str">
        <f>IFERROR(__xludf.DUMMYFUNCTION("GOOGLETRANSLATE(B145,""en"",""zh"")"),"取消乘车的原因")</f>
        <v>取消乘车的原因</v>
      </c>
      <c r="L145" s="6" t="str">
        <f>IFERROR(__xludf.DUMMYFUNCTION("GOOGLETRANSLATE(B145,""en"",""es"")"),"Razón para cancelar el viaje")</f>
        <v>Razón para cancelar el viaje</v>
      </c>
      <c r="M145" s="7" t="str">
        <f>IFERROR(__xludf.DUMMYFUNCTION("GOOGLETRANSLATE(B145,""en"",""iw"")"),"סיבה לביטול נסיעה")</f>
        <v>סיבה לביטול נסיעה</v>
      </c>
      <c r="N145" s="6" t="str">
        <f>IFERROR(__xludf.DUMMYFUNCTION("GOOGLETRANSLATE(B145,""en"",""bn"")"),"যাত্রা বাতিল করার কারণ")</f>
        <v>যাত্রা বাতিল করার কারণ</v>
      </c>
      <c r="O145" s="6"/>
      <c r="P145" s="6"/>
    </row>
    <row r="146">
      <c r="A146" s="8" t="s">
        <v>299</v>
      </c>
      <c r="B146" s="9" t="s">
        <v>300</v>
      </c>
      <c r="C146" s="5" t="str">
        <f>IFERROR(__xludf.DUMMYFUNCTION("GOOGLETRANSLATE(B146,""en"",""hi"")"),"कोई ड्राइवर नहीं मिला")</f>
        <v>कोई ड्राइवर नहीं मिला</v>
      </c>
      <c r="D146" s="6" t="str">
        <f>IFERROR(__xludf.DUMMYFUNCTION("GOOGLETRANSLATE(B146,""en"",""ar"")"),"لا يوجد برنامج تشغيل وجدت")</f>
        <v>لا يوجد برنامج تشغيل وجدت</v>
      </c>
      <c r="E146" s="6" t="str">
        <f>IFERROR(__xludf.DUMMYFUNCTION("GOOGLETRANSLATE(B146,""en"",""fr"")"),"Aucun conducteur trouvé")</f>
        <v>Aucun conducteur trouvé</v>
      </c>
      <c r="F146" s="6" t="str">
        <f>IFERROR(__xludf.DUMMYFUNCTION("GOOGLETRANSLATE(B146,""en"",""tr"")"),"Sürücü bulunamadı")</f>
        <v>Sürücü bulunamadı</v>
      </c>
      <c r="G146" s="6" t="str">
        <f>IFERROR(__xludf.DUMMYFUNCTION("GOOGLETRANSLATE(B146,""en"",""ru"")"),"Водителя не найдено")</f>
        <v>Водителя не найдено</v>
      </c>
      <c r="H146" s="6" t="str">
        <f>IFERROR(__xludf.DUMMYFUNCTION("GOOGLETRANSLATE(B146,""en"",""it"")"),"Nessun driver trovato")</f>
        <v>Nessun driver trovato</v>
      </c>
      <c r="I146" s="6" t="str">
        <f>IFERROR(__xludf.DUMMYFUNCTION("GOOGLETRANSLATE(B146,""en"",""de"")"),"Kein Fahrer gefunden")</f>
        <v>Kein Fahrer gefunden</v>
      </c>
      <c r="J146" s="6" t="str">
        <f>IFERROR(__xludf.DUMMYFUNCTION("GOOGLETRANSLATE(B146,""en"",""ko"")"),"드라이버가 발견되지 않았습니다")</f>
        <v>드라이버가 발견되지 않았습니다</v>
      </c>
      <c r="K146" s="6" t="str">
        <f>IFERROR(__xludf.DUMMYFUNCTION("GOOGLETRANSLATE(B146,""en"",""zh"")"),"找不到驾驶员")</f>
        <v>找不到驾驶员</v>
      </c>
      <c r="L146" s="6" t="str">
        <f>IFERROR(__xludf.DUMMYFUNCTION("GOOGLETRANSLATE(B146,""en"",""es"")"),"No se encontró ningún controlador")</f>
        <v>No se encontró ningún controlador</v>
      </c>
      <c r="M146" s="7" t="str">
        <f>IFERROR(__xludf.DUMMYFUNCTION("GOOGLETRANSLATE(B146,""en"",""iw"")"),"לא נמצא נהג")</f>
        <v>לא נמצא נהג</v>
      </c>
      <c r="N146" s="6" t="str">
        <f>IFERROR(__xludf.DUMMYFUNCTION("GOOGLETRANSLATE(B146,""en"",""bn"")"),"কোনও ড্রাইভার পাওয়া যায় নি")</f>
        <v>কোনও ড্রাইভার পাওয়া যায় নি</v>
      </c>
      <c r="O146" s="6"/>
      <c r="P146" s="6"/>
    </row>
    <row r="147">
      <c r="A147" s="8" t="s">
        <v>301</v>
      </c>
      <c r="B147" s="9" t="s">
        <v>302</v>
      </c>
      <c r="C147" s="5" t="str">
        <f>IFERROR(__xludf.DUMMYFUNCTION("GOOGLETRANSLATE(B147,""en"",""hi"")"),"पुनः प्रयास करें")</f>
        <v>पुनः प्रयास करें</v>
      </c>
      <c r="D147" s="6" t="str">
        <f>IFERROR(__xludf.DUMMYFUNCTION("GOOGLETRANSLATE(B147,""en"",""ar"")"),"حاول ثانية")</f>
        <v>حاول ثانية</v>
      </c>
      <c r="E147" s="6" t="str">
        <f>IFERROR(__xludf.DUMMYFUNCTION("GOOGLETRANSLATE(B147,""en"",""fr"")"),"Réessayer")</f>
        <v>Réessayer</v>
      </c>
      <c r="F147" s="6" t="str">
        <f>IFERROR(__xludf.DUMMYFUNCTION("GOOGLETRANSLATE(B147,""en"",""tr"")"),"Tekrar deneyin")</f>
        <v>Tekrar deneyin</v>
      </c>
      <c r="G147" s="6" t="str">
        <f>IFERROR(__xludf.DUMMYFUNCTION("GOOGLETRANSLATE(B147,""en"",""ru"")"),"Попробуйте еще раз")</f>
        <v>Попробуйте еще раз</v>
      </c>
      <c r="H147" s="6" t="str">
        <f>IFERROR(__xludf.DUMMYFUNCTION("GOOGLETRANSLATE(B147,""en"",""it"")"),"Riprova")</f>
        <v>Riprova</v>
      </c>
      <c r="I147" s="6" t="str">
        <f>IFERROR(__xludf.DUMMYFUNCTION("GOOGLETRANSLATE(B147,""en"",""de"")"),"Versuch es noch einmal")</f>
        <v>Versuch es noch einmal</v>
      </c>
      <c r="J147" s="6" t="str">
        <f>IFERROR(__xludf.DUMMYFUNCTION("GOOGLETRANSLATE(B147,""en"",""ko"")"),"다시 시도하십시오")</f>
        <v>다시 시도하십시오</v>
      </c>
      <c r="K147" s="6" t="str">
        <f>IFERROR(__xludf.DUMMYFUNCTION("GOOGLETRANSLATE(B147,""en"",""zh"")"),"再试一次")</f>
        <v>再试一次</v>
      </c>
      <c r="L147" s="6" t="str">
        <f>IFERROR(__xludf.DUMMYFUNCTION("GOOGLETRANSLATE(B147,""en"",""es"")"),"Intentar otra vez")</f>
        <v>Intentar otra vez</v>
      </c>
      <c r="M147" s="7" t="str">
        <f>IFERROR(__xludf.DUMMYFUNCTION("GOOGLETRANSLATE(B147,""en"",""iw"")"),"נסה שוב")</f>
        <v>נסה שוב</v>
      </c>
      <c r="N147" s="6" t="str">
        <f>IFERROR(__xludf.DUMMYFUNCTION("GOOGLETRANSLATE(B147,""en"",""bn"")"),"আবার চেষ্টা করুন")</f>
        <v>আবার চেষ্টা করুন</v>
      </c>
      <c r="O147" s="6"/>
      <c r="P147" s="6"/>
    </row>
    <row r="148">
      <c r="A148" s="8" t="s">
        <v>303</v>
      </c>
      <c r="B148" s="9" t="s">
        <v>304</v>
      </c>
      <c r="C148" s="5" t="str">
        <f>IFERROR(__xludf.DUMMYFUNCTION("GOOGLETRANSLATE(B148,""en"",""hi"")"),"बाद में सवारी करना")</f>
        <v>बाद में सवारी करना</v>
      </c>
      <c r="D148" s="6" t="str">
        <f>IFERROR(__xludf.DUMMYFUNCTION("GOOGLETRANSLATE(B148,""en"",""ar"")"),"ركوب في وقت لاحق")</f>
        <v>ركوب في وقت لاحق</v>
      </c>
      <c r="E148" s="6" t="str">
        <f>IFERROR(__xludf.DUMMYFUNCTION("GOOGLETRANSLATE(B148,""en"",""fr"")"),"Rouler plus tard")</f>
        <v>Rouler plus tard</v>
      </c>
      <c r="F148" s="6" t="str">
        <f>IFERROR(__xludf.DUMMYFUNCTION("GOOGLETRANSLATE(B148,""en"",""tr"")"),"Daha sonra binmek")</f>
        <v>Daha sonra binmek</v>
      </c>
      <c r="G148" s="6" t="str">
        <f>IFERROR(__xludf.DUMMYFUNCTION("GOOGLETRANSLATE(B148,""en"",""ru"")"),"Ездить позже")</f>
        <v>Ездить позже</v>
      </c>
      <c r="H148" s="6" t="str">
        <f>IFERROR(__xludf.DUMMYFUNCTION("GOOGLETRANSLATE(B148,""en"",""it"")"),"Cavalcare più tardi")</f>
        <v>Cavalcare più tardi</v>
      </c>
      <c r="I148" s="6" t="str">
        <f>IFERROR(__xludf.DUMMYFUNCTION("GOOGLETRANSLATE(B148,""en"",""de"")"),"Später fahren")</f>
        <v>Später fahren</v>
      </c>
      <c r="J148" s="6" t="str">
        <f>IFERROR(__xludf.DUMMYFUNCTION("GOOGLETRANSLATE(B148,""en"",""ko"")"),"나중에 타십시오")</f>
        <v>나중에 타십시오</v>
      </c>
      <c r="K148" s="6" t="str">
        <f>IFERROR(__xludf.DUMMYFUNCTION("GOOGLETRANSLATE(B148,""en"",""zh"")"),"以后骑")</f>
        <v>以后骑</v>
      </c>
      <c r="L148" s="6" t="str">
        <f>IFERROR(__xludf.DUMMYFUNCTION("GOOGLETRANSLATE(B148,""en"",""es"")"),"Montar más tarde")</f>
        <v>Montar más tarde</v>
      </c>
      <c r="M148" s="7" t="str">
        <f>IFERROR(__xludf.DUMMYFUNCTION("GOOGLETRANSLATE(B148,""en"",""iw"")"),"סע אחר כך")</f>
        <v>סע אחר כך</v>
      </c>
      <c r="N148" s="6" t="str">
        <f>IFERROR(__xludf.DUMMYFUNCTION("GOOGLETRANSLATE(B148,""en"",""bn"")"),"পরে চড়ুন")</f>
        <v>পরে চড়ুন</v>
      </c>
      <c r="O148" s="6"/>
      <c r="P148" s="6"/>
    </row>
    <row r="149">
      <c r="A149" s="8" t="s">
        <v>305</v>
      </c>
      <c r="B149" s="9" t="s">
        <v>306</v>
      </c>
      <c r="C149" s="5" t="str">
        <f>IFERROR(__xludf.DUMMYFUNCTION("GOOGLETRANSLATE(B149,""en"",""hi"")"),"अभी चलो")</f>
        <v>अभी चलो</v>
      </c>
      <c r="D149" s="6" t="str">
        <f>IFERROR(__xludf.DUMMYFUNCTION("GOOGLETRANSLATE(B149,""en"",""ar"")"),"اركب الآن")</f>
        <v>اركب الآن</v>
      </c>
      <c r="E149" s="6" t="str">
        <f>IFERROR(__xludf.DUMMYFUNCTION("GOOGLETRANSLATE(B149,""en"",""fr"")"),"Rouler maintenant")</f>
        <v>Rouler maintenant</v>
      </c>
      <c r="F149" s="6" t="str">
        <f>IFERROR(__xludf.DUMMYFUNCTION("GOOGLETRANSLATE(B149,""en"",""tr"")"),"Şimdi sür")</f>
        <v>Şimdi sür</v>
      </c>
      <c r="G149" s="6" t="str">
        <f>IFERROR(__xludf.DUMMYFUNCTION("GOOGLETRANSLATE(B149,""en"",""ru"")"),"Ездить сейчас")</f>
        <v>Ездить сейчас</v>
      </c>
      <c r="H149" s="6" t="str">
        <f>IFERROR(__xludf.DUMMYFUNCTION("GOOGLETRANSLATE(B149,""en"",""it"")"),"Cavalca ora")</f>
        <v>Cavalca ora</v>
      </c>
      <c r="I149" s="6" t="str">
        <f>IFERROR(__xludf.DUMMYFUNCTION("GOOGLETRANSLATE(B149,""en"",""de"")"),"Fahren Sie jetzt")</f>
        <v>Fahren Sie jetzt</v>
      </c>
      <c r="J149" s="6" t="str">
        <f>IFERROR(__xludf.DUMMYFUNCTION("GOOGLETRANSLATE(B149,""en"",""ko"")"),"지금 타십시오")</f>
        <v>지금 타십시오</v>
      </c>
      <c r="K149" s="6" t="str">
        <f>IFERROR(__xludf.DUMMYFUNCTION("GOOGLETRANSLATE(B149,""en"",""zh"")"),"现在骑")</f>
        <v>现在骑</v>
      </c>
      <c r="L149" s="6" t="str">
        <f>IFERROR(__xludf.DUMMYFUNCTION("GOOGLETRANSLATE(B149,""en"",""es"")"),"Montar ahora")</f>
        <v>Montar ahora</v>
      </c>
      <c r="M149" s="7" t="str">
        <f>IFERROR(__xludf.DUMMYFUNCTION("GOOGLETRANSLATE(B149,""en"",""iw"")"),"תרכב עכשיו")</f>
        <v>תרכב עכשיו</v>
      </c>
      <c r="N149" s="6" t="str">
        <f>IFERROR(__xludf.DUMMYFUNCTION("GOOGLETRANSLATE(B149,""en"",""bn"")"),"চালাও এখন")</f>
        <v>চালাও এখন</v>
      </c>
      <c r="O149" s="6"/>
      <c r="P149" s="6"/>
    </row>
    <row r="150">
      <c r="A150" s="8" t="s">
        <v>307</v>
      </c>
      <c r="B150" s="9" t="s">
        <v>308</v>
      </c>
      <c r="C150" s="5" t="str">
        <f>IFERROR(__xludf.DUMMYFUNCTION("GOOGLETRANSLATE(B150,""en"",""hi"")"),"घर")</f>
        <v>घर</v>
      </c>
      <c r="D150" s="6" t="str">
        <f>IFERROR(__xludf.DUMMYFUNCTION("GOOGLETRANSLATE(B150,""en"",""ar"")"),"مسكن")</f>
        <v>مسكن</v>
      </c>
      <c r="E150" s="6" t="str">
        <f>IFERROR(__xludf.DUMMYFUNCTION("GOOGLETRANSLATE(B150,""en"",""fr"")"),"Maison")</f>
        <v>Maison</v>
      </c>
      <c r="F150" s="6" t="str">
        <f>IFERROR(__xludf.DUMMYFUNCTION("GOOGLETRANSLATE(B150,""en"",""tr"")"),"Ev")</f>
        <v>Ev</v>
      </c>
      <c r="G150" s="6" t="str">
        <f>IFERROR(__xludf.DUMMYFUNCTION("GOOGLETRANSLATE(B150,""en"",""ru"")"),"Дом")</f>
        <v>Дом</v>
      </c>
      <c r="H150" s="6" t="str">
        <f>IFERROR(__xludf.DUMMYFUNCTION("GOOGLETRANSLATE(B150,""en"",""it"")"),"Casa")</f>
        <v>Casa</v>
      </c>
      <c r="I150" s="6" t="str">
        <f>IFERROR(__xludf.DUMMYFUNCTION("GOOGLETRANSLATE(B150,""en"",""de"")"),"Heim")</f>
        <v>Heim</v>
      </c>
      <c r="J150" s="6" t="str">
        <f>IFERROR(__xludf.DUMMYFUNCTION("GOOGLETRANSLATE(B150,""en"",""ko"")"),"집")</f>
        <v>집</v>
      </c>
      <c r="K150" s="6" t="str">
        <f>IFERROR(__xludf.DUMMYFUNCTION("GOOGLETRANSLATE(B150,""en"",""zh"")"),"家")</f>
        <v>家</v>
      </c>
      <c r="L150" s="6" t="str">
        <f>IFERROR(__xludf.DUMMYFUNCTION("GOOGLETRANSLATE(B150,""en"",""es"")"),"Hogar")</f>
        <v>Hogar</v>
      </c>
      <c r="M150" s="7" t="str">
        <f>IFERROR(__xludf.DUMMYFUNCTION("GOOGLETRANSLATE(B150,""en"",""iw"")"),"בית")</f>
        <v>בית</v>
      </c>
      <c r="N150" s="6" t="str">
        <f>IFERROR(__xludf.DUMMYFUNCTION("GOOGLETRANSLATE(B150,""en"",""bn"")"),"বাড়ি")</f>
        <v>বাড়ি</v>
      </c>
      <c r="O150" s="6"/>
      <c r="P150" s="6"/>
    </row>
    <row r="151">
      <c r="A151" s="8" t="s">
        <v>309</v>
      </c>
      <c r="B151" s="9" t="s">
        <v>310</v>
      </c>
      <c r="C151" s="5" t="str">
        <f>IFERROR(__xludf.DUMMYFUNCTION("GOOGLETRANSLATE(B151,""en"",""hi"")"),"काम")</f>
        <v>काम</v>
      </c>
      <c r="D151" s="6" t="str">
        <f>IFERROR(__xludf.DUMMYFUNCTION("GOOGLETRANSLATE(B151,""en"",""ar"")"),"عمل")</f>
        <v>عمل</v>
      </c>
      <c r="E151" s="6" t="str">
        <f>IFERROR(__xludf.DUMMYFUNCTION("GOOGLETRANSLATE(B151,""en"",""fr"")"),"Travailler")</f>
        <v>Travailler</v>
      </c>
      <c r="F151" s="6" t="str">
        <f>IFERROR(__xludf.DUMMYFUNCTION("GOOGLETRANSLATE(B151,""en"",""tr"")"),"İş")</f>
        <v>İş</v>
      </c>
      <c r="G151" s="6" t="str">
        <f>IFERROR(__xludf.DUMMYFUNCTION("GOOGLETRANSLATE(B151,""en"",""ru"")"),"Работа")</f>
        <v>Работа</v>
      </c>
      <c r="H151" s="6" t="str">
        <f>IFERROR(__xludf.DUMMYFUNCTION("GOOGLETRANSLATE(B151,""en"",""it"")"),"Opera")</f>
        <v>Opera</v>
      </c>
      <c r="I151" s="6" t="str">
        <f>IFERROR(__xludf.DUMMYFUNCTION("GOOGLETRANSLATE(B151,""en"",""de"")"),"Arbeit")</f>
        <v>Arbeit</v>
      </c>
      <c r="J151" s="6" t="str">
        <f>IFERROR(__xludf.DUMMYFUNCTION("GOOGLETRANSLATE(B151,""en"",""ko"")"),"일하다")</f>
        <v>일하다</v>
      </c>
      <c r="K151" s="6" t="str">
        <f>IFERROR(__xludf.DUMMYFUNCTION("GOOGLETRANSLATE(B151,""en"",""zh"")"),"工作")</f>
        <v>工作</v>
      </c>
      <c r="L151" s="6" t="str">
        <f>IFERROR(__xludf.DUMMYFUNCTION("GOOGLETRANSLATE(B151,""en"",""es"")"),"Trabajar")</f>
        <v>Trabajar</v>
      </c>
      <c r="M151" s="7" t="str">
        <f>IFERROR(__xludf.DUMMYFUNCTION("GOOGLETRANSLATE(B151,""en"",""iw"")"),"עֲבוֹדָה")</f>
        <v>עֲבוֹדָה</v>
      </c>
      <c r="N151" s="6" t="str">
        <f>IFERROR(__xludf.DUMMYFUNCTION("GOOGLETRANSLATE(B151,""en"",""bn"")"),"কাজ")</f>
        <v>কাজ</v>
      </c>
      <c r="O151" s="6"/>
      <c r="P151" s="6"/>
    </row>
    <row r="152">
      <c r="A152" s="8" t="s">
        <v>311</v>
      </c>
      <c r="B152" s="9" t="s">
        <v>312</v>
      </c>
      <c r="C152" s="5" t="str">
        <f>IFERROR(__xludf.DUMMYFUNCTION("GOOGLETRANSLATE(B152,""en"",""hi"")"),"अन्य")</f>
        <v>अन्य</v>
      </c>
      <c r="D152" s="6" t="str">
        <f>IFERROR(__xludf.DUMMYFUNCTION("GOOGLETRANSLATE(B152,""en"",""ar"")"),"آحرون")</f>
        <v>آحرون</v>
      </c>
      <c r="E152" s="6" t="str">
        <f>IFERROR(__xludf.DUMMYFUNCTION("GOOGLETRANSLATE(B152,""en"",""fr"")"),"Les autres")</f>
        <v>Les autres</v>
      </c>
      <c r="F152" s="6" t="str">
        <f>IFERROR(__xludf.DUMMYFUNCTION("GOOGLETRANSLATE(B152,""en"",""tr"")"),"Diğerleri")</f>
        <v>Diğerleri</v>
      </c>
      <c r="G152" s="6" t="str">
        <f>IFERROR(__xludf.DUMMYFUNCTION("GOOGLETRANSLATE(B152,""en"",""ru"")"),"Другие")</f>
        <v>Другие</v>
      </c>
      <c r="H152" s="6" t="str">
        <f>IFERROR(__xludf.DUMMYFUNCTION("GOOGLETRANSLATE(B152,""en"",""it"")"),"Altri")</f>
        <v>Altri</v>
      </c>
      <c r="I152" s="6" t="str">
        <f>IFERROR(__xludf.DUMMYFUNCTION("GOOGLETRANSLATE(B152,""en"",""de"")"),"Andere")</f>
        <v>Andere</v>
      </c>
      <c r="J152" s="6" t="str">
        <f>IFERROR(__xludf.DUMMYFUNCTION("GOOGLETRANSLATE(B152,""en"",""ko"")"),"기타")</f>
        <v>기타</v>
      </c>
      <c r="K152" s="6" t="str">
        <f>IFERROR(__xludf.DUMMYFUNCTION("GOOGLETRANSLATE(B152,""en"",""zh"")"),"其他")</f>
        <v>其他</v>
      </c>
      <c r="L152" s="6" t="str">
        <f>IFERROR(__xludf.DUMMYFUNCTION("GOOGLETRANSLATE(B152,""en"",""es"")"),"Otros")</f>
        <v>Otros</v>
      </c>
      <c r="M152" s="7" t="str">
        <f>IFERROR(__xludf.DUMMYFUNCTION("GOOGLETRANSLATE(B152,""en"",""iw"")"),"אחרים")</f>
        <v>אחרים</v>
      </c>
      <c r="N152" s="6" t="str">
        <f>IFERROR(__xludf.DUMMYFUNCTION("GOOGLETRANSLATE(B152,""en"",""bn"")"),"অন্যান্য")</f>
        <v>অন্যান্য</v>
      </c>
      <c r="O152" s="6"/>
      <c r="P152" s="6"/>
    </row>
    <row r="153">
      <c r="A153" s="8" t="s">
        <v>313</v>
      </c>
      <c r="B153" s="9" t="s">
        <v>314</v>
      </c>
      <c r="C153" s="5" t="str">
        <f>IFERROR(__xludf.DUMMYFUNCTION("GOOGLETRANSLATE(B153,""en"",""hi"")"),"पसंदीदा नाम दर्ज करें")</f>
        <v>पसंदीदा नाम दर्ज करें</v>
      </c>
      <c r="D153" s="6" t="str">
        <f>IFERROR(__xludf.DUMMYFUNCTION("GOOGLETRANSLATE(B153,""en"",""ar"")"),"أدخل اسم المفضلات")</f>
        <v>أدخل اسم المفضلات</v>
      </c>
      <c r="E153" s="6" t="str">
        <f>IFERROR(__xludf.DUMMYFUNCTION("GOOGLETRANSLATE(B153,""en"",""fr"")"),"Entrez le nom des favoris")</f>
        <v>Entrez le nom des favoris</v>
      </c>
      <c r="F153" s="6" t="str">
        <f>IFERROR(__xludf.DUMMYFUNCTION("GOOGLETRANSLATE(B153,""en"",""tr"")"),"Sık Kullanılanlar Adını Girin")</f>
        <v>Sık Kullanılanlar Adını Girin</v>
      </c>
      <c r="G153" s="6" t="str">
        <f>IFERROR(__xludf.DUMMYFUNCTION("GOOGLETRANSLATE(B153,""en"",""ru"")"),"Введите имя фаворита")</f>
        <v>Введите имя фаворита</v>
      </c>
      <c r="H153" s="6" t="str">
        <f>IFERROR(__xludf.DUMMYFUNCTION("GOOGLETRANSLATE(B153,""en"",""it"")"),"Immettere il nome dei preferiti")</f>
        <v>Immettere il nome dei preferiti</v>
      </c>
      <c r="I153" s="6" t="str">
        <f>IFERROR(__xludf.DUMMYFUNCTION("GOOGLETRANSLATE(B153,""en"",""de"")"),"Geben Sie den Favoritennamen ein")</f>
        <v>Geben Sie den Favoritennamen ein</v>
      </c>
      <c r="J153" s="6" t="str">
        <f>IFERROR(__xludf.DUMMYFUNCTION("GOOGLETRANSLATE(B153,""en"",""ko"")"),"즐겨 찾기 이름을 입력하십시오")</f>
        <v>즐겨 찾기 이름을 입력하십시오</v>
      </c>
      <c r="K153" s="6" t="str">
        <f>IFERROR(__xludf.DUMMYFUNCTION("GOOGLETRANSLATE(B153,""en"",""zh"")"),"输入收藏夹名称")</f>
        <v>输入收藏夹名称</v>
      </c>
      <c r="L153" s="6" t="str">
        <f>IFERROR(__xludf.DUMMYFUNCTION("GOOGLETRANSLATE(B153,""en"",""es"")"),"Ingrese el nombre de los favoritos")</f>
        <v>Ingrese el nombre de los favoritos</v>
      </c>
      <c r="M153" s="7" t="str">
        <f>IFERROR(__xludf.DUMMYFUNCTION("GOOGLETRANSLATE(B153,""en"",""iw"")"),"הזן שם מועדף")</f>
        <v>הזן שם מועדף</v>
      </c>
      <c r="N153" s="6" t="str">
        <f>IFERROR(__xludf.DUMMYFUNCTION("GOOGLETRANSLATE(B153,""en"",""bn"")"),"প্রিয় নাম লিখুন")</f>
        <v>প্রিয় নাম লিখুন</v>
      </c>
      <c r="O153" s="6"/>
      <c r="P153" s="6"/>
    </row>
    <row r="154">
      <c r="A154" s="8" t="s">
        <v>315</v>
      </c>
      <c r="B154" s="9" t="s">
        <v>316</v>
      </c>
      <c r="C154" s="5" t="str">
        <f>IFERROR(__xludf.DUMMYFUNCTION("GOOGLETRANSLATE(B154,""en"",""hi"")"),"क्या आप इस समय में सवारी चुनना सुनिश्चित कर रहे हैं")</f>
        <v>क्या आप इस समय में सवारी चुनना सुनिश्चित कर रहे हैं</v>
      </c>
      <c r="D154" s="6" t="str">
        <f>IFERROR(__xludf.DUMMYFUNCTION("GOOGLETRANSLATE(B154,""en"",""ar"")"),"هل أنت متأكد من اختيار الركوب في هذا الوقت")</f>
        <v>هل أنت متأكد من اختيار الركوب في هذا الوقت</v>
      </c>
      <c r="E154" s="6" t="str">
        <f>IFERROR(__xludf.DUMMYFUNCTION("GOOGLETRANSLATE(B154,""en"",""fr"")"),"Êtes-vous sûr de choisir Ride en cette période")</f>
        <v>Êtes-vous sûr de choisir Ride en cette période</v>
      </c>
      <c r="F154" s="6" t="str">
        <f>IFERROR(__xludf.DUMMYFUNCTION("GOOGLETRANSLATE(B154,""en"",""tr"")"),"Bu saatte binmeyi seçeceğinizden emin misin")</f>
        <v>Bu saatte binmeyi seçeceğinizden emin misin</v>
      </c>
      <c r="G154" s="6" t="str">
        <f>IFERROR(__xludf.DUMMYFUNCTION("GOOGLETRANSLATE(B154,""en"",""ru"")"),"Вы обязательно выберете езду в это время")</f>
        <v>Вы обязательно выберете езду в это время</v>
      </c>
      <c r="H154" s="6" t="str">
        <f>IFERROR(__xludf.DUMMYFUNCTION("GOOGLETRANSLATE(B154,""en"",""it"")"),"Sei sicuro di scegliere Ride in questo momento")</f>
        <v>Sei sicuro di scegliere Ride in questo momento</v>
      </c>
      <c r="I154" s="6" t="str">
        <f>IFERROR(__xludf.DUMMYFUNCTION("GOOGLETRANSLATE(B154,""en"",""de"")"),"Wählen Sie sicher in dieser Zeit Ride?")</f>
        <v>Wählen Sie sicher in dieser Zeit Ride?</v>
      </c>
      <c r="J154" s="6" t="str">
        <f>IFERROR(__xludf.DUMMYFUNCTION("GOOGLETRANSLATE(B154,""en"",""ko"")"),"이번에는 타기를 선택 하시겠습니까?")</f>
        <v>이번에는 타기를 선택 하시겠습니까?</v>
      </c>
      <c r="K154" s="6" t="str">
        <f>IFERROR(__xludf.DUMMYFUNCTION("GOOGLETRANSLATE(B154,""en"",""zh"")"),"您确定这次选择骑车吗")</f>
        <v>您确定这次选择骑车吗</v>
      </c>
      <c r="L154" s="6" t="str">
        <f>IFERROR(__xludf.DUMMYFUNCTION("GOOGLETRANSLATE(B154,""en"",""es"")"),"¿Estás seguro de elegir Ride en este tiempo?")</f>
        <v>¿Estás seguro de elegir Ride en este tiempo?</v>
      </c>
      <c r="M154" s="7" t="str">
        <f>IFERROR(__xludf.DUMMYFUNCTION("GOOGLETRANSLATE(B154,""en"",""iw"")"),"האם אתה בטוח לבחור לרכוב בזמן זה")</f>
        <v>האם אתה בטוח לבחור לרכוב בזמן זה</v>
      </c>
      <c r="N154" s="6" t="str">
        <f>IFERROR(__xludf.DUMMYFUNCTION("GOOGLETRANSLATE(B154,""en"",""bn"")"),"আপনি কি এই সময়ে যাত্রা বেছে নিতে ভুলবেন না?")</f>
        <v>আপনি কি এই সময়ে যাত্রা বেছে নিতে ভুলবেন না?</v>
      </c>
      <c r="O154" s="6"/>
      <c r="P154" s="6"/>
    </row>
    <row r="155">
      <c r="A155" s="8" t="s">
        <v>317</v>
      </c>
      <c r="B155" s="9" t="s">
        <v>318</v>
      </c>
      <c r="C155" s="5" t="str">
        <f>IFERROR(__xludf.DUMMYFUNCTION("GOOGLETRANSLATE(B155,""en"",""hi"")"),"सवारी की पुष्टि सफलतापूर्वक की जाती है")</f>
        <v>सवारी की पुष्टि सफलतापूर्वक की जाती है</v>
      </c>
      <c r="D155" s="6" t="str">
        <f>IFERROR(__xludf.DUMMYFUNCTION("GOOGLETRANSLATE(B155,""en"",""ar"")"),"تم تأكيد الركوب بنجاح")</f>
        <v>تم تأكيد الركوب بنجاح</v>
      </c>
      <c r="E155" s="6" t="str">
        <f>IFERROR(__xludf.DUMMYFUNCTION("GOOGLETRANSLATE(B155,""en"",""fr"")"),"Le trajet est confirmé avec succès")</f>
        <v>Le trajet est confirmé avec succès</v>
      </c>
      <c r="F155" s="6" t="str">
        <f>IFERROR(__xludf.DUMMYFUNCTION("GOOGLETRANSLATE(B155,""en"",""tr"")"),"Sürüş başarıyla onaylandı")</f>
        <v>Sürüş başarıyla onaylandı</v>
      </c>
      <c r="G155" s="6" t="str">
        <f>IFERROR(__xludf.DUMMYFUNCTION("GOOGLETRANSLATE(B155,""en"",""ru"")"),"Езда подтверждена успешно")</f>
        <v>Езда подтверждена успешно</v>
      </c>
      <c r="H155" s="6" t="str">
        <f>IFERROR(__xludf.DUMMYFUNCTION("GOOGLETRANSLATE(B155,""en"",""it"")"),"Ride è confermato con successo")</f>
        <v>Ride è confermato con successo</v>
      </c>
      <c r="I155" s="6" t="str">
        <f>IFERROR(__xludf.DUMMYFUNCTION("GOOGLETRANSLATE(B155,""en"",""de"")"),"Fahrt wird erfolgreich bestätigt")</f>
        <v>Fahrt wird erfolgreich bestätigt</v>
      </c>
      <c r="J155" s="6" t="str">
        <f>IFERROR(__xludf.DUMMYFUNCTION("GOOGLETRANSLATE(B155,""en"",""ko"")"),"승차감이 성공적으로 확인되었습니다")</f>
        <v>승차감이 성공적으로 확인되었습니다</v>
      </c>
      <c r="K155" s="6" t="str">
        <f>IFERROR(__xludf.DUMMYFUNCTION("GOOGLETRANSLATE(B155,""en"",""zh"")"),"骑行成功确认")</f>
        <v>骑行成功确认</v>
      </c>
      <c r="L155" s="6" t="str">
        <f>IFERROR(__xludf.DUMMYFUNCTION("GOOGLETRANSLATE(B155,""en"",""es"")"),"El viaje se confirma con éxito")</f>
        <v>El viaje se confirma con éxito</v>
      </c>
      <c r="M155" s="7" t="str">
        <f>IFERROR(__xludf.DUMMYFUNCTION("GOOGLETRANSLATE(B155,""en"",""iw"")"),"הרכיבה מאושרת בהצלחה")</f>
        <v>הרכיבה מאושרת בהצלחה</v>
      </c>
      <c r="N155" s="6" t="str">
        <f>IFERROR(__xludf.DUMMYFUNCTION("GOOGLETRANSLATE(B155,""en"",""bn"")"),"যাত্রা সফলভাবে নিশ্চিত হয়েছে")</f>
        <v>যাত্রা সফলভাবে নিশ্চিত হয়েছে</v>
      </c>
      <c r="O155" s="6"/>
      <c r="P155" s="6"/>
    </row>
    <row r="156">
      <c r="A156" s="8" t="s">
        <v>319</v>
      </c>
      <c r="B156" s="9" t="s">
        <v>320</v>
      </c>
      <c r="C156" s="5" t="str">
        <f>IFERROR(__xludf.DUMMYFUNCTION("GOOGLETRANSLATE(B156,""en"",""hi"")"),"पसंदीदा के रूप में सहेजें")</f>
        <v>पसंदीदा के रूप में सहेजें</v>
      </c>
      <c r="D156" s="6" t="str">
        <f>IFERROR(__xludf.DUMMYFUNCTION("GOOGLETRANSLATE(B156,""en"",""ar"")"),"حفظ كما هو المفضل")</f>
        <v>حفظ كما هو المفضل</v>
      </c>
      <c r="E156" s="6" t="str">
        <f>IFERROR(__xludf.DUMMYFUNCTION("GOOGLETRANSLATE(B156,""en"",""fr"")"),"Économisez comme favori")</f>
        <v>Économisez comme favori</v>
      </c>
      <c r="F156" s="6" t="str">
        <f>IFERROR(__xludf.DUMMYFUNCTION("GOOGLETRANSLATE(B156,""en"",""tr"")"),"Favori olarak tasarruf edin")</f>
        <v>Favori olarak tasarruf edin</v>
      </c>
      <c r="G156" s="6" t="str">
        <f>IFERROR(__xludf.DUMMYFUNCTION("GOOGLETRANSLATE(B156,""en"",""ru"")"),"Сохранить как любимый")</f>
        <v>Сохранить как любимый</v>
      </c>
      <c r="H156" s="6" t="str">
        <f>IFERROR(__xludf.DUMMYFUNCTION("GOOGLETRANSLATE(B156,""en"",""it"")"),"Salva come preferito")</f>
        <v>Salva come preferito</v>
      </c>
      <c r="I156" s="6" t="str">
        <f>IFERROR(__xludf.DUMMYFUNCTION("GOOGLETRANSLATE(B156,""en"",""de"")"),"Speichern Sie als Favorit")</f>
        <v>Speichern Sie als Favorit</v>
      </c>
      <c r="J156" s="6" t="str">
        <f>IFERROR(__xludf.DUMMYFUNCTION("GOOGLETRANSLATE(B156,""en"",""ko"")"),"좋아하는 것으로 저장하십시오")</f>
        <v>좋아하는 것으로 저장하십시오</v>
      </c>
      <c r="K156" s="6" t="str">
        <f>IFERROR(__xludf.DUMMYFUNCTION("GOOGLETRANSLATE(B156,""en"",""zh"")"),"保存为最爱")</f>
        <v>保存为最爱</v>
      </c>
      <c r="L156" s="6" t="str">
        <f>IFERROR(__xludf.DUMMYFUNCTION("GOOGLETRANSLATE(B156,""en"",""es"")"),"Ahorre como favorito")</f>
        <v>Ahorre como favorito</v>
      </c>
      <c r="M156" s="7" t="str">
        <f>IFERROR(__xludf.DUMMYFUNCTION("GOOGLETRANSLATE(B156,""en"",""iw"")"),"שמור כמועדף")</f>
        <v>שמור כמועדף</v>
      </c>
      <c r="N156" s="6" t="str">
        <f>IFERROR(__xludf.DUMMYFUNCTION("GOOGLETRANSLATE(B156,""en"",""bn"")"),"প্রিয় হিসাবে সংরক্ষণ করুন")</f>
        <v>প্রিয় হিসাবে সংরক্ষণ করুন</v>
      </c>
      <c r="O156" s="6"/>
      <c r="P156" s="6"/>
    </row>
    <row r="157">
      <c r="A157" s="8" t="s">
        <v>321</v>
      </c>
      <c r="B157" s="9" t="s">
        <v>322</v>
      </c>
      <c r="C157" s="5" t="str">
        <f>IFERROR(__xludf.DUMMYFUNCTION("GOOGLETRANSLATE(B157,""en"",""hi"")"),"सबसे भरोसेमंद सवारी बुकिंग ऐप")</f>
        <v>सबसे भरोसेमंद सवारी बुकिंग ऐप</v>
      </c>
      <c r="D157" s="6" t="str">
        <f>IFERROR(__xludf.DUMMYFUNCTION("GOOGLETRANSLATE(B157,""en"",""ar"")"),"تطبيق حجز الركوب الأكثر ثقة")</f>
        <v>تطبيق حجز الركوب الأكثر ثقة</v>
      </c>
      <c r="E157" s="6" t="str">
        <f>IFERROR(__xludf.DUMMYFUNCTION("GOOGLETRANSLATE(B157,""en"",""fr"")"),"Application de réservation de conduite la plus fiable")</f>
        <v>Application de réservation de conduite la plus fiable</v>
      </c>
      <c r="F157" s="6" t="str">
        <f>IFERROR(__xludf.DUMMYFUNCTION("GOOGLETRANSLATE(B157,""en"",""tr"")"),"En güvenilir sürüş rezervasyon uygulaması")</f>
        <v>En güvenilir sürüş rezervasyon uygulaması</v>
      </c>
      <c r="G157" s="6" t="str">
        <f>IFERROR(__xludf.DUMMYFUNCTION("GOOGLETRANSLATE(B157,""en"",""ru"")"),"Самое надежное приложение для бронирования езды")</f>
        <v>Самое надежное приложение для бронирования езды</v>
      </c>
      <c r="H157" s="6" t="str">
        <f>IFERROR(__xludf.DUMMYFUNCTION("GOOGLETRANSLATE(B157,""en"",""it"")"),"App più affidabile")</f>
        <v>App più affidabile</v>
      </c>
      <c r="I157" s="6" t="str">
        <f>IFERROR(__xludf.DUMMYFUNCTION("GOOGLETRANSLATE(B157,""en"",""de"")"),"Am meisten vertrauenswürdige Ride Booking App")</f>
        <v>Am meisten vertrauenswürdige Ride Booking App</v>
      </c>
      <c r="J157" s="6" t="str">
        <f>IFERROR(__xludf.DUMMYFUNCTION("GOOGLETRANSLATE(B157,""en"",""ko"")"),"가장 신뢰할 수있는 승차 예약 앱")</f>
        <v>가장 신뢰할 수있는 승차 예약 앱</v>
      </c>
      <c r="K157" s="6" t="str">
        <f>IFERROR(__xludf.DUMMYFUNCTION("GOOGLETRANSLATE(B157,""en"",""zh"")"),"最值得信赖的乘车预订应用程序")</f>
        <v>最值得信赖的乘车预订应用程序</v>
      </c>
      <c r="L157" s="6" t="str">
        <f>IFERROR(__xludf.DUMMYFUNCTION("GOOGLETRANSLATE(B157,""en"",""es"")"),"Aplicación de reserva de viaje más confiable")</f>
        <v>Aplicación de reserva de viaje más confiable</v>
      </c>
      <c r="M157" s="7" t="str">
        <f>IFERROR(__xludf.DUMMYFUNCTION("GOOGLETRANSLATE(B157,""en"",""iw"")"),"אפליקציית הזמנת הרכיבה המהימנה ביותר")</f>
        <v>אפליקציית הזמנת הרכיבה המהימנה ביותר</v>
      </c>
      <c r="N157" s="6" t="str">
        <f>IFERROR(__xludf.DUMMYFUNCTION("GOOGLETRANSLATE(B157,""en"",""bn"")"),"সর্বাধিক বিশ্বস্ত রাইড বুকিং অ্যাপ")</f>
        <v>সর্বাধিক বিশ্বস্ত রাইড বুকিং অ্যাপ</v>
      </c>
      <c r="O157" s="6"/>
      <c r="P157" s="6"/>
    </row>
    <row r="158">
      <c r="A158" s="8" t="s">
        <v>323</v>
      </c>
      <c r="B158" s="9" t="s">
        <v>324</v>
      </c>
      <c r="C158" s="5" t="str">
        <f>IFERROR(__xludf.DUMMYFUNCTION("GOOGLETRANSLATE(B158,""en"",""hi"")"),"अपने सवारी के अनुभव का आनंद लेने के लिए")</f>
        <v>अपने सवारी के अनुभव का आनंद लेने के लिए</v>
      </c>
      <c r="D158" s="6" t="str">
        <f>IFERROR(__xludf.DUMMYFUNCTION("GOOGLETRANSLATE(B158,""en"",""ar"")"),"للاستمتاع بتجربة رحلتك")</f>
        <v>للاستمتاع بتجربة رحلتك</v>
      </c>
      <c r="E158" s="6" t="str">
        <f>IFERROR(__xludf.DUMMYFUNCTION("GOOGLETRANSLATE(B158,""en"",""fr"")"),"Pour profiter de votre expérience de conduite")</f>
        <v>Pour profiter de votre expérience de conduite</v>
      </c>
      <c r="F158" s="6" t="str">
        <f>IFERROR(__xludf.DUMMYFUNCTION("GOOGLETRANSLATE(B158,""en"",""tr"")"),"Sürüş deneyiminizin tadını çıkarmak için")</f>
        <v>Sürüş deneyiminizin tadını çıkarmak için</v>
      </c>
      <c r="G158" s="6" t="str">
        <f>IFERROR(__xludf.DUMMYFUNCTION("GOOGLETRANSLATE(B158,""en"",""ru"")"),"Чтобы насладиться своим опытом поездки")</f>
        <v>Чтобы насладиться своим опытом поездки</v>
      </c>
      <c r="H158" s="6" t="str">
        <f>IFERROR(__xludf.DUMMYFUNCTION("GOOGLETRANSLATE(B158,""en"",""it"")"),"Per goderti la tua esperienza di viaggio")</f>
        <v>Per goderti la tua esperienza di viaggio</v>
      </c>
      <c r="I158" s="6" t="str">
        <f>IFERROR(__xludf.DUMMYFUNCTION("GOOGLETRANSLATE(B158,""en"",""de"")"),"So genießen Sie Ihr Fahrerlebnis")</f>
        <v>So genießen Sie Ihr Fahrerlebnis</v>
      </c>
      <c r="J158" s="6" t="str">
        <f>IFERROR(__xludf.DUMMYFUNCTION("GOOGLETRANSLATE(B158,""en"",""ko"")"),"승차 경험을 즐기기 위해")</f>
        <v>승차 경험을 즐기기 위해</v>
      </c>
      <c r="K158" s="6" t="str">
        <f>IFERROR(__xludf.DUMMYFUNCTION("GOOGLETRANSLATE(B158,""en"",""zh"")"),"享受您的骑行体验")</f>
        <v>享受您的骑行体验</v>
      </c>
      <c r="L158" s="6" t="str">
        <f>IFERROR(__xludf.DUMMYFUNCTION("GOOGLETRANSLATE(B158,""en"",""es"")"),"Para disfrutar de su experiencia de viaje")</f>
        <v>Para disfrutar de su experiencia de viaje</v>
      </c>
      <c r="M158" s="7" t="str">
        <f>IFERROR(__xludf.DUMMYFUNCTION("GOOGLETRANSLATE(B158,""en"",""iw"")"),"ליהנות מחווית הרכיבה שלך")</f>
        <v>ליהנות מחווית הרכיבה שלך</v>
      </c>
      <c r="N158" s="6" t="str">
        <f>IFERROR(__xludf.DUMMYFUNCTION("GOOGLETRANSLATE(B158,""en"",""bn"")"),"আপনার যাত্রার অভিজ্ঞতা উপভোগ করতে")</f>
        <v>আপনার যাত্রার অভিজ্ঞতা উপভোগ করতে</v>
      </c>
      <c r="O158" s="6"/>
      <c r="P158" s="6"/>
    </row>
    <row r="159">
      <c r="A159" s="8" t="s">
        <v>325</v>
      </c>
      <c r="B159" s="9" t="s">
        <v>326</v>
      </c>
      <c r="C159" s="5" t="str">
        <f>IFERROR(__xludf.DUMMYFUNCTION("GOOGLETRANSLATE(B159,""en"",""hi"")"),"कृपया हमें निम्नलिखित अनुमतियों की अनुमति दें")</f>
        <v>कृपया हमें निम्नलिखित अनुमतियों की अनुमति दें</v>
      </c>
      <c r="D159" s="6" t="str">
        <f>IFERROR(__xludf.DUMMYFUNCTION("GOOGLETRANSLATE(B159,""en"",""ar"")"),"الرجاء السماح لنا بالأذونات التالية")</f>
        <v>الرجاء السماح لنا بالأذونات التالية</v>
      </c>
      <c r="E159" s="6" t="str">
        <f>IFERROR(__xludf.DUMMYFUNCTION("GOOGLETRANSLATE(B159,""en"",""fr"")"),"Veuillez nous permettre les autorisations suivantes")</f>
        <v>Veuillez nous permettre les autorisations suivantes</v>
      </c>
      <c r="F159" s="6" t="str">
        <f>IFERROR(__xludf.DUMMYFUNCTION("GOOGLETRANSLATE(B159,""en"",""tr"")"),"Lütfen bize aşağıdaki izinlere izin verin")</f>
        <v>Lütfen bize aşağıdaki izinlere izin verin</v>
      </c>
      <c r="G159" s="6" t="str">
        <f>IFERROR(__xludf.DUMMYFUNCTION("GOOGLETRANSLATE(B159,""en"",""ru"")"),"Пожалуйста, позвольте нам следующие разрешения")</f>
        <v>Пожалуйста, позвольте нам следующие разрешения</v>
      </c>
      <c r="H159" s="6" t="str">
        <f>IFERROR(__xludf.DUMMYFUNCTION("GOOGLETRANSLATE(B159,""en"",""it"")"),"Si prega di consentirci le seguenti autorizzazioni")</f>
        <v>Si prega di consentirci le seguenti autorizzazioni</v>
      </c>
      <c r="I159" s="6" t="str">
        <f>IFERROR(__xludf.DUMMYFUNCTION("GOOGLETRANSLATE(B159,""en"",""de"")"),"Bitte erlauben Sie uns die folgenden Berechtigungen")</f>
        <v>Bitte erlauben Sie uns die folgenden Berechtigungen</v>
      </c>
      <c r="J159" s="6" t="str">
        <f>IFERROR(__xludf.DUMMYFUNCTION("GOOGLETRANSLATE(B159,""en"",""ko"")"),"다음 권한을 알려주십시오")</f>
        <v>다음 권한을 알려주십시오</v>
      </c>
      <c r="K159" s="6" t="str">
        <f>IFERROR(__xludf.DUMMYFUNCTION("GOOGLETRANSLATE(B159,""en"",""zh"")"),"请允许我们以下权限")</f>
        <v>请允许我们以下权限</v>
      </c>
      <c r="L159" s="6" t="str">
        <f>IFERROR(__xludf.DUMMYFUNCTION("GOOGLETRANSLATE(B159,""en"",""es"")"),"Permítanos los siguientes permisos")</f>
        <v>Permítanos los siguientes permisos</v>
      </c>
      <c r="M159" s="7" t="str">
        <f>IFERROR(__xludf.DUMMYFUNCTION("GOOGLETRANSLATE(B159,""en"",""iw"")"),"אנא הרשה לנו את ההרשאות הבאות")</f>
        <v>אנא הרשה לנו את ההרשאות הבאות</v>
      </c>
      <c r="N159" s="6" t="str">
        <f>IFERROR(__xludf.DUMMYFUNCTION("GOOGLETRANSLATE(B159,""en"",""bn"")"),"দয়া করে আমাদের নিম্নলিখিত অনুমতিগুলি অনুমতি দিন")</f>
        <v>দয়া করে আমাদের নিম্নলিখিত অনুমতিগুলি অনুমতি দিন</v>
      </c>
      <c r="O159" s="6"/>
      <c r="P159" s="6"/>
    </row>
    <row r="160">
      <c r="A160" s="8" t="s">
        <v>327</v>
      </c>
      <c r="B160" s="9" t="s">
        <v>328</v>
      </c>
      <c r="C160" s="5" t="str">
        <f>IFERROR(__xludf.DUMMYFUNCTION("GOOGLETRANSLATE(B160,""en"",""hi"")"),"अनुमति देना")</f>
        <v>अनुमति देना</v>
      </c>
      <c r="D160" s="6" t="str">
        <f>IFERROR(__xludf.DUMMYFUNCTION("GOOGLETRANSLATE(B160,""en"",""ar"")"),"السماح")</f>
        <v>السماح</v>
      </c>
      <c r="E160" s="6" t="str">
        <f>IFERROR(__xludf.DUMMYFUNCTION("GOOGLETRANSLATE(B160,""en"",""fr"")"),"Permettre")</f>
        <v>Permettre</v>
      </c>
      <c r="F160" s="6" t="str">
        <f>IFERROR(__xludf.DUMMYFUNCTION("GOOGLETRANSLATE(B160,""en"",""tr"")"),"İzin vermek")</f>
        <v>İzin vermek</v>
      </c>
      <c r="G160" s="6" t="str">
        <f>IFERROR(__xludf.DUMMYFUNCTION("GOOGLETRANSLATE(B160,""en"",""ru"")"),"Разрешать")</f>
        <v>Разрешать</v>
      </c>
      <c r="H160" s="6" t="str">
        <f>IFERROR(__xludf.DUMMYFUNCTION("GOOGLETRANSLATE(B160,""en"",""it"")"),"Permettere")</f>
        <v>Permettere</v>
      </c>
      <c r="I160" s="6" t="str">
        <f>IFERROR(__xludf.DUMMYFUNCTION("GOOGLETRANSLATE(B160,""en"",""de"")"),"Erlauben")</f>
        <v>Erlauben</v>
      </c>
      <c r="J160" s="6" t="str">
        <f>IFERROR(__xludf.DUMMYFUNCTION("GOOGLETRANSLATE(B160,""en"",""ko"")"),"허용하다")</f>
        <v>허용하다</v>
      </c>
      <c r="K160" s="6" t="str">
        <f>IFERROR(__xludf.DUMMYFUNCTION("GOOGLETRANSLATE(B160,""en"",""zh"")"),"允许")</f>
        <v>允许</v>
      </c>
      <c r="L160" s="6" t="str">
        <f>IFERROR(__xludf.DUMMYFUNCTION("GOOGLETRANSLATE(B160,""en"",""es"")"),"Permitir")</f>
        <v>Permitir</v>
      </c>
      <c r="M160" s="7" t="str">
        <f>IFERROR(__xludf.DUMMYFUNCTION("GOOGLETRANSLATE(B160,""en"",""iw"")"),"להתיר")</f>
        <v>להתיר</v>
      </c>
      <c r="N160" s="6" t="str">
        <f>IFERROR(__xludf.DUMMYFUNCTION("GOOGLETRANSLATE(B160,""en"",""bn"")"),"অনুমতি দিন")</f>
        <v>অনুমতি দিন</v>
      </c>
      <c r="O160" s="6"/>
      <c r="P160" s="6"/>
    </row>
    <row r="161">
      <c r="A161" s="8" t="s">
        <v>329</v>
      </c>
      <c r="B161" s="9" t="s">
        <v>330</v>
      </c>
      <c r="C161" s="5" t="str">
        <f>IFERROR(__xludf.DUMMYFUNCTION("GOOGLETRANSLATE(B161,""en"",""hi"")"),"चालक द्वारा रद्द की गई सवारी")</f>
        <v>चालक द्वारा रद्द की गई सवारी</v>
      </c>
      <c r="D161" s="6" t="str">
        <f>IFERROR(__xludf.DUMMYFUNCTION("GOOGLETRANSLATE(B161,""en"",""ar"")"),"تم إلغاء الركوب بواسطة السائق")</f>
        <v>تم إلغاء الركوب بواسطة السائق</v>
      </c>
      <c r="E161" s="6" t="str">
        <f>IFERROR(__xludf.DUMMYFUNCTION("GOOGLETRANSLATE(B161,""en"",""fr"")"),"Ride annulée par le conducteur")</f>
        <v>Ride annulée par le conducteur</v>
      </c>
      <c r="F161" s="6" t="str">
        <f>IFERROR(__xludf.DUMMYFUNCTION("GOOGLETRANSLATE(B161,""en"",""tr"")"),"Sürücü tarafından iptal edildi")</f>
        <v>Sürücü tarafından iptal edildi</v>
      </c>
      <c r="G161" s="6" t="str">
        <f>IFERROR(__xludf.DUMMYFUNCTION("GOOGLETRANSLATE(B161,""en"",""ru"")"),"Езда отменена водителем")</f>
        <v>Езда отменена водителем</v>
      </c>
      <c r="H161" s="6" t="str">
        <f>IFERROR(__xludf.DUMMYFUNCTION("GOOGLETRANSLATE(B161,""en"",""it"")"),"Cavalcare cancellato dall'autista")</f>
        <v>Cavalcare cancellato dall'autista</v>
      </c>
      <c r="I161" s="6" t="str">
        <f>IFERROR(__xludf.DUMMYFUNCTION("GOOGLETRANSLATE(B161,""en"",""de"")"),"Fahrt vom Fahrer abgesagt")</f>
        <v>Fahrt vom Fahrer abgesagt</v>
      </c>
      <c r="J161" s="6" t="str">
        <f>IFERROR(__xludf.DUMMYFUNCTION("GOOGLETRANSLATE(B161,""en"",""ko"")"),"드라이버에 의해 취소되었습니다")</f>
        <v>드라이버에 의해 취소되었습니다</v>
      </c>
      <c r="K161" s="6" t="str">
        <f>IFERROR(__xludf.DUMMYFUNCTION("GOOGLETRANSLATE(B161,""en"",""zh"")"),"驾驶员取消的骑行")</f>
        <v>驾驶员取消的骑行</v>
      </c>
      <c r="L161" s="6" t="str">
        <f>IFERROR(__xludf.DUMMYFUNCTION("GOOGLETRANSLATE(B161,""en"",""es"")"),"Viaje cancelado por el conductor")</f>
        <v>Viaje cancelado por el conductor</v>
      </c>
      <c r="M161" s="7" t="str">
        <f>IFERROR(__xludf.DUMMYFUNCTION("GOOGLETRANSLATE(B161,""en"",""iw"")"),"נסיעה בוטלה על ידי הנהג")</f>
        <v>נסיעה בוטלה על ידי הנהג</v>
      </c>
      <c r="N161" s="6" t="str">
        <f>IFERROR(__xludf.DUMMYFUNCTION("GOOGLETRANSLATE(B161,""en"",""bn"")"),"চালক দ্বারা যাত্রা বাতিল")</f>
        <v>চালক দ্বারা যাত্রা বাতিল</v>
      </c>
      <c r="O161" s="6"/>
      <c r="P161" s="6"/>
    </row>
    <row r="162">
      <c r="A162" s="8" t="s">
        <v>331</v>
      </c>
      <c r="B162" s="9" t="s">
        <v>332</v>
      </c>
      <c r="C162" s="5" t="str">
        <f>IFERROR(__xludf.DUMMYFUNCTION("GOOGLETRANSLATE(B162,""en"",""hi"")"),"सवारी सफलतापूर्वक रद्द कर दी गई")</f>
        <v>सवारी सफलतापूर्वक रद्द कर दी गई</v>
      </c>
      <c r="D162" s="6" t="str">
        <f>IFERROR(__xludf.DUMMYFUNCTION("GOOGLETRANSLATE(B162,""en"",""ar"")"),"تم إلغاء ركوب بنجاح")</f>
        <v>تم إلغاء ركوب بنجاح</v>
      </c>
      <c r="E162" s="6" t="str">
        <f>IFERROR(__xludf.DUMMYFUNCTION("GOOGLETRANSLATE(B162,""en"",""fr"")"),"Ride annulée avec succès")</f>
        <v>Ride annulée avec succès</v>
      </c>
      <c r="F162" s="6" t="str">
        <f>IFERROR(__xludf.DUMMYFUNCTION("GOOGLETRANSLATE(B162,""en"",""tr"")"),"Ride başarılı bir şekilde iptal edildi")</f>
        <v>Ride başarılı bir şekilde iptal edildi</v>
      </c>
      <c r="G162" s="6" t="str">
        <f>IFERROR(__xludf.DUMMYFUNCTION("GOOGLETRANSLATE(B162,""en"",""ru"")"),"Езда отменена успешно")</f>
        <v>Езда отменена успешно</v>
      </c>
      <c r="H162" s="6" t="str">
        <f>IFERROR(__xludf.DUMMYFUNCTION("GOOGLETRANSLATE(B162,""en"",""it"")"),"Cavalcare annullato con successo")</f>
        <v>Cavalcare annullato con successo</v>
      </c>
      <c r="I162" s="6" t="str">
        <f>IFERROR(__xludf.DUMMYFUNCTION("GOOGLETRANSLATE(B162,""en"",""de"")"),"Fahrt erfolgreich abgesagt")</f>
        <v>Fahrt erfolgreich abgesagt</v>
      </c>
      <c r="J162" s="6" t="str">
        <f>IFERROR(__xludf.DUMMYFUNCTION("GOOGLETRANSLATE(B162,""en"",""ko"")"),"승차가 성공적으로 취소되었습니다")</f>
        <v>승차가 성공적으로 취소되었습니다</v>
      </c>
      <c r="K162" s="6" t="str">
        <f>IFERROR(__xludf.DUMMYFUNCTION("GOOGLETRANSLATE(B162,""en"",""zh"")"),"骑行成功取消")</f>
        <v>骑行成功取消</v>
      </c>
      <c r="L162" s="6" t="str">
        <f>IFERROR(__xludf.DUMMYFUNCTION("GOOGLETRANSLATE(B162,""en"",""es"")"),"Viaje cancelado con éxito")</f>
        <v>Viaje cancelado con éxito</v>
      </c>
      <c r="M162" s="7" t="str">
        <f>IFERROR(__xludf.DUMMYFUNCTION("GOOGLETRANSLATE(B162,""en"",""iw"")"),"הרכיבה בוטלה בהצלחה")</f>
        <v>הרכיבה בוטלה בהצלחה</v>
      </c>
      <c r="N162" s="6" t="str">
        <f>IFERROR(__xludf.DUMMYFUNCTION("GOOGLETRANSLATE(B162,""en"",""bn"")"),"যাত্রা সফলভাবে বাতিল হয়েছে")</f>
        <v>যাত্রা সফলভাবে বাতিল হয়েছে</v>
      </c>
      <c r="O162" s="6"/>
      <c r="P162" s="6"/>
    </row>
    <row r="163">
      <c r="A163" s="8" t="s">
        <v>333</v>
      </c>
      <c r="B163" s="9" t="s">
        <v>334</v>
      </c>
      <c r="C163" s="5" t="str">
        <f>IFERROR(__xludf.DUMMYFUNCTION("GOOGLETRANSLATE(B163,""en"",""hi"")"),"व्यवस्थापक को सूचित करें")</f>
        <v>व्यवस्थापक को सूचित करें</v>
      </c>
      <c r="D163" s="6" t="str">
        <f>IFERROR(__xludf.DUMMYFUNCTION("GOOGLETRANSLATE(B163,""en"",""ar"")"),"إخطار المسؤول")</f>
        <v>إخطار المسؤول</v>
      </c>
      <c r="E163" s="6" t="str">
        <f>IFERROR(__xludf.DUMMYFUNCTION("GOOGLETRANSLATE(B163,""en"",""fr"")"),"Avertir l'administrateur")</f>
        <v>Avertir l'administrateur</v>
      </c>
      <c r="F163" s="6" t="str">
        <f>IFERROR(__xludf.DUMMYFUNCTION("GOOGLETRANSLATE(B163,""en"",""tr"")"),"Yöneticiyi bilgilendirin")</f>
        <v>Yöneticiyi bilgilendirin</v>
      </c>
      <c r="G163" s="6" t="str">
        <f>IFERROR(__xludf.DUMMYFUNCTION("GOOGLETRANSLATE(B163,""en"",""ru"")"),"Уведомить администратор")</f>
        <v>Уведомить администратор</v>
      </c>
      <c r="H163" s="6" t="str">
        <f>IFERROR(__xludf.DUMMYFUNCTION("GOOGLETRANSLATE(B163,""en"",""it"")"),"Notificare l'amministratore")</f>
        <v>Notificare l'amministratore</v>
      </c>
      <c r="I163" s="6" t="str">
        <f>IFERROR(__xludf.DUMMYFUNCTION("GOOGLETRANSLATE(B163,""en"",""de"")"),"Admin benachrichtigen")</f>
        <v>Admin benachrichtigen</v>
      </c>
      <c r="J163" s="6" t="str">
        <f>IFERROR(__xludf.DUMMYFUNCTION("GOOGLETRANSLATE(B163,""en"",""ko"")"),"관리자에게 알리십시오")</f>
        <v>관리자에게 알리십시오</v>
      </c>
      <c r="K163" s="6" t="str">
        <f>IFERROR(__xludf.DUMMYFUNCTION("GOOGLETRANSLATE(B163,""en"",""zh"")"),"通知管理员")</f>
        <v>通知管理员</v>
      </c>
      <c r="L163" s="6" t="str">
        <f>IFERROR(__xludf.DUMMYFUNCTION("GOOGLETRANSLATE(B163,""en"",""es"")"),"Notificar a administrador")</f>
        <v>Notificar a administrador</v>
      </c>
      <c r="M163" s="7" t="str">
        <f>IFERROR(__xludf.DUMMYFUNCTION("GOOGLETRANSLATE(B163,""en"",""iw"")"),"להודיע ​​למנהל")</f>
        <v>להודיע ​​למנהל</v>
      </c>
      <c r="N163" s="6" t="str">
        <f>IFERROR(__xludf.DUMMYFUNCTION("GOOGLETRANSLATE(B163,""en"",""bn"")"),"অ্যাডমিনকে অবহিত করুন")</f>
        <v>অ্যাডমিনকে অবহিত করুন</v>
      </c>
      <c r="O163" s="6"/>
      <c r="P163" s="6"/>
    </row>
    <row r="164">
      <c r="A164" s="8" t="s">
        <v>335</v>
      </c>
      <c r="B164" s="9" t="s">
        <v>336</v>
      </c>
      <c r="C164" s="5" t="str">
        <f>IFERROR(__xludf.DUMMYFUNCTION("GOOGLETRANSLATE(B164,""en"",""hi"")"),"सफलतापूर्वक सूचित किया")</f>
        <v>सफलतापूर्वक सूचित किया</v>
      </c>
      <c r="D164" s="6" t="str">
        <f>IFERROR(__xludf.DUMMYFUNCTION("GOOGLETRANSLATE(B164,""en"",""ar"")"),"تم إخطاره بنجاح")</f>
        <v>تم إخطاره بنجاح</v>
      </c>
      <c r="E164" s="6" t="str">
        <f>IFERROR(__xludf.DUMMYFUNCTION("GOOGLETRANSLATE(B164,""en"",""fr"")"),"Notifié avec succès")</f>
        <v>Notifié avec succès</v>
      </c>
      <c r="F164" s="6" t="str">
        <f>IFERROR(__xludf.DUMMYFUNCTION("GOOGLETRANSLATE(B164,""en"",""tr"")"),"Başarılı bir şekilde bilgilendirildi")</f>
        <v>Başarılı bir şekilde bilgilendirildi</v>
      </c>
      <c r="G164" s="6" t="str">
        <f>IFERROR(__xludf.DUMMYFUNCTION("GOOGLETRANSLATE(B164,""en"",""ru"")"),"Уведомил успешно")</f>
        <v>Уведомил успешно</v>
      </c>
      <c r="H164" s="6" t="str">
        <f>IFERROR(__xludf.DUMMYFUNCTION("GOOGLETRANSLATE(B164,""en"",""it"")"),"Notificato con successo")</f>
        <v>Notificato con successo</v>
      </c>
      <c r="I164" s="6" t="str">
        <f>IFERROR(__xludf.DUMMYFUNCTION("GOOGLETRANSLATE(B164,""en"",""de"")"),"Erfolgreich benachrichtigt")</f>
        <v>Erfolgreich benachrichtigt</v>
      </c>
      <c r="J164" s="6" t="str">
        <f>IFERROR(__xludf.DUMMYFUNCTION("GOOGLETRANSLATE(B164,""en"",""ko"")"),"성공적으로 통지했습니다")</f>
        <v>성공적으로 통지했습니다</v>
      </c>
      <c r="K164" s="6" t="str">
        <f>IFERROR(__xludf.DUMMYFUNCTION("GOOGLETRANSLATE(B164,""en"",""zh"")"),"成功通知")</f>
        <v>成功通知</v>
      </c>
      <c r="L164" s="6" t="str">
        <f>IFERROR(__xludf.DUMMYFUNCTION("GOOGLETRANSLATE(B164,""en"",""es"")"),"Notificado con éxito")</f>
        <v>Notificado con éxito</v>
      </c>
      <c r="M164" s="7" t="str">
        <f>IFERROR(__xludf.DUMMYFUNCTION("GOOGLETRANSLATE(B164,""en"",""iw"")"),"הודיע ​​בהצלחה")</f>
        <v>הודיע ​​בהצלחה</v>
      </c>
      <c r="N164" s="6" t="str">
        <f>IFERROR(__xludf.DUMMYFUNCTION("GOOGLETRANSLATE(B164,""en"",""bn"")"),"সফলভাবে অবহিত")</f>
        <v>সফলভাবে অবহিত</v>
      </c>
      <c r="O164" s="6"/>
      <c r="P164" s="6"/>
    </row>
    <row r="165">
      <c r="A165" s="8" t="s">
        <v>337</v>
      </c>
      <c r="B165" s="12" t="s">
        <v>338</v>
      </c>
      <c r="C165" s="5" t="str">
        <f>IFERROR(__xludf.DUMMYFUNCTION("GOOGLETRANSLATE(B165,""en"",""hi"")"),"ड्राइवर के साथ चैट करें")</f>
        <v>ड्राइवर के साथ चैट करें</v>
      </c>
      <c r="D165" s="6" t="str">
        <f>IFERROR(__xludf.DUMMYFUNCTION("GOOGLETRANSLATE(B165,""en"",""ar"")"),"الدردشة مع السائق")</f>
        <v>الدردشة مع السائق</v>
      </c>
      <c r="E165" s="6" t="str">
        <f>IFERROR(__xludf.DUMMYFUNCTION("GOOGLETRANSLATE(B165,""en"",""fr"")"),"Discuter avec le pilote")</f>
        <v>Discuter avec le pilote</v>
      </c>
      <c r="F165" s="6" t="str">
        <f>IFERROR(__xludf.DUMMYFUNCTION("GOOGLETRANSLATE(B165,""en"",""tr"")"),"Sürücü ile sohbet edin")</f>
        <v>Sürücü ile sohbet edin</v>
      </c>
      <c r="G165" s="6" t="str">
        <f>IFERROR(__xludf.DUMMYFUNCTION("GOOGLETRANSLATE(B165,""en"",""ru"")"),"Общаться с драйвером")</f>
        <v>Общаться с драйвером</v>
      </c>
      <c r="H165" s="6" t="str">
        <f>IFERROR(__xludf.DUMMYFUNCTION("GOOGLETRANSLATE(B165,""en"",""it"")"),"Chatta con il driver")</f>
        <v>Chatta con il driver</v>
      </c>
      <c r="I165" s="6" t="str">
        <f>IFERROR(__xludf.DUMMYFUNCTION("GOOGLETRANSLATE(B165,""en"",""de"")"),"Chatten Sie mit dem Fahrer")</f>
        <v>Chatten Sie mit dem Fahrer</v>
      </c>
      <c r="J165" s="6" t="str">
        <f>IFERROR(__xludf.DUMMYFUNCTION("GOOGLETRANSLATE(B165,""en"",""ko"")"),"드라이버와 채팅")</f>
        <v>드라이버와 채팅</v>
      </c>
      <c r="K165" s="6" t="str">
        <f>IFERROR(__xludf.DUMMYFUNCTION("GOOGLETRANSLATE(B165,""en"",""zh"")"),"与驾驶员聊天")</f>
        <v>与驾驶员聊天</v>
      </c>
      <c r="L165" s="6" t="str">
        <f>IFERROR(__xludf.DUMMYFUNCTION("GOOGLETRANSLATE(B165,""en"",""es"")"),"Chatear con el conductor")</f>
        <v>Chatear con el conductor</v>
      </c>
      <c r="M165" s="7" t="str">
        <f>IFERROR(__xludf.DUMMYFUNCTION("GOOGLETRANSLATE(B165,""en"",""iw"")"),"לשוחח עם הנהג")</f>
        <v>לשוחח עם הנהג</v>
      </c>
      <c r="N165" s="6" t="str">
        <f>IFERROR(__xludf.DUMMYFUNCTION("GOOGLETRANSLATE(B165,""en"",""bn"")"),"ড্রাইভারের সাথে চ্যাট করুন")</f>
        <v>ড্রাইভারের সাথে চ্যাট করুন</v>
      </c>
      <c r="O165" s="6"/>
      <c r="P165" s="6"/>
    </row>
    <row r="166">
      <c r="A166" s="8" t="s">
        <v>339</v>
      </c>
      <c r="B166" s="12" t="s">
        <v>340</v>
      </c>
      <c r="C166" s="5" t="str">
        <f>IFERROR(__xludf.DUMMYFUNCTION("GOOGLETRANSLATE(B166,""en"",""hi"")"),"संदेश दर्ज करें")</f>
        <v>संदेश दर्ज करें</v>
      </c>
      <c r="D166" s="6" t="str">
        <f>IFERROR(__xludf.DUMMYFUNCTION("GOOGLETRANSLATE(B166,""en"",""ar"")"),"أدخل رسالة")</f>
        <v>أدخل رسالة</v>
      </c>
      <c r="E166" s="6" t="str">
        <f>IFERROR(__xludf.DUMMYFUNCTION("GOOGLETRANSLATE(B166,""en"",""fr"")"),"Entrer le message")</f>
        <v>Entrer le message</v>
      </c>
      <c r="F166" s="6" t="str">
        <f>IFERROR(__xludf.DUMMYFUNCTION("GOOGLETRANSLATE(B166,""en"",""tr"")"),"Mesajı Gir")</f>
        <v>Mesajı Gir</v>
      </c>
      <c r="G166" s="6" t="str">
        <f>IFERROR(__xludf.DUMMYFUNCTION("GOOGLETRANSLATE(B166,""en"",""ru"")"),"Введите сообщение")</f>
        <v>Введите сообщение</v>
      </c>
      <c r="H166" s="6" t="str">
        <f>IFERROR(__xludf.DUMMYFUNCTION("GOOGLETRANSLATE(B166,""en"",""it"")"),"Immettere il messaggio")</f>
        <v>Immettere il messaggio</v>
      </c>
      <c r="I166" s="6" t="str">
        <f>IFERROR(__xludf.DUMMYFUNCTION("GOOGLETRANSLATE(B166,""en"",""de"")"),"Meldung eingeben")</f>
        <v>Meldung eingeben</v>
      </c>
      <c r="J166" s="6" t="str">
        <f>IFERROR(__xludf.DUMMYFUNCTION("GOOGLETRANSLATE(B166,""en"",""ko"")"),"메시지를 입력하십시오")</f>
        <v>메시지를 입력하십시오</v>
      </c>
      <c r="K166" s="6" t="str">
        <f>IFERROR(__xludf.DUMMYFUNCTION("GOOGLETRANSLATE(B166,""en"",""zh"")"),"输入消息")</f>
        <v>输入消息</v>
      </c>
      <c r="L166" s="6" t="str">
        <f>IFERROR(__xludf.DUMMYFUNCTION("GOOGLETRANSLATE(B166,""en"",""es"")"),"Ingrese el mensaje")</f>
        <v>Ingrese el mensaje</v>
      </c>
      <c r="M166" s="7" t="str">
        <f>IFERROR(__xludf.DUMMYFUNCTION("GOOGLETRANSLATE(B166,""en"",""iw"")"),"הזן הודעה")</f>
        <v>הזן הודעה</v>
      </c>
      <c r="N166" s="6" t="str">
        <f>IFERROR(__xludf.DUMMYFUNCTION("GOOGLETRANSLATE(B166,""en"",""bn"")"),"বার্তা লিখুন")</f>
        <v>বার্তা লিখুন</v>
      </c>
      <c r="O166" s="6"/>
      <c r="P166" s="6"/>
    </row>
    <row r="167">
      <c r="A167" s="8" t="s">
        <v>341</v>
      </c>
      <c r="B167" s="12" t="s">
        <v>342</v>
      </c>
      <c r="C167" s="5" t="str">
        <f>IFERROR(__xludf.DUMMYFUNCTION("GOOGLETRANSLATE(B167,""en"",""hi"")"),"नया संदेश प्राप्त हुआ")</f>
        <v>नया संदेश प्राप्त हुआ</v>
      </c>
      <c r="D167" s="6" t="str">
        <f>IFERROR(__xludf.DUMMYFUNCTION("GOOGLETRANSLATE(B167,""en"",""ar"")"),"استلمت رسالة جديدة")</f>
        <v>استلمت رسالة جديدة</v>
      </c>
      <c r="E167" s="6" t="str">
        <f>IFERROR(__xludf.DUMMYFUNCTION("GOOGLETRANSLATE(B167,""en"",""fr"")"),"Nouveau message reçu")</f>
        <v>Nouveau message reçu</v>
      </c>
      <c r="F167" s="6" t="str">
        <f>IFERROR(__xludf.DUMMYFUNCTION("GOOGLETRANSLATE(B167,""en"",""tr"")"),"Yeni mesaj alındı")</f>
        <v>Yeni mesaj alındı</v>
      </c>
      <c r="G167" s="6" t="str">
        <f>IFERROR(__xludf.DUMMYFUNCTION("GOOGLETRANSLATE(B167,""en"",""ru"")"),"Полученное новое сообщение")</f>
        <v>Полученное новое сообщение</v>
      </c>
      <c r="H167" s="6" t="str">
        <f>IFERROR(__xludf.DUMMYFUNCTION("GOOGLETRANSLATE(B167,""en"",""it"")"),"Nuovo messaggio ricevuto")</f>
        <v>Nuovo messaggio ricevuto</v>
      </c>
      <c r="I167" s="6" t="str">
        <f>IFERROR(__xludf.DUMMYFUNCTION("GOOGLETRANSLATE(B167,""en"",""de"")"),"Neue Nachricht empfangen")</f>
        <v>Neue Nachricht empfangen</v>
      </c>
      <c r="J167" s="6" t="str">
        <f>IFERROR(__xludf.DUMMYFUNCTION("GOOGLETRANSLATE(B167,""en"",""ko"")"),"새로운 메시지가 접수되었습니다")</f>
        <v>새로운 메시지가 접수되었습니다</v>
      </c>
      <c r="K167" s="6" t="str">
        <f>IFERROR(__xludf.DUMMYFUNCTION("GOOGLETRANSLATE(B167,""en"",""zh"")"),"收到的新消息")</f>
        <v>收到的新消息</v>
      </c>
      <c r="L167" s="6" t="str">
        <f>IFERROR(__xludf.DUMMYFUNCTION("GOOGLETRANSLATE(B167,""en"",""es"")"),"Nuevo mensaje recibido")</f>
        <v>Nuevo mensaje recibido</v>
      </c>
      <c r="M167" s="7" t="str">
        <f>IFERROR(__xludf.DUMMYFUNCTION("GOOGLETRANSLATE(B167,""en"",""iw"")"),"הודעה חדשה שהתקבלה")</f>
        <v>הודעה חדשה שהתקבלה</v>
      </c>
      <c r="N167" s="6" t="str">
        <f>IFERROR(__xludf.DUMMYFUNCTION("GOOGLETRANSLATE(B167,""en"",""bn"")"),"নতুন বার্তা প্রাপ্ত")</f>
        <v>নতুন বার্তা প্রাপ্ত</v>
      </c>
      <c r="O167" s="6"/>
      <c r="P167" s="6"/>
    </row>
    <row r="168">
      <c r="A168" s="8" t="s">
        <v>343</v>
      </c>
      <c r="B168" s="12" t="s">
        <v>344</v>
      </c>
      <c r="C168" s="5" t="str">
        <f>IFERROR(__xludf.DUMMYFUNCTION("GOOGLETRANSLATE(B168,""en"",""hi"")"),"कोई इंटरनेट कनेक्शन नहीं")</f>
        <v>कोई इंटरनेट कनेक्शन नहीं</v>
      </c>
      <c r="D168" s="6" t="str">
        <f>IFERROR(__xludf.DUMMYFUNCTION("GOOGLETRANSLATE(B168,""en"",""ar"")"),"لا يوجد اتصال إنترنت")</f>
        <v>لا يوجد اتصال إنترنت</v>
      </c>
      <c r="E168" s="6" t="str">
        <f>IFERROR(__xludf.DUMMYFUNCTION("GOOGLETRANSLATE(B168,""en"",""fr"")"),"Pas de connexion Internet")</f>
        <v>Pas de connexion Internet</v>
      </c>
      <c r="F168" s="6" t="str">
        <f>IFERROR(__xludf.DUMMYFUNCTION("GOOGLETRANSLATE(B168,""en"",""tr"")"),"İnternet bağlantısı yok")</f>
        <v>İnternet bağlantısı yok</v>
      </c>
      <c r="G168" s="6" t="str">
        <f>IFERROR(__xludf.DUMMYFUNCTION("GOOGLETRANSLATE(B168,""en"",""ru"")"),"Нет соединения с интернетом")</f>
        <v>Нет соединения с интернетом</v>
      </c>
      <c r="H168" s="6" t="str">
        <f>IFERROR(__xludf.DUMMYFUNCTION("GOOGLETRANSLATE(B168,""en"",""it"")"),"Nessuna connessione internet")</f>
        <v>Nessuna connessione internet</v>
      </c>
      <c r="I168" s="6" t="str">
        <f>IFERROR(__xludf.DUMMYFUNCTION("GOOGLETRANSLATE(B168,""en"",""de"")"),"Keine Internetverbindung")</f>
        <v>Keine Internetverbindung</v>
      </c>
      <c r="J168" s="6" t="str">
        <f>IFERROR(__xludf.DUMMYFUNCTION("GOOGLETRANSLATE(B168,""en"",""ko"")"),"인터넷에 연결되지 않음")</f>
        <v>인터넷에 연결되지 않음</v>
      </c>
      <c r="K168" s="6" t="str">
        <f>IFERROR(__xludf.DUMMYFUNCTION("GOOGLETRANSLATE(B168,""en"",""zh"")"),"没有网络连接")</f>
        <v>没有网络连接</v>
      </c>
      <c r="L168" s="6" t="str">
        <f>IFERROR(__xludf.DUMMYFUNCTION("GOOGLETRANSLATE(B168,""en"",""es"")"),"Sin conexión a Internet")</f>
        <v>Sin conexión a Internet</v>
      </c>
      <c r="M168" s="7" t="str">
        <f>IFERROR(__xludf.DUMMYFUNCTION("GOOGLETRANSLATE(B168,""en"",""iw"")"),"אין חיבור אינטרנט")</f>
        <v>אין חיבור אינטרנט</v>
      </c>
      <c r="N168" s="6" t="str">
        <f>IFERROR(__xludf.DUMMYFUNCTION("GOOGLETRANSLATE(B168,""en"",""bn"")"),"কোনও ইন্টারনেট সংযোগ নেই")</f>
        <v>কোনও ইন্টারনেট সংযোগ নেই</v>
      </c>
      <c r="O168" s="6"/>
      <c r="P168" s="6"/>
    </row>
    <row r="169">
      <c r="A169" s="8" t="s">
        <v>345</v>
      </c>
      <c r="B169" s="12" t="s">
        <v>346</v>
      </c>
      <c r="C169" s="5" t="str">
        <f>IFERROR(__xludf.DUMMYFUNCTION("GOOGLETRANSLATE(B169,""en"",""hi"")"),"कृपया अपने इंटरनेट कनेक्शन की जाँच करें, वाईफाई को सक्षम करने का प्रयास करें या बाद में पुनः प्रयास करें")</f>
        <v>कृपया अपने इंटरनेट कनेक्शन की जाँच करें, वाईफाई को सक्षम करने का प्रयास करें या बाद में पुनः प्रयास करें</v>
      </c>
      <c r="D169" s="6" t="str">
        <f>IFERROR(__xludf.DUMMYFUNCTION("GOOGLETRANSLATE(B169,""en"",""ar"")"),"يرجى التحقق من اتصال الإنترنت الخاص بك ، ومحاولة تمكين wifi أو المحاولة مرة أخرى لاحقًا")</f>
        <v>يرجى التحقق من اتصال الإنترنت الخاص بك ، ومحاولة تمكين wifi أو المحاولة مرة أخرى لاحقًا</v>
      </c>
      <c r="E169" s="6" t="str">
        <f>IFERROR(__xludf.DUMMYFUNCTION("GOOGLETRANSLATE(B169,""en"",""fr"")"),"Veuillez vérifier votre connexion Internet, essayer d'activer le wifi ou réessayer plus tard")</f>
        <v>Veuillez vérifier votre connexion Internet, essayer d'activer le wifi ou réessayer plus tard</v>
      </c>
      <c r="F169" s="6" t="str">
        <f>IFERROR(__xludf.DUMMYFUNCTION("GOOGLETRANSLATE(B169,""en"",""tr"")"),"Lütfen internet bağlantınızı kontrol edin, WiFi'yi etkinleştirmeyi deneyin veya daha sonra tekrar deneyin")</f>
        <v>Lütfen internet bağlantınızı kontrol edin, WiFi'yi etkinleştirmeyi deneyin veya daha sonra tekrar deneyin</v>
      </c>
      <c r="G169" s="6" t="str">
        <f>IFERROR(__xludf.DUMMYFUNCTION("GOOGLETRANSLATE(B169,""en"",""ru"")"),"Пожалуйста, проверьте подключение к Интернету, попробуйте включить Wi -Fi или попробуйте еще раз позже")</f>
        <v>Пожалуйста, проверьте подключение к Интернету, попробуйте включить Wi -Fi или попробуйте еще раз позже</v>
      </c>
      <c r="H169" s="6" t="str">
        <f>IFERROR(__xludf.DUMMYFUNCTION("GOOGLETRANSLATE(B169,""en"",""it"")"),"Controlla la tua connessione Internet, prova a abilitare il wifi o riprova più tardi")</f>
        <v>Controlla la tua connessione Internet, prova a abilitare il wifi o riprova più tardi</v>
      </c>
      <c r="I169" s="6" t="str">
        <f>IFERROR(__xludf.DUMMYFUNCTION("GOOGLETRANSLATE(B169,""en"",""de"")"),"Bitte überprüfen Sie Ihre Internetverbindung, aktivieren Sie WLAN oder versuchen Sie es später erneut")</f>
        <v>Bitte überprüfen Sie Ihre Internetverbindung, aktivieren Sie WLAN oder versuchen Sie es später erneut</v>
      </c>
      <c r="J169" s="6" t="str">
        <f>IFERROR(__xludf.DUMMYFUNCTION("GOOGLETRANSLATE(B169,""en"",""ko"")"),"인터넷 연결을 확인하고 WiFi 활성화를 시도하거나 나중에 다시 시도하십시오.")</f>
        <v>인터넷 연결을 확인하고 WiFi 활성화를 시도하거나 나중에 다시 시도하십시오.</v>
      </c>
      <c r="K169" s="6" t="str">
        <f>IFERROR(__xludf.DUMMYFUNCTION("GOOGLETRANSLATE(B169,""en"",""zh"")"),"请检查您的互联网连接，尝试启用WiFi或稍后再试")</f>
        <v>请检查您的互联网连接，尝试启用WiFi或稍后再试</v>
      </c>
      <c r="L169" s="6" t="str">
        <f>IFERROR(__xludf.DUMMYFUNCTION("GOOGLETRANSLATE(B169,""en"",""es"")"),"Consulte su conexión a Internet, intente habilitar WiFi o vuelva a intentarlo más tarde")</f>
        <v>Consulte su conexión a Internet, intente habilitar WiFi o vuelva a intentarlo más tarde</v>
      </c>
      <c r="M169" s="7" t="str">
        <f>IFERROR(__xludf.DUMMYFUNCTION("GOOGLETRANSLATE(B169,""en"",""iw"")"),"אנא בדוק את חיבור האינטרנט שלך, נסה להפעיל WiFi או נסה שוב מאוחר יותר")</f>
        <v>אנא בדוק את חיבור האינטרנט שלך, נסה להפעיל WiFi או נסה שוב מאוחר יותר</v>
      </c>
      <c r="N169" s="6" t="str">
        <f>IFERROR(__xludf.DUMMYFUNCTION("GOOGLETRANSLATE(B169,""en"",""bn"")"),"দয়া করে আপনার ইন্টারনেট সংযোগটি পরীক্ষা করুন, ওয়াইফাই সক্ষম করার চেষ্টা করুন বা পরে আবার চেষ্টা করুন")</f>
        <v>দয়া করে আপনার ইন্টারনেট সংযোগটি পরীক্ষা করুন, ওয়াইফাই সক্ষম করার চেষ্টা করুন বা পরে আবার চেষ্টা করুন</v>
      </c>
      <c r="O169" s="6"/>
      <c r="P169" s="6"/>
    </row>
    <row r="170">
      <c r="A170" s="8" t="s">
        <v>347</v>
      </c>
      <c r="B170" s="12" t="s">
        <v>348</v>
      </c>
      <c r="C170" s="5" t="str">
        <f>IFERROR(__xludf.DUMMYFUNCTION("GOOGLETRANSLATE(B170,""en"",""hi"")"),"कॉपीराइट")</f>
        <v>कॉपीराइट</v>
      </c>
      <c r="D170" s="6" t="str">
        <f>IFERROR(__xludf.DUMMYFUNCTION("GOOGLETRANSLATE(B170,""en"",""ar"")"),"حقوق الطبع والنشر")</f>
        <v>حقوق الطبع والنشر</v>
      </c>
      <c r="E170" s="6" t="str">
        <f>IFERROR(__xludf.DUMMYFUNCTION("GOOGLETRANSLATE(B170,""en"",""fr"")"),"Droits d'auteur")</f>
        <v>Droits d'auteur</v>
      </c>
      <c r="F170" s="6" t="str">
        <f>IFERROR(__xludf.DUMMYFUNCTION("GOOGLETRANSLATE(B170,""en"",""tr"")"),"Telif hakları")</f>
        <v>Telif hakları</v>
      </c>
      <c r="G170" s="6" t="str">
        <f>IFERROR(__xludf.DUMMYFUNCTION("GOOGLETRANSLATE(B170,""en"",""ru"")"),"Авторские права")</f>
        <v>Авторские права</v>
      </c>
      <c r="H170" s="6" t="str">
        <f>IFERROR(__xludf.DUMMYFUNCTION("GOOGLETRANSLATE(B170,""en"",""it"")"),"Diritti d'autore")</f>
        <v>Diritti d'autore</v>
      </c>
      <c r="I170" s="6" t="str">
        <f>IFERROR(__xludf.DUMMYFUNCTION("GOOGLETRANSLATE(B170,""en"",""de"")"),"Urheberrechte")</f>
        <v>Urheberrechte</v>
      </c>
      <c r="J170" s="6" t="str">
        <f>IFERROR(__xludf.DUMMYFUNCTION("GOOGLETRANSLATE(B170,""en"",""ko"")"),"저작권")</f>
        <v>저작권</v>
      </c>
      <c r="K170" s="6" t="str">
        <f>IFERROR(__xludf.DUMMYFUNCTION("GOOGLETRANSLATE(B170,""en"",""zh"")"),"版权")</f>
        <v>版权</v>
      </c>
      <c r="L170" s="6" t="str">
        <f>IFERROR(__xludf.DUMMYFUNCTION("GOOGLETRANSLATE(B170,""en"",""es"")"),"Derechos de autor")</f>
        <v>Derechos de autor</v>
      </c>
      <c r="M170" s="7" t="str">
        <f>IFERROR(__xludf.DUMMYFUNCTION("GOOGLETRANSLATE(B170,""en"",""iw"")"),"זכויות יוצרים")</f>
        <v>זכויות יוצרים</v>
      </c>
      <c r="N170" s="6" t="str">
        <f>IFERROR(__xludf.DUMMYFUNCTION("GOOGLETRANSLATE(B170,""en"",""bn"")"),"কপিরাইট")</f>
        <v>কপিরাইট</v>
      </c>
      <c r="O170" s="6"/>
      <c r="P170" s="6"/>
    </row>
    <row r="171">
      <c r="A171" s="8" t="s">
        <v>349</v>
      </c>
      <c r="B171" s="12" t="s">
        <v>350</v>
      </c>
      <c r="C171" s="5" t="str">
        <f>IFERROR(__xludf.DUMMYFUNCTION("GOOGLETRANSLATE(B171,""en"",""hi"")"),"नियम और शर्तें")</f>
        <v>नियम और शर्तें</v>
      </c>
      <c r="D171" s="6" t="str">
        <f>IFERROR(__xludf.DUMMYFUNCTION("GOOGLETRANSLATE(B171,""en"",""ar"")"),"الأحكام والشروط")</f>
        <v>الأحكام والشروط</v>
      </c>
      <c r="E171" s="6" t="str">
        <f>IFERROR(__xludf.DUMMYFUNCTION("GOOGLETRANSLATE(B171,""en"",""fr"")"),"Termes et conditions")</f>
        <v>Termes et conditions</v>
      </c>
      <c r="F171" s="6" t="str">
        <f>IFERROR(__xludf.DUMMYFUNCTION("GOOGLETRANSLATE(B171,""en"",""tr"")"),"Şartlar ve koşullar")</f>
        <v>Şartlar ve koşullar</v>
      </c>
      <c r="G171" s="6" t="str">
        <f>IFERROR(__xludf.DUMMYFUNCTION("GOOGLETRANSLATE(B171,""en"",""ru"")"),"Условия и положения")</f>
        <v>Условия и положения</v>
      </c>
      <c r="H171" s="6" t="str">
        <f>IFERROR(__xludf.DUMMYFUNCTION("GOOGLETRANSLATE(B171,""en"",""it"")"),"Termini e Condizioni")</f>
        <v>Termini e Condizioni</v>
      </c>
      <c r="I171" s="6" t="str">
        <f>IFERROR(__xludf.DUMMYFUNCTION("GOOGLETRANSLATE(B171,""en"",""de"")"),"Geschäftsbedingungen")</f>
        <v>Geschäftsbedingungen</v>
      </c>
      <c r="J171" s="6" t="str">
        <f>IFERROR(__xludf.DUMMYFUNCTION("GOOGLETRANSLATE(B171,""en"",""ko"")"),"이용 약관")</f>
        <v>이용 약관</v>
      </c>
      <c r="K171" s="6" t="str">
        <f>IFERROR(__xludf.DUMMYFUNCTION("GOOGLETRANSLATE(B171,""en"",""zh"")"),"条款和条件")</f>
        <v>条款和条件</v>
      </c>
      <c r="L171" s="6" t="str">
        <f>IFERROR(__xludf.DUMMYFUNCTION("GOOGLETRANSLATE(B171,""en"",""es"")"),"Términos y condiciones")</f>
        <v>Términos y condiciones</v>
      </c>
      <c r="M171" s="7" t="str">
        <f>IFERROR(__xludf.DUMMYFUNCTION("GOOGLETRANSLATE(B171,""en"",""iw"")"),"תנאים")</f>
        <v>תנאים</v>
      </c>
      <c r="N171" s="6" t="str">
        <f>IFERROR(__xludf.DUMMYFUNCTION("GOOGLETRANSLATE(B171,""en"",""bn"")"),"শর্তাবলী")</f>
        <v>শর্তাবলী</v>
      </c>
      <c r="O171" s="6"/>
      <c r="P171" s="6"/>
    </row>
    <row r="172">
      <c r="A172" s="8" t="s">
        <v>351</v>
      </c>
      <c r="B172" s="12" t="s">
        <v>352</v>
      </c>
      <c r="C172" s="5" t="str">
        <f>IFERROR(__xludf.DUMMYFUNCTION("GOOGLETRANSLATE(B172,""en"",""hi"")"),"आपके विश्वसनीय संपर्क")</f>
        <v>आपके विश्वसनीय संपर्क</v>
      </c>
      <c r="D172" s="6" t="str">
        <f>IFERROR(__xludf.DUMMYFUNCTION("GOOGLETRANSLATE(B172,""en"",""ar"")"),"جهات الاتصال الموثوق بها")</f>
        <v>جهات الاتصال الموثوق بها</v>
      </c>
      <c r="E172" s="6" t="str">
        <f>IFERROR(__xludf.DUMMYFUNCTION("GOOGLETRANSLATE(B172,""en"",""fr"")"),"Vos contacts de confiance")</f>
        <v>Vos contacts de confiance</v>
      </c>
      <c r="F172" s="6" t="str">
        <f>IFERROR(__xludf.DUMMYFUNCTION("GOOGLETRANSLATE(B172,""en"",""tr"")"),"Güvenilir Kişileriniz")</f>
        <v>Güvenilir Kişileriniz</v>
      </c>
      <c r="G172" s="6" t="str">
        <f>IFERROR(__xludf.DUMMYFUNCTION("GOOGLETRANSLATE(B172,""en"",""ru"")"),"Ваши надежные контакты")</f>
        <v>Ваши надежные контакты</v>
      </c>
      <c r="H172" s="6" t="str">
        <f>IFERROR(__xludf.DUMMYFUNCTION("GOOGLETRANSLATE(B172,""en"",""it"")"),"I tuoi contatti di fiducia")</f>
        <v>I tuoi contatti di fiducia</v>
      </c>
      <c r="I172" s="6" t="str">
        <f>IFERROR(__xludf.DUMMYFUNCTION("GOOGLETRANSLATE(B172,""en"",""de"")"),"Ihre vertrauenswürdigen Kontakte")</f>
        <v>Ihre vertrauenswürdigen Kontakte</v>
      </c>
      <c r="J172" s="6" t="str">
        <f>IFERROR(__xludf.DUMMYFUNCTION("GOOGLETRANSLATE(B172,""en"",""ko"")"),"신뢰할 수있는 연락처")</f>
        <v>신뢰할 수있는 연락처</v>
      </c>
      <c r="K172" s="6" t="str">
        <f>IFERROR(__xludf.DUMMYFUNCTION("GOOGLETRANSLATE(B172,""en"",""zh"")"),"您可信赖的联系人")</f>
        <v>您可信赖的联系人</v>
      </c>
      <c r="L172" s="6" t="str">
        <f>IFERROR(__xludf.DUMMYFUNCTION("GOOGLETRANSLATE(B172,""en"",""es"")"),"Tus contactos de confianza")</f>
        <v>Tus contactos de confianza</v>
      </c>
      <c r="M172" s="7" t="str">
        <f>IFERROR(__xludf.DUMMYFUNCTION("GOOGLETRANSLATE(B172,""en"",""iw"")"),"אנשי הקשר המהימנים שלך")</f>
        <v>אנשי הקשר המהימנים שלך</v>
      </c>
      <c r="N172" s="6" t="str">
        <f>IFERROR(__xludf.DUMMYFUNCTION("GOOGLETRANSLATE(B172,""en"",""bn"")"),"আপনার বিশ্বস্ত পরিচিতি")</f>
        <v>আপনার বিশ্বস্ত পরিচিতি</v>
      </c>
      <c r="O172" s="6"/>
      <c r="P172" s="6"/>
    </row>
    <row r="173">
      <c r="A173" s="8" t="s">
        <v>353</v>
      </c>
      <c r="B173" s="9" t="s">
        <v>354</v>
      </c>
      <c r="C173" s="5" t="str">
        <f>IFERROR(__xludf.DUMMYFUNCTION("GOOGLETRANSLATE(B173,""en"",""hi"")"),"क्या आप इस संपर्क को अपने विश्वसनीय संपर्क से हटाना सुनिश्चित कर रहे हैं")</f>
        <v>क्या आप इस संपर्क को अपने विश्वसनीय संपर्क से हटाना सुनिश्चित कर रहे हैं</v>
      </c>
      <c r="D173" s="6" t="str">
        <f>IFERROR(__xludf.DUMMYFUNCTION("GOOGLETRANSLATE(B173,""en"",""ar"")"),"هل أنت متأكد من إزالة جهة الاتصال هذه من جهة الاتصال الموثوق بها")</f>
        <v>هل أنت متأكد من إزالة جهة الاتصال هذه من جهة الاتصال الموثوق بها</v>
      </c>
      <c r="E173" s="6" t="str">
        <f>IFERROR(__xludf.DUMMYFUNCTION("GOOGLETRANSLATE(B173,""en"",""fr"")"),"Êtes-vous sûr de supprimer ce contact de votre contact de confiance")</f>
        <v>Êtes-vous sûr de supprimer ce contact de votre contact de confiance</v>
      </c>
      <c r="F173" s="6" t="str">
        <f>IFERROR(__xludf.DUMMYFUNCTION("GOOGLETRANSLATE(B173,""en"",""tr"")"),"Bu kişiyi güvenilir iletişiminizden kaldıracağınızdan emin misiniz?")</f>
        <v>Bu kişiyi güvenilir iletişiminizden kaldıracağınızdan emin misiniz?</v>
      </c>
      <c r="G173" s="6" t="str">
        <f>IFERROR(__xludf.DUMMYFUNCTION("GOOGLETRANSLATE(B173,""en"",""ru"")"),"Вы обязательно удалите этот контакт из вашего надежного контакта")</f>
        <v>Вы обязательно удалите этот контакт из вашего надежного контакта</v>
      </c>
      <c r="H173" s="6" t="str">
        <f>IFERROR(__xludf.DUMMYFUNCTION("GOOGLETRANSLATE(B173,""en"",""it"")"),"Sei sicuro di rimuovere questo contatto dal contatto di fiducia")</f>
        <v>Sei sicuro di rimuovere questo contatto dal contatto di fiducia</v>
      </c>
      <c r="I173" s="6" t="str">
        <f>IFERROR(__xludf.DUMMYFUNCTION("GOOGLETRANSLATE(B173,""en"",""de"")"),"Entfernen Sie diesen Kontakt sicher von Ihrem vertrauenswürdigen Kontakt?")</f>
        <v>Entfernen Sie diesen Kontakt sicher von Ihrem vertrauenswürdigen Kontakt?</v>
      </c>
      <c r="J173" s="6" t="str">
        <f>IFERROR(__xludf.DUMMYFUNCTION("GOOGLETRANSLATE(B173,""en"",""ko"")"),"신뢰할 수있는 연락처 에서이 연락처를 제거 하시겠습니까?")</f>
        <v>신뢰할 수있는 연락처 에서이 연락처를 제거 하시겠습니까?</v>
      </c>
      <c r="K173" s="6" t="str">
        <f>IFERROR(__xludf.DUMMYFUNCTION("GOOGLETRANSLATE(B173,""en"",""zh"")"),"您一定会从可信赖的联系人中删除此联系")</f>
        <v>您一定会从可信赖的联系人中删除此联系</v>
      </c>
      <c r="L173" s="6" t="str">
        <f>IFERROR(__xludf.DUMMYFUNCTION("GOOGLETRANSLATE(B173,""en"",""es"")"),"¿Está seguro de eliminar este contacto de su contacto de confianza?")</f>
        <v>¿Está seguro de eliminar este contacto de su contacto de confianza?</v>
      </c>
      <c r="M173" s="7" t="str">
        <f>IFERROR(__xludf.DUMMYFUNCTION("GOOGLETRANSLATE(B173,""en"",""iw"")"),"האם אתה בטוח תסיר איש קשר זה מאיש הקשר המהימן שלך")</f>
        <v>האם אתה בטוח תסיר איש קשר זה מאיש הקשר המהימן שלך</v>
      </c>
      <c r="N173" s="6" t="str">
        <f>IFERROR(__xludf.DUMMYFUNCTION("GOOGLETRANSLATE(B173,""en"",""bn"")"),"আপনি কি আপনার বিশ্বস্ত যোগাযোগ থেকে এই যোগাযোগটি সরিয়ে ফেলতে ভুলবেন না?")</f>
        <v>আপনি কি আপনার বিশ্বস্ত যোগাযোগ থেকে এই যোগাযোগটি সরিয়ে ফেলতে ভুলবেন না?</v>
      </c>
      <c r="O173" s="6"/>
      <c r="P173" s="6"/>
    </row>
    <row r="174">
      <c r="A174" s="8" t="s">
        <v>355</v>
      </c>
      <c r="B174" s="12" t="s">
        <v>356</v>
      </c>
      <c r="C174" s="5" t="str">
        <f>IFERROR(__xludf.DUMMYFUNCTION("GOOGLETRANSLATE(B174,""en"",""hi"")"),"कोई डेटा नहीं मिला")</f>
        <v>कोई डेटा नहीं मिला</v>
      </c>
      <c r="D174" s="6" t="str">
        <f>IFERROR(__xludf.DUMMYFUNCTION("GOOGLETRANSLATE(B174,""en"",""ar"")"),"لاتوجد بيانات")</f>
        <v>لاتوجد بيانات</v>
      </c>
      <c r="E174" s="6" t="str">
        <f>IFERROR(__xludf.DUMMYFUNCTION("GOOGLETRANSLATE(B174,""en"",""fr"")"),"Aucune donnée disponible")</f>
        <v>Aucune donnée disponible</v>
      </c>
      <c r="F174" s="6" t="str">
        <f>IFERROR(__xludf.DUMMYFUNCTION("GOOGLETRANSLATE(B174,""en"",""tr"")"),"Veri bulunamadı")</f>
        <v>Veri bulunamadı</v>
      </c>
      <c r="G174" s="6" t="str">
        <f>IFERROR(__xludf.DUMMYFUNCTION("GOOGLETRANSLATE(B174,""en"",""ru"")"),"Данные не найдены")</f>
        <v>Данные не найдены</v>
      </c>
      <c r="H174" s="6" t="str">
        <f>IFERROR(__xludf.DUMMYFUNCTION("GOOGLETRANSLATE(B174,""en"",""it"")"),"Nessun dato trovato")</f>
        <v>Nessun dato trovato</v>
      </c>
      <c r="I174" s="6" t="str">
        <f>IFERROR(__xludf.DUMMYFUNCTION("GOOGLETRANSLATE(B174,""en"",""de"")"),"Keine Daten gefunden")</f>
        <v>Keine Daten gefunden</v>
      </c>
      <c r="J174" s="6" t="str">
        <f>IFERROR(__xludf.DUMMYFUNCTION("GOOGLETRANSLATE(B174,""en"",""ko"")"),"데이터가 없습니다")</f>
        <v>데이터가 없습니다</v>
      </c>
      <c r="K174" s="6" t="str">
        <f>IFERROR(__xludf.DUMMYFUNCTION("GOOGLETRANSLATE(B174,""en"",""zh"")"),"没有找到数据")</f>
        <v>没有找到数据</v>
      </c>
      <c r="L174" s="6" t="str">
        <f>IFERROR(__xludf.DUMMYFUNCTION("GOOGLETRANSLATE(B174,""en"",""es"")"),"Datos no encontrados")</f>
        <v>Datos no encontrados</v>
      </c>
      <c r="M174" s="7" t="str">
        <f>IFERROR(__xludf.DUMMYFUNCTION("GOOGLETRANSLATE(B174,""en"",""iw"")"),"לא נמצאו נתונים")</f>
        <v>לא נמצאו נתונים</v>
      </c>
      <c r="N174" s="6" t="str">
        <f>IFERROR(__xludf.DUMMYFUNCTION("GOOGLETRANSLATE(B174,""en"",""bn"")"),"কোনও ডেটা পাওয়া যায় নি")</f>
        <v>কোনও ডেটা পাওয়া যায় নি</v>
      </c>
      <c r="O174" s="6"/>
      <c r="P174" s="6"/>
    </row>
    <row r="175">
      <c r="A175" s="8" t="s">
        <v>357</v>
      </c>
      <c r="B175" s="9" t="s">
        <v>358</v>
      </c>
      <c r="C175" s="5" t="str">
        <f>IFERROR(__xludf.DUMMYFUNCTION("GOOGLETRANSLATE(B175,""en"",""hi"")"),"क्या आप इस पते को अपने पसंदीदा से हटाना सुनिश्चित करते हैं")</f>
        <v>क्या आप इस पते को अपने पसंदीदा से हटाना सुनिश्चित करते हैं</v>
      </c>
      <c r="D175" s="6" t="str">
        <f>IFERROR(__xludf.DUMMYFUNCTION("GOOGLETRANSLATE(B175,""en"",""ar"")"),"هل أنت متأكد من إزالة هذا العنوان من مفضلاتك")</f>
        <v>هل أنت متأكد من إزالة هذا العنوان من مفضلاتك</v>
      </c>
      <c r="E175" s="6" t="str">
        <f>IFERROR(__xludf.DUMMYFUNCTION("GOOGLETRANSLATE(B175,""en"",""fr"")"),"Êtes-vous sûr de supprimer cette adresse de vos favoris")</f>
        <v>Êtes-vous sûr de supprimer cette adresse de vos favoris</v>
      </c>
      <c r="F175" s="6" t="str">
        <f>IFERROR(__xludf.DUMMYFUNCTION("GOOGLETRANSLATE(B175,""en"",""tr"")"),"Bu adresi favorilerinizden kaldıracağınızdan emin misiniz")</f>
        <v>Bu adresi favorilerinizden kaldıracağınızdan emin misiniz</v>
      </c>
      <c r="G175" s="6" t="str">
        <f>IFERROR(__xludf.DUMMYFUNCTION("GOOGLETRANSLATE(B175,""en"",""ru"")"),"Вы обязательно удалите этот адрес из своих любимых")</f>
        <v>Вы обязательно удалите этот адрес из своих любимых</v>
      </c>
      <c r="H175" s="6" t="str">
        <f>IFERROR(__xludf.DUMMYFUNCTION("GOOGLETRANSLATE(B175,""en"",""it"")"),"Sei sicuro di rimuovere questo indirizzo dai tuoi preferiti")</f>
        <v>Sei sicuro di rimuovere questo indirizzo dai tuoi preferiti</v>
      </c>
      <c r="I175" s="6" t="str">
        <f>IFERROR(__xludf.DUMMYFUNCTION("GOOGLETRANSLATE(B175,""en"",""de"")"),"Entfernen Sie diese Adresse sicher von Ihren Favoriten?")</f>
        <v>Entfernen Sie diese Adresse sicher von Ihren Favoriten?</v>
      </c>
      <c r="J175" s="6" t="str">
        <f>IFERROR(__xludf.DUMMYFUNCTION("GOOGLETRANSLATE(B175,""en"",""ko"")"),"즐겨 찾기 에서이 주소를 제거 하시겠습니까?")</f>
        <v>즐겨 찾기 에서이 주소를 제거 하시겠습니까?</v>
      </c>
      <c r="K175" s="6" t="str">
        <f>IFERROR(__xludf.DUMMYFUNCTION("GOOGLETRANSLATE(B175,""en"",""zh"")"),"您一定会从您的收藏夹中删除此地址")</f>
        <v>您一定会从您的收藏夹中删除此地址</v>
      </c>
      <c r="L175" s="6" t="str">
        <f>IFERROR(__xludf.DUMMYFUNCTION("GOOGLETRANSLATE(B175,""en"",""es"")"),"¿Está seguro de eliminar esta dirección de sus favoritos?")</f>
        <v>¿Está seguro de eliminar esta dirección de sus favoritos?</v>
      </c>
      <c r="M175" s="7" t="str">
        <f>IFERROR(__xludf.DUMMYFUNCTION("GOOGLETRANSLATE(B175,""en"",""iw"")"),"האם אתה בטוח תסיר כתובת זו מהמועדפים שלך")</f>
        <v>האם אתה בטוח תסיר כתובת זו מהמועדפים שלך</v>
      </c>
      <c r="N175" s="6" t="str">
        <f>IFERROR(__xludf.DUMMYFUNCTION("GOOGLETRANSLATE(B175,""en"",""bn"")"),"আপনি কি আপনার পছন্দসই থেকে এই ঠিকানাটি সরিয়ে ফেলতে ভুলবেন না?")</f>
        <v>আপনি কি আপনার পছন্দসই থেকে এই ঠিকানাটি সরিয়ে ফেলতে ভুলবেন না?</v>
      </c>
      <c r="O175" s="6"/>
      <c r="P175" s="6"/>
    </row>
    <row r="176">
      <c r="A176" s="8" t="s">
        <v>359</v>
      </c>
      <c r="B176" s="9" t="s">
        <v>360</v>
      </c>
      <c r="C176" s="5" t="str">
        <f>IFERROR(__xludf.DUMMYFUNCTION("GOOGLETRANSLATE(B176,""en"",""hi"")"),"आमंत्रित करना")</f>
        <v>आमंत्रित करना</v>
      </c>
      <c r="D176" s="6" t="str">
        <f>IFERROR(__xludf.DUMMYFUNCTION("GOOGLETRANSLATE(B176,""en"",""ar"")"),"يدعو")</f>
        <v>يدعو</v>
      </c>
      <c r="E176" s="6" t="str">
        <f>IFERROR(__xludf.DUMMYFUNCTION("GOOGLETRANSLATE(B176,""en"",""fr"")"),"Inviter")</f>
        <v>Inviter</v>
      </c>
      <c r="F176" s="6" t="str">
        <f>IFERROR(__xludf.DUMMYFUNCTION("GOOGLETRANSLATE(B176,""en"",""tr"")"),"Davet etmek")</f>
        <v>Davet etmek</v>
      </c>
      <c r="G176" s="6" t="str">
        <f>IFERROR(__xludf.DUMMYFUNCTION("GOOGLETRANSLATE(B176,""en"",""ru"")"),"Приглашать")</f>
        <v>Приглашать</v>
      </c>
      <c r="H176" s="6" t="str">
        <f>IFERROR(__xludf.DUMMYFUNCTION("GOOGLETRANSLATE(B176,""en"",""it"")"),"Invitare")</f>
        <v>Invitare</v>
      </c>
      <c r="I176" s="6" t="str">
        <f>IFERROR(__xludf.DUMMYFUNCTION("GOOGLETRANSLATE(B176,""en"",""de"")"),"Einladen")</f>
        <v>Einladen</v>
      </c>
      <c r="J176" s="6" t="str">
        <f>IFERROR(__xludf.DUMMYFUNCTION("GOOGLETRANSLATE(B176,""en"",""ko"")"),"초대")</f>
        <v>초대</v>
      </c>
      <c r="K176" s="6" t="str">
        <f>IFERROR(__xludf.DUMMYFUNCTION("GOOGLETRANSLATE(B176,""en"",""zh"")"),"邀请")</f>
        <v>邀请</v>
      </c>
      <c r="L176" s="6" t="str">
        <f>IFERROR(__xludf.DUMMYFUNCTION("GOOGLETRANSLATE(B176,""en"",""es"")"),"Invitar")</f>
        <v>Invitar</v>
      </c>
      <c r="M176" s="7" t="str">
        <f>IFERROR(__xludf.DUMMYFUNCTION("GOOGLETRANSLATE(B176,""en"",""iw"")"),"להזמין")</f>
        <v>להזמין</v>
      </c>
      <c r="N176" s="6" t="str">
        <f>IFERROR(__xludf.DUMMYFUNCTION("GOOGLETRANSLATE(B176,""en"",""bn"")"),"আমন্ত্রণ")</f>
        <v>আমন্ত্রণ</v>
      </c>
      <c r="O176" s="6"/>
      <c r="P176" s="6"/>
    </row>
    <row r="177">
      <c r="A177" s="8" t="s">
        <v>361</v>
      </c>
      <c r="B177" s="9" t="s">
        <v>362</v>
      </c>
      <c r="C177" s="5" t="str">
        <f>IFERROR(__xludf.DUMMYFUNCTION("GOOGLETRANSLATE(B177,""en"",""hi"")"),"55 पर मेरे साथ जुड़ें! मेरे आमंत्रित कोड का उपयोग करना")</f>
        <v>55 पर मेरे साथ जुड़ें! मेरे आमंत्रित कोड का उपयोग करना</v>
      </c>
      <c r="D177" s="6" t="str">
        <f>IFERROR(__xludf.DUMMYFUNCTION("GOOGLETRANSLATE(B177,""en"",""ar"")"),"انضم إلي في 55! باستخدام رمز الدعوة الخاص بي")</f>
        <v>انضم إلي في 55! باستخدام رمز الدعوة الخاص بي</v>
      </c>
      <c r="E177" s="6" t="str">
        <f>IFERROR(__xludf.DUMMYFUNCTION("GOOGLETRANSLATE(B177,""en"",""fr"")"),"Rejoignez-moi sur 55! en utilisant mon code d'invitation")</f>
        <v>Rejoignez-moi sur 55! en utilisant mon code d'invitation</v>
      </c>
      <c r="F177" s="6" t="str">
        <f>IFERROR(__xludf.DUMMYFUNCTION("GOOGLETRANSLATE(B177,""en"",""tr"")"),"55'te bana katılın! davet kodumu kullanarak")</f>
        <v>55'te bana katılın! davet kodumu kullanarak</v>
      </c>
      <c r="G177" s="6" t="str">
        <f>IFERROR(__xludf.DUMMYFUNCTION("GOOGLETRANSLATE(B177,""en"",""ru"")"),"Присоединяйтесь ко мне на 55! Используя мой код приглашения")</f>
        <v>Присоединяйтесь ко мне на 55! Используя мой код приглашения</v>
      </c>
      <c r="H177" s="6" t="str">
        <f>IFERROR(__xludf.DUMMYFUNCTION("GOOGLETRANSLATE(B177,""en"",""it"")"),"Unisciti a me al 55! Usando il mio codice di invito")</f>
        <v>Unisciti a me al 55! Usando il mio codice di invito</v>
      </c>
      <c r="I177" s="6" t="str">
        <f>IFERROR(__xludf.DUMMYFUNCTION("GOOGLETRANSLATE(B177,""en"",""de"")"),"Begleiten Sie mich auf 55! Verwenden Sie meinen Einladungscode")</f>
        <v>Begleiten Sie mich auf 55! Verwenden Sie meinen Einladungscode</v>
      </c>
      <c r="J177" s="6" t="str">
        <f>IFERROR(__xludf.DUMMYFUNCTION("GOOGLETRANSLATE(B177,""en"",""ko"")"),"55에 나와 함께! 내 초대 코드를 사용합니다")</f>
        <v>55에 나와 함께! 내 초대 코드를 사용합니다</v>
      </c>
      <c r="K177" s="6" t="str">
        <f>IFERROR(__xludf.DUMMYFUNCTION("GOOGLETRANSLATE(B177,""en"",""zh"")"),"加入我的55！使用我的邀请代码")</f>
        <v>加入我的55！使用我的邀请代码</v>
      </c>
      <c r="L177" s="6" t="str">
        <f>IFERROR(__xludf.DUMMYFUNCTION("GOOGLETRANSLATE(B177,""en"",""es"")"),"¡Únete a mí en 55! Usando mi código de invitación")</f>
        <v>¡Únete a mí en 55! Usando mi código de invitación</v>
      </c>
      <c r="M177" s="7" t="str">
        <f>IFERROR(__xludf.DUMMYFUNCTION("GOOGLETRANSLATE(B177,""en"",""iw"")"),"הצטרף אליי ב 55! באמצעות קוד ההזמנה שלי")</f>
        <v>הצטרף אליי ב 55! באמצעות קוד ההזמנה שלי</v>
      </c>
      <c r="N177" s="6" t="str">
        <f>IFERROR(__xludf.DUMMYFUNCTION("GOOGLETRANSLATE(B177,""en"",""bn"")"),"55 এ আমার সাথে যোগ দিন! আমার আমন্ত্রণ কোড ব্যবহার করে")</f>
        <v>55 এ আমার সাথে যোগ দিন! আমার আমন্ত্রণ কোড ব্যবহার করে</v>
      </c>
      <c r="O177" s="6"/>
      <c r="P177" s="6"/>
    </row>
    <row r="178">
      <c r="A178" s="8" t="s">
        <v>363</v>
      </c>
      <c r="B178" s="9" t="s">
        <v>364</v>
      </c>
      <c r="C178" s="5" t="str">
        <f>IFERROR(__xludf.DUMMYFUNCTION("GOOGLETRANSLATE(B178,""en"",""hi"")"),"अपनी सवारी को आसान बनाने के लिए")</f>
        <v>अपनी सवारी को आसान बनाने के लिए</v>
      </c>
      <c r="D178" s="6" t="str">
        <f>IFERROR(__xludf.DUMMYFUNCTION("GOOGLETRANSLATE(B178,""en"",""ar"")"),"لتسهيل رحلتك")</f>
        <v>لتسهيل رحلتك</v>
      </c>
      <c r="E178" s="6" t="str">
        <f>IFERROR(__xludf.DUMMYFUNCTION("GOOGLETRANSLATE(B178,""en"",""fr"")"),"Pour faciliter votre balade")</f>
        <v>Pour faciliter votre balade</v>
      </c>
      <c r="F178" s="6" t="str">
        <f>IFERROR(__xludf.DUMMYFUNCTION("GOOGLETRANSLATE(B178,""en"",""tr"")"),"Sürüşünüzü kolaylaştırmak için")</f>
        <v>Sürüşünüzü kolaylaştırmak için</v>
      </c>
      <c r="G178" s="6" t="str">
        <f>IFERROR(__xludf.DUMMYFUNCTION("GOOGLETRANSLATE(B178,""en"",""ru"")"),"Чтобы упростить поездку")</f>
        <v>Чтобы упростить поездку</v>
      </c>
      <c r="H178" s="6" t="str">
        <f>IFERROR(__xludf.DUMMYFUNCTION("GOOGLETRANSLATE(B178,""en"",""it"")"),"Per rendere facile la tua corsa")</f>
        <v>Per rendere facile la tua corsa</v>
      </c>
      <c r="I178" s="6" t="str">
        <f>IFERROR(__xludf.DUMMYFUNCTION("GOOGLETRANSLATE(B178,""en"",""de"")"),"Um Ihre Fahrt einfach zu erleichtern")</f>
        <v>Um Ihre Fahrt einfach zu erleichtern</v>
      </c>
      <c r="J178" s="6" t="str">
        <f>IFERROR(__xludf.DUMMYFUNCTION("GOOGLETRANSLATE(B178,""en"",""ko"")"),"타는 것을 쉽게 만들기 위해")</f>
        <v>타는 것을 쉽게 만들기 위해</v>
      </c>
      <c r="K178" s="6" t="str">
        <f>IFERROR(__xludf.DUMMYFUNCTION("GOOGLETRANSLATE(B178,""en"",""zh"")"),"轻松骑行")</f>
        <v>轻松骑行</v>
      </c>
      <c r="L178" s="6" t="str">
        <f>IFERROR(__xludf.DUMMYFUNCTION("GOOGLETRANSLATE(B178,""en"",""es"")"),"Para facilitar tu viaje")</f>
        <v>Para facilitar tu viaje</v>
      </c>
      <c r="M178" s="7" t="str">
        <f>IFERROR(__xludf.DUMMYFUNCTION("GOOGLETRANSLATE(B178,""en"",""iw"")"),"כדי להקל על הרכיבה שלך")</f>
        <v>כדי להקל על הרכיבה שלך</v>
      </c>
      <c r="N178" s="6" t="str">
        <f>IFERROR(__xludf.DUMMYFUNCTION("GOOGLETRANSLATE(B178,""en"",""bn"")"),"আপনার যাত্রা সহজ করতে")</f>
        <v>আপনার যাত্রা সহজ করতে</v>
      </c>
      <c r="O178" s="6"/>
      <c r="P178" s="6"/>
    </row>
    <row r="179">
      <c r="A179" s="8" t="s">
        <v>365</v>
      </c>
      <c r="B179" s="9" t="s">
        <v>366</v>
      </c>
      <c r="C179" s="5" t="str">
        <f>IFERROR(__xludf.DUMMYFUNCTION("GOOGLETRANSLATE(B179,""en"",""hi"")"),"आगामी")</f>
        <v>आगामी</v>
      </c>
      <c r="D179" s="6" t="str">
        <f>IFERROR(__xludf.DUMMYFUNCTION("GOOGLETRANSLATE(B179,""en"",""ar"")"),"القادمة")</f>
        <v>القادمة</v>
      </c>
      <c r="E179" s="6" t="str">
        <f>IFERROR(__xludf.DUMMYFUNCTION("GOOGLETRANSLATE(B179,""en"",""fr"")"),"A venir")</f>
        <v>A venir</v>
      </c>
      <c r="F179" s="6" t="str">
        <f>IFERROR(__xludf.DUMMYFUNCTION("GOOGLETRANSLATE(B179,""en"",""tr"")"),"Yaklaşan")</f>
        <v>Yaklaşan</v>
      </c>
      <c r="G179" s="6" t="str">
        <f>IFERROR(__xludf.DUMMYFUNCTION("GOOGLETRANSLATE(B179,""en"",""ru"")"),"Предстоящий")</f>
        <v>Предстоящий</v>
      </c>
      <c r="H179" s="6" t="str">
        <f>IFERROR(__xludf.DUMMYFUNCTION("GOOGLETRANSLATE(B179,""en"",""it"")"),"Imminente")</f>
        <v>Imminente</v>
      </c>
      <c r="I179" s="6" t="str">
        <f>IFERROR(__xludf.DUMMYFUNCTION("GOOGLETRANSLATE(B179,""en"",""de"")"),"Bevorstehende")</f>
        <v>Bevorstehende</v>
      </c>
      <c r="J179" s="6" t="str">
        <f>IFERROR(__xludf.DUMMYFUNCTION("GOOGLETRANSLATE(B179,""en"",""ko"")"),"다가오는")</f>
        <v>다가오는</v>
      </c>
      <c r="K179" s="6" t="str">
        <f>IFERROR(__xludf.DUMMYFUNCTION("GOOGLETRANSLATE(B179,""en"",""zh"")"),"即将到来")</f>
        <v>即将到来</v>
      </c>
      <c r="L179" s="6" t="str">
        <f>IFERROR(__xludf.DUMMYFUNCTION("GOOGLETRANSLATE(B179,""en"",""es"")"),"Próximo")</f>
        <v>Próximo</v>
      </c>
      <c r="M179" s="7" t="str">
        <f>IFERROR(__xludf.DUMMYFUNCTION("GOOGLETRANSLATE(B179,""en"",""iw"")"),"צפוי")</f>
        <v>צפוי</v>
      </c>
      <c r="N179" s="6" t="str">
        <f>IFERROR(__xludf.DUMMYFUNCTION("GOOGLETRANSLATE(B179,""en"",""bn"")"),"আসন্ন")</f>
        <v>আসন্ন</v>
      </c>
      <c r="O179" s="6"/>
      <c r="P179" s="6"/>
    </row>
    <row r="180">
      <c r="A180" s="8" t="s">
        <v>367</v>
      </c>
      <c r="B180" s="9" t="s">
        <v>368</v>
      </c>
      <c r="C180" s="5" t="str">
        <f>IFERROR(__xludf.DUMMYFUNCTION("GOOGLETRANSLATE(B180,""en"",""hi"")"),"पूरा हुआ")</f>
        <v>पूरा हुआ</v>
      </c>
      <c r="D180" s="6" t="str">
        <f>IFERROR(__xludf.DUMMYFUNCTION("GOOGLETRANSLATE(B180,""en"",""ar"")"),"مكتمل")</f>
        <v>مكتمل</v>
      </c>
      <c r="E180" s="6" t="str">
        <f>IFERROR(__xludf.DUMMYFUNCTION("GOOGLETRANSLATE(B180,""en"",""fr"")"),"Complété")</f>
        <v>Complété</v>
      </c>
      <c r="F180" s="6" t="str">
        <f>IFERROR(__xludf.DUMMYFUNCTION("GOOGLETRANSLATE(B180,""en"",""tr"")"),"Tamamlanmış")</f>
        <v>Tamamlanmış</v>
      </c>
      <c r="G180" s="6" t="str">
        <f>IFERROR(__xludf.DUMMYFUNCTION("GOOGLETRANSLATE(B180,""en"",""ru"")"),"Завершенный")</f>
        <v>Завершенный</v>
      </c>
      <c r="H180" s="6" t="str">
        <f>IFERROR(__xludf.DUMMYFUNCTION("GOOGLETRANSLATE(B180,""en"",""it"")"),"Completato")</f>
        <v>Completato</v>
      </c>
      <c r="I180" s="6" t="str">
        <f>IFERROR(__xludf.DUMMYFUNCTION("GOOGLETRANSLATE(B180,""en"",""de"")"),"Abgeschlossen")</f>
        <v>Abgeschlossen</v>
      </c>
      <c r="J180" s="6" t="str">
        <f>IFERROR(__xludf.DUMMYFUNCTION("GOOGLETRANSLATE(B180,""en"",""ko"")"),"완전한")</f>
        <v>완전한</v>
      </c>
      <c r="K180" s="6" t="str">
        <f>IFERROR(__xludf.DUMMYFUNCTION("GOOGLETRANSLATE(B180,""en"",""zh"")"),"完全的")</f>
        <v>完全的</v>
      </c>
      <c r="L180" s="6" t="str">
        <f>IFERROR(__xludf.DUMMYFUNCTION("GOOGLETRANSLATE(B180,""en"",""es"")"),"Terminado")</f>
        <v>Terminado</v>
      </c>
      <c r="M180" s="7" t="str">
        <f>IFERROR(__xludf.DUMMYFUNCTION("GOOGLETRANSLATE(B180,""en"",""iw"")"),"הושלם")</f>
        <v>הושלם</v>
      </c>
      <c r="N180" s="6" t="str">
        <f>IFERROR(__xludf.DUMMYFUNCTION("GOOGLETRANSLATE(B180,""en"",""bn"")"),"সম্পূর্ণ")</f>
        <v>সম্পূর্ণ</v>
      </c>
      <c r="O180" s="6"/>
      <c r="P180" s="6"/>
    </row>
    <row r="181">
      <c r="A181" s="8" t="s">
        <v>369</v>
      </c>
      <c r="B181" s="9" t="s">
        <v>370</v>
      </c>
      <c r="C181" s="5" t="str">
        <f>IFERROR(__xludf.DUMMYFUNCTION("GOOGLETRANSLATE(B181,""en"",""hi"")"),"रद्द")</f>
        <v>रद्द</v>
      </c>
      <c r="D181" s="6" t="str">
        <f>IFERROR(__xludf.DUMMYFUNCTION("GOOGLETRANSLATE(B181,""en"",""ar"")"),"ألغيت")</f>
        <v>ألغيت</v>
      </c>
      <c r="E181" s="6" t="str">
        <f>IFERROR(__xludf.DUMMYFUNCTION("GOOGLETRANSLATE(B181,""en"",""fr"")"),"Annulé")</f>
        <v>Annulé</v>
      </c>
      <c r="F181" s="6" t="str">
        <f>IFERROR(__xludf.DUMMYFUNCTION("GOOGLETRANSLATE(B181,""en"",""tr"")"),"İptal edildi")</f>
        <v>İptal edildi</v>
      </c>
      <c r="G181" s="6" t="str">
        <f>IFERROR(__xludf.DUMMYFUNCTION("GOOGLETRANSLATE(B181,""en"",""ru"")"),"Отменен")</f>
        <v>Отменен</v>
      </c>
      <c r="H181" s="6" t="str">
        <f>IFERROR(__xludf.DUMMYFUNCTION("GOOGLETRANSLATE(B181,""en"",""it"")"),"Annullato")</f>
        <v>Annullato</v>
      </c>
      <c r="I181" s="6" t="str">
        <f>IFERROR(__xludf.DUMMYFUNCTION("GOOGLETRANSLATE(B181,""en"",""de"")"),"Abgesagt")</f>
        <v>Abgesagt</v>
      </c>
      <c r="J181" s="6" t="str">
        <f>IFERROR(__xludf.DUMMYFUNCTION("GOOGLETRANSLATE(B181,""en"",""ko"")"),"취소 된")</f>
        <v>취소 된</v>
      </c>
      <c r="K181" s="6" t="str">
        <f>IFERROR(__xludf.DUMMYFUNCTION("GOOGLETRANSLATE(B181,""en"",""zh"")"),"取消")</f>
        <v>取消</v>
      </c>
      <c r="L181" s="6" t="str">
        <f>IFERROR(__xludf.DUMMYFUNCTION("GOOGLETRANSLATE(B181,""en"",""es"")"),"Cancelado")</f>
        <v>Cancelado</v>
      </c>
      <c r="M181" s="7" t="str">
        <f>IFERROR(__xludf.DUMMYFUNCTION("GOOGLETRANSLATE(B181,""en"",""iw"")"),"מבוטל")</f>
        <v>מבוטל</v>
      </c>
      <c r="N181" s="6" t="str">
        <f>IFERROR(__xludf.DUMMYFUNCTION("GOOGLETRANSLATE(B181,""en"",""bn"")"),"বাতিল")</f>
        <v>বাতিল</v>
      </c>
      <c r="O181" s="6"/>
      <c r="P181" s="6"/>
    </row>
    <row r="182">
      <c r="A182" s="8" t="s">
        <v>371</v>
      </c>
      <c r="B182" s="9" t="s">
        <v>372</v>
      </c>
      <c r="C182" s="5" t="str">
        <f>IFERROR(__xludf.DUMMYFUNCTION("GOOGLETRANSLATE(B182,""en"",""hi"")"),"कार्ड")</f>
        <v>कार्ड</v>
      </c>
      <c r="D182" s="6" t="str">
        <f>IFERROR(__xludf.DUMMYFUNCTION("GOOGLETRANSLATE(B182,""en"",""ar"")"),"بطاقة")</f>
        <v>بطاقة</v>
      </c>
      <c r="E182" s="6" t="str">
        <f>IFERROR(__xludf.DUMMYFUNCTION("GOOGLETRANSLATE(B182,""en"",""fr"")"),"Carte")</f>
        <v>Carte</v>
      </c>
      <c r="F182" s="6" t="str">
        <f>IFERROR(__xludf.DUMMYFUNCTION("GOOGLETRANSLATE(B182,""en"",""tr"")"),"Kart")</f>
        <v>Kart</v>
      </c>
      <c r="G182" s="6" t="str">
        <f>IFERROR(__xludf.DUMMYFUNCTION("GOOGLETRANSLATE(B182,""en"",""ru"")"),"Открытка")</f>
        <v>Открытка</v>
      </c>
      <c r="H182" s="6" t="str">
        <f>IFERROR(__xludf.DUMMYFUNCTION("GOOGLETRANSLATE(B182,""en"",""it"")"),"Carta")</f>
        <v>Carta</v>
      </c>
      <c r="I182" s="6" t="str">
        <f>IFERROR(__xludf.DUMMYFUNCTION("GOOGLETRANSLATE(B182,""en"",""de"")"),"Karte")</f>
        <v>Karte</v>
      </c>
      <c r="J182" s="6" t="str">
        <f>IFERROR(__xludf.DUMMYFUNCTION("GOOGLETRANSLATE(B182,""en"",""ko"")"),"카드")</f>
        <v>카드</v>
      </c>
      <c r="K182" s="6" t="str">
        <f>IFERROR(__xludf.DUMMYFUNCTION("GOOGLETRANSLATE(B182,""en"",""zh"")"),"卡片")</f>
        <v>卡片</v>
      </c>
      <c r="L182" s="6" t="str">
        <f>IFERROR(__xludf.DUMMYFUNCTION("GOOGLETRANSLATE(B182,""en"",""es"")"),"Tarjeta")</f>
        <v>Tarjeta</v>
      </c>
      <c r="M182" s="7" t="str">
        <f>IFERROR(__xludf.DUMMYFUNCTION("GOOGLETRANSLATE(B182,""en"",""iw"")"),"כַּרְטִיס")</f>
        <v>כַּרְטִיס</v>
      </c>
      <c r="N182" s="6" t="str">
        <f>IFERROR(__xludf.DUMMYFUNCTION("GOOGLETRANSLATE(B182,""en"",""bn"")"),"কার্ড")</f>
        <v>কার্ড</v>
      </c>
      <c r="O182" s="6"/>
      <c r="P182" s="6"/>
    </row>
    <row r="183">
      <c r="A183" s="8" t="s">
        <v>373</v>
      </c>
      <c r="B183" s="9" t="s">
        <v>374</v>
      </c>
      <c r="C183" s="5" t="str">
        <f>IFERROR(__xludf.DUMMYFUNCTION("GOOGLETRANSLATE(B183,""en"",""hi"")"),"और लोड करें")</f>
        <v>और लोड करें</v>
      </c>
      <c r="D183" s="6" t="str">
        <f>IFERROR(__xludf.DUMMYFUNCTION("GOOGLETRANSLATE(B183,""en"",""ar"")"),"تحميل المزيد")</f>
        <v>تحميل المزيد</v>
      </c>
      <c r="E183" s="6" t="str">
        <f>IFERROR(__xludf.DUMMYFUNCTION("GOOGLETRANSLATE(B183,""en"",""fr"")"),"Charger plus")</f>
        <v>Charger plus</v>
      </c>
      <c r="F183" s="6" t="str">
        <f>IFERROR(__xludf.DUMMYFUNCTION("GOOGLETRANSLATE(B183,""en"",""tr"")"),"Daha fazla yükle")</f>
        <v>Daha fazla yükle</v>
      </c>
      <c r="G183" s="6" t="str">
        <f>IFERROR(__xludf.DUMMYFUNCTION("GOOGLETRANSLATE(B183,""en"",""ru"")"),"Загрузи больше")</f>
        <v>Загрузи больше</v>
      </c>
      <c r="H183" s="6" t="str">
        <f>IFERROR(__xludf.DUMMYFUNCTION("GOOGLETRANSLATE(B183,""en"",""it"")"),"Carica di più")</f>
        <v>Carica di più</v>
      </c>
      <c r="I183" s="6" t="str">
        <f>IFERROR(__xludf.DUMMYFUNCTION("GOOGLETRANSLATE(B183,""en"",""de"")"),"Mehr laden")</f>
        <v>Mehr laden</v>
      </c>
      <c r="J183" s="6" t="str">
        <f>IFERROR(__xludf.DUMMYFUNCTION("GOOGLETRANSLATE(B183,""en"",""ko"")"),"더로드하십시오")</f>
        <v>더로드하십시오</v>
      </c>
      <c r="K183" s="6" t="str">
        <f>IFERROR(__xludf.DUMMYFUNCTION("GOOGLETRANSLATE(B183,""en"",""zh"")"),"装载更多")</f>
        <v>装载更多</v>
      </c>
      <c r="L183" s="6" t="str">
        <f>IFERROR(__xludf.DUMMYFUNCTION("GOOGLETRANSLATE(B183,""en"",""es"")"),"Carga más")</f>
        <v>Carga más</v>
      </c>
      <c r="M183" s="7" t="str">
        <f>IFERROR(__xludf.DUMMYFUNCTION("GOOGLETRANSLATE(B183,""en"",""iw"")"),"טען יותר")</f>
        <v>טען יותר</v>
      </c>
      <c r="N183" s="6" t="str">
        <f>IFERROR(__xludf.DUMMYFUNCTION("GOOGLETRANSLATE(B183,""en"",""bn"")"),"আর ঢুকাও")</f>
        <v>আর ঢুকাও</v>
      </c>
      <c r="O183" s="6"/>
      <c r="P183" s="6"/>
    </row>
    <row r="184">
      <c r="A184" s="8" t="s">
        <v>375</v>
      </c>
      <c r="B184" s="9" t="s">
        <v>376</v>
      </c>
      <c r="C184" s="5" t="str">
        <f>IFERROR(__xludf.DUMMYFUNCTION("GOOGLETRANSLATE(B184,""en"",""hi"")"),"स्थान विवरण")</f>
        <v>स्थान विवरण</v>
      </c>
      <c r="D184" s="6" t="str">
        <f>IFERROR(__xludf.DUMMYFUNCTION("GOOGLETRANSLATE(B184,""en"",""ar"")"),"تفاصيل الموقع")</f>
        <v>تفاصيل الموقع</v>
      </c>
      <c r="E184" s="6" t="str">
        <f>IFERROR(__xludf.DUMMYFUNCTION("GOOGLETRANSLATE(B184,""en"",""fr"")"),"Détails de l'emplacement")</f>
        <v>Détails de l'emplacement</v>
      </c>
      <c r="F184" s="6" t="str">
        <f>IFERROR(__xludf.DUMMYFUNCTION("GOOGLETRANSLATE(B184,""en"",""tr"")"),"Konum Ayrıntıları")</f>
        <v>Konum Ayrıntıları</v>
      </c>
      <c r="G184" s="6" t="str">
        <f>IFERROR(__xludf.DUMMYFUNCTION("GOOGLETRANSLATE(B184,""en"",""ru"")"),"Детали местоположения")</f>
        <v>Детали местоположения</v>
      </c>
      <c r="H184" s="6" t="str">
        <f>IFERROR(__xludf.DUMMYFUNCTION("GOOGLETRANSLATE(B184,""en"",""it"")"),"Dettagli della posizione")</f>
        <v>Dettagli della posizione</v>
      </c>
      <c r="I184" s="6" t="str">
        <f>IFERROR(__xludf.DUMMYFUNCTION("GOOGLETRANSLATE(B184,""en"",""de"")"),"Standortdetails")</f>
        <v>Standortdetails</v>
      </c>
      <c r="J184" s="6" t="str">
        <f>IFERROR(__xludf.DUMMYFUNCTION("GOOGLETRANSLATE(B184,""en"",""ko"")"),"위치 세부 사항")</f>
        <v>위치 세부 사항</v>
      </c>
      <c r="K184" s="6" t="str">
        <f>IFERROR(__xludf.DUMMYFUNCTION("GOOGLETRANSLATE(B184,""en"",""zh"")"),"位置详细信息")</f>
        <v>位置详细信息</v>
      </c>
      <c r="L184" s="6" t="str">
        <f>IFERROR(__xludf.DUMMYFUNCTION("GOOGLETRANSLATE(B184,""en"",""es"")"),"Detalles de ubicación")</f>
        <v>Detalles de ubicación</v>
      </c>
      <c r="M184" s="7" t="str">
        <f>IFERROR(__xludf.DUMMYFUNCTION("GOOGLETRANSLATE(B184,""en"",""iw"")"),"פרטי מיקום")</f>
        <v>פרטי מיקום</v>
      </c>
      <c r="N184" s="6" t="str">
        <f>IFERROR(__xludf.DUMMYFUNCTION("GOOGLETRANSLATE(B184,""en"",""bn"")"),"অবস্থানের বিশদ")</f>
        <v>অবস্থানের বিশদ</v>
      </c>
      <c r="O184" s="6"/>
      <c r="P184" s="6"/>
    </row>
    <row r="185">
      <c r="A185" s="8" t="s">
        <v>377</v>
      </c>
      <c r="B185" s="9" t="s">
        <v>378</v>
      </c>
      <c r="C185" s="5" t="str">
        <f>IFERROR(__xludf.DUMMYFUNCTION("GOOGLETRANSLATE(B185,""en"",""hi"")"),"सौंपा गया")</f>
        <v>सौंपा गया</v>
      </c>
      <c r="D185" s="6" t="str">
        <f>IFERROR(__xludf.DUMMYFUNCTION("GOOGLETRANSLATE(B185,""en"",""ar"")"),"مُكَلَّف")</f>
        <v>مُكَلَّف</v>
      </c>
      <c r="E185" s="6" t="str">
        <f>IFERROR(__xludf.DUMMYFUNCTION("GOOGLETRANSLATE(B185,""en"",""fr"")"),"Attribué")</f>
        <v>Attribué</v>
      </c>
      <c r="F185" s="6" t="str">
        <f>IFERROR(__xludf.DUMMYFUNCTION("GOOGLETRANSLATE(B185,""en"",""tr"")"),"Atanmış")</f>
        <v>Atanmış</v>
      </c>
      <c r="G185" s="6" t="str">
        <f>IFERROR(__xludf.DUMMYFUNCTION("GOOGLETRANSLATE(B185,""en"",""ru"")"),"Назначенный")</f>
        <v>Назначенный</v>
      </c>
      <c r="H185" s="6" t="str">
        <f>IFERROR(__xludf.DUMMYFUNCTION("GOOGLETRANSLATE(B185,""en"",""it"")"),"Assegnato")</f>
        <v>Assegnato</v>
      </c>
      <c r="I185" s="6" t="str">
        <f>IFERROR(__xludf.DUMMYFUNCTION("GOOGLETRANSLATE(B185,""en"",""de"")"),"Zugewiesen")</f>
        <v>Zugewiesen</v>
      </c>
      <c r="J185" s="6" t="str">
        <f>IFERROR(__xludf.DUMMYFUNCTION("GOOGLETRANSLATE(B185,""en"",""ko"")"),"할당된")</f>
        <v>할당된</v>
      </c>
      <c r="K185" s="6" t="str">
        <f>IFERROR(__xludf.DUMMYFUNCTION("GOOGLETRANSLATE(B185,""en"",""zh"")"),"分配")</f>
        <v>分配</v>
      </c>
      <c r="L185" s="6" t="str">
        <f>IFERROR(__xludf.DUMMYFUNCTION("GOOGLETRANSLATE(B185,""en"",""es"")"),"Asignado")</f>
        <v>Asignado</v>
      </c>
      <c r="M185" s="7" t="str">
        <f>IFERROR(__xludf.DUMMYFUNCTION("GOOGLETRANSLATE(B185,""en"",""iw"")"),"שהוקצה")</f>
        <v>שהוקצה</v>
      </c>
      <c r="N185" s="6" t="str">
        <f>IFERROR(__xludf.DUMMYFUNCTION("GOOGLETRANSLATE(B185,""en"",""bn"")"),"নির্ধারিত")</f>
        <v>নির্ধারিত</v>
      </c>
      <c r="O185" s="6"/>
      <c r="P185" s="6"/>
    </row>
    <row r="186">
      <c r="A186" s="8" t="s">
        <v>379</v>
      </c>
      <c r="B186" s="9" t="s">
        <v>380</v>
      </c>
      <c r="C186" s="5" t="str">
        <f>IFERROR(__xludf.DUMMYFUNCTION("GOOGLETRANSLATE(B186,""en"",""hi"")"),"शुरू किया गया")</f>
        <v>शुरू किया गया</v>
      </c>
      <c r="D186" s="6" t="str">
        <f>IFERROR(__xludf.DUMMYFUNCTION("GOOGLETRANSLATE(B186,""en"",""ar"")"),"بدأت")</f>
        <v>بدأت</v>
      </c>
      <c r="E186" s="6" t="str">
        <f>IFERROR(__xludf.DUMMYFUNCTION("GOOGLETRANSLATE(B186,""en"",""fr"")"),"A débuté")</f>
        <v>A débuté</v>
      </c>
      <c r="F186" s="6" t="str">
        <f>IFERROR(__xludf.DUMMYFUNCTION("GOOGLETRANSLATE(B186,""en"",""tr"")"),"Başlayan")</f>
        <v>Başlayan</v>
      </c>
      <c r="G186" s="6" t="str">
        <f>IFERROR(__xludf.DUMMYFUNCTION("GOOGLETRANSLATE(B186,""en"",""ru"")"),"Начал")</f>
        <v>Начал</v>
      </c>
      <c r="H186" s="6" t="str">
        <f>IFERROR(__xludf.DUMMYFUNCTION("GOOGLETRANSLATE(B186,""en"",""it"")"),"Cominciato")</f>
        <v>Cominciato</v>
      </c>
      <c r="I186" s="6" t="str">
        <f>IFERROR(__xludf.DUMMYFUNCTION("GOOGLETRANSLATE(B186,""en"",""de"")"),"Gestartet")</f>
        <v>Gestartet</v>
      </c>
      <c r="J186" s="6" t="str">
        <f>IFERROR(__xludf.DUMMYFUNCTION("GOOGLETRANSLATE(B186,""en"",""ko"")"),"시작")</f>
        <v>시작</v>
      </c>
      <c r="K186" s="6" t="str">
        <f>IFERROR(__xludf.DUMMYFUNCTION("GOOGLETRANSLATE(B186,""en"",""zh"")"),"开始")</f>
        <v>开始</v>
      </c>
      <c r="L186" s="6" t="str">
        <f>IFERROR(__xludf.DUMMYFUNCTION("GOOGLETRANSLATE(B186,""en"",""es"")"),"Empezado")</f>
        <v>Empezado</v>
      </c>
      <c r="M186" s="7" t="str">
        <f>IFERROR(__xludf.DUMMYFUNCTION("GOOGLETRANSLATE(B186,""en"",""iw"")"),"התחיל")</f>
        <v>התחיל</v>
      </c>
      <c r="N186" s="6" t="str">
        <f>IFERROR(__xludf.DUMMYFUNCTION("GOOGLETRANSLATE(B186,""en"",""bn"")"),"শুরু")</f>
        <v>শুরু</v>
      </c>
      <c r="O186" s="6"/>
      <c r="P186" s="6"/>
    </row>
    <row r="187">
      <c r="A187" s="8" t="s">
        <v>381</v>
      </c>
      <c r="B187" s="9" t="s">
        <v>382</v>
      </c>
      <c r="C187" s="5" t="str">
        <f>IFERROR(__xludf.DUMMYFUNCTION("GOOGLETRANSLATE(B187,""en"",""hi"")"),"उपलब्ध शेष राशि")</f>
        <v>उपलब्ध शेष राशि</v>
      </c>
      <c r="D187" s="6" t="str">
        <f>IFERROR(__xludf.DUMMYFUNCTION("GOOGLETRANSLATE(B187,""en"",""ar"")"),"الرصيد المتوفر")</f>
        <v>الرصيد المتوفر</v>
      </c>
      <c r="E187" s="6" t="str">
        <f>IFERROR(__xludf.DUMMYFUNCTION("GOOGLETRANSLATE(B187,""en"",""fr"")"),"Solde disponible")</f>
        <v>Solde disponible</v>
      </c>
      <c r="F187" s="6" t="str">
        <f>IFERROR(__xludf.DUMMYFUNCTION("GOOGLETRANSLATE(B187,""en"",""tr"")"),"Kalan bakiye")</f>
        <v>Kalan bakiye</v>
      </c>
      <c r="G187" s="6" t="str">
        <f>IFERROR(__xludf.DUMMYFUNCTION("GOOGLETRANSLATE(B187,""en"",""ru"")"),"доступные средства")</f>
        <v>доступные средства</v>
      </c>
      <c r="H187" s="6" t="str">
        <f>IFERROR(__xludf.DUMMYFUNCTION("GOOGLETRANSLATE(B187,""en"",""it"")"),"saldo disponibile")</f>
        <v>saldo disponibile</v>
      </c>
      <c r="I187" s="6" t="str">
        <f>IFERROR(__xludf.DUMMYFUNCTION("GOOGLETRANSLATE(B187,""en"",""de"")"),"Verfügbares Guthaben")</f>
        <v>Verfügbares Guthaben</v>
      </c>
      <c r="J187" s="6" t="str">
        <f>IFERROR(__xludf.DUMMYFUNCTION("GOOGLETRANSLATE(B187,""en"",""ko"")"),"사용 가능한 잔액")</f>
        <v>사용 가능한 잔액</v>
      </c>
      <c r="K187" s="6" t="str">
        <f>IFERROR(__xludf.DUMMYFUNCTION("GOOGLETRANSLATE(B187,""en"",""zh"")"),"可用余额")</f>
        <v>可用余额</v>
      </c>
      <c r="L187" s="6" t="str">
        <f>IFERROR(__xludf.DUMMYFUNCTION("GOOGLETRANSLATE(B187,""en"",""es"")"),"Saldo disponible")</f>
        <v>Saldo disponible</v>
      </c>
      <c r="M187" s="7" t="str">
        <f>IFERROR(__xludf.DUMMYFUNCTION("GOOGLETRANSLATE(B187,""en"",""iw"")"),"יתרה זמינה")</f>
        <v>יתרה זמינה</v>
      </c>
      <c r="N187" s="6" t="str">
        <f>IFERROR(__xludf.DUMMYFUNCTION("GOOGLETRANSLATE(B187,""en"",""bn"")"),"পর্যাপ্ত টাকা")</f>
        <v>পর্যাপ্ত টাকা</v>
      </c>
      <c r="O187" s="6"/>
      <c r="P187" s="6"/>
    </row>
    <row r="188">
      <c r="A188" s="8" t="s">
        <v>383</v>
      </c>
      <c r="B188" s="9" t="s">
        <v>384</v>
      </c>
      <c r="C188" s="5" t="str">
        <f>IFERROR(__xludf.DUMMYFUNCTION("GOOGLETRANSLATE(B188,""en"",""hi"")"),"पैसे जोड़ें")</f>
        <v>पैसे जोड़ें</v>
      </c>
      <c r="D188" s="6" t="str">
        <f>IFERROR(__xludf.DUMMYFUNCTION("GOOGLETRANSLATE(B188,""en"",""ar"")"),"إضافة المال")</f>
        <v>إضافة المال</v>
      </c>
      <c r="E188" s="6" t="str">
        <f>IFERROR(__xludf.DUMMYFUNCTION("GOOGLETRANSLATE(B188,""en"",""fr"")"),"Ajouter de l'argent")</f>
        <v>Ajouter de l'argent</v>
      </c>
      <c r="F188" s="6" t="str">
        <f>IFERROR(__xludf.DUMMYFUNCTION("GOOGLETRANSLATE(B188,""en"",""tr"")"),"Para eklemek")</f>
        <v>Para eklemek</v>
      </c>
      <c r="G188" s="6" t="str">
        <f>IFERROR(__xludf.DUMMYFUNCTION("GOOGLETRANSLATE(B188,""en"",""ru"")"),"Добавить деньги")</f>
        <v>Добавить деньги</v>
      </c>
      <c r="H188" s="6" t="str">
        <f>IFERROR(__xludf.DUMMYFUNCTION("GOOGLETRANSLATE(B188,""en"",""it"")"),"Aggiungi denaro")</f>
        <v>Aggiungi denaro</v>
      </c>
      <c r="I188" s="6" t="str">
        <f>IFERROR(__xludf.DUMMYFUNCTION("GOOGLETRANSLATE(B188,""en"",""de"")"),"Geld hinzufügen")</f>
        <v>Geld hinzufügen</v>
      </c>
      <c r="J188" s="6" t="str">
        <f>IFERROR(__xludf.DUMMYFUNCTION("GOOGLETRANSLATE(B188,""en"",""ko"")"),"돈을 추가하십시오")</f>
        <v>돈을 추가하십시오</v>
      </c>
      <c r="K188" s="6" t="str">
        <f>IFERROR(__xludf.DUMMYFUNCTION("GOOGLETRANSLATE(B188,""en"",""zh"")"),"加钱")</f>
        <v>加钱</v>
      </c>
      <c r="L188" s="6" t="str">
        <f>IFERROR(__xludf.DUMMYFUNCTION("GOOGLETRANSLATE(B188,""en"",""es"")"),"Agregar dinero")</f>
        <v>Agregar dinero</v>
      </c>
      <c r="M188" s="7" t="str">
        <f>IFERROR(__xludf.DUMMYFUNCTION("GOOGLETRANSLATE(B188,""en"",""iw"")"),"הוסף כסף")</f>
        <v>הוסף כסף</v>
      </c>
      <c r="N188" s="6" t="str">
        <f>IFERROR(__xludf.DUMMYFUNCTION("GOOGLETRANSLATE(B188,""en"",""bn"")"),"টাকা যোগ করুন")</f>
        <v>টাকা যোগ করুন</v>
      </c>
      <c r="O188" s="6"/>
      <c r="P188" s="6"/>
    </row>
    <row r="189">
      <c r="A189" s="8" t="s">
        <v>385</v>
      </c>
      <c r="B189" s="9" t="s">
        <v>386</v>
      </c>
      <c r="C189" s="5" t="str">
        <f>IFERROR(__xludf.DUMMYFUNCTION("GOOGLETRANSLATE(B189,""en"",""hi"")"),"हाल ही के लेनदेन")</f>
        <v>हाल ही के लेनदेन</v>
      </c>
      <c r="D189" s="6" t="str">
        <f>IFERROR(__xludf.DUMMYFUNCTION("GOOGLETRANSLATE(B189,""en"",""ar"")"),"التحويلات الاخيرة")</f>
        <v>التحويلات الاخيرة</v>
      </c>
      <c r="E189" s="6" t="str">
        <f>IFERROR(__xludf.DUMMYFUNCTION("GOOGLETRANSLATE(B189,""en"",""fr"")"),"transactions récentes")</f>
        <v>transactions récentes</v>
      </c>
      <c r="F189" s="6" t="str">
        <f>IFERROR(__xludf.DUMMYFUNCTION("GOOGLETRANSLATE(B189,""en"",""tr"")"),"Son İşlemler")</f>
        <v>Son İşlemler</v>
      </c>
      <c r="G189" s="6" t="str">
        <f>IFERROR(__xludf.DUMMYFUNCTION("GOOGLETRANSLATE(B189,""en"",""ru"")"),"Недавние транзакции")</f>
        <v>Недавние транзакции</v>
      </c>
      <c r="H189" s="6" t="str">
        <f>IFERROR(__xludf.DUMMYFUNCTION("GOOGLETRANSLATE(B189,""en"",""it"")"),"Le transazioni recenti")</f>
        <v>Le transazioni recenti</v>
      </c>
      <c r="I189" s="6" t="str">
        <f>IFERROR(__xludf.DUMMYFUNCTION("GOOGLETRANSLATE(B189,""en"",""de"")"),"kürzliche Transaktionen")</f>
        <v>kürzliche Transaktionen</v>
      </c>
      <c r="J189" s="6" t="str">
        <f>IFERROR(__xludf.DUMMYFUNCTION("GOOGLETRANSLATE(B189,""en"",""ko"")"),"최근 거래")</f>
        <v>최근 거래</v>
      </c>
      <c r="K189" s="6" t="str">
        <f>IFERROR(__xludf.DUMMYFUNCTION("GOOGLETRANSLATE(B189,""en"",""zh"")"),"最近的交易")</f>
        <v>最近的交易</v>
      </c>
      <c r="L189" s="6" t="str">
        <f>IFERROR(__xludf.DUMMYFUNCTION("GOOGLETRANSLATE(B189,""en"",""es"")"),"Transacciones Recientes")</f>
        <v>Transacciones Recientes</v>
      </c>
      <c r="M189" s="7" t="str">
        <f>IFERROR(__xludf.DUMMYFUNCTION("GOOGLETRANSLATE(B189,""en"",""iw"")"),"תנועות אחרונות")</f>
        <v>תנועות אחרונות</v>
      </c>
      <c r="N189" s="6" t="str">
        <f>IFERROR(__xludf.DUMMYFUNCTION("GOOGLETRANSLATE(B189,""en"",""bn"")"),"সাম্প্রতিক লেনদেন")</f>
        <v>সাম্প্রতিক লেনদেন</v>
      </c>
      <c r="O189" s="6"/>
      <c r="P189" s="6"/>
    </row>
    <row r="190">
      <c r="A190" s="8" t="s">
        <v>387</v>
      </c>
      <c r="B190" s="9" t="s">
        <v>388</v>
      </c>
      <c r="C190" s="5" t="str">
        <f>IFERROR(__xludf.DUMMYFUNCTION("GOOGLETRANSLATE(B190,""en"",""hi"")"),"जमा")</f>
        <v>जमा</v>
      </c>
      <c r="D190" s="6" t="str">
        <f>IFERROR(__xludf.DUMMYFUNCTION("GOOGLETRANSLATE(B190,""en"",""ar"")"),"إيداع")</f>
        <v>إيداع</v>
      </c>
      <c r="E190" s="6" t="str">
        <f>IFERROR(__xludf.DUMMYFUNCTION("GOOGLETRANSLATE(B190,""en"",""fr"")"),"Verser")</f>
        <v>Verser</v>
      </c>
      <c r="F190" s="6" t="str">
        <f>IFERROR(__xludf.DUMMYFUNCTION("GOOGLETRANSLATE(B190,""en"",""tr"")"),"Depozito")</f>
        <v>Depozito</v>
      </c>
      <c r="G190" s="6" t="str">
        <f>IFERROR(__xludf.DUMMYFUNCTION("GOOGLETRANSLATE(B190,""en"",""ru"")"),"Депозитный")</f>
        <v>Депозитный</v>
      </c>
      <c r="H190" s="6" t="str">
        <f>IFERROR(__xludf.DUMMYFUNCTION("GOOGLETRANSLATE(B190,""en"",""it"")"),"Depositare")</f>
        <v>Depositare</v>
      </c>
      <c r="I190" s="6" t="str">
        <f>IFERROR(__xludf.DUMMYFUNCTION("GOOGLETRANSLATE(B190,""en"",""de"")"),"Kaution")</f>
        <v>Kaution</v>
      </c>
      <c r="J190" s="6" t="str">
        <f>IFERROR(__xludf.DUMMYFUNCTION("GOOGLETRANSLATE(B190,""en"",""ko"")"),"보증금")</f>
        <v>보증금</v>
      </c>
      <c r="K190" s="6" t="str">
        <f>IFERROR(__xludf.DUMMYFUNCTION("GOOGLETRANSLATE(B190,""en"",""zh"")"),"订金")</f>
        <v>订金</v>
      </c>
      <c r="L190" s="6" t="str">
        <f>IFERROR(__xludf.DUMMYFUNCTION("GOOGLETRANSLATE(B190,""en"",""es"")"),"Depósito")</f>
        <v>Depósito</v>
      </c>
      <c r="M190" s="7" t="str">
        <f>IFERROR(__xludf.DUMMYFUNCTION("GOOGLETRANSLATE(B190,""en"",""iw"")"),"לְהַפְקִיד")</f>
        <v>לְהַפְקִיד</v>
      </c>
      <c r="N190" s="6" t="str">
        <f>IFERROR(__xludf.DUMMYFUNCTION("GOOGLETRANSLATE(B190,""en"",""bn"")"),"আমানত")</f>
        <v>আমানত</v>
      </c>
      <c r="O190" s="6"/>
      <c r="P190" s="6"/>
    </row>
    <row r="191">
      <c r="A191" s="19" t="s">
        <v>389</v>
      </c>
      <c r="B191" s="9" t="s">
        <v>390</v>
      </c>
      <c r="C191" s="5" t="str">
        <f>IFERROR(__xludf.DUMMYFUNCTION("GOOGLETRANSLATE(B191,""en"",""hi"")"),"सवारी भुगतान")</f>
        <v>सवारी भुगतान</v>
      </c>
      <c r="D191" s="6" t="str">
        <f>IFERROR(__xludf.DUMMYFUNCTION("GOOGLETRANSLATE(B191,""en"",""ar"")"),"دفع الدفع")</f>
        <v>دفع الدفع</v>
      </c>
      <c r="E191" s="6" t="str">
        <f>IFERROR(__xludf.DUMMYFUNCTION("GOOGLETRANSLATE(B191,""en"",""fr"")"),"Faire un paiement")</f>
        <v>Faire un paiement</v>
      </c>
      <c r="F191" s="6" t="str">
        <f>IFERROR(__xludf.DUMMYFUNCTION("GOOGLETRANSLATE(B191,""en"",""tr"")"),"Binicilik Ödemesi")</f>
        <v>Binicilik Ödemesi</v>
      </c>
      <c r="G191" s="6" t="str">
        <f>IFERROR(__xludf.DUMMYFUNCTION("GOOGLETRANSLATE(B191,""en"",""ru"")"),"Ездить на оплату")</f>
        <v>Ездить на оплату</v>
      </c>
      <c r="H191" s="6" t="str">
        <f>IFERROR(__xludf.DUMMYFUNCTION("GOOGLETRANSLATE(B191,""en"",""it"")"),"Pagamento di guida")</f>
        <v>Pagamento di guida</v>
      </c>
      <c r="I191" s="6" t="str">
        <f>IFERROR(__xludf.DUMMYFUNCTION("GOOGLETRANSLATE(B191,""en"",""de"")"),"Zahlungszahlung")</f>
        <v>Zahlungszahlung</v>
      </c>
      <c r="J191" s="6" t="str">
        <f>IFERROR(__xludf.DUMMYFUNCTION("GOOGLETRANSLATE(B191,""en"",""ko"")"),"타기 지불")</f>
        <v>타기 지불</v>
      </c>
      <c r="K191" s="6" t="str">
        <f>IFERROR(__xludf.DUMMYFUNCTION("GOOGLETRANSLATE(B191,""en"",""zh"")"),"乘车付款")</f>
        <v>乘车付款</v>
      </c>
      <c r="L191" s="6" t="str">
        <f>IFERROR(__xludf.DUMMYFUNCTION("GOOGLETRANSLATE(B191,""en"",""es"")"),"Pago")</f>
        <v>Pago</v>
      </c>
      <c r="M191" s="7" t="str">
        <f>IFERROR(__xludf.DUMMYFUNCTION("GOOGLETRANSLATE(B191,""en"",""iw"")"),"תשלום לרכוב")</f>
        <v>תשלום לרכוב</v>
      </c>
      <c r="N191" s="6" t="str">
        <f>IFERROR(__xludf.DUMMYFUNCTION("GOOGLETRANSLATE(B191,""en"",""bn"")"),"রাইড পেমেন্ট")</f>
        <v>রাইড পেমেন্ট</v>
      </c>
      <c r="O191" s="6"/>
      <c r="P191" s="6"/>
    </row>
    <row r="192">
      <c r="A192" s="8" t="s">
        <v>391</v>
      </c>
      <c r="B192" s="9" t="s">
        <v>391</v>
      </c>
      <c r="C192" s="5" t="str">
        <f>IFERROR(__xludf.DUMMYFUNCTION("GOOGLETRANSLATE(B192,""en"",""hi"")"),"जमा राशि")</f>
        <v>जमा राशि</v>
      </c>
      <c r="D192" s="6" t="str">
        <f>IFERROR(__xludf.DUMMYFUNCTION("GOOGLETRANSLATE(B192,""en"",""ar"")"),"مودعة مودعة")</f>
        <v>مودعة مودعة</v>
      </c>
      <c r="E192" s="6" t="str">
        <f>IFERROR(__xludf.DUMMYFUNCTION("GOOGLETRANSLATE(B192,""en"",""fr"")"),"Argent déposé")</f>
        <v>Argent déposé</v>
      </c>
      <c r="F192" s="6" t="str">
        <f>IFERROR(__xludf.DUMMYFUNCTION("GOOGLETRANSLATE(B192,""en"",""tr"")"),"Para yatırıldı")</f>
        <v>Para yatırıldı</v>
      </c>
      <c r="G192" s="6" t="str">
        <f>IFERROR(__xludf.DUMMYFUNCTION("GOOGLETRANSLATE(B192,""en"",""ru"")"),"Деньги депонированы")</f>
        <v>Деньги депонированы</v>
      </c>
      <c r="H192" s="6" t="str">
        <f>IFERROR(__xludf.DUMMYFUNCTION("GOOGLETRANSLATE(B192,""en"",""it"")"),"Denaro depositato")</f>
        <v>Denaro depositato</v>
      </c>
      <c r="I192" s="6" t="str">
        <f>IFERROR(__xludf.DUMMYFUNCTION("GOOGLETRANSLATE(B192,""en"",""de"")"),"Geld deponiert")</f>
        <v>Geld deponiert</v>
      </c>
      <c r="J192" s="6" t="str">
        <f>IFERROR(__xludf.DUMMYFUNCTION("GOOGLETRANSLATE(B192,""en"",""ko"")"),"입금 된 돈")</f>
        <v>입금 된 돈</v>
      </c>
      <c r="K192" s="6" t="str">
        <f>IFERROR(__xludf.DUMMYFUNCTION("GOOGLETRANSLATE(B192,""en"",""zh"")"),"存入的钱")</f>
        <v>存入的钱</v>
      </c>
      <c r="L192" s="6" t="str">
        <f>IFERROR(__xludf.DUMMYFUNCTION("GOOGLETRANSLATE(B192,""en"",""es"")"),"Dinero depositado")</f>
        <v>Dinero depositado</v>
      </c>
      <c r="M192" s="7" t="str">
        <f>IFERROR(__xludf.DUMMYFUNCTION("GOOGLETRANSLATE(B192,""en"",""iw"")"),"כסף שהופקד")</f>
        <v>כסף שהופקד</v>
      </c>
      <c r="N192" s="6" t="str">
        <f>IFERROR(__xludf.DUMMYFUNCTION("GOOGLETRANSLATE(B192,""en"",""bn"")"),"অর্থ জমা")</f>
        <v>অর্থ জমা</v>
      </c>
      <c r="O192" s="6"/>
      <c r="P192" s="6"/>
    </row>
    <row r="193">
      <c r="A193" s="8" t="s">
        <v>392</v>
      </c>
      <c r="B193" s="12" t="s">
        <v>393</v>
      </c>
      <c r="C193" s="5" t="str">
        <f>IFERROR(__xludf.DUMMYFUNCTION("GOOGLETRANSLATE(B193,""en"",""hi"")"),"यहां राशि दर्ज करें")</f>
        <v>यहां राशि दर्ज करें</v>
      </c>
      <c r="D193" s="6" t="str">
        <f>IFERROR(__xludf.DUMMYFUNCTION("GOOGLETRANSLATE(B193,""en"",""ar"")"),"أدخل المبلغ هنا")</f>
        <v>أدخل المبلغ هنا</v>
      </c>
      <c r="E193" s="6" t="str">
        <f>IFERROR(__xludf.DUMMYFUNCTION("GOOGLETRANSLATE(B193,""en"",""fr"")"),"Entrez le montant ici")</f>
        <v>Entrez le montant ici</v>
      </c>
      <c r="F193" s="6" t="str">
        <f>IFERROR(__xludf.DUMMYFUNCTION("GOOGLETRANSLATE(B193,""en"",""tr"")"),"Miktarı buraya girin")</f>
        <v>Miktarı buraya girin</v>
      </c>
      <c r="G193" s="6" t="str">
        <f>IFERROR(__xludf.DUMMYFUNCTION("GOOGLETRANSLATE(B193,""en"",""ru"")"),"Введите сумму здесь")</f>
        <v>Введите сумму здесь</v>
      </c>
      <c r="H193" s="6" t="str">
        <f>IFERROR(__xludf.DUMMYFUNCTION("GOOGLETRANSLATE(B193,""en"",""it"")"),"Inserisci l'importo qui")</f>
        <v>Inserisci l'importo qui</v>
      </c>
      <c r="I193" s="6" t="str">
        <f>IFERROR(__xludf.DUMMYFUNCTION("GOOGLETRANSLATE(B193,""en"",""de"")"),"Geben Sie hier Betrag ein")</f>
        <v>Geben Sie hier Betrag ein</v>
      </c>
      <c r="J193" s="6" t="str">
        <f>IFERROR(__xludf.DUMMYFUNCTION("GOOGLETRANSLATE(B193,""en"",""ko"")"),"여기에 금액을 입력하십시오")</f>
        <v>여기에 금액을 입력하십시오</v>
      </c>
      <c r="K193" s="6" t="str">
        <f>IFERROR(__xludf.DUMMYFUNCTION("GOOGLETRANSLATE(B193,""en"",""zh"")"),"在此处输入金额")</f>
        <v>在此处输入金额</v>
      </c>
      <c r="L193" s="6" t="str">
        <f>IFERROR(__xludf.DUMMYFUNCTION("GOOGLETRANSLATE(B193,""en"",""es"")"),"Ingrese la cantidad aquí")</f>
        <v>Ingrese la cantidad aquí</v>
      </c>
      <c r="M193" s="7" t="str">
        <f>IFERROR(__xludf.DUMMYFUNCTION("GOOGLETRANSLATE(B193,""en"",""iw"")"),"הזן סכום כאן")</f>
        <v>הזן סכום כאן</v>
      </c>
      <c r="N193" s="6" t="str">
        <f>IFERROR(__xludf.DUMMYFUNCTION("GOOGLETRANSLATE(B193,""en"",""bn"")"),"এখানে পরিমাণ প্রবেশ করান")</f>
        <v>এখানে পরিমাণ প্রবেশ করান</v>
      </c>
      <c r="O193" s="6"/>
      <c r="P193" s="6"/>
    </row>
    <row r="194">
      <c r="A194" s="8" t="s">
        <v>394</v>
      </c>
      <c r="B194" s="9" t="s">
        <v>395</v>
      </c>
      <c r="C194" s="5" t="str">
        <f>IFERROR(__xludf.DUMMYFUNCTION("GOOGLETRANSLATE(B194,""en"",""hi"")"),"प्रोफ़ाइल संपादित करें")</f>
        <v>प्रोफ़ाइल संपादित करें</v>
      </c>
      <c r="D194" s="6" t="str">
        <f>IFERROR(__xludf.DUMMYFUNCTION("GOOGLETRANSLATE(B194,""en"",""ar"")"),"تعديل الملف الشخصي")</f>
        <v>تعديل الملف الشخصي</v>
      </c>
      <c r="E194" s="6" t="str">
        <f>IFERROR(__xludf.DUMMYFUNCTION("GOOGLETRANSLATE(B194,""en"",""fr"")"),"Editer le profil")</f>
        <v>Editer le profil</v>
      </c>
      <c r="F194" s="6" t="str">
        <f>IFERROR(__xludf.DUMMYFUNCTION("GOOGLETRANSLATE(B194,""en"",""tr"")"),"Profili Düzenle")</f>
        <v>Profili Düzenle</v>
      </c>
      <c r="G194" s="6" t="str">
        <f>IFERROR(__xludf.DUMMYFUNCTION("GOOGLETRANSLATE(B194,""en"",""ru"")"),"Редактировать профиль")</f>
        <v>Редактировать профиль</v>
      </c>
      <c r="H194" s="6" t="str">
        <f>IFERROR(__xludf.DUMMYFUNCTION("GOOGLETRANSLATE(B194,""en"",""it"")"),"Modifica Profilo")</f>
        <v>Modifica Profilo</v>
      </c>
      <c r="I194" s="6" t="str">
        <f>IFERROR(__xludf.DUMMYFUNCTION("GOOGLETRANSLATE(B194,""en"",""de"")"),"Profil bearbeiten")</f>
        <v>Profil bearbeiten</v>
      </c>
      <c r="J194" s="6" t="str">
        <f>IFERROR(__xludf.DUMMYFUNCTION("GOOGLETRANSLATE(B194,""en"",""ko"")"),"프로필 편집")</f>
        <v>프로필 편집</v>
      </c>
      <c r="K194" s="6" t="str">
        <f>IFERROR(__xludf.DUMMYFUNCTION("GOOGLETRANSLATE(B194,""en"",""zh"")"),"编辑个人资料")</f>
        <v>编辑个人资料</v>
      </c>
      <c r="L194" s="6" t="str">
        <f>IFERROR(__xludf.DUMMYFUNCTION("GOOGLETRANSLATE(B194,""en"",""es"")"),"Editar perfil")</f>
        <v>Editar perfil</v>
      </c>
      <c r="M194" s="7" t="str">
        <f>IFERROR(__xludf.DUMMYFUNCTION("GOOGLETRANSLATE(B194,""en"",""iw"")"),"ערוך פרופיל")</f>
        <v>ערוך פרופיל</v>
      </c>
      <c r="N194" s="6" t="str">
        <f>IFERROR(__xludf.DUMMYFUNCTION("GOOGLETRANSLATE(B194,""en"",""bn"")"),"জীবন বৃত্তান্ত সম্পাদনা")</f>
        <v>জীবন বৃত্তান্ত সম্পাদনা</v>
      </c>
      <c r="O194" s="6"/>
      <c r="P194" s="6"/>
    </row>
    <row r="195">
      <c r="A195" s="8" t="s">
        <v>396</v>
      </c>
      <c r="B195" s="9" t="s">
        <v>397</v>
      </c>
      <c r="C195" s="5" t="str">
        <f>IFERROR(__xludf.DUMMYFUNCTION("GOOGLETRANSLATE(B195,""en"",""hi"")"),"संपादित छवि")</f>
        <v>संपादित छवि</v>
      </c>
      <c r="D195" s="6" t="str">
        <f>IFERROR(__xludf.DUMMYFUNCTION("GOOGLETRANSLATE(B195,""en"",""ar"")"),"تعديل الصورة")</f>
        <v>تعديل الصورة</v>
      </c>
      <c r="E195" s="6" t="str">
        <f>IFERROR(__xludf.DUMMYFUNCTION("GOOGLETRANSLATE(B195,""en"",""fr"")"),"Éditer l'image")</f>
        <v>Éditer l'image</v>
      </c>
      <c r="F195" s="6" t="str">
        <f>IFERROR(__xludf.DUMMYFUNCTION("GOOGLETRANSLATE(B195,""en"",""tr"")"),"Resmi Düzenle")</f>
        <v>Resmi Düzenle</v>
      </c>
      <c r="G195" s="6" t="str">
        <f>IFERROR(__xludf.DUMMYFUNCTION("GOOGLETRANSLATE(B195,""en"",""ru"")"),"Редактировать изображение")</f>
        <v>Редактировать изображение</v>
      </c>
      <c r="H195" s="6" t="str">
        <f>IFERROR(__xludf.DUMMYFUNCTION("GOOGLETRANSLATE(B195,""en"",""it"")"),"Modifica immagine")</f>
        <v>Modifica immagine</v>
      </c>
      <c r="I195" s="6" t="str">
        <f>IFERROR(__xludf.DUMMYFUNCTION("GOOGLETRANSLATE(B195,""en"",""de"")"),"Bild bearbeiten")</f>
        <v>Bild bearbeiten</v>
      </c>
      <c r="J195" s="6" t="str">
        <f>IFERROR(__xludf.DUMMYFUNCTION("GOOGLETRANSLATE(B195,""en"",""ko"")"),"이미지 편집")</f>
        <v>이미지 편집</v>
      </c>
      <c r="K195" s="6" t="str">
        <f>IFERROR(__xludf.DUMMYFUNCTION("GOOGLETRANSLATE(B195,""en"",""zh"")"),"编辑图像")</f>
        <v>编辑图像</v>
      </c>
      <c r="L195" s="6" t="str">
        <f>IFERROR(__xludf.DUMMYFUNCTION("GOOGLETRANSLATE(B195,""en"",""es"")"),"Editar imagen")</f>
        <v>Editar imagen</v>
      </c>
      <c r="M195" s="7" t="str">
        <f>IFERROR(__xludf.DUMMYFUNCTION("GOOGLETRANSLATE(B195,""en"",""iw"")"),"ערוך תמונה")</f>
        <v>ערוך תמונה</v>
      </c>
      <c r="N195" s="6" t="str">
        <f>IFERROR(__xludf.DUMMYFUNCTION("GOOGLETRANSLATE(B195,""en"",""bn"")"),"চিত্র সম্পাদনা করুন")</f>
        <v>চিত্র সম্পাদনা করুন</v>
      </c>
      <c r="O195" s="6"/>
      <c r="P195" s="6"/>
    </row>
    <row r="196">
      <c r="A196" s="8" t="s">
        <v>398</v>
      </c>
      <c r="B196" s="9" t="s">
        <v>399</v>
      </c>
      <c r="C196" s="5" t="str">
        <f>IFERROR(__xludf.DUMMYFUNCTION("GOOGLETRANSLATE(B196,""en"",""hi"")"),"भुगतान करना")</f>
        <v>भुगतान करना</v>
      </c>
      <c r="D196" s="6" t="str">
        <f>IFERROR(__xludf.DUMMYFUNCTION("GOOGLETRANSLATE(B196,""en"",""ar"")"),"يدفع")</f>
        <v>يدفع</v>
      </c>
      <c r="E196" s="6" t="str">
        <f>IFERROR(__xludf.DUMMYFUNCTION("GOOGLETRANSLATE(B196,""en"",""fr"")"),"Payer")</f>
        <v>Payer</v>
      </c>
      <c r="F196" s="6" t="str">
        <f>IFERROR(__xludf.DUMMYFUNCTION("GOOGLETRANSLATE(B196,""en"",""tr"")"),"Ödemek")</f>
        <v>Ödemek</v>
      </c>
      <c r="G196" s="6" t="str">
        <f>IFERROR(__xludf.DUMMYFUNCTION("GOOGLETRANSLATE(B196,""en"",""ru"")"),"Платить")</f>
        <v>Платить</v>
      </c>
      <c r="H196" s="6" t="str">
        <f>IFERROR(__xludf.DUMMYFUNCTION("GOOGLETRANSLATE(B196,""en"",""it"")"),"Paga")</f>
        <v>Paga</v>
      </c>
      <c r="I196" s="6" t="str">
        <f>IFERROR(__xludf.DUMMYFUNCTION("GOOGLETRANSLATE(B196,""en"",""de"")"),"Zahlen")</f>
        <v>Zahlen</v>
      </c>
      <c r="J196" s="6" t="str">
        <f>IFERROR(__xludf.DUMMYFUNCTION("GOOGLETRANSLATE(B196,""en"",""ko"")"),"지불")</f>
        <v>지불</v>
      </c>
      <c r="K196" s="6" t="str">
        <f>IFERROR(__xludf.DUMMYFUNCTION("GOOGLETRANSLATE(B196,""en"",""zh"")"),"支付")</f>
        <v>支付</v>
      </c>
      <c r="L196" s="6" t="str">
        <f>IFERROR(__xludf.DUMMYFUNCTION("GOOGLETRANSLATE(B196,""en"",""es"")"),"Pagar")</f>
        <v>Pagar</v>
      </c>
      <c r="M196" s="7" t="str">
        <f>IFERROR(__xludf.DUMMYFUNCTION("GOOGLETRANSLATE(B196,""en"",""iw"")"),"לְשַׁלֵם")</f>
        <v>לְשַׁלֵם</v>
      </c>
      <c r="N196" s="6" t="str">
        <f>IFERROR(__xludf.DUMMYFUNCTION("GOOGLETRANSLATE(B196,""en"",""bn"")"),"পে")</f>
        <v>পে</v>
      </c>
      <c r="O196" s="6"/>
      <c r="P196" s="6"/>
    </row>
    <row r="197">
      <c r="A197" s="8" t="s">
        <v>400</v>
      </c>
      <c r="B197" s="9" t="s">
        <v>401</v>
      </c>
      <c r="C197" s="5" t="str">
        <f>IFERROR(__xludf.DUMMYFUNCTION("GOOGLETRANSLATE(B197,""en"",""hi"")"),"कुछ गलत हुआ है, दोबारा कोशिश करें")</f>
        <v>कुछ गलत हुआ है, दोबारा कोशिश करें</v>
      </c>
      <c r="D197" s="6" t="str">
        <f>IFERROR(__xludf.DUMMYFUNCTION("GOOGLETRANSLATE(B197,""en"",""ar"")"),"حدث خطأ ما حاول مرة أخرى")</f>
        <v>حدث خطأ ما حاول مرة أخرى</v>
      </c>
      <c r="E197" s="6" t="str">
        <f>IFERROR(__xludf.DUMMYFUNCTION("GOOGLETRANSLATE(B197,""en"",""fr"")"),"Quelque chose s'est mal passé essaie encore")</f>
        <v>Quelque chose s'est mal passé essaie encore</v>
      </c>
      <c r="F197" s="6" t="str">
        <f>IFERROR(__xludf.DUMMYFUNCTION("GOOGLETRANSLATE(B197,""en"",""tr"")"),"Bir şeyler ters gitti, tekrar dene")</f>
        <v>Bir şeyler ters gitti, tekrar dene</v>
      </c>
      <c r="G197" s="6" t="str">
        <f>IFERROR(__xludf.DUMMYFUNCTION("GOOGLETRANSLATE(B197,""en"",""ru"")"),"Что -то пошло не так, попробуйте еще раз")</f>
        <v>Что -то пошло не так, попробуйте еще раз</v>
      </c>
      <c r="H197" s="6" t="str">
        <f>IFERROR(__xludf.DUMMYFUNCTION("GOOGLETRANSLATE(B197,""en"",""it"")"),"Qualcosa è andato storto, riprova")</f>
        <v>Qualcosa è andato storto, riprova</v>
      </c>
      <c r="I197" s="6" t="str">
        <f>IFERROR(__xludf.DUMMYFUNCTION("GOOGLETRANSLATE(B197,""en"",""de"")"),"Etwas ging schief, versuche es erneut")</f>
        <v>Etwas ging schief, versuche es erneut</v>
      </c>
      <c r="J197" s="6" t="str">
        <f>IFERROR(__xludf.DUMMYFUNCTION("GOOGLETRANSLATE(B197,""en"",""ko"")"),"뭔가 잘못되었고 다시 시도하십시오")</f>
        <v>뭔가 잘못되었고 다시 시도하십시오</v>
      </c>
      <c r="K197" s="6" t="str">
        <f>IFERROR(__xludf.DUMMYFUNCTION("GOOGLETRANSLATE(B197,""en"",""zh"")"),"出现问题，再试一次")</f>
        <v>出现问题，再试一次</v>
      </c>
      <c r="L197" s="6" t="str">
        <f>IFERROR(__xludf.DUMMYFUNCTION("GOOGLETRANSLATE(B197,""en"",""es"")"),"Algo salió mal, intenta de nuevo")</f>
        <v>Algo salió mal, intenta de nuevo</v>
      </c>
      <c r="M197" s="7" t="str">
        <f>IFERROR(__xludf.DUMMYFUNCTION("GOOGLETRANSLATE(B197,""en"",""iw"")"),"קרתה תקלה נסה שוב")</f>
        <v>קרתה תקלה נסה שוב</v>
      </c>
      <c r="N197" s="6" t="str">
        <f>IFERROR(__xludf.DUMMYFUNCTION("GOOGLETRANSLATE(B197,""en"",""bn"")"),"কিছু ভুল হয়েছে, আবার চেষ্টা করুন")</f>
        <v>কিছু ভুল হয়েছে, আবার চেষ্টা করুন</v>
      </c>
      <c r="O197" s="6"/>
      <c r="P197" s="6"/>
    </row>
    <row r="198">
      <c r="A198" s="8" t="s">
        <v>402</v>
      </c>
      <c r="B198" s="9" t="s">
        <v>403</v>
      </c>
      <c r="C198" s="5" t="str">
        <f>IFERROR(__xludf.DUMMYFUNCTION("GOOGLETRANSLATE(B198,""en"",""hi"")"),"भुगतान सफल")</f>
        <v>भुगतान सफल</v>
      </c>
      <c r="D198" s="6" t="str">
        <f>IFERROR(__xludf.DUMMYFUNCTION("GOOGLETRANSLATE(B198,""en"",""ar"")"),"الدفع ناجح")</f>
        <v>الدفع ناجح</v>
      </c>
      <c r="E198" s="6" t="str">
        <f>IFERROR(__xludf.DUMMYFUNCTION("GOOGLETRANSLATE(B198,""en"",""fr"")"),"Paiement réussi")</f>
        <v>Paiement réussi</v>
      </c>
      <c r="F198" s="6" t="str">
        <f>IFERROR(__xludf.DUMMYFUNCTION("GOOGLETRANSLATE(B198,""en"",""tr"")"),"Ödeme başarılı")</f>
        <v>Ödeme başarılı</v>
      </c>
      <c r="G198" s="6" t="str">
        <f>IFERROR(__xludf.DUMMYFUNCTION("GOOGLETRANSLATE(B198,""en"",""ru"")"),"Оплата успешно")</f>
        <v>Оплата успешно</v>
      </c>
      <c r="H198" s="6" t="str">
        <f>IFERROR(__xludf.DUMMYFUNCTION("GOOGLETRANSLATE(B198,""en"",""it"")"),"Pagamento riuscito")</f>
        <v>Pagamento riuscito</v>
      </c>
      <c r="I198" s="6" t="str">
        <f>IFERROR(__xludf.DUMMYFUNCTION("GOOGLETRANSLATE(B198,""en"",""de"")"),"Bezahlung erfolgreich")</f>
        <v>Bezahlung erfolgreich</v>
      </c>
      <c r="J198" s="6" t="str">
        <f>IFERROR(__xludf.DUMMYFUNCTION("GOOGLETRANSLATE(B198,""en"",""ko"")"),"결제 성공")</f>
        <v>결제 성공</v>
      </c>
      <c r="K198" s="6" t="str">
        <f>IFERROR(__xludf.DUMMYFUNCTION("GOOGLETRANSLATE(B198,""en"",""zh"")"),"支付成功")</f>
        <v>支付成功</v>
      </c>
      <c r="L198" s="6" t="str">
        <f>IFERROR(__xludf.DUMMYFUNCTION("GOOGLETRANSLATE(B198,""en"",""es"")"),"Pago exitoso")</f>
        <v>Pago exitoso</v>
      </c>
      <c r="M198" s="7" t="str">
        <f>IFERROR(__xludf.DUMMYFUNCTION("GOOGLETRANSLATE(B198,""en"",""iw"")"),"התשלום הצליח")</f>
        <v>התשלום הצליח</v>
      </c>
      <c r="N198" s="6" t="str">
        <f>IFERROR(__xludf.DUMMYFUNCTION("GOOGLETRANSLATE(B198,""en"",""bn"")"),"পেমেন্ট সফল")</f>
        <v>পেমেন্ট সফল</v>
      </c>
      <c r="O198" s="6"/>
      <c r="P198" s="6"/>
    </row>
    <row r="199">
      <c r="A199" s="8" t="s">
        <v>404</v>
      </c>
      <c r="B199" s="9" t="s">
        <v>405</v>
      </c>
      <c r="C199" s="5" t="str">
        <f>IFERROR(__xludf.DUMMYFUNCTION("GOOGLETRANSLATE(B199,""en"",""hi"")"),"कैमरा")</f>
        <v>कैमरा</v>
      </c>
      <c r="D199" s="6" t="str">
        <f>IFERROR(__xludf.DUMMYFUNCTION("GOOGLETRANSLATE(B199,""en"",""ar"")"),"آلة تصوير")</f>
        <v>آلة تصوير</v>
      </c>
      <c r="E199" s="6" t="str">
        <f>IFERROR(__xludf.DUMMYFUNCTION("GOOGLETRANSLATE(B199,""en"",""fr"")"),"Caméra")</f>
        <v>Caméra</v>
      </c>
      <c r="F199" s="6" t="str">
        <f>IFERROR(__xludf.DUMMYFUNCTION("GOOGLETRANSLATE(B199,""en"",""tr"")"),"Kamera")</f>
        <v>Kamera</v>
      </c>
      <c r="G199" s="6" t="str">
        <f>IFERROR(__xludf.DUMMYFUNCTION("GOOGLETRANSLATE(B199,""en"",""ru"")"),"Камера")</f>
        <v>Камера</v>
      </c>
      <c r="H199" s="6" t="str">
        <f>IFERROR(__xludf.DUMMYFUNCTION("GOOGLETRANSLATE(B199,""en"",""it"")"),"Telecamera")</f>
        <v>Telecamera</v>
      </c>
      <c r="I199" s="6" t="str">
        <f>IFERROR(__xludf.DUMMYFUNCTION("GOOGLETRANSLATE(B199,""en"",""de"")"),"Kamera")</f>
        <v>Kamera</v>
      </c>
      <c r="J199" s="6" t="str">
        <f>IFERROR(__xludf.DUMMYFUNCTION("GOOGLETRANSLATE(B199,""en"",""ko"")"),"카메라")</f>
        <v>카메라</v>
      </c>
      <c r="K199" s="6" t="str">
        <f>IFERROR(__xludf.DUMMYFUNCTION("GOOGLETRANSLATE(B199,""en"",""zh"")"),"相机")</f>
        <v>相机</v>
      </c>
      <c r="L199" s="6" t="str">
        <f>IFERROR(__xludf.DUMMYFUNCTION("GOOGLETRANSLATE(B199,""en"",""es"")"),"Cámara")</f>
        <v>Cámara</v>
      </c>
      <c r="M199" s="7" t="str">
        <f>IFERROR(__xludf.DUMMYFUNCTION("GOOGLETRANSLATE(B199,""en"",""iw"")"),"מַצלֵמָה")</f>
        <v>מַצלֵמָה</v>
      </c>
      <c r="N199" s="6" t="str">
        <f>IFERROR(__xludf.DUMMYFUNCTION("GOOGLETRANSLATE(B199,""en"",""bn"")"),"ক্যামেরা")</f>
        <v>ক্যামেরা</v>
      </c>
      <c r="O199" s="6"/>
      <c r="P199" s="6"/>
    </row>
    <row r="200">
      <c r="A200" s="8" t="s">
        <v>406</v>
      </c>
      <c r="B200" s="9" t="s">
        <v>407</v>
      </c>
      <c r="C200" s="5" t="str">
        <f>IFERROR(__xludf.DUMMYFUNCTION("GOOGLETRANSLATE(B200,""en"",""hi"")"),"गेलरी")</f>
        <v>गेलरी</v>
      </c>
      <c r="D200" s="6" t="str">
        <f>IFERROR(__xludf.DUMMYFUNCTION("GOOGLETRANSLATE(B200,""en"",""ar"")"),"صالة عرض")</f>
        <v>صالة عرض</v>
      </c>
      <c r="E200" s="6" t="str">
        <f>IFERROR(__xludf.DUMMYFUNCTION("GOOGLETRANSLATE(B200,""en"",""fr"")"),"Galerie")</f>
        <v>Galerie</v>
      </c>
      <c r="F200" s="6" t="str">
        <f>IFERROR(__xludf.DUMMYFUNCTION("GOOGLETRANSLATE(B200,""en"",""tr"")"),"Galeri")</f>
        <v>Galeri</v>
      </c>
      <c r="G200" s="6" t="str">
        <f>IFERROR(__xludf.DUMMYFUNCTION("GOOGLETRANSLATE(B200,""en"",""ru"")"),"Галерея")</f>
        <v>Галерея</v>
      </c>
      <c r="H200" s="6" t="str">
        <f>IFERROR(__xludf.DUMMYFUNCTION("GOOGLETRANSLATE(B200,""en"",""it"")"),"Galleria")</f>
        <v>Galleria</v>
      </c>
      <c r="I200" s="6" t="str">
        <f>IFERROR(__xludf.DUMMYFUNCTION("GOOGLETRANSLATE(B200,""en"",""de"")"),"Galerie")</f>
        <v>Galerie</v>
      </c>
      <c r="J200" s="6" t="str">
        <f>IFERROR(__xludf.DUMMYFUNCTION("GOOGLETRANSLATE(B200,""en"",""ko"")"),"갤러리")</f>
        <v>갤러리</v>
      </c>
      <c r="K200" s="6" t="str">
        <f>IFERROR(__xludf.DUMMYFUNCTION("GOOGLETRANSLATE(B200,""en"",""zh"")"),"画廊")</f>
        <v>画廊</v>
      </c>
      <c r="L200" s="6" t="str">
        <f>IFERROR(__xludf.DUMMYFUNCTION("GOOGLETRANSLATE(B200,""en"",""es"")"),"Galería")</f>
        <v>Galería</v>
      </c>
      <c r="M200" s="7" t="str">
        <f>IFERROR(__xludf.DUMMYFUNCTION("GOOGLETRANSLATE(B200,""en"",""iw"")"),"גלריה")</f>
        <v>גלריה</v>
      </c>
      <c r="N200" s="6" t="str">
        <f>IFERROR(__xludf.DUMMYFUNCTION("GOOGLETRANSLATE(B200,""en"",""bn"")"),"গ্যালারী")</f>
        <v>গ্যালারী</v>
      </c>
      <c r="O200" s="6"/>
      <c r="P200" s="6"/>
    </row>
    <row r="201">
      <c r="A201" s="8" t="s">
        <v>408</v>
      </c>
      <c r="B201" s="12" t="s">
        <v>409</v>
      </c>
      <c r="C201" s="5" t="str">
        <f>IFERROR(__xludf.DUMMYFUNCTION("GOOGLETRANSLATE(B201,""en"",""hi"")"),"वाहन की जानकारी अपडेट करें")</f>
        <v>वाहन की जानकारी अपडेट करें</v>
      </c>
      <c r="D201" s="6" t="str">
        <f>IFERROR(__xludf.DUMMYFUNCTION("GOOGLETRANSLATE(B201,""en"",""ar"")"),"تحديث معلومات السيارة")</f>
        <v>تحديث معلومات السيارة</v>
      </c>
      <c r="E201" s="6" t="str">
        <f>IFERROR(__xludf.DUMMYFUNCTION("GOOGLETRANSLATE(B201,""en"",""fr"")"),"Mettre à jour les informations sur le véhicule")</f>
        <v>Mettre à jour les informations sur le véhicule</v>
      </c>
      <c r="F201" s="6" t="str">
        <f>IFERROR(__xludf.DUMMYFUNCTION("GOOGLETRANSLATE(B201,""en"",""tr"")"),"Araç Bilgilerini Güncelle")</f>
        <v>Araç Bilgilerini Güncelle</v>
      </c>
      <c r="G201" s="6" t="str">
        <f>IFERROR(__xludf.DUMMYFUNCTION("GOOGLETRANSLATE(B201,""en"",""ru"")"),"Обновите информацию о транспортном средстве")</f>
        <v>Обновите информацию о транспортном средстве</v>
      </c>
      <c r="H201" s="6" t="str">
        <f>IFERROR(__xludf.DUMMYFUNCTION("GOOGLETRANSLATE(B201,""en"",""it"")"),"Aggiorna le informazioni sul veicolo")</f>
        <v>Aggiorna le informazioni sul veicolo</v>
      </c>
      <c r="I201" s="6" t="str">
        <f>IFERROR(__xludf.DUMMYFUNCTION("GOOGLETRANSLATE(B201,""en"",""de"")"),"Fahrzeuginformationen aktualisieren")</f>
        <v>Fahrzeuginformationen aktualisieren</v>
      </c>
      <c r="J201" s="6" t="str">
        <f>IFERROR(__xludf.DUMMYFUNCTION("GOOGLETRANSLATE(B201,""en"",""ko"")"),"차량 정보를 업데이트하십시오")</f>
        <v>차량 정보를 업데이트하십시오</v>
      </c>
      <c r="K201" s="6" t="str">
        <f>IFERROR(__xludf.DUMMYFUNCTION("GOOGLETRANSLATE(B201,""en"",""zh"")"),"更新车辆信息")</f>
        <v>更新车辆信息</v>
      </c>
      <c r="L201" s="6" t="str">
        <f>IFERROR(__xludf.DUMMYFUNCTION("GOOGLETRANSLATE(B201,""en"",""es"")"),"Actualizar información del vehículo")</f>
        <v>Actualizar información del vehículo</v>
      </c>
      <c r="M201" s="7" t="str">
        <f>IFERROR(__xludf.DUMMYFUNCTION("GOOGLETRANSLATE(B201,""en"",""iw"")"),"עדכן את פרטי הרכב")</f>
        <v>עדכן את פרטי הרכב</v>
      </c>
      <c r="N201" s="6" t="str">
        <f>IFERROR(__xludf.DUMMYFUNCTION("GOOGLETRANSLATE(B201,""en"",""bn"")"),"যানবাহন তথ্য আপডেট করুন")</f>
        <v>যানবাহন তথ্য আপডেট করুন</v>
      </c>
      <c r="O201" s="6"/>
      <c r="P201" s="6"/>
    </row>
    <row r="202">
      <c r="A202" s="8" t="s">
        <v>410</v>
      </c>
      <c r="B202" s="12" t="s">
        <v>411</v>
      </c>
      <c r="C202" s="5" t="str">
        <f>IFERROR(__xludf.DUMMYFUNCTION("GOOGLETRANSLATE(B202,""en"",""hi"")"),"वाहन की कंपनी")</f>
        <v>वाहन की कंपनी</v>
      </c>
      <c r="D202" s="6" t="str">
        <f>IFERROR(__xludf.DUMMYFUNCTION("GOOGLETRANSLATE(B202,""en"",""ar"")"),"صناعة المركبات")</f>
        <v>صناعة المركبات</v>
      </c>
      <c r="E202" s="6" t="str">
        <f>IFERROR(__xludf.DUMMYFUNCTION("GOOGLETRANSLATE(B202,""en"",""fr"")"),"Faire de la fabrication du véhicule")</f>
        <v>Faire de la fabrication du véhicule</v>
      </c>
      <c r="F202" s="6" t="str">
        <f>IFERROR(__xludf.DUMMYFUNCTION("GOOGLETRANSLATE(B202,""en"",""tr"")"),"Araç Markası")</f>
        <v>Araç Markası</v>
      </c>
      <c r="G202" s="6" t="str">
        <f>IFERROR(__xludf.DUMMYFUNCTION("GOOGLETRANSLATE(B202,""en"",""ru"")"),"Автомобиль сделан")</f>
        <v>Автомобиль сделан</v>
      </c>
      <c r="H202" s="6" t="str">
        <f>IFERROR(__xludf.DUMMYFUNCTION("GOOGLETRANSLATE(B202,""en"",""it"")"),"Marca del veicolo")</f>
        <v>Marca del veicolo</v>
      </c>
      <c r="I202" s="6" t="str">
        <f>IFERROR(__xludf.DUMMYFUNCTION("GOOGLETRANSLATE(B202,""en"",""de"")"),"Automarke")</f>
        <v>Automarke</v>
      </c>
      <c r="J202" s="6" t="str">
        <f>IFERROR(__xludf.DUMMYFUNCTION("GOOGLETRANSLATE(B202,""en"",""ko"")"),"차량 제작")</f>
        <v>차량 제작</v>
      </c>
      <c r="K202" s="6" t="str">
        <f>IFERROR(__xludf.DUMMYFUNCTION("GOOGLETRANSLATE(B202,""en"",""zh"")"),"车辆制造")</f>
        <v>车辆制造</v>
      </c>
      <c r="L202" s="6" t="str">
        <f>IFERROR(__xludf.DUMMYFUNCTION("GOOGLETRANSLATE(B202,""en"",""es"")"),"Marca del vehículo")</f>
        <v>Marca del vehículo</v>
      </c>
      <c r="M202" s="7" t="str">
        <f>IFERROR(__xludf.DUMMYFUNCTION("GOOGLETRANSLATE(B202,""en"",""iw"")"),"להפוך את הרכב")</f>
        <v>להפוך את הרכב</v>
      </c>
      <c r="N202" s="6" t="str">
        <f>IFERROR(__xludf.DUMMYFUNCTION("GOOGLETRANSLATE(B202,""en"",""bn"")"),"যানবাহন মেক")</f>
        <v>যানবাহন মেক</v>
      </c>
      <c r="O202" s="6"/>
      <c r="P202" s="6"/>
    </row>
    <row r="203">
      <c r="A203" s="8" t="s">
        <v>412</v>
      </c>
      <c r="B203" s="9" t="s">
        <v>413</v>
      </c>
      <c r="C203" s="5" t="str">
        <f>IFERROR(__xludf.DUMMYFUNCTION("GOOGLETRANSLATE(B203,""en"",""hi"")"),"वाहन मॉडल")</f>
        <v>वाहन मॉडल</v>
      </c>
      <c r="D203" s="6" t="str">
        <f>IFERROR(__xludf.DUMMYFUNCTION("GOOGLETRANSLATE(B203,""en"",""ar"")"),"نموذج السيارة")</f>
        <v>نموذج السيارة</v>
      </c>
      <c r="E203" s="6" t="str">
        <f>IFERROR(__xludf.DUMMYFUNCTION("GOOGLETRANSLATE(B203,""en"",""fr"")"),"Modèle de véhicule")</f>
        <v>Modèle de véhicule</v>
      </c>
      <c r="F203" s="6" t="str">
        <f>IFERROR(__xludf.DUMMYFUNCTION("GOOGLETRANSLATE(B203,""en"",""tr"")"),"Araç modeli")</f>
        <v>Araç modeli</v>
      </c>
      <c r="G203" s="6" t="str">
        <f>IFERROR(__xludf.DUMMYFUNCTION("GOOGLETRANSLATE(B203,""en"",""ru"")"),"Модель транспортного средства")</f>
        <v>Модель транспортного средства</v>
      </c>
      <c r="H203" s="6" t="str">
        <f>IFERROR(__xludf.DUMMYFUNCTION("GOOGLETRANSLATE(B203,""en"",""it"")"),"Modello del veicolo")</f>
        <v>Modello del veicolo</v>
      </c>
      <c r="I203" s="6" t="str">
        <f>IFERROR(__xludf.DUMMYFUNCTION("GOOGLETRANSLATE(B203,""en"",""de"")"),"Fahrzeugmodell")</f>
        <v>Fahrzeugmodell</v>
      </c>
      <c r="J203" s="6" t="str">
        <f>IFERROR(__xludf.DUMMYFUNCTION("GOOGLETRANSLATE(B203,""en"",""ko"")"),"차량 모델")</f>
        <v>차량 모델</v>
      </c>
      <c r="K203" s="6" t="str">
        <f>IFERROR(__xludf.DUMMYFUNCTION("GOOGLETRANSLATE(B203,""en"",""zh"")"),"车辆型号")</f>
        <v>车辆型号</v>
      </c>
      <c r="L203" s="6" t="str">
        <f>IFERROR(__xludf.DUMMYFUNCTION("GOOGLETRANSLATE(B203,""en"",""es"")"),"Modelo de vehículo")</f>
        <v>Modelo de vehículo</v>
      </c>
      <c r="M203" s="7" t="str">
        <f>IFERROR(__xludf.DUMMYFUNCTION("GOOGLETRANSLATE(B203,""en"",""iw"")"),"דגם רכב")</f>
        <v>דגם רכב</v>
      </c>
      <c r="N203" s="6" t="str">
        <f>IFERROR(__xludf.DUMMYFUNCTION("GOOGLETRANSLATE(B203,""en"",""bn"")"),"যানবাহন মডেল")</f>
        <v>যানবাহন মডেল</v>
      </c>
      <c r="O203" s="6"/>
      <c r="P203" s="6"/>
    </row>
    <row r="204">
      <c r="A204" s="8" t="s">
        <v>414</v>
      </c>
      <c r="B204" s="9" t="s">
        <v>415</v>
      </c>
      <c r="C204" s="5" t="str">
        <f>IFERROR(__xludf.DUMMYFUNCTION("GOOGLETRANSLATE(B204,""en"",""hi"")"),"वाहन वर्ष")</f>
        <v>वाहन वर्ष</v>
      </c>
      <c r="D204" s="6" t="str">
        <f>IFERROR(__xludf.DUMMYFUNCTION("GOOGLETRANSLATE(B204,""en"",""ar"")"),"سنة السيارة")</f>
        <v>سنة السيارة</v>
      </c>
      <c r="E204" s="6" t="str">
        <f>IFERROR(__xludf.DUMMYFUNCTION("GOOGLETRANSLATE(B204,""en"",""fr"")"),"Année de véhicule")</f>
        <v>Année de véhicule</v>
      </c>
      <c r="F204" s="6" t="str">
        <f>IFERROR(__xludf.DUMMYFUNCTION("GOOGLETRANSLATE(B204,""en"",""tr"")"),"Araç yılı")</f>
        <v>Araç yılı</v>
      </c>
      <c r="G204" s="6" t="str">
        <f>IFERROR(__xludf.DUMMYFUNCTION("GOOGLETRANSLATE(B204,""en"",""ru"")"),"Транспортный год")</f>
        <v>Транспортный год</v>
      </c>
      <c r="H204" s="6" t="str">
        <f>IFERROR(__xludf.DUMMYFUNCTION("GOOGLETRANSLATE(B204,""en"",""it"")"),"Anno del veicolo")</f>
        <v>Anno del veicolo</v>
      </c>
      <c r="I204" s="6" t="str">
        <f>IFERROR(__xludf.DUMMYFUNCTION("GOOGLETRANSLATE(B204,""en"",""de"")"),"Fahrzeugjahr")</f>
        <v>Fahrzeugjahr</v>
      </c>
      <c r="J204" s="6" t="str">
        <f>IFERROR(__xludf.DUMMYFUNCTION("GOOGLETRANSLATE(B204,""en"",""ko"")"),"차량 연도")</f>
        <v>차량 연도</v>
      </c>
      <c r="K204" s="6" t="str">
        <f>IFERROR(__xludf.DUMMYFUNCTION("GOOGLETRANSLATE(B204,""en"",""zh"")"),"车辆年")</f>
        <v>车辆年</v>
      </c>
      <c r="L204" s="6" t="str">
        <f>IFERROR(__xludf.DUMMYFUNCTION("GOOGLETRANSLATE(B204,""en"",""es"")"),"Año de vehículo")</f>
        <v>Año de vehículo</v>
      </c>
      <c r="M204" s="7" t="str">
        <f>IFERROR(__xludf.DUMMYFUNCTION("GOOGLETRANSLATE(B204,""en"",""iw"")"),"שנת רכב")</f>
        <v>שנת רכב</v>
      </c>
      <c r="N204" s="6" t="str">
        <f>IFERROR(__xludf.DUMMYFUNCTION("GOOGLETRANSLATE(B204,""en"",""bn"")"),"যানবাহন বছর")</f>
        <v>যানবাহন বছর</v>
      </c>
      <c r="O204" s="6"/>
      <c r="P204" s="6"/>
    </row>
    <row r="205">
      <c r="A205" s="8" t="s">
        <v>416</v>
      </c>
      <c r="B205" s="9" t="s">
        <v>417</v>
      </c>
      <c r="C205" s="5" t="str">
        <f>IFERROR(__xludf.DUMMYFUNCTION("GOOGLETRANSLATE(B205,""en"",""hi"")"),"वाहन का प्रकार")</f>
        <v>वाहन का प्रकार</v>
      </c>
      <c r="D205" s="6" t="str">
        <f>IFERROR(__xludf.DUMMYFUNCTION("GOOGLETRANSLATE(B205,""en"",""ar"")"),"نوع السيارة")</f>
        <v>نوع السيارة</v>
      </c>
      <c r="E205" s="6" t="str">
        <f>IFERROR(__xludf.DUMMYFUNCTION("GOOGLETRANSLATE(B205,""en"",""fr"")"),"Type de véhicule")</f>
        <v>Type de véhicule</v>
      </c>
      <c r="F205" s="6" t="str">
        <f>IFERROR(__xludf.DUMMYFUNCTION("GOOGLETRANSLATE(B205,""en"",""tr"")"),"araç tipi")</f>
        <v>araç tipi</v>
      </c>
      <c r="G205" s="6" t="str">
        <f>IFERROR(__xludf.DUMMYFUNCTION("GOOGLETRANSLATE(B205,""en"",""ru"")"),"тип машины")</f>
        <v>тип машины</v>
      </c>
      <c r="H205" s="6" t="str">
        <f>IFERROR(__xludf.DUMMYFUNCTION("GOOGLETRANSLATE(B205,""en"",""it"")"),"tipo di veicolo")</f>
        <v>tipo di veicolo</v>
      </c>
      <c r="I205" s="6" t="str">
        <f>IFERROR(__xludf.DUMMYFUNCTION("GOOGLETRANSLATE(B205,""en"",""de"")"),"Fahrzeugtyp")</f>
        <v>Fahrzeugtyp</v>
      </c>
      <c r="J205" s="6" t="str">
        <f>IFERROR(__xludf.DUMMYFUNCTION("GOOGLETRANSLATE(B205,""en"",""ko"")"),"차량 종류")</f>
        <v>차량 종류</v>
      </c>
      <c r="K205" s="6" t="str">
        <f>IFERROR(__xludf.DUMMYFUNCTION("GOOGLETRANSLATE(B205,""en"",""zh"")"),"车辆类型")</f>
        <v>车辆类型</v>
      </c>
      <c r="L205" s="6" t="str">
        <f>IFERROR(__xludf.DUMMYFUNCTION("GOOGLETRANSLATE(B205,""en"",""es"")"),"tipo de vehiculo")</f>
        <v>tipo de vehiculo</v>
      </c>
      <c r="M205" s="7" t="str">
        <f>IFERROR(__xludf.DUMMYFUNCTION("GOOGLETRANSLATE(B205,""en"",""iw"")"),"סוג רכב")</f>
        <v>סוג רכב</v>
      </c>
      <c r="N205" s="6" t="str">
        <f>IFERROR(__xludf.DUMMYFUNCTION("GOOGLETRANSLATE(B205,""en"",""bn"")"),"গাড়ির ধরন")</f>
        <v>গাড়ির ধরন</v>
      </c>
      <c r="O205" s="6"/>
      <c r="P205" s="6"/>
    </row>
    <row r="206">
      <c r="A206" s="8" t="s">
        <v>418</v>
      </c>
      <c r="B206" s="9" t="s">
        <v>92</v>
      </c>
      <c r="C206" s="5" t="str">
        <f>IFERROR(__xludf.DUMMYFUNCTION("GOOGLETRANSLATE(B206,""en"",""hi"")"),"गाडी नंबर")</f>
        <v>गाडी नंबर</v>
      </c>
      <c r="D206" s="6" t="str">
        <f>IFERROR(__xludf.DUMMYFUNCTION("GOOGLETRANSLATE(B206,""en"",""ar"")"),"عدد المركبات")</f>
        <v>عدد المركبات</v>
      </c>
      <c r="E206" s="6" t="str">
        <f>IFERROR(__xludf.DUMMYFUNCTION("GOOGLETRANSLATE(B206,""en"",""fr"")"),"Numéro de véhicule")</f>
        <v>Numéro de véhicule</v>
      </c>
      <c r="F206" s="6" t="str">
        <f>IFERROR(__xludf.DUMMYFUNCTION("GOOGLETRANSLATE(B206,""en"",""tr"")"),"Araç numarası")</f>
        <v>Araç numarası</v>
      </c>
      <c r="G206" s="6" t="str">
        <f>IFERROR(__xludf.DUMMYFUNCTION("GOOGLETRANSLATE(B206,""en"",""ru"")"),"Номер автомобиля")</f>
        <v>Номер автомобиля</v>
      </c>
      <c r="H206" s="6" t="str">
        <f>IFERROR(__xludf.DUMMYFUNCTION("GOOGLETRANSLATE(B206,""en"",""it"")"),"Numero del veicolo")</f>
        <v>Numero del veicolo</v>
      </c>
      <c r="I206" s="6" t="str">
        <f>IFERROR(__xludf.DUMMYFUNCTION("GOOGLETRANSLATE(B206,""en"",""de"")"),"Fahrzeugnummer")</f>
        <v>Fahrzeugnummer</v>
      </c>
      <c r="J206" s="6" t="str">
        <f>IFERROR(__xludf.DUMMYFUNCTION("GOOGLETRANSLATE(B206,""en"",""ko"")"),"차량 번호")</f>
        <v>차량 번호</v>
      </c>
      <c r="K206" s="6" t="str">
        <f>IFERROR(__xludf.DUMMYFUNCTION("GOOGLETRANSLATE(B206,""en"",""zh"")"),"车辆号码")</f>
        <v>车辆号码</v>
      </c>
      <c r="L206" s="6" t="str">
        <f>IFERROR(__xludf.DUMMYFUNCTION("GOOGLETRANSLATE(B206,""en"",""es"")"),"Número de vehículo")</f>
        <v>Número de vehículo</v>
      </c>
      <c r="M206" s="7" t="str">
        <f>IFERROR(__xludf.DUMMYFUNCTION("GOOGLETRANSLATE(B206,""en"",""iw"")"),"מספר רכב")</f>
        <v>מספר רכב</v>
      </c>
      <c r="N206" s="6" t="str">
        <f>IFERROR(__xludf.DUMMYFUNCTION("GOOGLETRANSLATE(B206,""en"",""bn"")"),"যানবাহন নম্বর")</f>
        <v>যানবাহন নম্বর</v>
      </c>
      <c r="O206" s="6"/>
      <c r="P206" s="6"/>
    </row>
    <row r="207">
      <c r="A207" s="8" t="s">
        <v>419</v>
      </c>
      <c r="B207" s="9" t="s">
        <v>420</v>
      </c>
      <c r="C207" s="5" t="str">
        <f>IFERROR(__xludf.DUMMYFUNCTION("GOOGLETRANSLATE(B207,""en"",""hi"")"),"वाहन रंग")</f>
        <v>वाहन रंग</v>
      </c>
      <c r="D207" s="6" t="str">
        <f>IFERROR(__xludf.DUMMYFUNCTION("GOOGLETRANSLATE(B207,""en"",""ar"")"),"لون السيارة")</f>
        <v>لون السيارة</v>
      </c>
      <c r="E207" s="6" t="str">
        <f>IFERROR(__xludf.DUMMYFUNCTION("GOOGLETRANSLATE(B207,""en"",""fr"")"),"Couleur du véhicule")</f>
        <v>Couleur du véhicule</v>
      </c>
      <c r="F207" s="6" t="str">
        <f>IFERROR(__xludf.DUMMYFUNCTION("GOOGLETRANSLATE(B207,""en"",""tr"")"),"Araç rengi")</f>
        <v>Araç rengi</v>
      </c>
      <c r="G207" s="6" t="str">
        <f>IFERROR(__xludf.DUMMYFUNCTION("GOOGLETRANSLATE(B207,""en"",""ru"")"),"Цвет автомобиля")</f>
        <v>Цвет автомобиля</v>
      </c>
      <c r="H207" s="6" t="str">
        <f>IFERROR(__xludf.DUMMYFUNCTION("GOOGLETRANSLATE(B207,""en"",""it"")"),"Colore del veicolo")</f>
        <v>Colore del veicolo</v>
      </c>
      <c r="I207" s="6" t="str">
        <f>IFERROR(__xludf.DUMMYFUNCTION("GOOGLETRANSLATE(B207,""en"",""de"")"),"Fahrzeugfarbe")</f>
        <v>Fahrzeugfarbe</v>
      </c>
      <c r="J207" s="6" t="str">
        <f>IFERROR(__xludf.DUMMYFUNCTION("GOOGLETRANSLATE(B207,""en"",""ko"")"),"차량 색상")</f>
        <v>차량 색상</v>
      </c>
      <c r="K207" s="6" t="str">
        <f>IFERROR(__xludf.DUMMYFUNCTION("GOOGLETRANSLATE(B207,""en"",""zh"")"),"车辆颜色")</f>
        <v>车辆颜色</v>
      </c>
      <c r="L207" s="6" t="str">
        <f>IFERROR(__xludf.DUMMYFUNCTION("GOOGLETRANSLATE(B207,""en"",""es"")"),"Color del vehículo")</f>
        <v>Color del vehículo</v>
      </c>
      <c r="M207" s="7" t="str">
        <f>IFERROR(__xludf.DUMMYFUNCTION("GOOGLETRANSLATE(B207,""en"",""iw"")"),"צבע רכב")</f>
        <v>צבע רכב</v>
      </c>
      <c r="N207" s="6" t="str">
        <f>IFERROR(__xludf.DUMMYFUNCTION("GOOGLETRANSLATE(B207,""en"",""bn"")"),"গাড়ির রঙ")</f>
        <v>গাড়ির রঙ</v>
      </c>
      <c r="O207" s="6"/>
      <c r="P207" s="6"/>
    </row>
    <row r="208">
      <c r="A208" s="8" t="s">
        <v>421</v>
      </c>
      <c r="B208" s="9" t="s">
        <v>422</v>
      </c>
      <c r="C208" s="5" t="str">
        <f>IFERROR(__xludf.DUMMYFUNCTION("GOOGLETRANSLATE(B208,""en"",""hi"")"),"अपलोड करने के लिए यहां टैप करें")</f>
        <v>अपलोड करने के लिए यहां टैप करें</v>
      </c>
      <c r="D208" s="6" t="str">
        <f>IFERROR(__xludf.DUMMYFUNCTION("GOOGLETRANSLATE(B208,""en"",""ar"")"),"اضغط هنا لتحميل")</f>
        <v>اضغط هنا لتحميل</v>
      </c>
      <c r="E208" s="6" t="str">
        <f>IFERROR(__xludf.DUMMYFUNCTION("GOOGLETRANSLATE(B208,""en"",""fr"")"),"Appuyez ici pour télécharger")</f>
        <v>Appuyez ici pour télécharger</v>
      </c>
      <c r="F208" s="6" t="str">
        <f>IFERROR(__xludf.DUMMYFUNCTION("GOOGLETRANSLATE(B208,""en"",""tr"")"),"Yüklemek için buraya dokunun")</f>
        <v>Yüklemek için buraya dokunun</v>
      </c>
      <c r="G208" s="6" t="str">
        <f>IFERROR(__xludf.DUMMYFUNCTION("GOOGLETRANSLATE(B208,""en"",""ru"")"),"Нажмите здесь, чтобы загрузить")</f>
        <v>Нажмите здесь, чтобы загрузить</v>
      </c>
      <c r="H208" s="6" t="str">
        <f>IFERROR(__xludf.DUMMYFUNCTION("GOOGLETRANSLATE(B208,""en"",""it"")"),"Tocca qui per caricare")</f>
        <v>Tocca qui per caricare</v>
      </c>
      <c r="I208" s="6" t="str">
        <f>IFERROR(__xludf.DUMMYFUNCTION("GOOGLETRANSLATE(B208,""en"",""de"")"),"Tippen Sie hier, um hochzuladen")</f>
        <v>Tippen Sie hier, um hochzuladen</v>
      </c>
      <c r="J208" s="6" t="str">
        <f>IFERROR(__xludf.DUMMYFUNCTION("GOOGLETRANSLATE(B208,""en"",""ko"")"),"업로드하려면 여기를 누릅니다")</f>
        <v>업로드하려면 여기를 누릅니다</v>
      </c>
      <c r="K208" s="6" t="str">
        <f>IFERROR(__xludf.DUMMYFUNCTION("GOOGLETRANSLATE(B208,""en"",""zh"")"),"点击这里上传")</f>
        <v>点击这里上传</v>
      </c>
      <c r="L208" s="6" t="str">
        <f>IFERROR(__xludf.DUMMYFUNCTION("GOOGLETRANSLATE(B208,""en"",""es"")"),"Toque aquí para cargar")</f>
        <v>Toque aquí para cargar</v>
      </c>
      <c r="M208" s="7" t="str">
        <f>IFERROR(__xludf.DUMMYFUNCTION("GOOGLETRANSLATE(B208,""en"",""iw"")"),"הקש כאן כדי להעלות")</f>
        <v>הקש כאן כדי להעלות</v>
      </c>
      <c r="N208" s="6" t="str">
        <f>IFERROR(__xludf.DUMMYFUNCTION("GOOGLETRANSLATE(B208,""en"",""bn"")"),"আপলোড করতে এখানে আলতো চাপুন")</f>
        <v>আপলোড করতে এখানে আলতো চাপুন</v>
      </c>
      <c r="O208" s="6"/>
      <c r="P208" s="6"/>
    </row>
    <row r="209">
      <c r="A209" s="8" t="s">
        <v>423</v>
      </c>
      <c r="B209" s="9" t="s">
        <v>424</v>
      </c>
      <c r="C209" s="5" t="str">
        <f>IFERROR(__xludf.DUMMYFUNCTION("GOOGLETRANSLATE(B209,""en"",""hi"")"),"आय")</f>
        <v>आय</v>
      </c>
      <c r="D209" s="6" t="str">
        <f>IFERROR(__xludf.DUMMYFUNCTION("GOOGLETRANSLATE(B209,""en"",""ar"")"),"الأرباح")</f>
        <v>الأرباح</v>
      </c>
      <c r="E209" s="6" t="str">
        <f>IFERROR(__xludf.DUMMYFUNCTION("GOOGLETRANSLATE(B209,""en"",""fr"")"),"Gains")</f>
        <v>Gains</v>
      </c>
      <c r="F209" s="6" t="str">
        <f>IFERROR(__xludf.DUMMYFUNCTION("GOOGLETRANSLATE(B209,""en"",""tr"")"),"Kazanç")</f>
        <v>Kazanç</v>
      </c>
      <c r="G209" s="6" t="str">
        <f>IFERROR(__xludf.DUMMYFUNCTION("GOOGLETRANSLATE(B209,""en"",""ru"")"),"Заработок")</f>
        <v>Заработок</v>
      </c>
      <c r="H209" s="6" t="str">
        <f>IFERROR(__xludf.DUMMYFUNCTION("GOOGLETRANSLATE(B209,""en"",""it"")"),"Guadagni")</f>
        <v>Guadagni</v>
      </c>
      <c r="I209" s="6" t="str">
        <f>IFERROR(__xludf.DUMMYFUNCTION("GOOGLETRANSLATE(B209,""en"",""de"")"),"Verdienste")</f>
        <v>Verdienste</v>
      </c>
      <c r="J209" s="6" t="str">
        <f>IFERROR(__xludf.DUMMYFUNCTION("GOOGLETRANSLATE(B209,""en"",""ko"")"),"수입")</f>
        <v>수입</v>
      </c>
      <c r="K209" s="6" t="str">
        <f>IFERROR(__xludf.DUMMYFUNCTION("GOOGLETRANSLATE(B209,""en"",""zh"")"),"收益")</f>
        <v>收益</v>
      </c>
      <c r="L209" s="6" t="str">
        <f>IFERROR(__xludf.DUMMYFUNCTION("GOOGLETRANSLATE(B209,""en"",""es"")"),"Ganancias")</f>
        <v>Ganancias</v>
      </c>
      <c r="M209" s="7" t="str">
        <f>IFERROR(__xludf.DUMMYFUNCTION("GOOGLETRANSLATE(B209,""en"",""iw"")"),"רווחים")</f>
        <v>רווחים</v>
      </c>
      <c r="N209" s="6" t="str">
        <f>IFERROR(__xludf.DUMMYFUNCTION("GOOGLETRANSLATE(B209,""en"",""bn"")"),"উপার্জন")</f>
        <v>উপার্জন</v>
      </c>
      <c r="O209" s="6"/>
      <c r="P209" s="6"/>
    </row>
    <row r="210">
      <c r="A210" s="8" t="s">
        <v>425</v>
      </c>
      <c r="B210" s="9" t="s">
        <v>426</v>
      </c>
      <c r="C210" s="5" t="str">
        <f>IFERROR(__xludf.DUMMYFUNCTION("GOOGLETRANSLATE(B210,""en"",""hi"")"),"आज")</f>
        <v>आज</v>
      </c>
      <c r="D210" s="6" t="str">
        <f>IFERROR(__xludf.DUMMYFUNCTION("GOOGLETRANSLATE(B210,""en"",""ar"")"),"اليوم")</f>
        <v>اليوم</v>
      </c>
      <c r="E210" s="6" t="str">
        <f>IFERROR(__xludf.DUMMYFUNCTION("GOOGLETRANSLATE(B210,""en"",""fr"")"),"Aujourd'hui")</f>
        <v>Aujourd'hui</v>
      </c>
      <c r="F210" s="6" t="str">
        <f>IFERROR(__xludf.DUMMYFUNCTION("GOOGLETRANSLATE(B210,""en"",""tr"")"),"Bugün")</f>
        <v>Bugün</v>
      </c>
      <c r="G210" s="6" t="str">
        <f>IFERROR(__xludf.DUMMYFUNCTION("GOOGLETRANSLATE(B210,""en"",""ru"")"),"Сегодня")</f>
        <v>Сегодня</v>
      </c>
      <c r="H210" s="6" t="str">
        <f>IFERROR(__xludf.DUMMYFUNCTION("GOOGLETRANSLATE(B210,""en"",""it"")"),"In data odierna")</f>
        <v>In data odierna</v>
      </c>
      <c r="I210" s="6" t="str">
        <f>IFERROR(__xludf.DUMMYFUNCTION("GOOGLETRANSLATE(B210,""en"",""de"")"),"Heute")</f>
        <v>Heute</v>
      </c>
      <c r="J210" s="6" t="str">
        <f>IFERROR(__xludf.DUMMYFUNCTION("GOOGLETRANSLATE(B210,""en"",""ko"")"),"오늘")</f>
        <v>오늘</v>
      </c>
      <c r="K210" s="6" t="str">
        <f>IFERROR(__xludf.DUMMYFUNCTION("GOOGLETRANSLATE(B210,""en"",""zh"")"),"今天")</f>
        <v>今天</v>
      </c>
      <c r="L210" s="6" t="str">
        <f>IFERROR(__xludf.DUMMYFUNCTION("GOOGLETRANSLATE(B210,""en"",""es"")"),"Este Dia")</f>
        <v>Este Dia</v>
      </c>
      <c r="M210" s="7" t="str">
        <f>IFERROR(__xludf.DUMMYFUNCTION("GOOGLETRANSLATE(B210,""en"",""iw"")"),"היום")</f>
        <v>היום</v>
      </c>
      <c r="N210" s="6" t="str">
        <f>IFERROR(__xludf.DUMMYFUNCTION("GOOGLETRANSLATE(B210,""en"",""bn"")"),"আজ")</f>
        <v>আজ</v>
      </c>
      <c r="O210" s="6"/>
      <c r="P210" s="6"/>
    </row>
    <row r="211">
      <c r="A211" s="8" t="s">
        <v>427</v>
      </c>
      <c r="B211" s="9" t="s">
        <v>428</v>
      </c>
      <c r="C211" s="5" t="str">
        <f>IFERROR(__xludf.DUMMYFUNCTION("GOOGLETRANSLATE(B211,""en"",""hi"")"),"साप्ताहिक")</f>
        <v>साप्ताहिक</v>
      </c>
      <c r="D211" s="6" t="str">
        <f>IFERROR(__xludf.DUMMYFUNCTION("GOOGLETRANSLATE(B211,""en"",""ar"")"),"أسبوعي")</f>
        <v>أسبوعي</v>
      </c>
      <c r="E211" s="6" t="str">
        <f>IFERROR(__xludf.DUMMYFUNCTION("GOOGLETRANSLATE(B211,""en"",""fr"")"),"Hebdomadaire")</f>
        <v>Hebdomadaire</v>
      </c>
      <c r="F211" s="6" t="str">
        <f>IFERROR(__xludf.DUMMYFUNCTION("GOOGLETRANSLATE(B211,""en"",""tr"")"),"Haftalık")</f>
        <v>Haftalık</v>
      </c>
      <c r="G211" s="6" t="str">
        <f>IFERROR(__xludf.DUMMYFUNCTION("GOOGLETRANSLATE(B211,""en"",""ru"")"),"Еженедельно")</f>
        <v>Еженедельно</v>
      </c>
      <c r="H211" s="6" t="str">
        <f>IFERROR(__xludf.DUMMYFUNCTION("GOOGLETRANSLATE(B211,""en"",""it"")"),"settimanalmente")</f>
        <v>settimanalmente</v>
      </c>
      <c r="I211" s="6" t="str">
        <f>IFERROR(__xludf.DUMMYFUNCTION("GOOGLETRANSLATE(B211,""en"",""de"")"),"Wöchentlich")</f>
        <v>Wöchentlich</v>
      </c>
      <c r="J211" s="6" t="str">
        <f>IFERROR(__xludf.DUMMYFUNCTION("GOOGLETRANSLATE(B211,""en"",""ko"")"),"주간")</f>
        <v>주간</v>
      </c>
      <c r="K211" s="6" t="str">
        <f>IFERROR(__xludf.DUMMYFUNCTION("GOOGLETRANSLATE(B211,""en"",""zh"")"),"每周")</f>
        <v>每周</v>
      </c>
      <c r="L211" s="6" t="str">
        <f>IFERROR(__xludf.DUMMYFUNCTION("GOOGLETRANSLATE(B211,""en"",""es"")"),"Semanalmente")</f>
        <v>Semanalmente</v>
      </c>
      <c r="M211" s="7" t="str">
        <f>IFERROR(__xludf.DUMMYFUNCTION("GOOGLETRANSLATE(B211,""en"",""iw"")"),"שְׁבוּעִי")</f>
        <v>שְׁבוּעִי</v>
      </c>
      <c r="N211" s="6" t="str">
        <f>IFERROR(__xludf.DUMMYFUNCTION("GOOGLETRANSLATE(B211,""en"",""bn"")"),"সাপ্তাহিক")</f>
        <v>সাপ্তাহিক</v>
      </c>
      <c r="O211" s="6"/>
      <c r="P211" s="6"/>
    </row>
    <row r="212">
      <c r="A212" s="8" t="s">
        <v>429</v>
      </c>
      <c r="B212" s="9" t="s">
        <v>430</v>
      </c>
      <c r="C212" s="5" t="str">
        <f>IFERROR(__xludf.DUMMYFUNCTION("GOOGLETRANSLATE(B212,""en"",""hi"")"),"महीने के")</f>
        <v>महीने के</v>
      </c>
      <c r="D212" s="6" t="str">
        <f>IFERROR(__xludf.DUMMYFUNCTION("GOOGLETRANSLATE(B212,""en"",""ar"")"),"شهريا")</f>
        <v>شهريا</v>
      </c>
      <c r="E212" s="6" t="str">
        <f>IFERROR(__xludf.DUMMYFUNCTION("GOOGLETRANSLATE(B212,""en"",""fr"")"),"Mensuel")</f>
        <v>Mensuel</v>
      </c>
      <c r="F212" s="6" t="str">
        <f>IFERROR(__xludf.DUMMYFUNCTION("GOOGLETRANSLATE(B212,""en"",""tr"")"),"Aylık")</f>
        <v>Aylık</v>
      </c>
      <c r="G212" s="6" t="str">
        <f>IFERROR(__xludf.DUMMYFUNCTION("GOOGLETRANSLATE(B212,""en"",""ru"")"),"Ежемесячно")</f>
        <v>Ежемесячно</v>
      </c>
      <c r="H212" s="6" t="str">
        <f>IFERROR(__xludf.DUMMYFUNCTION("GOOGLETRANSLATE(B212,""en"",""it"")"),"Mensile")</f>
        <v>Mensile</v>
      </c>
      <c r="I212" s="6" t="str">
        <f>IFERROR(__xludf.DUMMYFUNCTION("GOOGLETRANSLATE(B212,""en"",""de"")"),"Monatlich")</f>
        <v>Monatlich</v>
      </c>
      <c r="J212" s="6" t="str">
        <f>IFERROR(__xludf.DUMMYFUNCTION("GOOGLETRANSLATE(B212,""en"",""ko"")"),"월간 간행물")</f>
        <v>월간 간행물</v>
      </c>
      <c r="K212" s="6" t="str">
        <f>IFERROR(__xludf.DUMMYFUNCTION("GOOGLETRANSLATE(B212,""en"",""zh"")"),"每月")</f>
        <v>每月</v>
      </c>
      <c r="L212" s="6" t="str">
        <f>IFERROR(__xludf.DUMMYFUNCTION("GOOGLETRANSLATE(B212,""en"",""es"")"),"Mensual")</f>
        <v>Mensual</v>
      </c>
      <c r="M212" s="7" t="str">
        <f>IFERROR(__xludf.DUMMYFUNCTION("GOOGLETRANSLATE(B212,""en"",""iw"")"),"יַרחוֹן")</f>
        <v>יַרחוֹן</v>
      </c>
      <c r="N212" s="6" t="str">
        <f>IFERROR(__xludf.DUMMYFUNCTION("GOOGLETRANSLATE(B212,""en"",""bn"")"),"মাসিক")</f>
        <v>মাসিক</v>
      </c>
      <c r="O212" s="6"/>
      <c r="P212" s="6"/>
    </row>
    <row r="213">
      <c r="A213" s="8" t="s">
        <v>431</v>
      </c>
      <c r="B213" s="9" t="s">
        <v>432</v>
      </c>
      <c r="C213" s="5" t="str">
        <f>IFERROR(__xludf.DUMMYFUNCTION("GOOGLETRANSLATE(B213,""en"",""hi"")"),"ट्रिप्स")</f>
        <v>ट्रिप्स</v>
      </c>
      <c r="D213" s="6" t="str">
        <f>IFERROR(__xludf.DUMMYFUNCTION("GOOGLETRANSLATE(B213,""en"",""ar"")"),"رحلات")</f>
        <v>رحلات</v>
      </c>
      <c r="E213" s="6" t="str">
        <f>IFERROR(__xludf.DUMMYFUNCTION("GOOGLETRANSLATE(B213,""en"",""fr"")"),"Voyages")</f>
        <v>Voyages</v>
      </c>
      <c r="F213" s="6" t="str">
        <f>IFERROR(__xludf.DUMMYFUNCTION("GOOGLETRANSLATE(B213,""en"",""tr"")"),"Geziler")</f>
        <v>Geziler</v>
      </c>
      <c r="G213" s="6" t="str">
        <f>IFERROR(__xludf.DUMMYFUNCTION("GOOGLETRANSLATE(B213,""en"",""ru"")"),"Поездка")</f>
        <v>Поездка</v>
      </c>
      <c r="H213" s="6" t="str">
        <f>IFERROR(__xludf.DUMMYFUNCTION("GOOGLETRANSLATE(B213,""en"",""it"")"),"Viaggi")</f>
        <v>Viaggi</v>
      </c>
      <c r="I213" s="6" t="str">
        <f>IFERROR(__xludf.DUMMYFUNCTION("GOOGLETRANSLATE(B213,""en"",""de"")"),"Reisen")</f>
        <v>Reisen</v>
      </c>
      <c r="J213" s="6" t="str">
        <f>IFERROR(__xludf.DUMMYFUNCTION("GOOGLETRANSLATE(B213,""en"",""ko"")"),"여행")</f>
        <v>여행</v>
      </c>
      <c r="K213" s="6" t="str">
        <f>IFERROR(__xludf.DUMMYFUNCTION("GOOGLETRANSLATE(B213,""en"",""zh"")"),"旅行")</f>
        <v>旅行</v>
      </c>
      <c r="L213" s="6" t="str">
        <f>IFERROR(__xludf.DUMMYFUNCTION("GOOGLETRANSLATE(B213,""en"",""es"")"),"Excursiones")</f>
        <v>Excursiones</v>
      </c>
      <c r="M213" s="7" t="str">
        <f>IFERROR(__xludf.DUMMYFUNCTION("GOOGLETRANSLATE(B213,""en"",""iw"")"),"טיולים")</f>
        <v>טיולים</v>
      </c>
      <c r="N213" s="6" t="str">
        <f>IFERROR(__xludf.DUMMYFUNCTION("GOOGLETRANSLATE(B213,""en"",""bn"")"),"ট্রিপস")</f>
        <v>ট্রিপস</v>
      </c>
      <c r="O213" s="6"/>
      <c r="P213" s="6"/>
    </row>
    <row r="214">
      <c r="A214" s="8" t="s">
        <v>433</v>
      </c>
      <c r="B214" s="9" t="s">
        <v>434</v>
      </c>
      <c r="C214" s="5" t="str">
        <f>IFERROR(__xludf.DUMMYFUNCTION("GOOGLETRANSLATE(B214,""en"",""hi"")"),"घंटे")</f>
        <v>घंटे</v>
      </c>
      <c r="D214" s="6" t="str">
        <f>IFERROR(__xludf.DUMMYFUNCTION("GOOGLETRANSLATE(B214,""en"",""ar"")"),"ساعات")</f>
        <v>ساعات</v>
      </c>
      <c r="E214" s="6" t="str">
        <f>IFERROR(__xludf.DUMMYFUNCTION("GOOGLETRANSLATE(B214,""en"",""fr"")"),"Heures")</f>
        <v>Heures</v>
      </c>
      <c r="F214" s="6" t="str">
        <f>IFERROR(__xludf.DUMMYFUNCTION("GOOGLETRANSLATE(B214,""en"",""tr"")"),"Saat")</f>
        <v>Saat</v>
      </c>
      <c r="G214" s="6" t="str">
        <f>IFERROR(__xludf.DUMMYFUNCTION("GOOGLETRANSLATE(B214,""en"",""ru"")"),"Часы")</f>
        <v>Часы</v>
      </c>
      <c r="H214" s="6" t="str">
        <f>IFERROR(__xludf.DUMMYFUNCTION("GOOGLETRANSLATE(B214,""en"",""it"")"),"Ore")</f>
        <v>Ore</v>
      </c>
      <c r="I214" s="6" t="str">
        <f>IFERROR(__xludf.DUMMYFUNCTION("GOOGLETRANSLATE(B214,""en"",""de"")"),"Std")</f>
        <v>Std</v>
      </c>
      <c r="J214" s="6" t="str">
        <f>IFERROR(__xludf.DUMMYFUNCTION("GOOGLETRANSLATE(B214,""en"",""ko"")"),"시간")</f>
        <v>시간</v>
      </c>
      <c r="K214" s="6" t="str">
        <f>IFERROR(__xludf.DUMMYFUNCTION("GOOGLETRANSLATE(B214,""en"",""zh"")"),"小时")</f>
        <v>小时</v>
      </c>
      <c r="L214" s="6" t="str">
        <f>IFERROR(__xludf.DUMMYFUNCTION("GOOGLETRANSLATE(B214,""en"",""es"")"),"Horas")</f>
        <v>Horas</v>
      </c>
      <c r="M214" s="7" t="str">
        <f>IFERROR(__xludf.DUMMYFUNCTION("GOOGLETRANSLATE(B214,""en"",""iw"")"),"שעה (ות")</f>
        <v>שעה (ות</v>
      </c>
      <c r="N214" s="6" t="str">
        <f>IFERROR(__xludf.DUMMYFUNCTION("GOOGLETRANSLATE(B214,""en"",""bn"")"),"ঘন্টার")</f>
        <v>ঘন্টার</v>
      </c>
      <c r="O214" s="6"/>
      <c r="P214" s="6"/>
    </row>
    <row r="215">
      <c r="A215" s="8" t="s">
        <v>435</v>
      </c>
      <c r="B215" s="9" t="s">
        <v>436</v>
      </c>
      <c r="C215" s="5" t="str">
        <f>IFERROR(__xludf.DUMMYFUNCTION("GOOGLETRANSLATE(B215,""en"",""hi"")"),"ट्रिप kms")</f>
        <v>ट्रिप kms</v>
      </c>
      <c r="D215" s="6" t="str">
        <f>IFERROR(__xludf.DUMMYFUNCTION("GOOGLETRANSLATE(B215,""en"",""ar"")"),"رحلة KMS")</f>
        <v>رحلة KMS</v>
      </c>
      <c r="E215" s="6" t="str">
        <f>IFERROR(__xludf.DUMMYFUNCTION("GOOGLETRANSLATE(B215,""en"",""fr"")"),"Km de voyage")</f>
        <v>Km de voyage</v>
      </c>
      <c r="F215" s="6" t="str">
        <f>IFERROR(__xludf.DUMMYFUNCTION("GOOGLETRANSLATE(B215,""en"",""tr"")"),"Seyahat KMS")</f>
        <v>Seyahat KMS</v>
      </c>
      <c r="G215" s="6" t="str">
        <f>IFERROR(__xludf.DUMMYFUNCTION("GOOGLETRANSLATE(B215,""en"",""ru"")"),"Trip Kms")</f>
        <v>Trip Kms</v>
      </c>
      <c r="H215" s="6" t="str">
        <f>IFERROR(__xludf.DUMMYFUNCTION("GOOGLETRANSLATE(B215,""en"",""it"")"),"Trip KMS")</f>
        <v>Trip KMS</v>
      </c>
      <c r="I215" s="6" t="str">
        <f>IFERROR(__xludf.DUMMYFUNCTION("GOOGLETRANSLATE(B215,""en"",""de"")"),"Ausflug km")</f>
        <v>Ausflug km</v>
      </c>
      <c r="J215" s="6" t="str">
        <f>IFERROR(__xludf.DUMMYFUNCTION("GOOGLETRANSLATE(B215,""en"",""ko"")"),"여행 KMS")</f>
        <v>여행 KMS</v>
      </c>
      <c r="K215" s="6" t="str">
        <f>IFERROR(__xludf.DUMMYFUNCTION("GOOGLETRANSLATE(B215,""en"",""zh"")"),"旅行公里")</f>
        <v>旅行公里</v>
      </c>
      <c r="L215" s="6" t="str">
        <f>IFERROR(__xludf.DUMMYFUNCTION("GOOGLETRANSLATE(B215,""en"",""es"")"),"Viaje KMS")</f>
        <v>Viaje KMS</v>
      </c>
      <c r="M215" s="7" t="str">
        <f>IFERROR(__xludf.DUMMYFUNCTION("GOOGLETRANSLATE(B215,""en"",""iw"")"),"טיול KMS")</f>
        <v>טיול KMS</v>
      </c>
      <c r="N215" s="6" t="str">
        <f>IFERROR(__xludf.DUMMYFUNCTION("GOOGLETRANSLATE(B215,""en"",""bn"")"),"ট্রিপ কেএমএস")</f>
        <v>ট্রিপ কেএমএস</v>
      </c>
      <c r="O215" s="6"/>
      <c r="P215" s="6"/>
    </row>
    <row r="216">
      <c r="A216" s="8" t="s">
        <v>437</v>
      </c>
      <c r="B216" s="9" t="s">
        <v>438</v>
      </c>
      <c r="C216" s="5" t="str">
        <f>IFERROR(__xludf.DUMMYFUNCTION("GOOGLETRANSLATE(B216,""en"",""hi"")"),"बटुआ भुगतान")</f>
        <v>बटुआ भुगतान</v>
      </c>
      <c r="D216" s="6" t="str">
        <f>IFERROR(__xludf.DUMMYFUNCTION("GOOGLETRANSLATE(B216,""en"",""ar"")"),"دفع محفظة")</f>
        <v>دفع محفظة</v>
      </c>
      <c r="E216" s="6" t="str">
        <f>IFERROR(__xludf.DUMMYFUNCTION("GOOGLETRANSLATE(B216,""en"",""fr"")"),"Paiement de portefeuille")</f>
        <v>Paiement de portefeuille</v>
      </c>
      <c r="F216" s="6" t="str">
        <f>IFERROR(__xludf.DUMMYFUNCTION("GOOGLETRANSLATE(B216,""en"",""tr"")"),"Cüzdan ödemesi")</f>
        <v>Cüzdan ödemesi</v>
      </c>
      <c r="G216" s="6" t="str">
        <f>IFERROR(__xludf.DUMMYFUNCTION("GOOGLETRANSLATE(B216,""en"",""ru"")"),"Оплата кошелька")</f>
        <v>Оплата кошелька</v>
      </c>
      <c r="H216" s="6" t="str">
        <f>IFERROR(__xludf.DUMMYFUNCTION("GOOGLETRANSLATE(B216,""en"",""it"")"),"Pagamento del portafoglio")</f>
        <v>Pagamento del portafoglio</v>
      </c>
      <c r="I216" s="6" t="str">
        <f>IFERROR(__xludf.DUMMYFUNCTION("GOOGLETRANSLATE(B216,""en"",""de"")"),"Brieftaschenzahlung")</f>
        <v>Brieftaschenzahlung</v>
      </c>
      <c r="J216" s="6" t="str">
        <f>IFERROR(__xludf.DUMMYFUNCTION("GOOGLETRANSLATE(B216,""en"",""ko"")"),"지갑 지불")</f>
        <v>지갑 지불</v>
      </c>
      <c r="K216" s="6" t="str">
        <f>IFERROR(__xludf.DUMMYFUNCTION("GOOGLETRANSLATE(B216,""en"",""zh"")"),"钱包付款")</f>
        <v>钱包付款</v>
      </c>
      <c r="L216" s="6" t="str">
        <f>IFERROR(__xludf.DUMMYFUNCTION("GOOGLETRANSLATE(B216,""en"",""es"")"),"Pago de billetera")</f>
        <v>Pago de billetera</v>
      </c>
      <c r="M216" s="7" t="str">
        <f>IFERROR(__xludf.DUMMYFUNCTION("GOOGLETRANSLATE(B216,""en"",""iw"")"),"תשלום ארנק")</f>
        <v>תשלום ארנק</v>
      </c>
      <c r="N216" s="6" t="str">
        <f>IFERROR(__xludf.DUMMYFUNCTION("GOOGLETRANSLATE(B216,""en"",""bn"")"),"মানিব্যাগ প্রদান")</f>
        <v>মানিব্যাগ প্রদান</v>
      </c>
      <c r="O216" s="6"/>
      <c r="P216" s="6"/>
    </row>
    <row r="217">
      <c r="A217" s="8" t="s">
        <v>439</v>
      </c>
      <c r="B217" s="9" t="s">
        <v>440</v>
      </c>
      <c r="C217" s="5" t="str">
        <f>IFERROR(__xludf.DUMMYFUNCTION("GOOGLETRANSLATE(B217,""en"",""hi"")"),"नकद भुगतान")</f>
        <v>नकद भुगतान</v>
      </c>
      <c r="D217" s="6" t="str">
        <f>IFERROR(__xludf.DUMMYFUNCTION("GOOGLETRANSLATE(B217,""en"",""ar"")"),"دفع نقدا")</f>
        <v>دفع نقدا</v>
      </c>
      <c r="E217" s="6" t="str">
        <f>IFERROR(__xludf.DUMMYFUNCTION("GOOGLETRANSLATE(B217,""en"",""fr"")"),"Paiement en espèces")</f>
        <v>Paiement en espèces</v>
      </c>
      <c r="F217" s="6" t="str">
        <f>IFERROR(__xludf.DUMMYFUNCTION("GOOGLETRANSLATE(B217,""en"",""tr"")"),"Nakit ödeme")</f>
        <v>Nakit ödeme</v>
      </c>
      <c r="G217" s="6" t="str">
        <f>IFERROR(__xludf.DUMMYFUNCTION("GOOGLETRANSLATE(B217,""en"",""ru"")"),"Наличный расчет")</f>
        <v>Наличный расчет</v>
      </c>
      <c r="H217" s="6" t="str">
        <f>IFERROR(__xludf.DUMMYFUNCTION("GOOGLETRANSLATE(B217,""en"",""it"")"),"Pagamento in contanti")</f>
        <v>Pagamento in contanti</v>
      </c>
      <c r="I217" s="6" t="str">
        <f>IFERROR(__xludf.DUMMYFUNCTION("GOOGLETRANSLATE(B217,""en"",""de"")"),"Barzahlung")</f>
        <v>Barzahlung</v>
      </c>
      <c r="J217" s="6" t="str">
        <f>IFERROR(__xludf.DUMMYFUNCTION("GOOGLETRANSLATE(B217,""en"",""ko"")"),"현금 결제")</f>
        <v>현금 결제</v>
      </c>
      <c r="K217" s="6" t="str">
        <f>IFERROR(__xludf.DUMMYFUNCTION("GOOGLETRANSLATE(B217,""en"",""zh"")"),"现金支付")</f>
        <v>现金支付</v>
      </c>
      <c r="L217" s="6" t="str">
        <f>IFERROR(__xludf.DUMMYFUNCTION("GOOGLETRANSLATE(B217,""en"",""es"")"),"Pago en efectivo")</f>
        <v>Pago en efectivo</v>
      </c>
      <c r="M217" s="7" t="str">
        <f>IFERROR(__xludf.DUMMYFUNCTION("GOOGLETRANSLATE(B217,""en"",""iw"")"),"תשלום במזומן")</f>
        <v>תשלום במזומן</v>
      </c>
      <c r="N217" s="6" t="str">
        <f>IFERROR(__xludf.DUMMYFUNCTION("GOOGLETRANSLATE(B217,""en"",""bn"")"),"নগদে টাকা প্রদান")</f>
        <v>নগদে টাকা প্রদান</v>
      </c>
      <c r="O217" s="6"/>
      <c r="P217" s="6"/>
    </row>
    <row r="218">
      <c r="A218" s="8" t="s">
        <v>441</v>
      </c>
      <c r="B218" s="9" t="s">
        <v>442</v>
      </c>
      <c r="C218" s="5" t="str">
        <f>IFERROR(__xludf.DUMMYFUNCTION("GOOGLETRANSLATE(B218,""en"",""hi"")"),"कुल कमाई")</f>
        <v>कुल कमाई</v>
      </c>
      <c r="D218" s="6" t="str">
        <f>IFERROR(__xludf.DUMMYFUNCTION("GOOGLETRANSLATE(B218,""en"",""ar"")"),"الأرباح الكلية")</f>
        <v>الأرباح الكلية</v>
      </c>
      <c r="E218" s="6" t="str">
        <f>IFERROR(__xludf.DUMMYFUNCTION("GOOGLETRANSLATE(B218,""en"",""fr"")"),"Total des gains")</f>
        <v>Total des gains</v>
      </c>
      <c r="F218" s="6" t="str">
        <f>IFERROR(__xludf.DUMMYFUNCTION("GOOGLETRANSLATE(B218,""en"",""tr"")"),"toplam kazanç")</f>
        <v>toplam kazanç</v>
      </c>
      <c r="G218" s="6" t="str">
        <f>IFERROR(__xludf.DUMMYFUNCTION("GOOGLETRANSLATE(B218,""en"",""ru"")"),"Общий заработок")</f>
        <v>Общий заработок</v>
      </c>
      <c r="H218" s="6" t="str">
        <f>IFERROR(__xludf.DUMMYFUNCTION("GOOGLETRANSLATE(B218,""en"",""it"")"),"Guadagni complessivi")</f>
        <v>Guadagni complessivi</v>
      </c>
      <c r="I218" s="6" t="str">
        <f>IFERROR(__xludf.DUMMYFUNCTION("GOOGLETRANSLATE(B218,""en"",""de"")"),"Gesamteinnahmen")</f>
        <v>Gesamteinnahmen</v>
      </c>
      <c r="J218" s="6" t="str">
        <f>IFERROR(__xludf.DUMMYFUNCTION("GOOGLETRANSLATE(B218,""en"",""ko"")"),"전체 수익")</f>
        <v>전체 수익</v>
      </c>
      <c r="K218" s="6" t="str">
        <f>IFERROR(__xludf.DUMMYFUNCTION("GOOGLETRANSLATE(B218,""en"",""zh"")"),"总收入")</f>
        <v>总收入</v>
      </c>
      <c r="L218" s="6" t="str">
        <f>IFERROR(__xludf.DUMMYFUNCTION("GOOGLETRANSLATE(B218,""en"",""es"")"),"Ganancias Totales")</f>
        <v>Ganancias Totales</v>
      </c>
      <c r="M218" s="7" t="str">
        <f>IFERROR(__xludf.DUMMYFUNCTION("GOOGLETRANSLATE(B218,""en"",""iw"")"),"סך ההכנסות")</f>
        <v>סך ההכנסות</v>
      </c>
      <c r="N218" s="6" t="str">
        <f>IFERROR(__xludf.DUMMYFUNCTION("GOOGLETRANSLATE(B218,""en"",""bn"")"),"সর্বমোট উপার্জন")</f>
        <v>সর্বমোট উপার্জন</v>
      </c>
      <c r="O218" s="6"/>
      <c r="P218" s="6"/>
    </row>
    <row r="219">
      <c r="A219" s="8" t="s">
        <v>443</v>
      </c>
      <c r="B219" s="12" t="s">
        <v>444</v>
      </c>
      <c r="C219" s="5" t="str">
        <f>IFERROR(__xludf.DUMMYFUNCTION("GOOGLETRANSLATE(B219,""en"",""hi"")"),"प्रतिवेदन")</f>
        <v>प्रतिवेदन</v>
      </c>
      <c r="D219" s="6" t="str">
        <f>IFERROR(__xludf.DUMMYFUNCTION("GOOGLETRANSLATE(B219,""en"",""ar"")"),"تقرير")</f>
        <v>تقرير</v>
      </c>
      <c r="E219" s="6" t="str">
        <f>IFERROR(__xludf.DUMMYFUNCTION("GOOGLETRANSLATE(B219,""en"",""fr"")"),"Signaler")</f>
        <v>Signaler</v>
      </c>
      <c r="F219" s="6" t="str">
        <f>IFERROR(__xludf.DUMMYFUNCTION("GOOGLETRANSLATE(B219,""en"",""tr"")"),"Bildiri")</f>
        <v>Bildiri</v>
      </c>
      <c r="G219" s="6" t="str">
        <f>IFERROR(__xludf.DUMMYFUNCTION("GOOGLETRANSLATE(B219,""en"",""ru"")"),"Отчет")</f>
        <v>Отчет</v>
      </c>
      <c r="H219" s="6" t="str">
        <f>IFERROR(__xludf.DUMMYFUNCTION("GOOGLETRANSLATE(B219,""en"",""it"")"),"Rapporto")</f>
        <v>Rapporto</v>
      </c>
      <c r="I219" s="6" t="str">
        <f>IFERROR(__xludf.DUMMYFUNCTION("GOOGLETRANSLATE(B219,""en"",""de"")"),"Bericht")</f>
        <v>Bericht</v>
      </c>
      <c r="J219" s="6" t="str">
        <f>IFERROR(__xludf.DUMMYFUNCTION("GOOGLETRANSLATE(B219,""en"",""ko"")"),"보고서")</f>
        <v>보고서</v>
      </c>
      <c r="K219" s="6" t="str">
        <f>IFERROR(__xludf.DUMMYFUNCTION("GOOGLETRANSLATE(B219,""en"",""zh"")"),"报告")</f>
        <v>报告</v>
      </c>
      <c r="L219" s="6" t="str">
        <f>IFERROR(__xludf.DUMMYFUNCTION("GOOGLETRANSLATE(B219,""en"",""es"")"),"Reporte")</f>
        <v>Reporte</v>
      </c>
      <c r="M219" s="7" t="str">
        <f>IFERROR(__xludf.DUMMYFUNCTION("GOOGLETRANSLATE(B219,""en"",""iw"")"),"להגיש תלונה")</f>
        <v>להגיש תלונה</v>
      </c>
      <c r="N219" s="6" t="str">
        <f>IFERROR(__xludf.DUMMYFUNCTION("GOOGLETRANSLATE(B219,""en"",""bn"")"),"রিপোর্ট")</f>
        <v>রিপোর্ট</v>
      </c>
      <c r="O219" s="6"/>
      <c r="P219" s="6"/>
    </row>
    <row r="220">
      <c r="A220" s="8" t="s">
        <v>445</v>
      </c>
      <c r="B220" s="12" t="s">
        <v>446</v>
      </c>
      <c r="C220" s="5" t="str">
        <f>IFERROR(__xludf.DUMMYFUNCTION("GOOGLETRANSLATE(B220,""en"",""hi"")"),"की तिथि से")</f>
        <v>की तिथि से</v>
      </c>
      <c r="D220" s="6" t="str">
        <f>IFERROR(__xludf.DUMMYFUNCTION("GOOGLETRANSLATE(B220,""en"",""ar"")"),"من التاريخ")</f>
        <v>من التاريخ</v>
      </c>
      <c r="E220" s="6" t="str">
        <f>IFERROR(__xludf.DUMMYFUNCTION("GOOGLETRANSLATE(B220,""en"",""fr"")"),"Partir de la date")</f>
        <v>Partir de la date</v>
      </c>
      <c r="F220" s="6" t="str">
        <f>IFERROR(__xludf.DUMMYFUNCTION("GOOGLETRANSLATE(B220,""en"",""tr"")"),"İtibaren")</f>
        <v>İtibaren</v>
      </c>
      <c r="G220" s="6" t="str">
        <f>IFERROR(__xludf.DUMMYFUNCTION("GOOGLETRANSLATE(B220,""en"",""ru"")"),"С даты")</f>
        <v>С даты</v>
      </c>
      <c r="H220" s="6" t="str">
        <f>IFERROR(__xludf.DUMMYFUNCTION("GOOGLETRANSLATE(B220,""en"",""it"")"),"Di data")</f>
        <v>Di data</v>
      </c>
      <c r="I220" s="6" t="str">
        <f>IFERROR(__xludf.DUMMYFUNCTION("GOOGLETRANSLATE(B220,""en"",""de"")"),"Ab Datum")</f>
        <v>Ab Datum</v>
      </c>
      <c r="J220" s="6" t="str">
        <f>IFERROR(__xludf.DUMMYFUNCTION("GOOGLETRANSLATE(B220,""en"",""ko"")"),"날짜부터")</f>
        <v>날짜부터</v>
      </c>
      <c r="K220" s="6" t="str">
        <f>IFERROR(__xludf.DUMMYFUNCTION("GOOGLETRANSLATE(B220,""en"",""zh"")"),"从日期")</f>
        <v>从日期</v>
      </c>
      <c r="L220" s="6" t="str">
        <f>IFERROR(__xludf.DUMMYFUNCTION("GOOGLETRANSLATE(B220,""en"",""es"")"),"Partir de la fecha")</f>
        <v>Partir de la fecha</v>
      </c>
      <c r="M220" s="7" t="str">
        <f>IFERROR(__xludf.DUMMYFUNCTION("GOOGLETRANSLATE(B220,""en"",""iw"")"),"מהתאריך")</f>
        <v>מהתאריך</v>
      </c>
      <c r="N220" s="6" t="str">
        <f>IFERROR(__xludf.DUMMYFUNCTION("GOOGLETRANSLATE(B220,""en"",""bn"")"),"তারিখ হইতে")</f>
        <v>তারিখ হইতে</v>
      </c>
      <c r="O220" s="6"/>
      <c r="P220" s="6"/>
    </row>
    <row r="221">
      <c r="A221" s="8" t="s">
        <v>447</v>
      </c>
      <c r="B221" s="12" t="s">
        <v>448</v>
      </c>
      <c r="C221" s="5" t="str">
        <f>IFERROR(__xludf.DUMMYFUNCTION("GOOGLETRANSLATE(B221,""en"",""hi"")"),"तारीख तक")</f>
        <v>तारीख तक</v>
      </c>
      <c r="D221" s="6" t="str">
        <f>IFERROR(__xludf.DUMMYFUNCTION("GOOGLETRANSLATE(B221,""en"",""ar"")"),"حتي اليوم")</f>
        <v>حتي اليوم</v>
      </c>
      <c r="E221" s="6" t="str">
        <f>IFERROR(__xludf.DUMMYFUNCTION("GOOGLETRANSLATE(B221,""en"",""fr"")"),"À ce jour")</f>
        <v>À ce jour</v>
      </c>
      <c r="F221" s="6" t="str">
        <f>IFERROR(__xludf.DUMMYFUNCTION("GOOGLETRANSLATE(B221,""en"",""tr"")"),"Bugüne kadar")</f>
        <v>Bugüne kadar</v>
      </c>
      <c r="G221" s="6" t="str">
        <f>IFERROR(__xludf.DUMMYFUNCTION("GOOGLETRANSLATE(B221,""en"",""ru"")"),"На сегодняшний день")</f>
        <v>На сегодняшний день</v>
      </c>
      <c r="H221" s="6" t="str">
        <f>IFERROR(__xludf.DUMMYFUNCTION("GOOGLETRANSLATE(B221,""en"",""it"")"),"Ad oggi")</f>
        <v>Ad oggi</v>
      </c>
      <c r="I221" s="6" t="str">
        <f>IFERROR(__xludf.DUMMYFUNCTION("GOOGLETRANSLATE(B221,""en"",""de"")"),"Miteinander ausgehen")</f>
        <v>Miteinander ausgehen</v>
      </c>
      <c r="J221" s="6" t="str">
        <f>IFERROR(__xludf.DUMMYFUNCTION("GOOGLETRANSLATE(B221,""en"",""ko"")"),"지금까지")</f>
        <v>지금까지</v>
      </c>
      <c r="K221" s="6" t="str">
        <f>IFERROR(__xludf.DUMMYFUNCTION("GOOGLETRANSLATE(B221,""en"",""zh"")"),"迄今为止")</f>
        <v>迄今为止</v>
      </c>
      <c r="L221" s="6" t="str">
        <f>IFERROR(__xludf.DUMMYFUNCTION("GOOGLETRANSLATE(B221,""en"",""es"")"),"Hasta la fecha")</f>
        <v>Hasta la fecha</v>
      </c>
      <c r="M221" s="7" t="str">
        <f>IFERROR(__xludf.DUMMYFUNCTION("GOOGLETRANSLATE(B221,""en"",""iw"")"),"עד היום")</f>
        <v>עד היום</v>
      </c>
      <c r="N221" s="6" t="str">
        <f>IFERROR(__xludf.DUMMYFUNCTION("GOOGLETRANSLATE(B221,""en"",""bn"")"),"এখন পর্যন্ত")</f>
        <v>এখন পর্যন্ত</v>
      </c>
      <c r="O221" s="6"/>
      <c r="P221" s="6"/>
    </row>
    <row r="222">
      <c r="A222" s="8" t="s">
        <v>449</v>
      </c>
      <c r="B222" s="12" t="s">
        <v>450</v>
      </c>
      <c r="C222" s="5" t="str">
        <f>IFERROR(__xludf.DUMMYFUNCTION("GOOGLETRANSLATE(B222,""en"",""hi"")"),"वापस लेना")</f>
        <v>वापस लेना</v>
      </c>
      <c r="D222" s="6" t="str">
        <f>IFERROR(__xludf.DUMMYFUNCTION("GOOGLETRANSLATE(B222,""en"",""ar"")"),"ينسحب")</f>
        <v>ينسحب</v>
      </c>
      <c r="E222" s="6" t="str">
        <f>IFERROR(__xludf.DUMMYFUNCTION("GOOGLETRANSLATE(B222,""en"",""fr"")"),"Se désister")</f>
        <v>Se désister</v>
      </c>
      <c r="F222" s="6" t="str">
        <f>IFERROR(__xludf.DUMMYFUNCTION("GOOGLETRANSLATE(B222,""en"",""tr"")"),"Geri çekilmek")</f>
        <v>Geri çekilmek</v>
      </c>
      <c r="G222" s="6" t="str">
        <f>IFERROR(__xludf.DUMMYFUNCTION("GOOGLETRANSLATE(B222,""en"",""ru"")"),"Отзывать")</f>
        <v>Отзывать</v>
      </c>
      <c r="H222" s="6" t="str">
        <f>IFERROR(__xludf.DUMMYFUNCTION("GOOGLETRANSLATE(B222,""en"",""it"")"),"Ritirare")</f>
        <v>Ritirare</v>
      </c>
      <c r="I222" s="6" t="str">
        <f>IFERROR(__xludf.DUMMYFUNCTION("GOOGLETRANSLATE(B222,""en"",""de"")"),"Abheben")</f>
        <v>Abheben</v>
      </c>
      <c r="J222" s="6" t="str">
        <f>IFERROR(__xludf.DUMMYFUNCTION("GOOGLETRANSLATE(B222,""en"",""ko"")"),"철회하다")</f>
        <v>철회하다</v>
      </c>
      <c r="K222" s="6" t="str">
        <f>IFERROR(__xludf.DUMMYFUNCTION("GOOGLETRANSLATE(B222,""en"",""zh"")"),"提取")</f>
        <v>提取</v>
      </c>
      <c r="L222" s="6" t="str">
        <f>IFERROR(__xludf.DUMMYFUNCTION("GOOGLETRANSLATE(B222,""en"",""es"")"),"Retirar")</f>
        <v>Retirar</v>
      </c>
      <c r="M222" s="7" t="str">
        <f>IFERROR(__xludf.DUMMYFUNCTION("GOOGLETRANSLATE(B222,""en"",""iw"")"),"לָסֶגֶת")</f>
        <v>לָסֶגֶת</v>
      </c>
      <c r="N222" s="6" t="str">
        <f>IFERROR(__xludf.DUMMYFUNCTION("GOOGLETRANSLATE(B222,""en"",""bn"")"),"প্রত্যাহার")</f>
        <v>প্রত্যাহার</v>
      </c>
      <c r="O222" s="6"/>
      <c r="P222" s="6"/>
    </row>
    <row r="223">
      <c r="A223" s="8" t="s">
        <v>451</v>
      </c>
      <c r="B223" s="12" t="s">
        <v>452</v>
      </c>
      <c r="C223" s="5" t="str">
        <f>IFERROR(__xludf.DUMMYFUNCTION("GOOGLETRANSLATE(B223,""en"",""hi"")"),"इतिहास वापस लेना")</f>
        <v>इतिहास वापस लेना</v>
      </c>
      <c r="D223" s="6" t="str">
        <f>IFERROR(__xludf.DUMMYFUNCTION("GOOGLETRANSLATE(B223,""en"",""ar"")"),"سحب التاريخ")</f>
        <v>سحب التاريخ</v>
      </c>
      <c r="E223" s="6" t="str">
        <f>IFERROR(__xludf.DUMMYFUNCTION("GOOGLETRANSLATE(B223,""en"",""fr"")"),"Retirer l'histoire")</f>
        <v>Retirer l'histoire</v>
      </c>
      <c r="F223" s="6" t="str">
        <f>IFERROR(__xludf.DUMMYFUNCTION("GOOGLETRANSLATE(B223,""en"",""tr"")"),"Tarihi Çekme")</f>
        <v>Tarihi Çekme</v>
      </c>
      <c r="G223" s="6" t="str">
        <f>IFERROR(__xludf.DUMMYFUNCTION("GOOGLETRANSLATE(B223,""en"",""ru"")"),"История вывода")</f>
        <v>История вывода</v>
      </c>
      <c r="H223" s="6" t="str">
        <f>IFERROR(__xludf.DUMMYFUNCTION("GOOGLETRANSLATE(B223,""en"",""it"")"),"Ritirare la storia")</f>
        <v>Ritirare la storia</v>
      </c>
      <c r="I223" s="6" t="str">
        <f>IFERROR(__xludf.DUMMYFUNCTION("GOOGLETRANSLATE(B223,""en"",""de"")"),"Geschichte zurückziehen")</f>
        <v>Geschichte zurückziehen</v>
      </c>
      <c r="J223" s="6" t="str">
        <f>IFERROR(__xludf.DUMMYFUNCTION("GOOGLETRANSLATE(B223,""en"",""ko"")"),"역사를 철회하십시오")</f>
        <v>역사를 철회하십시오</v>
      </c>
      <c r="K223" s="6" t="str">
        <f>IFERROR(__xludf.DUMMYFUNCTION("GOOGLETRANSLATE(B223,""en"",""zh"")"),"提取历史")</f>
        <v>提取历史</v>
      </c>
      <c r="L223" s="6" t="str">
        <f>IFERROR(__xludf.DUMMYFUNCTION("GOOGLETRANSLATE(B223,""en"",""es"")"),"Retirar el historial")</f>
        <v>Retirar el historial</v>
      </c>
      <c r="M223" s="7" t="str">
        <f>IFERROR(__xludf.DUMMYFUNCTION("GOOGLETRANSLATE(B223,""en"",""iw"")"),"לסגת את ההיסטוריה")</f>
        <v>לסגת את ההיסטוריה</v>
      </c>
      <c r="N223" s="6" t="str">
        <f>IFERROR(__xludf.DUMMYFUNCTION("GOOGLETRANSLATE(B223,""en"",""bn"")"),"ইতিহাস প্রত্যাহার")</f>
        <v>ইতিহাস প্রত্যাহার</v>
      </c>
      <c r="O223" s="6"/>
      <c r="P223" s="6"/>
    </row>
    <row r="224">
      <c r="A224" s="8" t="s">
        <v>453</v>
      </c>
      <c r="B224" s="12" t="s">
        <v>454</v>
      </c>
      <c r="C224" s="5" t="str">
        <f>IFERROR(__xludf.DUMMYFUNCTION("GOOGLETRANSLATE(B224,""en"",""hi"")"),"पर अनुरोध वापस लेना")</f>
        <v>पर अनुरोध वापस लेना</v>
      </c>
      <c r="D224" s="6" t="str">
        <f>IFERROR(__xludf.DUMMYFUNCTION("GOOGLETRANSLATE(B224,""en"",""ar"")"),"سحب الطلب في")</f>
        <v>سحب الطلب في</v>
      </c>
      <c r="E224" s="6" t="str">
        <f>IFERROR(__xludf.DUMMYFUNCTION("GOOGLETRANSLATE(B224,""en"",""fr"")"),"Retirer la demande à")</f>
        <v>Retirer la demande à</v>
      </c>
      <c r="F224" s="6" t="str">
        <f>IFERROR(__xludf.DUMMYFUNCTION("GOOGLETRANSLATE(B224,""en"",""tr"")"),"Talebi geri çekin")</f>
        <v>Talebi geri çekin</v>
      </c>
      <c r="G224" s="6" t="str">
        <f>IFERROR(__xludf.DUMMYFUNCTION("GOOGLETRANSLATE(B224,""en"",""ru"")"),"Запрос о выходе на")</f>
        <v>Запрос о выходе на</v>
      </c>
      <c r="H224" s="6" t="str">
        <f>IFERROR(__xludf.DUMMYFUNCTION("GOOGLETRANSLATE(B224,""en"",""it"")"),"Prelievo la richiesta a")</f>
        <v>Prelievo la richiesta a</v>
      </c>
      <c r="I224" s="6" t="str">
        <f>IFERROR(__xludf.DUMMYFUNCTION("GOOGLETRANSLATE(B224,""en"",""de"")"),"Antrag bei")</f>
        <v>Antrag bei</v>
      </c>
      <c r="J224" s="6" t="str">
        <f>IFERROR(__xludf.DUMMYFUNCTION("GOOGLETRANSLATE(B224,""en"",""ko"")"),"요청을 철회하십시오")</f>
        <v>요청을 철회하십시오</v>
      </c>
      <c r="K224" s="6" t="str">
        <f>IFERROR(__xludf.DUMMYFUNCTION("GOOGLETRANSLATE(B224,""en"",""zh"")"),"提取请求")</f>
        <v>提取请求</v>
      </c>
      <c r="L224" s="6" t="str">
        <f>IFERROR(__xludf.DUMMYFUNCTION("GOOGLETRANSLATE(B224,""en"",""es"")"),"Retirar la solicitud en")</f>
        <v>Retirar la solicitud en</v>
      </c>
      <c r="M224" s="7" t="str">
        <f>IFERROR(__xludf.DUMMYFUNCTION("GOOGLETRANSLATE(B224,""en"",""iw"")"),"סגת בקשה ב")</f>
        <v>סגת בקשה ב</v>
      </c>
      <c r="N224" s="6" t="str">
        <f>IFERROR(__xludf.DUMMYFUNCTION("GOOGLETRANSLATE(B224,""en"",""bn"")"),"অনুরোধ প্রত্যাহার")</f>
        <v>অনুরোধ প্রত্যাহার</v>
      </c>
      <c r="O224" s="6"/>
      <c r="P224" s="6"/>
    </row>
    <row r="225">
      <c r="A225" s="8" t="s">
        <v>455</v>
      </c>
      <c r="B225" s="12" t="s">
        <v>456</v>
      </c>
      <c r="C225" s="5" t="str">
        <f>IFERROR(__xludf.DUMMYFUNCTION("GOOGLETRANSLATE(B225,""en"",""hi"")"),"बैंक विवरण")</f>
        <v>बैंक विवरण</v>
      </c>
      <c r="D225" s="6" t="str">
        <f>IFERROR(__xludf.DUMMYFUNCTION("GOOGLETRANSLATE(B225,""en"",""ar"")"),"التفاصيل المصرفية")</f>
        <v>التفاصيل المصرفية</v>
      </c>
      <c r="E225" s="6" t="str">
        <f>IFERROR(__xludf.DUMMYFUNCTION("GOOGLETRANSLATE(B225,""en"",""fr"")"),"Coordonnées bancaires")</f>
        <v>Coordonnées bancaires</v>
      </c>
      <c r="F225" s="6" t="str">
        <f>IFERROR(__xludf.DUMMYFUNCTION("GOOGLETRANSLATE(B225,""en"",""tr"")"),"Banka detayları")</f>
        <v>Banka detayları</v>
      </c>
      <c r="G225" s="6" t="str">
        <f>IFERROR(__xludf.DUMMYFUNCTION("GOOGLETRANSLATE(B225,""en"",""ru"")"),"Банковские детали")</f>
        <v>Банковские детали</v>
      </c>
      <c r="H225" s="6" t="str">
        <f>IFERROR(__xludf.DUMMYFUNCTION("GOOGLETRANSLATE(B225,""en"",""it"")"),"Coordinate bancarie")</f>
        <v>Coordinate bancarie</v>
      </c>
      <c r="I225" s="6" t="str">
        <f>IFERROR(__xludf.DUMMYFUNCTION("GOOGLETRANSLATE(B225,""en"",""de"")"),"Bankdaten")</f>
        <v>Bankdaten</v>
      </c>
      <c r="J225" s="6" t="str">
        <f>IFERROR(__xludf.DUMMYFUNCTION("GOOGLETRANSLATE(B225,""en"",""ko"")"),"은행 계좌 정보")</f>
        <v>은행 계좌 정보</v>
      </c>
      <c r="K225" s="6" t="str">
        <f>IFERROR(__xludf.DUMMYFUNCTION("GOOGLETRANSLATE(B225,""en"",""zh"")"),"银行明细")</f>
        <v>银行明细</v>
      </c>
      <c r="L225" s="6" t="str">
        <f>IFERROR(__xludf.DUMMYFUNCTION("GOOGLETRANSLATE(B225,""en"",""es"")"),"Detalles del banco")</f>
        <v>Detalles del banco</v>
      </c>
      <c r="M225" s="7" t="str">
        <f>IFERROR(__xludf.DUMMYFUNCTION("GOOGLETRANSLATE(B225,""en"",""iw"")"),"פרטי בנק")</f>
        <v>פרטי בנק</v>
      </c>
      <c r="N225" s="6" t="str">
        <f>IFERROR(__xludf.DUMMYFUNCTION("GOOGLETRANSLATE(B225,""en"",""bn"")"),"ব্যাংক বিবরণ")</f>
        <v>ব্যাংক বিবরণ</v>
      </c>
      <c r="O225" s="6"/>
      <c r="P225" s="6"/>
    </row>
    <row r="226">
      <c r="A226" s="8" t="s">
        <v>457</v>
      </c>
      <c r="B226" s="12" t="s">
        <v>458</v>
      </c>
      <c r="C226" s="5" t="str">
        <f>IFERROR(__xludf.DUMMYFUNCTION("GOOGLETRANSLATE(B226,""en"",""hi"")"),"खाता धारक का नाम")</f>
        <v>खाता धारक का नाम</v>
      </c>
      <c r="D226" s="6" t="str">
        <f>IFERROR(__xludf.DUMMYFUNCTION("GOOGLETRANSLATE(B226,""en"",""ar"")"),"اسم صاحب الحساب")</f>
        <v>اسم صاحب الحساب</v>
      </c>
      <c r="E226" s="6" t="str">
        <f>IFERROR(__xludf.DUMMYFUNCTION("GOOGLETRANSLATE(B226,""en"",""fr"")"),"Nom du titulaire du compte")</f>
        <v>Nom du titulaire du compte</v>
      </c>
      <c r="F226" s="6" t="str">
        <f>IFERROR(__xludf.DUMMYFUNCTION("GOOGLETRANSLATE(B226,""en"",""tr"")"),"Hesap Sahibinin Adı")</f>
        <v>Hesap Sahibinin Adı</v>
      </c>
      <c r="G226" s="6" t="str">
        <f>IFERROR(__xludf.DUMMYFUNCTION("GOOGLETRANSLATE(B226,""en"",""ru"")"),"имя владельца счета")</f>
        <v>имя владельца счета</v>
      </c>
      <c r="H226" s="6" t="str">
        <f>IFERROR(__xludf.DUMMYFUNCTION("GOOGLETRANSLATE(B226,""en"",""it"")"),"Nome del titolare")</f>
        <v>Nome del titolare</v>
      </c>
      <c r="I226" s="6" t="str">
        <f>IFERROR(__xludf.DUMMYFUNCTION("GOOGLETRANSLATE(B226,""en"",""de"")"),"Name des Kontoinhabers")</f>
        <v>Name des Kontoinhabers</v>
      </c>
      <c r="J226" s="6" t="str">
        <f>IFERROR(__xludf.DUMMYFUNCTION("GOOGLETRANSLATE(B226,""en"",""ko"")"),"계정 보유자 이름")</f>
        <v>계정 보유자 이름</v>
      </c>
      <c r="K226" s="6" t="str">
        <f>IFERROR(__xludf.DUMMYFUNCTION("GOOGLETRANSLATE(B226,""en"",""zh"")"),"账户持有人姓名")</f>
        <v>账户持有人姓名</v>
      </c>
      <c r="L226" s="6" t="str">
        <f>IFERROR(__xludf.DUMMYFUNCTION("GOOGLETRANSLATE(B226,""en"",""es"")"),"nombre del titular de la cuenta")</f>
        <v>nombre del titular de la cuenta</v>
      </c>
      <c r="M226" s="7" t="str">
        <f>IFERROR(__xludf.DUMMYFUNCTION("GOOGLETRANSLATE(B226,""en"",""iw"")"),"שם בעל החשבון")</f>
        <v>שם בעל החשבון</v>
      </c>
      <c r="N226" s="6" t="str">
        <f>IFERROR(__xludf.DUMMYFUNCTION("GOOGLETRANSLATE(B226,""en"",""bn"")"),"হিসাব ধারকের নাম")</f>
        <v>হিসাব ধারকের নাম</v>
      </c>
      <c r="O226" s="6"/>
      <c r="P226" s="6"/>
    </row>
    <row r="227">
      <c r="A227" s="8" t="s">
        <v>459</v>
      </c>
      <c r="B227" s="12" t="s">
        <v>460</v>
      </c>
      <c r="C227" s="5" t="str">
        <f>IFERROR(__xludf.DUMMYFUNCTION("GOOGLETRANSLATE(B227,""en"",""hi"")"),"खाता संख्या")</f>
        <v>खाता संख्या</v>
      </c>
      <c r="D227" s="6" t="str">
        <f>IFERROR(__xludf.DUMMYFUNCTION("GOOGLETRANSLATE(B227,""en"",""ar"")"),"رقم حساب")</f>
        <v>رقم حساب</v>
      </c>
      <c r="E227" s="6" t="str">
        <f>IFERROR(__xludf.DUMMYFUNCTION("GOOGLETRANSLATE(B227,""en"",""fr"")"),"Numéro de compte")</f>
        <v>Numéro de compte</v>
      </c>
      <c r="F227" s="6" t="str">
        <f>IFERROR(__xludf.DUMMYFUNCTION("GOOGLETRANSLATE(B227,""en"",""tr"")"),"Hesap numarası")</f>
        <v>Hesap numarası</v>
      </c>
      <c r="G227" s="6" t="str">
        <f>IFERROR(__xludf.DUMMYFUNCTION("GOOGLETRANSLATE(B227,""en"",""ru"")"),"Номер счета")</f>
        <v>Номер счета</v>
      </c>
      <c r="H227" s="6" t="str">
        <f>IFERROR(__xludf.DUMMYFUNCTION("GOOGLETRANSLATE(B227,""en"",""it"")"),"Numero di conto")</f>
        <v>Numero di conto</v>
      </c>
      <c r="I227" s="6" t="str">
        <f>IFERROR(__xludf.DUMMYFUNCTION("GOOGLETRANSLATE(B227,""en"",""de"")"),"Kontonummer")</f>
        <v>Kontonummer</v>
      </c>
      <c r="J227" s="6" t="str">
        <f>IFERROR(__xludf.DUMMYFUNCTION("GOOGLETRANSLATE(B227,""en"",""ko"")"),"계좌 번호")</f>
        <v>계좌 번호</v>
      </c>
      <c r="K227" s="6" t="str">
        <f>IFERROR(__xludf.DUMMYFUNCTION("GOOGLETRANSLATE(B227,""en"",""zh"")"),"帐号")</f>
        <v>帐号</v>
      </c>
      <c r="L227" s="6" t="str">
        <f>IFERROR(__xludf.DUMMYFUNCTION("GOOGLETRANSLATE(B227,""en"",""es"")"),"Número de cuenta")</f>
        <v>Número de cuenta</v>
      </c>
      <c r="M227" s="7" t="str">
        <f>IFERROR(__xludf.DUMMYFUNCTION("GOOGLETRANSLATE(B227,""en"",""iw"")"),"מספר חשבון")</f>
        <v>מספר חשבון</v>
      </c>
      <c r="N227" s="6" t="str">
        <f>IFERROR(__xludf.DUMMYFUNCTION("GOOGLETRANSLATE(B227,""en"",""bn"")"),"হিসাব নাম্বার")</f>
        <v>হিসাব নাম্বার</v>
      </c>
      <c r="O227" s="6"/>
      <c r="P227" s="6"/>
    </row>
    <row r="228">
      <c r="A228" s="8" t="s">
        <v>461</v>
      </c>
      <c r="B228" s="12" t="s">
        <v>462</v>
      </c>
      <c r="C228" s="5" t="str">
        <f>IFERROR(__xludf.DUMMYFUNCTION("GOOGLETRANSLATE(B228,""en"",""hi"")"),"बैंक शाखा")</f>
        <v>बैंक शाखा</v>
      </c>
      <c r="D228" s="6" t="str">
        <f>IFERROR(__xludf.DUMMYFUNCTION("GOOGLETRANSLATE(B228,""en"",""ar"")"),"فرع بنك")</f>
        <v>فرع بنك</v>
      </c>
      <c r="E228" s="6" t="str">
        <f>IFERROR(__xludf.DUMMYFUNCTION("GOOGLETRANSLATE(B228,""en"",""fr"")"),"Succursale de la banque")</f>
        <v>Succursale de la banque</v>
      </c>
      <c r="F228" s="6" t="str">
        <f>IFERROR(__xludf.DUMMYFUNCTION("GOOGLETRANSLATE(B228,""en"",""tr"")"),"Banka şubesi")</f>
        <v>Banka şubesi</v>
      </c>
      <c r="G228" s="6" t="str">
        <f>IFERROR(__xludf.DUMMYFUNCTION("GOOGLETRANSLATE(B228,""en"",""ru"")"),"Филиал банка")</f>
        <v>Филиал банка</v>
      </c>
      <c r="H228" s="6" t="str">
        <f>IFERROR(__xludf.DUMMYFUNCTION("GOOGLETRANSLATE(B228,""en"",""it"")"),"Filiale bancaria")</f>
        <v>Filiale bancaria</v>
      </c>
      <c r="I228" s="6" t="str">
        <f>IFERROR(__xludf.DUMMYFUNCTION("GOOGLETRANSLATE(B228,""en"",""de"")"),"Bankfiliale")</f>
        <v>Bankfiliale</v>
      </c>
      <c r="J228" s="6" t="str">
        <f>IFERROR(__xludf.DUMMYFUNCTION("GOOGLETRANSLATE(B228,""en"",""ko"")"),"은행 지점")</f>
        <v>은행 지점</v>
      </c>
      <c r="K228" s="6" t="str">
        <f>IFERROR(__xludf.DUMMYFUNCTION("GOOGLETRANSLATE(B228,""en"",""zh"")"),"银行支行")</f>
        <v>银行支行</v>
      </c>
      <c r="L228" s="6" t="str">
        <f>IFERROR(__xludf.DUMMYFUNCTION("GOOGLETRANSLATE(B228,""en"",""es"")"),"Sucursal bancaria")</f>
        <v>Sucursal bancaria</v>
      </c>
      <c r="M228" s="7" t="str">
        <f>IFERROR(__xludf.DUMMYFUNCTION("GOOGLETRANSLATE(B228,""en"",""iw"")"),"סניף בנק")</f>
        <v>סניף בנק</v>
      </c>
      <c r="N228" s="6" t="str">
        <f>IFERROR(__xludf.DUMMYFUNCTION("GOOGLETRANSLATE(B228,""en"",""bn"")"),"ব্যাংকের শাখা")</f>
        <v>ব্যাংকের শাখা</v>
      </c>
      <c r="O228" s="6"/>
      <c r="P228" s="6"/>
    </row>
    <row r="229">
      <c r="A229" s="8" t="s">
        <v>463</v>
      </c>
      <c r="B229" s="12" t="s">
        <v>464</v>
      </c>
      <c r="C229" s="5" t="str">
        <f>IFERROR(__xludf.DUMMYFUNCTION("GOOGLETRANSLATE(B229,""en"",""hi"")"),"बैंक का नाम")</f>
        <v>बैंक का नाम</v>
      </c>
      <c r="D229" s="6" t="str">
        <f>IFERROR(__xludf.DUMMYFUNCTION("GOOGLETRANSLATE(B229,""en"",""ar"")"),"اسم البنك")</f>
        <v>اسم البنك</v>
      </c>
      <c r="E229" s="6" t="str">
        <f>IFERROR(__xludf.DUMMYFUNCTION("GOOGLETRANSLATE(B229,""en"",""fr"")"),"Nom de banque")</f>
        <v>Nom de banque</v>
      </c>
      <c r="F229" s="6" t="str">
        <f>IFERROR(__xludf.DUMMYFUNCTION("GOOGLETRANSLATE(B229,""en"",""tr"")"),"Banka adı")</f>
        <v>Banka adı</v>
      </c>
      <c r="G229" s="6" t="str">
        <f>IFERROR(__xludf.DUMMYFUNCTION("GOOGLETRANSLATE(B229,""en"",""ru"")"),"Название банка")</f>
        <v>Название банка</v>
      </c>
      <c r="H229" s="6" t="str">
        <f>IFERROR(__xludf.DUMMYFUNCTION("GOOGLETRANSLATE(B229,""en"",""it"")"),"Nome della banca")</f>
        <v>Nome della banca</v>
      </c>
      <c r="I229" s="6" t="str">
        <f>IFERROR(__xludf.DUMMYFUNCTION("GOOGLETRANSLATE(B229,""en"",""de"")"),"Bank Name")</f>
        <v>Bank Name</v>
      </c>
      <c r="J229" s="6" t="str">
        <f>IFERROR(__xludf.DUMMYFUNCTION("GOOGLETRANSLATE(B229,""en"",""ko"")"),"은행 이름")</f>
        <v>은행 이름</v>
      </c>
      <c r="K229" s="6" t="str">
        <f>IFERROR(__xludf.DUMMYFUNCTION("GOOGLETRANSLATE(B229,""en"",""zh"")"),"银行名称")</f>
        <v>银行名称</v>
      </c>
      <c r="L229" s="6" t="str">
        <f>IFERROR(__xludf.DUMMYFUNCTION("GOOGLETRANSLATE(B229,""en"",""es"")"),"Nombre del banco")</f>
        <v>Nombre del banco</v>
      </c>
      <c r="M229" s="7" t="str">
        <f>IFERROR(__xludf.DUMMYFUNCTION("GOOGLETRANSLATE(B229,""en"",""iw"")"),"שם הבנק")</f>
        <v>שם הבנק</v>
      </c>
      <c r="N229" s="6" t="str">
        <f>IFERROR(__xludf.DUMMYFUNCTION("GOOGLETRANSLATE(B229,""en"",""bn"")"),"ব্যাংকের নাম")</f>
        <v>ব্যাংকের নাম</v>
      </c>
      <c r="O229" s="6"/>
      <c r="P229" s="6"/>
    </row>
    <row r="230">
      <c r="A230" s="8" t="s">
        <v>465</v>
      </c>
      <c r="B230" s="12" t="s">
        <v>466</v>
      </c>
      <c r="C230" s="5" t="str">
        <f>IFERROR(__xludf.DUMMYFUNCTION("GOOGLETRANSLATE(B230,""en"",""hi"")"),"बैंक जानकारी अपडेट करें")</f>
        <v>बैंक जानकारी अपडेट करें</v>
      </c>
      <c r="D230" s="6" t="str">
        <f>IFERROR(__xludf.DUMMYFUNCTION("GOOGLETRANSLATE(B230,""en"",""ar"")"),"تحديث معلومات البنك")</f>
        <v>تحديث معلومات البنك</v>
      </c>
      <c r="E230" s="6" t="str">
        <f>IFERROR(__xludf.DUMMYFUNCTION("GOOGLETRANSLATE(B230,""en"",""fr"")"),"Mettre à jour les informations bancaires")</f>
        <v>Mettre à jour les informations bancaires</v>
      </c>
      <c r="F230" s="6" t="str">
        <f>IFERROR(__xludf.DUMMYFUNCTION("GOOGLETRANSLATE(B230,""en"",""tr"")"),"Banka Bilgilerini Güncelle")</f>
        <v>Banka Bilgilerini Güncelle</v>
      </c>
      <c r="G230" s="6" t="str">
        <f>IFERROR(__xludf.DUMMYFUNCTION("GOOGLETRANSLATE(B230,""en"",""ru"")"),"Обновить банковскую информацию")</f>
        <v>Обновить банковскую информацию</v>
      </c>
      <c r="H230" s="6" t="str">
        <f>IFERROR(__xludf.DUMMYFUNCTION("GOOGLETRANSLATE(B230,""en"",""it"")"),"Aggiorna informazioni sulla banca")</f>
        <v>Aggiorna informazioni sulla banca</v>
      </c>
      <c r="I230" s="6" t="str">
        <f>IFERROR(__xludf.DUMMYFUNCTION("GOOGLETRANSLATE(B230,""en"",""de"")"),"Bankinformationen aktualisieren")</f>
        <v>Bankinformationen aktualisieren</v>
      </c>
      <c r="J230" s="6" t="str">
        <f>IFERROR(__xludf.DUMMYFUNCTION("GOOGLETRANSLATE(B230,""en"",""ko"")"),"은행 정보를 업데이트하십시오")</f>
        <v>은행 정보를 업데이트하십시오</v>
      </c>
      <c r="K230" s="6" t="str">
        <f>IFERROR(__xludf.DUMMYFUNCTION("GOOGLETRANSLATE(B230,""en"",""zh"")"),"更新银行信息")</f>
        <v>更新银行信息</v>
      </c>
      <c r="L230" s="6" t="str">
        <f>IFERROR(__xludf.DUMMYFUNCTION("GOOGLETRANSLATE(B230,""en"",""es"")"),"Actualizar información bancaria")</f>
        <v>Actualizar información bancaria</v>
      </c>
      <c r="M230" s="7" t="str">
        <f>IFERROR(__xludf.DUMMYFUNCTION("GOOGLETRANSLATE(B230,""en"",""iw"")"),"עדכן את פרטי הבנק")</f>
        <v>עדכן את פרטי הבנק</v>
      </c>
      <c r="N230" s="6" t="str">
        <f>IFERROR(__xludf.DUMMYFUNCTION("GOOGLETRANSLATE(B230,""en"",""bn"")"),"ব্যাংক তথ্য আপডেট করুন")</f>
        <v>ব্যাংক তথ্য আপডেট করুন</v>
      </c>
      <c r="O230" s="6"/>
      <c r="P230" s="6"/>
    </row>
    <row r="231">
      <c r="A231" s="8" t="s">
        <v>467</v>
      </c>
      <c r="B231" s="12" t="s">
        <v>468</v>
      </c>
      <c r="C231" s="5" t="str">
        <f>IFERROR(__xludf.DUMMYFUNCTION("GOOGLETRANSLATE(B231,""en"",""hi"")"),"क्या आप निश्चित रूप से लॉगआउट करना चाहते हैं")</f>
        <v>क्या आप निश्चित रूप से लॉगआउट करना चाहते हैं</v>
      </c>
      <c r="D231" s="6" t="str">
        <f>IFERROR(__xludf.DUMMYFUNCTION("GOOGLETRANSLATE(B231,""en"",""ar"")"),"هل أنت متأكد من رغبتك في تسجيل الدخول")</f>
        <v>هل أنت متأكد من رغبتك في تسجيل الدخول</v>
      </c>
      <c r="E231" s="6" t="str">
        <f>IFERROR(__xludf.DUMMYFUNCTION("GOOGLETRANSLATE(B231,""en"",""fr"")"),"Êtes-vous sûr de vous connecter")</f>
        <v>Êtes-vous sûr de vous connecter</v>
      </c>
      <c r="F231" s="6" t="str">
        <f>IFERROR(__xludf.DUMMYFUNCTION("GOOGLETRANSLATE(B231,""en"",""tr"")"),"Oturum açmak istiyorsun emin misin")</f>
        <v>Oturum açmak istiyorsun emin misin</v>
      </c>
      <c r="G231" s="6" t="str">
        <f>IFERROR(__xludf.DUMMYFUNCTION("GOOGLETRANSLATE(B231,""en"",""ru"")"),"Вы уверены, что хотите выйти в систему")</f>
        <v>Вы уверены, что хотите выйти в систему</v>
      </c>
      <c r="H231" s="6" t="str">
        <f>IFERROR(__xludf.DUMMYFUNCTION("GOOGLETRANSLATE(B231,""en"",""it"")"),"Sei sicuro che vuoi logout")</f>
        <v>Sei sicuro che vuoi logout</v>
      </c>
      <c r="I231" s="6" t="str">
        <f>IFERROR(__xludf.DUMMYFUNCTION("GOOGLETRANSLATE(B231,""en"",""de"")"),"Sind Sie sicher abmelden")</f>
        <v>Sind Sie sicher abmelden</v>
      </c>
      <c r="J231" s="6" t="str">
        <f>IFERROR(__xludf.DUMMYFUNCTION("GOOGLETRANSLATE(B231,""en"",""ko"")"),"확실히 로그 아웃하고 싶습니까?")</f>
        <v>확실히 로그 아웃하고 싶습니까?</v>
      </c>
      <c r="K231" s="6" t="str">
        <f>IFERROR(__xludf.DUMMYFUNCTION("GOOGLETRANSLATE(B231,""en"",""zh"")"),"您确定要注销吗")</f>
        <v>您确定要注销吗</v>
      </c>
      <c r="L231" s="6" t="str">
        <f>IFERROR(__xludf.DUMMYFUNCTION("GOOGLETRANSLATE(B231,""en"",""es"")"),"¿Estás seguro de que quieres cerrar sesión?")</f>
        <v>¿Estás seguro de que quieres cerrar sesión?</v>
      </c>
      <c r="M231" s="7" t="str">
        <f>IFERROR(__xludf.DUMMYFUNCTION("GOOGLETRANSLATE(B231,""en"",""iw"")"),"האם אתה בטוח רוצה להתנתק")</f>
        <v>האם אתה בטוח רוצה להתנתק</v>
      </c>
      <c r="N231" s="6" t="str">
        <f>IFERROR(__xludf.DUMMYFUNCTION("GOOGLETRANSLATE(B231,""en"",""bn"")"),"আপনি কি অবশ্যই লগআউট করতে চান?")</f>
        <v>আপনি কি অবশ্যই লগআউট করতে চান?</v>
      </c>
      <c r="O231" s="6"/>
      <c r="P231" s="6"/>
    </row>
    <row r="232">
      <c r="A232" s="8" t="s">
        <v>469</v>
      </c>
      <c r="B232" s="12" t="s">
        <v>178</v>
      </c>
      <c r="C232" s="5" t="str">
        <f>IFERROR(__xludf.DUMMYFUNCTION("GOOGLETRANSLATE(B232,""en"",""hi"")"),"बटुआ")</f>
        <v>बटुआ</v>
      </c>
      <c r="D232" s="6" t="str">
        <f>IFERROR(__xludf.DUMMYFUNCTION("GOOGLETRANSLATE(B232,""en"",""ar"")"),"محفظة")</f>
        <v>محفظة</v>
      </c>
      <c r="E232" s="6" t="str">
        <f>IFERROR(__xludf.DUMMYFUNCTION("GOOGLETRANSLATE(B232,""en"",""fr"")"),"Porte monnaie")</f>
        <v>Porte monnaie</v>
      </c>
      <c r="F232" s="6" t="str">
        <f>IFERROR(__xludf.DUMMYFUNCTION("GOOGLETRANSLATE(B232,""en"",""tr"")"),"Cüzdan")</f>
        <v>Cüzdan</v>
      </c>
      <c r="G232" s="6" t="str">
        <f>IFERROR(__xludf.DUMMYFUNCTION("GOOGLETRANSLATE(B232,""en"",""ru"")"),"Бумажник")</f>
        <v>Бумажник</v>
      </c>
      <c r="H232" s="6" t="str">
        <f>IFERROR(__xludf.DUMMYFUNCTION("GOOGLETRANSLATE(B232,""en"",""it"")"),"Portafoglio")</f>
        <v>Portafoglio</v>
      </c>
      <c r="I232" s="6" t="str">
        <f>IFERROR(__xludf.DUMMYFUNCTION("GOOGLETRANSLATE(B232,""en"",""de"")"),"Geldbörse")</f>
        <v>Geldbörse</v>
      </c>
      <c r="J232" s="6" t="str">
        <f>IFERROR(__xludf.DUMMYFUNCTION("GOOGLETRANSLATE(B232,""en"",""ko"")"),"지갑")</f>
        <v>지갑</v>
      </c>
      <c r="K232" s="6" t="str">
        <f>IFERROR(__xludf.DUMMYFUNCTION("GOOGLETRANSLATE(B232,""en"",""zh"")"),"钱包")</f>
        <v>钱包</v>
      </c>
      <c r="L232" s="6" t="str">
        <f>IFERROR(__xludf.DUMMYFUNCTION("GOOGLETRANSLATE(B232,""en"",""es"")"),"Cartera")</f>
        <v>Cartera</v>
      </c>
      <c r="M232" s="7" t="str">
        <f>IFERROR(__xludf.DUMMYFUNCTION("GOOGLETRANSLATE(B232,""en"",""iw"")"),"ארנק")</f>
        <v>ארנק</v>
      </c>
      <c r="N232" s="6" t="str">
        <f>IFERROR(__xludf.DUMMYFUNCTION("GOOGLETRANSLATE(B232,""en"",""bn"")"),"ওয়ালেট")</f>
        <v>ওয়ালেট</v>
      </c>
      <c r="O232" s="6"/>
      <c r="P232" s="6"/>
    </row>
    <row r="233">
      <c r="A233" s="8" t="s">
        <v>470</v>
      </c>
      <c r="B233" s="12" t="s">
        <v>471</v>
      </c>
      <c r="C233" s="5" t="str">
        <f>IFERROR(__xludf.DUMMYFUNCTION("GOOGLETRANSLATE(B233,""en"",""hi"")"),"ओटीपी के साथ सवारी शुरू करें")</f>
        <v>ओटीपी के साथ सवारी शुरू करें</v>
      </c>
      <c r="D233" s="6" t="str">
        <f>IFERROR(__xludf.DUMMYFUNCTION("GOOGLETRANSLATE(B233,""en"",""ar"")"),"ابدأ بالركوب مع OTP")</f>
        <v>ابدأ بالركوب مع OTP</v>
      </c>
      <c r="E233" s="6" t="str">
        <f>IFERROR(__xludf.DUMMYFUNCTION("GOOGLETRANSLATE(B233,""en"",""fr"")"),"Commencez à rouler avec OTP")</f>
        <v>Commencez à rouler avec OTP</v>
      </c>
      <c r="F233" s="6" t="str">
        <f>IFERROR(__xludf.DUMMYFUNCTION("GOOGLETRANSLATE(B233,""en"",""tr"")"),"OTP ile sürüşe başlayın")</f>
        <v>OTP ile sürüşe başlayın</v>
      </c>
      <c r="G233" s="6" t="str">
        <f>IFERROR(__xludf.DUMMYFUNCTION("GOOGLETRANSLATE(B233,""en"",""ru"")"),"Начните ездить с OTP")</f>
        <v>Начните ездить с OTP</v>
      </c>
      <c r="H233" s="6" t="str">
        <f>IFERROR(__xludf.DUMMYFUNCTION("GOOGLETRANSLATE(B233,""en"",""it"")"),"Inizia a guidare con OTP")</f>
        <v>Inizia a guidare con OTP</v>
      </c>
      <c r="I233" s="6" t="str">
        <f>IFERROR(__xludf.DUMMYFUNCTION("GOOGLETRANSLATE(B233,""en"",""de"")"),"Beginnen Sie mit der Fahrt mit OTP")</f>
        <v>Beginnen Sie mit der Fahrt mit OTP</v>
      </c>
      <c r="J233" s="6" t="str">
        <f>IFERROR(__xludf.DUMMYFUNCTION("GOOGLETRANSLATE(B233,""en"",""ko"")"),"OTP와 함께 타기 시작하십시오")</f>
        <v>OTP와 함께 타기 시작하십시오</v>
      </c>
      <c r="K233" s="6" t="str">
        <f>IFERROR(__xludf.DUMMYFUNCTION("GOOGLETRANSLATE(B233,""en"",""zh"")"),"从OTP开始骑行")</f>
        <v>从OTP开始骑行</v>
      </c>
      <c r="L233" s="6" t="str">
        <f>IFERROR(__xludf.DUMMYFUNCTION("GOOGLETRANSLATE(B233,""en"",""es"")"),"Empiece a conducir con OTP")</f>
        <v>Empiece a conducir con OTP</v>
      </c>
      <c r="M233" s="7" t="str">
        <f>IFERROR(__xludf.DUMMYFUNCTION("GOOGLETRANSLATE(B233,""en"",""iw"")"),"התחל לרכוב עם OTP")</f>
        <v>התחל לרכוב עם OTP</v>
      </c>
      <c r="N233" s="6" t="str">
        <f>IFERROR(__xludf.DUMMYFUNCTION("GOOGLETRANSLATE(B233,""en"",""bn"")"),"ওটিপি দিয়ে যাত্রা শুরু করুন")</f>
        <v>ওটিপি দিয়ে যাত্রা শুরু করুন</v>
      </c>
      <c r="O233" s="6"/>
      <c r="P233" s="6"/>
    </row>
    <row r="234">
      <c r="A234" s="8" t="s">
        <v>472</v>
      </c>
      <c r="B234" s="12" t="s">
        <v>473</v>
      </c>
      <c r="C234" s="5" t="str">
        <f>IFERROR(__xludf.DUMMYFUNCTION("GOOGLETRANSLATE(B234,""en"",""hi"")"),"स्थानीयकरण लोड करना")</f>
        <v>स्थानीयकरण लोड करना</v>
      </c>
      <c r="D234" s="6" t="str">
        <f>IFERROR(__xludf.DUMMYFUNCTION("GOOGLETRANSLATE(B234,""en"",""ar"")"),"توطين التحميل")</f>
        <v>توطين التحميل</v>
      </c>
      <c r="E234" s="6" t="str">
        <f>IFERROR(__xludf.DUMMYFUNCTION("GOOGLETRANSLATE(B234,""en"",""fr"")"),"Chargement de la localisation")</f>
        <v>Chargement de la localisation</v>
      </c>
      <c r="F234" s="6" t="str">
        <f>IFERROR(__xludf.DUMMYFUNCTION("GOOGLETRANSLATE(B234,""en"",""tr"")"),"Yerelleştirme yükleme")</f>
        <v>Yerelleştirme yükleme</v>
      </c>
      <c r="G234" s="6" t="str">
        <f>IFERROR(__xludf.DUMMYFUNCTION("GOOGLETRANSLATE(B234,""en"",""ru"")"),"Локализация загрузки")</f>
        <v>Локализация загрузки</v>
      </c>
      <c r="H234" s="6" t="str">
        <f>IFERROR(__xludf.DUMMYFUNCTION("GOOGLETRANSLATE(B234,""en"",""it"")"),"Caricamento della localizzazione")</f>
        <v>Caricamento della localizzazione</v>
      </c>
      <c r="I234" s="6" t="str">
        <f>IFERROR(__xludf.DUMMYFUNCTION("GOOGLETRANSLATE(B234,""en"",""de"")"),"Lokalisierung der Lokalisierung")</f>
        <v>Lokalisierung der Lokalisierung</v>
      </c>
      <c r="J234" s="6" t="str">
        <f>IFERROR(__xludf.DUMMYFUNCTION("GOOGLETRANSLATE(B234,""en"",""ko"")"),"로딩 현지화")</f>
        <v>로딩 현지화</v>
      </c>
      <c r="K234" s="6" t="str">
        <f>IFERROR(__xludf.DUMMYFUNCTION("GOOGLETRANSLATE(B234,""en"",""zh"")"),"加载本地化")</f>
        <v>加载本地化</v>
      </c>
      <c r="L234" s="6" t="str">
        <f>IFERROR(__xludf.DUMMYFUNCTION("GOOGLETRANSLATE(B234,""en"",""es"")"),"Localización de carga")</f>
        <v>Localización de carga</v>
      </c>
      <c r="M234" s="7" t="str">
        <f>IFERROR(__xludf.DUMMYFUNCTION("GOOGLETRANSLATE(B234,""en"",""iw"")"),"טוען לוקליזציה")</f>
        <v>טוען לוקליזציה</v>
      </c>
      <c r="N234" s="6" t="str">
        <f>IFERROR(__xludf.DUMMYFUNCTION("GOOGLETRANSLATE(B234,""en"",""bn"")"),"স্থানীয়করণ লোড হচ্ছে")</f>
        <v>স্থানীয়করণ লোড হচ্ছে</v>
      </c>
      <c r="O234" s="6"/>
      <c r="P234" s="6"/>
    </row>
    <row r="235">
      <c r="A235" s="8" t="s">
        <v>474</v>
      </c>
      <c r="B235" s="12" t="s">
        <v>475</v>
      </c>
      <c r="C235" s="5" t="str">
        <f>IFERROR(__xludf.DUMMYFUNCTION("GOOGLETRANSLATE(B235,""en"",""hi"")"),"पृष्ठभूमि स्थान सक्षम करें - यदि आपका ऐप पृष्ठभूमि में है, तो भी आपको सवारी अनुरोध देने के लिए")</f>
        <v>पृष्ठभूमि स्थान सक्षम करें - यदि आपका ऐप पृष्ठभूमि में है, तो भी आपको सवारी अनुरोध देने के लिए</v>
      </c>
      <c r="D235" s="6" t="str">
        <f>IFERROR(__xludf.DUMMYFUNCTION("GOOGLETRANSLATE(B235,""en"",""ar"")"),"تمكين موقع الخلفية - لمنحك طلب ركوب حتى لو كان تطبيقك في الخلفية")</f>
        <v>تمكين موقع الخلفية - لمنحك طلب ركوب حتى لو كان تطبيقك في الخلفية</v>
      </c>
      <c r="E235" s="6" t="str">
        <f>IFERROR(__xludf.DUMMYFUNCTION("GOOGLETRANSLATE(B235,""en"",""fr"")"),"Activer l'emplacement de l'arrière-plan - pour vous donner une demande de conduite même si votre application est en arrière-plan")</f>
        <v>Activer l'emplacement de l'arrière-plan - pour vous donner une demande de conduite même si votre application est en arrière-plan</v>
      </c>
      <c r="F235" s="6" t="str">
        <f>IFERROR(__xludf.DUMMYFUNCTION("GOOGLETRANSLATE(B235,""en"",""tr"")"),"Arka Plan Konumunu Etkinleştir - Uygulamanız arka planda olsa bile size sürüş isteği vermek için")</f>
        <v>Arka Plan Konumunu Etkinleştir - Uygulamanız arka planda olsa bile size sürüş isteği vermek için</v>
      </c>
      <c r="G235" s="6" t="str">
        <f>IFERROR(__xludf.DUMMYFUNCTION("GOOGLETRANSLATE(B235,""en"",""ru"")"),"Включить местоположение фонового расположения - чтобы дать вам запрос на езду, даже если ваше приложение находится в фоновом режиме")</f>
        <v>Включить местоположение фонового расположения - чтобы дать вам запрос на езду, даже если ваше приложение находится в фоновом режиме</v>
      </c>
      <c r="H235" s="6" t="str">
        <f>IFERROR(__xludf.DUMMYFUNCTION("GOOGLETRANSLATE(B235,""en"",""it"")"),"Abilita la posizione in background - per darti una richiesta di corsa anche se la tua app è in background")</f>
        <v>Abilita la posizione in background - per darti una richiesta di corsa anche se la tua app è in background</v>
      </c>
      <c r="I235" s="6" t="str">
        <f>IFERROR(__xludf.DUMMYFUNCTION("GOOGLETRANSLATE(B235,""en"",""de"")"),"Aktivieren Sie den Hintergrundort - um Ihnen eine Fahranfrage zu geben, auch wenn sich Ihre App im Hintergrund befindet")</f>
        <v>Aktivieren Sie den Hintergrundort - um Ihnen eine Fahranfrage zu geben, auch wenn sich Ihre App im Hintergrund befindet</v>
      </c>
      <c r="J235" s="6" t="str">
        <f>IFERROR(__xludf.DUMMYFUNCTION("GOOGLETRANSLATE(B235,""en"",""ko"")"),"배경 위치 활성화 - 앱이 백그라운드에있는 경우에도 승차 요청을 제공합니다.")</f>
        <v>배경 위치 활성화 - 앱이 백그라운드에있는 경우에도 승차 요청을 제공합니다.</v>
      </c>
      <c r="K235" s="6" t="str">
        <f>IFERROR(__xludf.DUMMYFUNCTION("GOOGLETRANSLATE(B235,""en"",""zh"")"),"启用背景位置 - 即使您的应用在后台，也要给您乘车请求")</f>
        <v>启用背景位置 - 即使您的应用在后台，也要给您乘车请求</v>
      </c>
      <c r="L235" s="6" t="str">
        <f>IFERROR(__xludf.DUMMYFUNCTION("GOOGLETRANSLATE(B235,""en"",""es"")"),"Habilitar la ubicación de fondo: para darle una solicitud de viaje incluso si su aplicación está en segundo plano")</f>
        <v>Habilitar la ubicación de fondo: para darle una solicitud de viaje incluso si su aplicación está en segundo plano</v>
      </c>
      <c r="M235" s="7" t="str">
        <f>IFERROR(__xludf.DUMMYFUNCTION("GOOGLETRANSLATE(B235,""en"",""iw"")"),"אפשר מיקום רקע - לתת לך בקשת רכיבה גם אם האפליקציה שלך ברקע")</f>
        <v>אפשר מיקום רקע - לתת לך בקשת רכיבה גם אם האפליקציה שלך ברקע</v>
      </c>
      <c r="N235" s="6" t="str">
        <f>IFERROR(__xludf.DUMMYFUNCTION("GOOGLETRANSLATE(B235,""en"",""bn"")"),"ব্যাকগ্রাউন্ডের অবস্থান সক্ষম করুন - আপনার অ্যাপটি ব্যাকগ্রাউন্ডে থাকলেও আপনাকে রাইডের অনুরোধ জানাতে")</f>
        <v>ব্যাকগ্রাউন্ডের অবস্থান সক্ষম করুন - আপনার অ্যাপটি ব্যাকগ্রাউন্ডে থাকলেও আপনাকে রাইডের অনুরোধ জানাতে</v>
      </c>
      <c r="O235" s="6"/>
      <c r="P235" s="6"/>
    </row>
    <row r="236">
      <c r="A236" s="8" t="s">
        <v>391</v>
      </c>
      <c r="B236" s="12" t="s">
        <v>391</v>
      </c>
      <c r="C236" s="5" t="str">
        <f>IFERROR(__xludf.DUMMYFUNCTION("GOOGLETRANSLATE(B236,""en"",""hi"")"),"जमा राशि")</f>
        <v>जमा राशि</v>
      </c>
      <c r="D236" s="6" t="str">
        <f>IFERROR(__xludf.DUMMYFUNCTION("GOOGLETRANSLATE(B236,""en"",""ar"")"),"مودعة مودعة")</f>
        <v>مودعة مودعة</v>
      </c>
      <c r="E236" s="6" t="str">
        <f>IFERROR(__xludf.DUMMYFUNCTION("GOOGLETRANSLATE(B236,""en"",""fr"")"),"Argent déposé")</f>
        <v>Argent déposé</v>
      </c>
      <c r="F236" s="6" t="str">
        <f>IFERROR(__xludf.DUMMYFUNCTION("GOOGLETRANSLATE(B236,""en"",""tr"")"),"Para yatırıldı")</f>
        <v>Para yatırıldı</v>
      </c>
      <c r="G236" s="6" t="str">
        <f>IFERROR(__xludf.DUMMYFUNCTION("GOOGLETRANSLATE(B236,""en"",""ru"")"),"Деньги депонированы")</f>
        <v>Деньги депонированы</v>
      </c>
      <c r="H236" s="6" t="str">
        <f>IFERROR(__xludf.DUMMYFUNCTION("GOOGLETRANSLATE(B236,""en"",""it"")"),"Denaro depositato")</f>
        <v>Denaro depositato</v>
      </c>
      <c r="I236" s="6" t="str">
        <f>IFERROR(__xludf.DUMMYFUNCTION("GOOGLETRANSLATE(B236,""en"",""de"")"),"Geld deponiert")</f>
        <v>Geld deponiert</v>
      </c>
      <c r="J236" s="6" t="str">
        <f>IFERROR(__xludf.DUMMYFUNCTION("GOOGLETRANSLATE(B236,""en"",""ko"")"),"입금 된 돈")</f>
        <v>입금 된 돈</v>
      </c>
      <c r="K236" s="6" t="str">
        <f>IFERROR(__xludf.DUMMYFUNCTION("GOOGLETRANSLATE(B236,""en"",""zh"")"),"存入的钱")</f>
        <v>存入的钱</v>
      </c>
      <c r="L236" s="6" t="str">
        <f>IFERROR(__xludf.DUMMYFUNCTION("GOOGLETRANSLATE(B236,""en"",""es"")"),"Dinero depositado")</f>
        <v>Dinero depositado</v>
      </c>
      <c r="M236" s="7" t="str">
        <f>IFERROR(__xludf.DUMMYFUNCTION("GOOGLETRANSLATE(B236,""en"",""iw"")"),"כסף שהופקד")</f>
        <v>כסף שהופקד</v>
      </c>
      <c r="N236" s="6" t="str">
        <f>IFERROR(__xludf.DUMMYFUNCTION("GOOGLETRANSLATE(B236,""en"",""bn"")"),"অর্থ জমা")</f>
        <v>অর্থ জমা</v>
      </c>
      <c r="O236" s="6"/>
      <c r="P236" s="6"/>
    </row>
    <row r="237">
      <c r="A237" s="8" t="s">
        <v>476</v>
      </c>
      <c r="B237" s="12" t="s">
        <v>476</v>
      </c>
      <c r="C237" s="5" t="str">
        <f>IFERROR(__xludf.DUMMYFUNCTION("GOOGLETRANSLATE(B237,""en"",""hi"")"),"यात्रा के लिए व्यवस्थापक आयोग")</f>
        <v>यात्रा के लिए व्यवस्थापक आयोग</v>
      </c>
      <c r="D237" s="6" t="str">
        <f>IFERROR(__xludf.DUMMYFUNCTION("GOOGLETRANSLATE(B237,""en"",""ar"")"),"لجنة الإدارة للرحلة")</f>
        <v>لجنة الإدارة للرحلة</v>
      </c>
      <c r="E237" s="6" t="str">
        <f>IFERROR(__xludf.DUMMYFUNCTION("GOOGLETRANSLATE(B237,""en"",""fr"")"),"Commission administrative pour le voyage")</f>
        <v>Commission administrative pour le voyage</v>
      </c>
      <c r="F237" s="6" t="str">
        <f>IFERROR(__xludf.DUMMYFUNCTION("GOOGLETRANSLATE(B237,""en"",""tr"")"),"Gezi için Yönetici Komisyonu")</f>
        <v>Gezi için Yönetici Komisyonu</v>
      </c>
      <c r="G237" s="6" t="str">
        <f>IFERROR(__xludf.DUMMYFUNCTION("GOOGLETRANSLATE(B237,""en"",""ru"")"),"Административная комиссия для поездки")</f>
        <v>Административная комиссия для поездки</v>
      </c>
      <c r="H237" s="6" t="str">
        <f>IFERROR(__xludf.DUMMYFUNCTION("GOOGLETRANSLATE(B237,""en"",""it"")"),"Commissione amministrativa per il viaggio")</f>
        <v>Commissione amministrativa per il viaggio</v>
      </c>
      <c r="I237" s="6" t="str">
        <f>IFERROR(__xludf.DUMMYFUNCTION("GOOGLETRANSLATE(B237,""en"",""de"")"),"Administratorkommission für Reise")</f>
        <v>Administratorkommission für Reise</v>
      </c>
      <c r="J237" s="6" t="str">
        <f>IFERROR(__xludf.DUMMYFUNCTION("GOOGLETRANSLATE(B237,""en"",""ko"")"),"여행을위한 관리위원회")</f>
        <v>여행을위한 관리위원회</v>
      </c>
      <c r="K237" s="6" t="str">
        <f>IFERROR(__xludf.DUMMYFUNCTION("GOOGLETRANSLATE(B237,""en"",""zh"")"),"行政委员会")</f>
        <v>行政委员会</v>
      </c>
      <c r="L237" s="6" t="str">
        <f>IFERROR(__xludf.DUMMYFUNCTION("GOOGLETRANSLATE(B237,""en"",""es"")"),"Comisión de administración para el viaje")</f>
        <v>Comisión de administración para el viaje</v>
      </c>
      <c r="M237" s="7" t="str">
        <f>IFERROR(__xludf.DUMMYFUNCTION("GOOGLETRANSLATE(B237,""en"",""iw"")"),"ועדת מנהל לטיול")</f>
        <v>ועדת מנהל לטיול</v>
      </c>
      <c r="N237" s="6" t="str">
        <f>IFERROR(__xludf.DUMMYFUNCTION("GOOGLETRANSLATE(B237,""en"",""bn"")"),"ট্রিপের জন্য প্রশাসক কমিশন")</f>
        <v>ট্রিপের জন্য প্রশাসক কমিশন</v>
      </c>
      <c r="O237" s="6"/>
      <c r="P237" s="6"/>
    </row>
    <row r="238">
      <c r="A238" s="8" t="s">
        <v>477</v>
      </c>
      <c r="B238" s="12" t="s">
        <v>477</v>
      </c>
      <c r="C238" s="5" t="str">
        <f>IFERROR(__xludf.DUMMYFUNCTION("GOOGLETRANSLATE(B238,""en"",""hi"")"),"यात्रा आयोग")</f>
        <v>यात्रा आयोग</v>
      </c>
      <c r="D238" s="6" t="str">
        <f>IFERROR(__xludf.DUMMYFUNCTION("GOOGLETRANSLATE(B238,""en"",""ar"")"),"لجنة الرحلة")</f>
        <v>لجنة الرحلة</v>
      </c>
      <c r="E238" s="6" t="str">
        <f>IFERROR(__xludf.DUMMYFUNCTION("GOOGLETRANSLATE(B238,""en"",""fr"")"),"Commission de voyage")</f>
        <v>Commission de voyage</v>
      </c>
      <c r="F238" s="6" t="str">
        <f>IFERROR(__xludf.DUMMYFUNCTION("GOOGLETRANSLATE(B238,""en"",""tr"")"),"Gezi Komisyonu")</f>
        <v>Gezi Komisyonu</v>
      </c>
      <c r="G238" s="6" t="str">
        <f>IFERROR(__xludf.DUMMYFUNCTION("GOOGLETRANSLATE(B238,""en"",""ru"")"),"Поездка комиссия")</f>
        <v>Поездка комиссия</v>
      </c>
      <c r="H238" s="6" t="str">
        <f>IFERROR(__xludf.DUMMYFUNCTION("GOOGLETRANSLATE(B238,""en"",""it"")"),"Commissione di viaggio")</f>
        <v>Commissione di viaggio</v>
      </c>
      <c r="I238" s="6" t="str">
        <f>IFERROR(__xludf.DUMMYFUNCTION("GOOGLETRANSLATE(B238,""en"",""de"")"),"Reisekommission")</f>
        <v>Reisekommission</v>
      </c>
      <c r="J238" s="6" t="str">
        <f>IFERROR(__xludf.DUMMYFUNCTION("GOOGLETRANSLATE(B238,""en"",""ko"")"),"여행 커미션")</f>
        <v>여행 커미션</v>
      </c>
      <c r="K238" s="6" t="str">
        <f>IFERROR(__xludf.DUMMYFUNCTION("GOOGLETRANSLATE(B238,""en"",""zh"")"),"旅行委员会")</f>
        <v>旅行委员会</v>
      </c>
      <c r="L238" s="6" t="str">
        <f>IFERROR(__xludf.DUMMYFUNCTION("GOOGLETRANSLATE(B238,""en"",""es"")"),"Comisión de viaje")</f>
        <v>Comisión de viaje</v>
      </c>
      <c r="M238" s="7" t="str">
        <f>IFERROR(__xludf.DUMMYFUNCTION("GOOGLETRANSLATE(B238,""en"",""iw"")"),"ועדת טיול")</f>
        <v>ועדת טיול</v>
      </c>
      <c r="N238" s="6" t="str">
        <f>IFERROR(__xludf.DUMMYFUNCTION("GOOGLETRANSLATE(B238,""en"",""bn"")"),"ট্রিপ কমিশন")</f>
        <v>ট্রিপ কমিশন</v>
      </c>
      <c r="O238" s="6"/>
      <c r="P238" s="6"/>
    </row>
    <row r="239">
      <c r="A239" s="8" t="s">
        <v>212</v>
      </c>
      <c r="B239" s="12" t="s">
        <v>212</v>
      </c>
      <c r="C239" s="5" t="str">
        <f>IFERROR(__xludf.DUMMYFUNCTION("GOOGLETRANSLATE(B239,""en"",""hi"")"),"रद्दीकरण शुल्क")</f>
        <v>रद्दीकरण शुल्क</v>
      </c>
      <c r="D239" s="6" t="str">
        <f>IFERROR(__xludf.DUMMYFUNCTION("GOOGLETRANSLATE(B239,""en"",""ar"")"),"رسوم الإلغاء")</f>
        <v>رسوم الإلغاء</v>
      </c>
      <c r="E239" s="6" t="str">
        <f>IFERROR(__xludf.DUMMYFUNCTION("GOOGLETRANSLATE(B239,""en"",""fr"")"),"Frais d'annulation")</f>
        <v>Frais d'annulation</v>
      </c>
      <c r="F239" s="6" t="str">
        <f>IFERROR(__xludf.DUMMYFUNCTION("GOOGLETRANSLATE(B239,""en"",""tr"")"),"İptal ücreti")</f>
        <v>İptal ücreti</v>
      </c>
      <c r="G239" s="6" t="str">
        <f>IFERROR(__xludf.DUMMYFUNCTION("GOOGLETRANSLATE(B239,""en"",""ru"")"),"Комиссия при отмене")</f>
        <v>Комиссия при отмене</v>
      </c>
      <c r="H239" s="6" t="str">
        <f>IFERROR(__xludf.DUMMYFUNCTION("GOOGLETRANSLATE(B239,""en"",""it"")"),"Tassa di cancellazione")</f>
        <v>Tassa di cancellazione</v>
      </c>
      <c r="I239" s="6" t="str">
        <f>IFERROR(__xludf.DUMMYFUNCTION("GOOGLETRANSLATE(B239,""en"",""de"")"),"Stornogebühr")</f>
        <v>Stornogebühr</v>
      </c>
      <c r="J239" s="6" t="str">
        <f>IFERROR(__xludf.DUMMYFUNCTION("GOOGLETRANSLATE(B239,""en"",""ko"")"),"취소 요금")</f>
        <v>취소 요금</v>
      </c>
      <c r="K239" s="6" t="str">
        <f>IFERROR(__xludf.DUMMYFUNCTION("GOOGLETRANSLATE(B239,""en"",""zh"")"),"取消费用")</f>
        <v>取消费用</v>
      </c>
      <c r="L239" s="6" t="str">
        <f>IFERROR(__xludf.DUMMYFUNCTION("GOOGLETRANSLATE(B239,""en"",""es"")"),"Tarifa de cancelación")</f>
        <v>Tarifa de cancelación</v>
      </c>
      <c r="M239" s="7" t="str">
        <f>IFERROR(__xludf.DUMMYFUNCTION("GOOGLETRANSLATE(B239,""en"",""iw"")"),"דמי ביטול")</f>
        <v>דמי ביטול</v>
      </c>
      <c r="N239" s="6" t="str">
        <f>IFERROR(__xludf.DUMMYFUNCTION("GOOGLETRANSLATE(B239,""en"",""bn"")"),"বাতিল ফি")</f>
        <v>বাতিল ফি</v>
      </c>
      <c r="O239" s="6"/>
      <c r="P239" s="6"/>
    </row>
    <row r="240">
      <c r="A240" s="8" t="s">
        <v>478</v>
      </c>
      <c r="B240" s="12" t="s">
        <v>478</v>
      </c>
      <c r="C240" s="5" t="str">
        <f>IFERROR(__xludf.DUMMYFUNCTION("GOOGLETRANSLATE(B240,""en"",""hi"")"),"व्यवस्थापक द्वारा जमा धन")</f>
        <v>व्यवस्थापक द्वारा जमा धन</v>
      </c>
      <c r="D240" s="6" t="str">
        <f>IFERROR(__xludf.DUMMYFUNCTION("GOOGLETRANSLATE(B240,""en"",""ar"")"),"الأموال المودعة من قبل المسؤول")</f>
        <v>الأموال المودعة من قبل المسؤول</v>
      </c>
      <c r="E240" s="6" t="str">
        <f>IFERROR(__xludf.DUMMYFUNCTION("GOOGLETRANSLATE(B240,""en"",""fr"")"),"L'argent déposé par l'administrateur")</f>
        <v>L'argent déposé par l'administrateur</v>
      </c>
      <c r="F240" s="6" t="str">
        <f>IFERROR(__xludf.DUMMYFUNCTION("GOOGLETRANSLATE(B240,""en"",""tr"")"),"Yönetici tarafından yatırılan para")</f>
        <v>Yönetici tarafından yatırılan para</v>
      </c>
      <c r="G240" s="6" t="str">
        <f>IFERROR(__xludf.DUMMYFUNCTION("GOOGLETRANSLATE(B240,""en"",""ru"")"),"Деньги, депонированные администратором")</f>
        <v>Деньги, депонированные администратором</v>
      </c>
      <c r="H240" s="6" t="str">
        <f>IFERROR(__xludf.DUMMYFUNCTION("GOOGLETRANSLATE(B240,""en"",""it"")"),"Denaro depositato da amministratore")</f>
        <v>Denaro depositato da amministratore</v>
      </c>
      <c r="I240" s="6" t="str">
        <f>IFERROR(__xludf.DUMMYFUNCTION("GOOGLETRANSLATE(B240,""en"",""de"")"),"Geld von Administrator einzahlt")</f>
        <v>Geld von Administrator einzahlt</v>
      </c>
      <c r="J240" s="6" t="str">
        <f>IFERROR(__xludf.DUMMYFUNCTION("GOOGLETRANSLATE(B240,""en"",""ko"")"),"관리자가 입금 한 돈")</f>
        <v>관리자가 입금 한 돈</v>
      </c>
      <c r="K240" s="6" t="str">
        <f>IFERROR(__xludf.DUMMYFUNCTION("GOOGLETRANSLATE(B240,""en"",""zh"")"),"管理员存入的资金")</f>
        <v>管理员存入的资金</v>
      </c>
      <c r="L240" s="6" t="str">
        <f>IFERROR(__xludf.DUMMYFUNCTION("GOOGLETRANSLATE(B240,""en"",""es"")"),"Dinero depositado por el administrador")</f>
        <v>Dinero depositado por el administrador</v>
      </c>
      <c r="M240" s="7" t="str">
        <f>IFERROR(__xludf.DUMMYFUNCTION("GOOGLETRANSLATE(B240,""en"",""iw"")"),"כסף שהופקד על ידי מנהל")</f>
        <v>כסף שהופקד על ידי מנהל</v>
      </c>
      <c r="N240" s="6" t="str">
        <f>IFERROR(__xludf.DUMMYFUNCTION("GOOGLETRANSLATE(B240,""en"",""bn"")"),"অ্যাডমিন দ্বারা জমা অর্থ")</f>
        <v>অ্যাডমিন দ্বারা জমা অর্থ</v>
      </c>
      <c r="O240" s="6"/>
      <c r="P240" s="6"/>
    </row>
    <row r="241">
      <c r="A241" s="8" t="s">
        <v>479</v>
      </c>
      <c r="B241" s="12" t="s">
        <v>479</v>
      </c>
      <c r="C241" s="5" t="str">
        <f>IFERROR(__xludf.DUMMYFUNCTION("GOOGLETRANSLATE(B241,""en"",""hi"")"),"रेफरल कमीशन")</f>
        <v>रेफरल कमीशन</v>
      </c>
      <c r="D241" s="6" t="str">
        <f>IFERROR(__xludf.DUMMYFUNCTION("GOOGLETRANSLATE(B241,""en"",""ar"")"),"لجنة الإحالة")</f>
        <v>لجنة الإحالة</v>
      </c>
      <c r="E241" s="6" t="str">
        <f>IFERROR(__xludf.DUMMYFUNCTION("GOOGLETRANSLATE(B241,""en"",""fr"")"),"Commission de référence")</f>
        <v>Commission de référence</v>
      </c>
      <c r="F241" s="6" t="str">
        <f>IFERROR(__xludf.DUMMYFUNCTION("GOOGLETRANSLATE(B241,""en"",""tr"")"),"Tavsiye Komisyonu")</f>
        <v>Tavsiye Komisyonu</v>
      </c>
      <c r="G241" s="6" t="str">
        <f>IFERROR(__xludf.DUMMYFUNCTION("GOOGLETRANSLATE(B241,""en"",""ru"")"),"Справочная комиссия")</f>
        <v>Справочная комиссия</v>
      </c>
      <c r="H241" s="6" t="str">
        <f>IFERROR(__xludf.DUMMYFUNCTION("GOOGLETRANSLATE(B241,""en"",""it"")"),"Commissione di riferimento")</f>
        <v>Commissione di riferimento</v>
      </c>
      <c r="I241" s="6" t="str">
        <f>IFERROR(__xludf.DUMMYFUNCTION("GOOGLETRANSLATE(B241,""en"",""de"")"),"Überweisungskommission")</f>
        <v>Überweisungskommission</v>
      </c>
      <c r="J241" s="6" t="str">
        <f>IFERROR(__xludf.DUMMYFUNCTION("GOOGLETRANSLATE(B241,""en"",""ko"")"),"추천위원회")</f>
        <v>추천위원회</v>
      </c>
      <c r="K241" s="6" t="str">
        <f>IFERROR(__xludf.DUMMYFUNCTION("GOOGLETRANSLATE(B241,""en"",""zh"")"),"推荐委员会")</f>
        <v>推荐委员会</v>
      </c>
      <c r="L241" s="6" t="str">
        <f>IFERROR(__xludf.DUMMYFUNCTION("GOOGLETRANSLATE(B241,""en"",""es"")"),"Comisión de referencia")</f>
        <v>Comisión de referencia</v>
      </c>
      <c r="M241" s="7" t="str">
        <f>IFERROR(__xludf.DUMMYFUNCTION("GOOGLETRANSLATE(B241,""en"",""iw"")"),"ועדת הפניה")</f>
        <v>ועדת הפניה</v>
      </c>
      <c r="N241" s="6" t="str">
        <f>IFERROR(__xludf.DUMMYFUNCTION("GOOGLETRANSLATE(B241,""en"",""bn"")"),"রেফারেল কমিশন")</f>
        <v>রেফারেল কমিশন</v>
      </c>
      <c r="O241" s="6"/>
      <c r="P241" s="6"/>
    </row>
    <row r="242">
      <c r="A242" s="8" t="s">
        <v>480</v>
      </c>
      <c r="B242" s="12" t="s">
        <v>480</v>
      </c>
      <c r="C242" s="5" t="str">
        <f>IFERROR(__xludf.DUMMYFUNCTION("GOOGLETRANSLATE(B242,""en"",""hi"")"),"यात्रा अनुरोध के लिए खर्च किया")</f>
        <v>यात्रा अनुरोध के लिए खर्च किया</v>
      </c>
      <c r="D242" s="6" t="str">
        <f>IFERROR(__xludf.DUMMYFUNCTION("GOOGLETRANSLATE(B242,""en"",""ar"")"),"قضاء في طلب الرحلة")</f>
        <v>قضاء في طلب الرحلة</v>
      </c>
      <c r="E242" s="6" t="str">
        <f>IFERROR(__xludf.DUMMYFUNCTION("GOOGLETRANSLATE(B242,""en"",""fr"")"),"Demande de voyage dépensée")</f>
        <v>Demande de voyage dépensée</v>
      </c>
      <c r="F242" s="6" t="str">
        <f>IFERROR(__xludf.DUMMYFUNCTION("GOOGLETRANSLATE(B242,""en"",""tr"")"),"Gezi isteği için harcandı")</f>
        <v>Gezi isteği için harcandı</v>
      </c>
      <c r="G242" s="6" t="str">
        <f>IFERROR(__xludf.DUMMYFUNCTION("GOOGLETRANSLATE(B242,""en"",""ru"")"),"Потрачен на запрос на поездку")</f>
        <v>Потрачен на запрос на поездку</v>
      </c>
      <c r="H242" s="6" t="str">
        <f>IFERROR(__xludf.DUMMYFUNCTION("GOOGLETRANSLATE(B242,""en"",""it"")"),"Speso per la richiesta di viaggio")</f>
        <v>Speso per la richiesta di viaggio</v>
      </c>
      <c r="I242" s="6" t="str">
        <f>IFERROR(__xludf.DUMMYFUNCTION("GOOGLETRANSLATE(B242,""en"",""de"")"),"Ausgegeben für die Reiseanfrage")</f>
        <v>Ausgegeben für die Reiseanfrage</v>
      </c>
      <c r="J242" s="6" t="str">
        <f>IFERROR(__xludf.DUMMYFUNCTION("GOOGLETRANSLATE(B242,""en"",""ko"")"),"여행 요청에 사용")</f>
        <v>여행 요청에 사용</v>
      </c>
      <c r="K242" s="6" t="str">
        <f>IFERROR(__xludf.DUMMYFUNCTION("GOOGLETRANSLATE(B242,""en"",""zh"")"),"用于旅行请求")</f>
        <v>用于旅行请求</v>
      </c>
      <c r="L242" s="6" t="str">
        <f>IFERROR(__xludf.DUMMYFUNCTION("GOOGLETRANSLATE(B242,""en"",""es"")"),"Gastado para la solicitud de viaje")</f>
        <v>Gastado para la solicitud de viaje</v>
      </c>
      <c r="M242" s="7" t="str">
        <f>IFERROR(__xludf.DUMMYFUNCTION("GOOGLETRANSLATE(B242,""en"",""iw"")"),"הוצא לבקשת טיול")</f>
        <v>הוצא לבקשת טיול</v>
      </c>
      <c r="N242" s="6" t="str">
        <f>IFERROR(__xludf.DUMMYFUNCTION("GOOGLETRANSLATE(B242,""en"",""bn"")"),"ট্রিপ অনুরোধের জন্য ব্যয় করা")</f>
        <v>ট্রিপ অনুরোধের জন্য ব্যয় করা</v>
      </c>
      <c r="O242" s="6"/>
      <c r="P242" s="6"/>
    </row>
    <row r="243">
      <c r="A243" s="8" t="s">
        <v>481</v>
      </c>
      <c r="B243" s="12" t="s">
        <v>481</v>
      </c>
      <c r="C243" s="5" t="str">
        <f>IFERROR(__xludf.DUMMYFUNCTION("GOOGLETRANSLATE(B243,""en"",""hi"")"),"बटुए से वापस ले लिया गया")</f>
        <v>बटुए से वापस ले लिया गया</v>
      </c>
      <c r="D243" s="6" t="str">
        <f>IFERROR(__xludf.DUMMYFUNCTION("GOOGLETRANSLATE(B243,""en"",""ar"")"),"انسحب من محفظة")</f>
        <v>انسحب من محفظة</v>
      </c>
      <c r="E243" s="6" t="str">
        <f>IFERROR(__xludf.DUMMYFUNCTION("GOOGLETRANSLATE(B243,""en"",""fr"")"),"Retiré du portefeuille")</f>
        <v>Retiré du portefeuille</v>
      </c>
      <c r="F243" s="6" t="str">
        <f>IFERROR(__xludf.DUMMYFUNCTION("GOOGLETRANSLATE(B243,""en"",""tr"")"),"Cüzdandan çekildi")</f>
        <v>Cüzdandan çekildi</v>
      </c>
      <c r="G243" s="6" t="str">
        <f>IFERROR(__xludf.DUMMYFUNCTION("GOOGLETRANSLATE(B243,""en"",""ru"")"),"Отозван из кошелька")</f>
        <v>Отозван из кошелька</v>
      </c>
      <c r="H243" s="6" t="str">
        <f>IFERROR(__xludf.DUMMYFUNCTION("GOOGLETRANSLATE(B243,""en"",""it"")"),"Ritirato dal portafoglio")</f>
        <v>Ritirato dal portafoglio</v>
      </c>
      <c r="I243" s="6" t="str">
        <f>IFERROR(__xludf.DUMMYFUNCTION("GOOGLETRANSLATE(B243,""en"",""de"")"),"Aus Brieftasche zurückgezogen")</f>
        <v>Aus Brieftasche zurückgezogen</v>
      </c>
      <c r="J243" s="6" t="str">
        <f>IFERROR(__xludf.DUMMYFUNCTION("GOOGLETRANSLATE(B243,""en"",""ko"")"),"지갑에서 철수")</f>
        <v>지갑에서 철수</v>
      </c>
      <c r="K243" s="6" t="str">
        <f>IFERROR(__xludf.DUMMYFUNCTION("GOOGLETRANSLATE(B243,""en"",""zh"")"),"从钱包中撤回")</f>
        <v>从钱包中撤回</v>
      </c>
      <c r="L243" s="6" t="str">
        <f>IFERROR(__xludf.DUMMYFUNCTION("GOOGLETRANSLATE(B243,""en"",""es"")"),"Retirado de la billetera")</f>
        <v>Retirado de la billetera</v>
      </c>
      <c r="M243" s="7" t="str">
        <f>IFERROR(__xludf.DUMMYFUNCTION("GOOGLETRANSLATE(B243,""en"",""iw"")"),"נסוג מהארנק")</f>
        <v>נסוג מהארנק</v>
      </c>
      <c r="N243" s="6" t="str">
        <f>IFERROR(__xludf.DUMMYFUNCTION("GOOGLETRANSLATE(B243,""en"",""bn"")"),"ওয়ালেট থেকে প্রত্যাহার")</f>
        <v>ওয়ালেট থেকে প্রত্যাহার</v>
      </c>
      <c r="O243" s="6"/>
      <c r="P243" s="6"/>
    </row>
    <row r="244">
      <c r="A244" s="19" t="s">
        <v>482</v>
      </c>
      <c r="B244" s="12" t="s">
        <v>483</v>
      </c>
      <c r="C244" s="5" t="str">
        <f>IFERROR(__xludf.DUMMYFUNCTION("GOOGLETRANSLATE(B244,""en"",""hi"")"),"उपयोगकर्ता ने अनुरोध रद्द कर दिया")</f>
        <v>उपयोगकर्ता ने अनुरोध रद्द कर दिया</v>
      </c>
      <c r="D244" s="6" t="str">
        <f>IFERROR(__xludf.DUMMYFUNCTION("GOOGLETRANSLATE(B244,""en"",""ar"")"),"ألغى المستخدم الطلب")</f>
        <v>ألغى المستخدم الطلب</v>
      </c>
      <c r="E244" s="6" t="str">
        <f>IFERROR(__xludf.DUMMYFUNCTION("GOOGLETRANSLATE(B244,""en"",""fr"")"),"L'utilisateur a annulé la demande")</f>
        <v>L'utilisateur a annulé la demande</v>
      </c>
      <c r="F244" s="6" t="str">
        <f>IFERROR(__xludf.DUMMYFUNCTION("GOOGLETRANSLATE(B244,""en"",""tr"")"),"Kullanıcı isteği iptal etti")</f>
        <v>Kullanıcı isteği iptal etti</v>
      </c>
      <c r="G244" s="6" t="str">
        <f>IFERROR(__xludf.DUMMYFUNCTION("GOOGLETRANSLATE(B244,""en"",""ru"")"),"Пользователь отменил запрос")</f>
        <v>Пользователь отменил запрос</v>
      </c>
      <c r="H244" s="6" t="str">
        <f>IFERROR(__xludf.DUMMYFUNCTION("GOOGLETRANSLATE(B244,""en"",""it"")"),"L'utente ha annullato la richiesta")</f>
        <v>L'utente ha annullato la richiesta</v>
      </c>
      <c r="I244" s="6" t="str">
        <f>IFERROR(__xludf.DUMMYFUNCTION("GOOGLETRANSLATE(B244,""en"",""de"")"),"Der Benutzer stornierte die Anfrage")</f>
        <v>Der Benutzer stornierte die Anfrage</v>
      </c>
      <c r="J244" s="6" t="str">
        <f>IFERROR(__xludf.DUMMYFUNCTION("GOOGLETRANSLATE(B244,""en"",""ko"")"),"사용자가 요청을 취소했습니다")</f>
        <v>사용자가 요청을 취소했습니다</v>
      </c>
      <c r="K244" s="6" t="str">
        <f>IFERROR(__xludf.DUMMYFUNCTION("GOOGLETRANSLATE(B244,""en"",""zh"")"),"用户取消了请求")</f>
        <v>用户取消了请求</v>
      </c>
      <c r="L244" s="6" t="str">
        <f>IFERROR(__xludf.DUMMYFUNCTION("GOOGLETRANSLATE(B244,""en"",""es"")"),"El usuario canceló la solicitud")</f>
        <v>El usuario canceló la solicitud</v>
      </c>
      <c r="M244" s="7" t="str">
        <f>IFERROR(__xludf.DUMMYFUNCTION("GOOGLETRANSLATE(B244,""en"",""iw"")"),"המשתמש ביטל את הבקשה")</f>
        <v>המשתמש ביטל את הבקשה</v>
      </c>
      <c r="N244" s="6" t="str">
        <f>IFERROR(__xludf.DUMMYFUNCTION("GOOGLETRANSLATE(B244,""en"",""bn"")"),"ব্যবহারকারী অনুরোধ বাতিল করেছেন")</f>
        <v>ব্যবহারকারী অনুরোধ বাতিল করেছেন</v>
      </c>
      <c r="O244" s="6"/>
      <c r="P244" s="6"/>
    </row>
    <row r="245">
      <c r="A245" s="8" t="s">
        <v>484</v>
      </c>
      <c r="B245" s="12" t="s">
        <v>485</v>
      </c>
      <c r="C245" s="5" t="str">
        <f>IFERROR(__xludf.DUMMYFUNCTION("GOOGLETRANSLATE(B245,""en"",""hi"")"),"आपका बटुआ संतुलन कम है, कृपया सेवा जारी रखने के लिए कुछ पैसे जोड़ें")</f>
        <v>आपका बटुआ संतुलन कम है, कृपया सेवा जारी रखने के लिए कुछ पैसे जोड़ें</v>
      </c>
      <c r="D245" s="6" t="str">
        <f>IFERROR(__xludf.DUMMYFUNCTION("GOOGLETRANSLATE(B245,""en"",""ar"")"),"رصيد محفظتك منخفض ، يرجى إضافة بعض المال لمتابعة الخدمة")</f>
        <v>رصيد محفظتك منخفض ، يرجى إضافة بعض المال لمتابعة الخدمة</v>
      </c>
      <c r="E245" s="6" t="str">
        <f>IFERROR(__xludf.DUMMYFUNCTION("GOOGLETRANSLATE(B245,""en"",""fr"")"),"Votre solde de portefeuille est faible, veuillez ajouter de l'argent pour continuer le service")</f>
        <v>Votre solde de portefeuille est faible, veuillez ajouter de l'argent pour continuer le service</v>
      </c>
      <c r="F245" s="6" t="str">
        <f>IFERROR(__xludf.DUMMYFUNCTION("GOOGLETRANSLATE(B245,""en"",""tr"")"),"Cüzdan bakiyeniz düşük, lütfen hizmete devam etmek için biraz para ekleyin")</f>
        <v>Cüzdan bakiyeniz düşük, lütfen hizmete devam etmek için biraz para ekleyin</v>
      </c>
      <c r="G245" s="6" t="str">
        <f>IFERROR(__xludf.DUMMYFUNCTION("GOOGLETRANSLATE(B245,""en"",""ru"")"),"Ваш баланс кошелька низкий, добавьте немного денег, чтобы продолжить обслуживание")</f>
        <v>Ваш баланс кошелька низкий, добавьте немного денег, чтобы продолжить обслуживание</v>
      </c>
      <c r="H245" s="6" t="str">
        <f>IFERROR(__xludf.DUMMYFUNCTION("GOOGLETRANSLATE(B245,""en"",""it"")"),"Il saldo del tuo portafoglio è basso, aggiungi un po 'di denaro per continuare il servizio")</f>
        <v>Il saldo del tuo portafoglio è basso, aggiungi un po 'di denaro per continuare il servizio</v>
      </c>
      <c r="I245" s="6" t="str">
        <f>IFERROR(__xludf.DUMMYFUNCTION("GOOGLETRANSLATE(B245,""en"",""de"")"),"Ihre Brieftaschenbalance ist niedrig. Bitte fügen Sie etwas Geld hinzu, um den Service fortzusetzen")</f>
        <v>Ihre Brieftaschenbalance ist niedrig. Bitte fügen Sie etwas Geld hinzu, um den Service fortzusetzen</v>
      </c>
      <c r="J245" s="6" t="str">
        <f>IFERROR(__xludf.DUMMYFUNCTION("GOOGLETRANSLATE(B245,""en"",""ko"")"),"지갑 잔액이 낮으므로 서비스를 계속할 돈을 추가하십시오.")</f>
        <v>지갑 잔액이 낮으므로 서비스를 계속할 돈을 추가하십시오.</v>
      </c>
      <c r="K245" s="6" t="str">
        <f>IFERROR(__xludf.DUMMYFUNCTION("GOOGLETRANSLATE(B245,""en"",""zh"")"),"您的钱包余额低，请加一些钱来继续服务")</f>
        <v>您的钱包余额低，请加一些钱来继续服务</v>
      </c>
      <c r="L245" s="6" t="str">
        <f>IFERROR(__xludf.DUMMYFUNCTION("GOOGLETRANSLATE(B245,""en"",""es"")"),"Su saldo de billetera es bajo, agregue algo de dinero para continuar con el servicio")</f>
        <v>Su saldo de billetera es bajo, agregue algo de dinero para continuar con el servicio</v>
      </c>
      <c r="M245" s="7" t="str">
        <f>IFERROR(__xludf.DUMMYFUNCTION("GOOGLETRANSLATE(B245,""en"",""iw"")"),"יתרת הארנק שלך נמוכה, אנא הוסף קצת כסף להמשך השירות")</f>
        <v>יתרת הארנק שלך נמוכה, אנא הוסף קצת כסף להמשך השירות</v>
      </c>
      <c r="N245" s="6" t="str">
        <f>IFERROR(__xludf.DUMMYFUNCTION("GOOGLETRANSLATE(B245,""en"",""bn"")"),"আপনার মানিব্যাগের ভারসাম্য কম, পরিষেবা চালিয়ে যাওয়ার জন্য দয়া করে কিছু অর্থ যুক্ত করুন")</f>
        <v>আপনার মানিব্যাগের ভারসাম্য কম, পরিষেবা চালিয়ে যাওয়ার জন্য দয়া করে কিছু অর্থ যুক্ত করুন</v>
      </c>
      <c r="O245" s="6"/>
      <c r="P245" s="6"/>
    </row>
    <row r="246">
      <c r="A246" s="8" t="s">
        <v>486</v>
      </c>
      <c r="B246" s="12" t="s">
        <v>487</v>
      </c>
      <c r="C246" s="5" t="str">
        <f>IFERROR(__xludf.DUMMYFUNCTION("GOOGLETRANSLATE(B246,""en"",""hi"")"),"कृपया सही OTP दर्ज करें या RESEND")</f>
        <v>कृपया सही OTP दर्ज करें या RESEND</v>
      </c>
      <c r="D246" s="6" t="str">
        <f>IFERROR(__xludf.DUMMYFUNCTION("GOOGLETRANSLATE(B246,""en"",""ar"")"),"الرجاء إدخال OTP الصحيح أو إعادة الالتحاق")</f>
        <v>الرجاء إدخال OTP الصحيح أو إعادة الالتحاق</v>
      </c>
      <c r="E246" s="6" t="str">
        <f>IFERROR(__xludf.DUMMYFUNCTION("GOOGLETRANSLATE(B246,""en"",""fr"")"),"Veuillez saisir le OTP correct ou le renver")</f>
        <v>Veuillez saisir le OTP correct ou le renver</v>
      </c>
      <c r="F246" s="6" t="str">
        <f>IFERROR(__xludf.DUMMYFUNCTION("GOOGLETRANSLATE(B246,""en"",""tr"")"),"Lütfen doğru OTP'yi girin veya yeniden ineği girin")</f>
        <v>Lütfen doğru OTP'yi girin veya yeniden ineği girin</v>
      </c>
      <c r="G246" s="6" t="str">
        <f>IFERROR(__xludf.DUMMYFUNCTION("GOOGLETRANSLATE(B246,""en"",""ru"")"),"Пожалуйста, введите правильный OTP или повторный")</f>
        <v>Пожалуйста, введите правильный OTP или повторный</v>
      </c>
      <c r="H246" s="6" t="str">
        <f>IFERROR(__xludf.DUMMYFUNCTION("GOOGLETRANSLATE(B246,""en"",""it"")"),"Inserisci OTP corretto o Resend")</f>
        <v>Inserisci OTP corretto o Resend</v>
      </c>
      <c r="I246" s="6" t="str">
        <f>IFERROR(__xludf.DUMMYFUNCTION("GOOGLETRANSLATE(B246,""en"",""de"")"),"Bitte geben Sie die korrekte OTP ein oder geben Sie sie erneut ab")</f>
        <v>Bitte geben Sie die korrekte OTP ein oder geben Sie sie erneut ab</v>
      </c>
      <c r="J246" s="6" t="str">
        <f>IFERROR(__xludf.DUMMYFUNCTION("GOOGLETRANSLATE(B246,""en"",""ko"")"),"올바른 OTP를 입력하거나 재현하십시오")</f>
        <v>올바른 OTP를 입력하거나 재현하십시오</v>
      </c>
      <c r="K246" s="6" t="str">
        <f>IFERROR(__xludf.DUMMYFUNCTION("GOOGLETRANSLATE(B246,""en"",""zh"")"),"请输入正确的OTP或重新发射")</f>
        <v>请输入正确的OTP或重新发射</v>
      </c>
      <c r="L246" s="6" t="str">
        <f>IFERROR(__xludf.DUMMYFUNCTION("GOOGLETRANSLATE(B246,""en"",""es"")"),"Por favor ingrese OTP correcto o reinvierta")</f>
        <v>Por favor ingrese OTP correcto o reinvierta</v>
      </c>
      <c r="M246" s="7" t="str">
        <f>IFERROR(__xludf.DUMMYFUNCTION("GOOGLETRANSLATE(B246,""en"",""iw"")"),"אנא הכנס OTP נכון או tend מחדש")</f>
        <v>אנא הכנס OTP נכון או tend מחדש</v>
      </c>
      <c r="N246" s="6" t="str">
        <f>IFERROR(__xludf.DUMMYFUNCTION("GOOGLETRANSLATE(B246,""en"",""bn"")"),"দয়া করে সঠিক ওটিপি লিখুন বা পুনরুদ্ধার করুন")</f>
        <v>দয়া করে সঠিক ওটিপি লিখুন বা পুনরুদ্ধার করুন</v>
      </c>
      <c r="O246" s="6"/>
      <c r="P246" s="6"/>
    </row>
    <row r="247">
      <c r="A247" s="8" t="s">
        <v>488</v>
      </c>
      <c r="B247" s="12" t="s">
        <v>489</v>
      </c>
      <c r="C247" s="5" t="str">
        <f>IFERROR(__xludf.DUMMYFUNCTION("GOOGLETRANSLATE(B247,""en"",""hi"")"),"रेफरल कोड कॉपी किया गया")</f>
        <v>रेफरल कोड कॉपी किया गया</v>
      </c>
      <c r="D247" s="6" t="str">
        <f>IFERROR(__xludf.DUMMYFUNCTION("GOOGLETRANSLATE(B247,""en"",""ar"")"),"تم نسخ رمز الإحالة")</f>
        <v>تم نسخ رمز الإحالة</v>
      </c>
      <c r="E247" s="6" t="str">
        <f>IFERROR(__xludf.DUMMYFUNCTION("GOOGLETRANSLATE(B247,""en"",""fr"")"),"Code de référence copié")</f>
        <v>Code de référence copié</v>
      </c>
      <c r="F247" s="6" t="str">
        <f>IFERROR(__xludf.DUMMYFUNCTION("GOOGLETRANSLATE(B247,""en"",""tr"")"),"Tavsiye kodu kopyalandı")</f>
        <v>Tavsiye kodu kopyalandı</v>
      </c>
      <c r="G247" s="6" t="str">
        <f>IFERROR(__xludf.DUMMYFUNCTION("GOOGLETRANSLATE(B247,""en"",""ru"")"),"Код реферального кода скопирован")</f>
        <v>Код реферального кода скопирован</v>
      </c>
      <c r="H247" s="6" t="str">
        <f>IFERROR(__xludf.DUMMYFUNCTION("GOOGLETRANSLATE(B247,""en"",""it"")"),"Codice di riferimento copiato")</f>
        <v>Codice di riferimento copiato</v>
      </c>
      <c r="I247" s="6" t="str">
        <f>IFERROR(__xludf.DUMMYFUNCTION("GOOGLETRANSLATE(B247,""en"",""de"")"),"Empfehlungscode kopiert")</f>
        <v>Empfehlungscode kopiert</v>
      </c>
      <c r="J247" s="6" t="str">
        <f>IFERROR(__xludf.DUMMYFUNCTION("GOOGLETRANSLATE(B247,""en"",""ko"")"),"추천 코드 복사")</f>
        <v>추천 코드 복사</v>
      </c>
      <c r="K247" s="6" t="str">
        <f>IFERROR(__xludf.DUMMYFUNCTION("GOOGLETRANSLATE(B247,""en"",""zh"")"),"复制推荐代码")</f>
        <v>复制推荐代码</v>
      </c>
      <c r="L247" s="6" t="str">
        <f>IFERROR(__xludf.DUMMYFUNCTION("GOOGLETRANSLATE(B247,""en"",""es"")"),"Código de referencia copiado")</f>
        <v>Código de referencia copiado</v>
      </c>
      <c r="M247" s="7" t="str">
        <f>IFERROR(__xludf.DUMMYFUNCTION("GOOGLETRANSLATE(B247,""en"",""iw"")"),"קוד הפניה מועתק")</f>
        <v>קוד הפניה מועתק</v>
      </c>
      <c r="N247" s="6" t="str">
        <f>IFERROR(__xludf.DUMMYFUNCTION("GOOGLETRANSLATE(B247,""en"",""bn"")"),"রেফারেল কোড অনুলিপি করা হয়েছে")</f>
        <v>রেফারেল কোড অনুলিপি করা হয়েছে</v>
      </c>
      <c r="O247" s="6"/>
      <c r="P247" s="6"/>
    </row>
    <row r="248">
      <c r="A248" s="8" t="s">
        <v>490</v>
      </c>
      <c r="B248" s="12" t="s">
        <v>491</v>
      </c>
      <c r="C248" s="5" t="str">
        <f>IFERROR(__xludf.DUMMYFUNCTION("GOOGLETRANSLATE(B248,""en"",""hi"")"),"स्थान की अनुमति दें - एक सवारी बुक करने के लिए")</f>
        <v>स्थान की अनुमति दें - एक सवारी बुक करने के लिए</v>
      </c>
      <c r="D248" s="6" t="str">
        <f>IFERROR(__xludf.DUMMYFUNCTION("GOOGLETRANSLATE(B248,""en"",""ar"")"),"السماح للموقع - لحجز رحلة")</f>
        <v>السماح للموقع - لحجز رحلة</v>
      </c>
      <c r="E248" s="6" t="str">
        <f>IFERROR(__xludf.DUMMYFUNCTION("GOOGLETRANSLATE(B248,""en"",""fr"")"),"Autoriser l'emplacement - pour réserver un trajet")</f>
        <v>Autoriser l'emplacement - pour réserver un trajet</v>
      </c>
      <c r="F248" s="6" t="str">
        <f>IFERROR(__xludf.DUMMYFUNCTION("GOOGLETRANSLATE(B248,""en"",""tr"")"),"Konuma İzin Verin - Bir Yolculuk Rezervasyonu Yapmak")</f>
        <v>Konuma İzin Verin - Bir Yolculuk Rezervasyonu Yapmak</v>
      </c>
      <c r="G248" s="6" t="str">
        <f>IFERROR(__xludf.DUMMYFUNCTION("GOOGLETRANSLATE(B248,""en"",""ru"")"),"Разрешить местоположение - забронировать поездку")</f>
        <v>Разрешить местоположение - забронировать поездку</v>
      </c>
      <c r="H248" s="6" t="str">
        <f>IFERROR(__xludf.DUMMYFUNCTION("GOOGLETRANSLATE(B248,""en"",""it"")"),"Consenti la posizione: prenotare un giro")</f>
        <v>Consenti la posizione: prenotare un giro</v>
      </c>
      <c r="I248" s="6" t="str">
        <f>IFERROR(__xludf.DUMMYFUNCTION("GOOGLETRANSLATE(B248,""en"",""de"")"),"Ort zulassen - eine Fahrt buchen")</f>
        <v>Ort zulassen - eine Fahrt buchen</v>
      </c>
      <c r="J248" s="6" t="str">
        <f>IFERROR(__xludf.DUMMYFUNCTION("GOOGLETRANSLATE(B248,""en"",""ko"")"),"위치 - 타기를 예약하려면 허용하십시오")</f>
        <v>위치 - 타기를 예약하려면 허용하십시오</v>
      </c>
      <c r="K248" s="6" t="str">
        <f>IFERROR(__xludf.DUMMYFUNCTION("GOOGLETRANSLATE(B248,""en"",""zh"")"),"允许位置 - 预订乘车")</f>
        <v>允许位置 - 预订乘车</v>
      </c>
      <c r="L248" s="6" t="str">
        <f>IFERROR(__xludf.DUMMYFUNCTION("GOOGLETRANSLATE(B248,""en"",""es"")"),"Permitir ubicación - para reservar un paseo")</f>
        <v>Permitir ubicación - para reservar un paseo</v>
      </c>
      <c r="M248" s="7" t="str">
        <f>IFERROR(__xludf.DUMMYFUNCTION("GOOGLETRANSLATE(B248,""en"",""iw"")"),"אפשר למיקום - להזמין נסיעה")</f>
        <v>אפשר למיקום - להזמין נסיעה</v>
      </c>
      <c r="N248" s="6" t="str">
        <f>IFERROR(__xludf.DUMMYFUNCTION("GOOGLETRANSLATE(B248,""en"",""bn"")"),"অবস্থানের অনুমতি দিন - একটি যাত্রা বুক করতে")</f>
        <v>অবস্থানের অনুমতি দিন - একটি যাত্রা বুক করতে</v>
      </c>
      <c r="O248" s="6"/>
      <c r="P248" s="6"/>
    </row>
    <row r="249">
      <c r="A249" s="8" t="s">
        <v>492</v>
      </c>
      <c r="B249" s="12" t="s">
        <v>493</v>
      </c>
      <c r="C249" s="5" t="str">
        <f>IFERROR(__xludf.DUMMYFUNCTION("GOOGLETRANSLATE(B249,""en"",""hi"")"),"इस दौड़ को बनाने के लिए आपका बटुआ संतुलन बहुत कम है")</f>
        <v>इस दौड़ को बनाने के लिए आपका बटुआ संतुलन बहुत कम है</v>
      </c>
      <c r="D249" s="6" t="str">
        <f>IFERROR(__xludf.DUMMYFUNCTION("GOOGLETRANSLATE(B249,""en"",""ar"")"),"توازن محفظتك منخفض للغاية بحيث لا يمكن جعل هذا السباق")</f>
        <v>توازن محفظتك منخفض للغاية بحيث لا يمكن جعل هذا السباق</v>
      </c>
      <c r="E249" s="6" t="str">
        <f>IFERROR(__xludf.DUMMYFUNCTION("GOOGLETRANSLATE(B249,""en"",""fr"")"),"Votre équilibre de portefeuille est trop bas pour faire cette course")</f>
        <v>Votre équilibre de portefeuille est trop bas pour faire cette course</v>
      </c>
      <c r="F249" s="6" t="str">
        <f>IFERROR(__xludf.DUMMYFUNCTION("GOOGLETRANSLATE(B249,""en"",""tr"")"),"Cüzdan bakiyeniz bu yarışı yapamayacak kadar düşük")</f>
        <v>Cüzdan bakiyeniz bu yarışı yapamayacak kadar düşük</v>
      </c>
      <c r="G249" s="6" t="str">
        <f>IFERROR(__xludf.DUMMYFUNCTION("GOOGLETRANSLATE(B249,""en"",""ru"")"),"Ваш баланс кошелька слишком низкий, чтобы сделать эту гонку")</f>
        <v>Ваш баланс кошелька слишком низкий, чтобы сделать эту гонку</v>
      </c>
      <c r="H249" s="6" t="str">
        <f>IFERROR(__xludf.DUMMYFUNCTION("GOOGLETRANSLATE(B249,""en"",""it"")"),"Il tuo equilibrio del portafoglio è troppo basso per fare questa gara")</f>
        <v>Il tuo equilibrio del portafoglio è troppo basso per fare questa gara</v>
      </c>
      <c r="I249" s="6" t="str">
        <f>IFERROR(__xludf.DUMMYFUNCTION("GOOGLETRANSLATE(B249,""en"",""de"")"),"Ihre Brieftaschenbalance ist zu niedrig, um dieses Rennen zu machen")</f>
        <v>Ihre Brieftaschenbalance ist zu niedrig, um dieses Rennen zu machen</v>
      </c>
      <c r="J249" s="6" t="str">
        <f>IFERROR(__xludf.DUMMYFUNCTION("GOOGLETRANSLATE(B249,""en"",""ko"")"),"지갑 균형이 너무 낮아서이 레이스를 만들기에는")</f>
        <v>지갑 균형이 너무 낮아서이 레이스를 만들기에는</v>
      </c>
      <c r="K249" s="6" t="str">
        <f>IFERROR(__xludf.DUMMYFUNCTION("GOOGLETRANSLATE(B249,""en"",""zh"")"),"您的钱包平衡太低，无法进行这场比赛")</f>
        <v>您的钱包平衡太低，无法进行这场比赛</v>
      </c>
      <c r="L249" s="6" t="str">
        <f>IFERROR(__xludf.DUMMYFUNCTION("GOOGLETRANSLATE(B249,""en"",""es"")"),"Su equilibrio de billetera es demasiado bajo para hacer esta carrera")</f>
        <v>Su equilibrio de billetera es demasiado bajo para hacer esta carrera</v>
      </c>
      <c r="M249" s="7" t="str">
        <f>IFERROR(__xludf.DUMMYFUNCTION("GOOGLETRANSLATE(B249,""en"",""iw"")"),"איזון הארנק שלך נמוך מכדי להפוך את המירוץ הזה")</f>
        <v>איזון הארנק שלך נמוך מכדי להפוך את המירוץ הזה</v>
      </c>
      <c r="N249" s="6" t="str">
        <f>IFERROR(__xludf.DUMMYFUNCTION("GOOGLETRANSLATE(B249,""en"",""bn"")"),"আপনার ওয়ালেট ভারসাম্য এই রেসটি তৈরি করতে খুব কম")</f>
        <v>আপনার ওয়ালেট ভারসাম্য এই রেসটি তৈরি করতে খুব কম</v>
      </c>
      <c r="O249" s="6"/>
      <c r="P249" s="6"/>
    </row>
    <row r="250">
      <c r="A250" s="8" t="s">
        <v>494</v>
      </c>
      <c r="B250" s="9" t="s">
        <v>495</v>
      </c>
      <c r="C250" s="5" t="str">
        <f>IFERROR(__xludf.DUMMYFUNCTION("GOOGLETRANSLATE(B250,""en"",""hi"")"),"आंतरिक सर्वर त्रुटि")</f>
        <v>आंतरिक सर्वर त्रुटि</v>
      </c>
      <c r="D250" s="6" t="str">
        <f>IFERROR(__xludf.DUMMYFUNCTION("GOOGLETRANSLATE(B250,""en"",""ar"")"),"خطأ في الخادم الداخلي")</f>
        <v>خطأ في الخادم الداخلي</v>
      </c>
      <c r="E250" s="6" t="str">
        <f>IFERROR(__xludf.DUMMYFUNCTION("GOOGLETRANSLATE(B250,""en"",""fr"")"),"Erreur interne du serveur")</f>
        <v>Erreur interne du serveur</v>
      </c>
      <c r="F250" s="6" t="str">
        <f>IFERROR(__xludf.DUMMYFUNCTION("GOOGLETRANSLATE(B250,""en"",""tr"")"),"İç Sunucu Hatası")</f>
        <v>İç Sunucu Hatası</v>
      </c>
      <c r="G250" s="6" t="str">
        <f>IFERROR(__xludf.DUMMYFUNCTION("GOOGLETRANSLATE(B250,""en"",""ru"")"),"Внутренняя ошибка сервера")</f>
        <v>Внутренняя ошибка сервера</v>
      </c>
      <c r="H250" s="6" t="str">
        <f>IFERROR(__xludf.DUMMYFUNCTION("GOOGLETRANSLATE(B250,""en"",""it"")"),"Errore interno del server")</f>
        <v>Errore interno del server</v>
      </c>
      <c r="I250" s="6" t="str">
        <f>IFERROR(__xludf.DUMMYFUNCTION("GOOGLETRANSLATE(B250,""en"",""de"")"),"interner Serverfehler")</f>
        <v>interner Serverfehler</v>
      </c>
      <c r="J250" s="6" t="str">
        <f>IFERROR(__xludf.DUMMYFUNCTION("GOOGLETRANSLATE(B250,""en"",""ko"")"),"인터넷 서버 오류")</f>
        <v>인터넷 서버 오류</v>
      </c>
      <c r="K250" s="6" t="str">
        <f>IFERROR(__xludf.DUMMYFUNCTION("GOOGLETRANSLATE(B250,""en"",""zh"")"),"内部服务器错误")</f>
        <v>内部服务器错误</v>
      </c>
      <c r="L250" s="6" t="str">
        <f>IFERROR(__xludf.DUMMYFUNCTION("GOOGLETRANSLATE(B250,""en"",""es"")"),"error de servidor interno")</f>
        <v>error de servidor interno</v>
      </c>
      <c r="M250" s="7" t="str">
        <f>IFERROR(__xludf.DUMMYFUNCTION("GOOGLETRANSLATE(B250,""en"",""iw"")"),"שגיאת שרת פנימית")</f>
        <v>שגיאת שרת פנימית</v>
      </c>
      <c r="N250" s="6" t="str">
        <f>IFERROR(__xludf.DUMMYFUNCTION("GOOGLETRANSLATE(B250,""en"",""bn"")"),"অভ্যন্তরীণ সার্ভার ত্রুটি")</f>
        <v>অভ্যন্তরীণ সার্ভার ত্রুটি</v>
      </c>
      <c r="O250" s="6"/>
      <c r="P250" s="6"/>
    </row>
    <row r="251">
      <c r="A251" s="8" t="s">
        <v>496</v>
      </c>
      <c r="B251" s="9" t="s">
        <v>497</v>
      </c>
      <c r="C251" s="5" t="str">
        <f>IFERROR(__xludf.DUMMYFUNCTION("GOOGLETRANSLATE(B251,""en"",""hi"")"),"समर्थित वाहन")</f>
        <v>समर्थित वाहन</v>
      </c>
      <c r="D251" s="6" t="str">
        <f>IFERROR(__xludf.DUMMYFUNCTION("GOOGLETRANSLATE(B251,""en"",""ar"")"),"المركبات المدعومة")</f>
        <v>المركبات المدعومة</v>
      </c>
      <c r="E251" s="6" t="str">
        <f>IFERROR(__xludf.DUMMYFUNCTION("GOOGLETRANSLATE(B251,""en"",""fr"")"),"Véhicules soutenus")</f>
        <v>Véhicules soutenus</v>
      </c>
      <c r="F251" s="6" t="str">
        <f>IFERROR(__xludf.DUMMYFUNCTION("GOOGLETRANSLATE(B251,""en"",""tr"")"),"Desteklenen Araçlar")</f>
        <v>Desteklenen Araçlar</v>
      </c>
      <c r="G251" s="6" t="str">
        <f>IFERROR(__xludf.DUMMYFUNCTION("GOOGLETRANSLATE(B251,""en"",""ru"")"),"Поддерживаемые транспортные средства")</f>
        <v>Поддерживаемые транспортные средства</v>
      </c>
      <c r="H251" s="6" t="str">
        <f>IFERROR(__xludf.DUMMYFUNCTION("GOOGLETRANSLATE(B251,""en"",""it"")"),"Veicoli supportati")</f>
        <v>Veicoli supportati</v>
      </c>
      <c r="I251" s="6" t="str">
        <f>IFERROR(__xludf.DUMMYFUNCTION("GOOGLETRANSLATE(B251,""en"",""de"")"),"Unterstützte Fahrzeuge")</f>
        <v>Unterstützte Fahrzeuge</v>
      </c>
      <c r="J251" s="6" t="str">
        <f>IFERROR(__xludf.DUMMYFUNCTION("GOOGLETRANSLATE(B251,""en"",""ko"")"),"지원되는 차량")</f>
        <v>지원되는 차량</v>
      </c>
      <c r="K251" s="6" t="str">
        <f>IFERROR(__xludf.DUMMYFUNCTION("GOOGLETRANSLATE(B251,""en"",""zh"")"),"支持的车辆")</f>
        <v>支持的车辆</v>
      </c>
      <c r="L251" s="6" t="str">
        <f>IFERROR(__xludf.DUMMYFUNCTION("GOOGLETRANSLATE(B251,""en"",""es"")"),"Vehículos compatibles")</f>
        <v>Vehículos compatibles</v>
      </c>
      <c r="M251" s="7" t="str">
        <f>IFERROR(__xludf.DUMMYFUNCTION("GOOGLETRANSLATE(B251,""en"",""iw"")"),"רכבים נתמכים")</f>
        <v>רכבים נתמכים</v>
      </c>
      <c r="N251" s="6" t="str">
        <f>IFERROR(__xludf.DUMMYFUNCTION("GOOGLETRANSLATE(B251,""en"",""bn"")"),"সমর্থিত যানবাহন")</f>
        <v>সমর্থিত যানবাহন</v>
      </c>
      <c r="O251" s="6"/>
      <c r="P251" s="6"/>
    </row>
    <row r="252">
      <c r="A252" s="8" t="s">
        <v>498</v>
      </c>
      <c r="B252" s="12" t="s">
        <v>499</v>
      </c>
      <c r="C252" s="5" t="str">
        <f>IFERROR(__xludf.DUMMYFUNCTION("GOOGLETRANSLATE(B252,""en"",""hi"")"),"विवरण")</f>
        <v>विवरण</v>
      </c>
      <c r="D252" s="6" t="str">
        <f>IFERROR(__xludf.DUMMYFUNCTION("GOOGLETRANSLATE(B252,""en"",""ar"")"),"وصف")</f>
        <v>وصف</v>
      </c>
      <c r="E252" s="6" t="str">
        <f>IFERROR(__xludf.DUMMYFUNCTION("GOOGLETRANSLATE(B252,""en"",""fr"")"),"La description")</f>
        <v>La description</v>
      </c>
      <c r="F252" s="6" t="str">
        <f>IFERROR(__xludf.DUMMYFUNCTION("GOOGLETRANSLATE(B252,""en"",""tr"")"),"Tanım")</f>
        <v>Tanım</v>
      </c>
      <c r="G252" s="6" t="str">
        <f>IFERROR(__xludf.DUMMYFUNCTION("GOOGLETRANSLATE(B252,""en"",""ru"")"),"Описание")</f>
        <v>Описание</v>
      </c>
      <c r="H252" s="6" t="str">
        <f>IFERROR(__xludf.DUMMYFUNCTION("GOOGLETRANSLATE(B252,""en"",""it"")"),"Descrizione")</f>
        <v>Descrizione</v>
      </c>
      <c r="I252" s="6" t="str">
        <f>IFERROR(__xludf.DUMMYFUNCTION("GOOGLETRANSLATE(B252,""en"",""de"")"),"Beschreibung")</f>
        <v>Beschreibung</v>
      </c>
      <c r="J252" s="6" t="str">
        <f>IFERROR(__xludf.DUMMYFUNCTION("GOOGLETRANSLATE(B252,""en"",""ko"")"),"설명")</f>
        <v>설명</v>
      </c>
      <c r="K252" s="6" t="str">
        <f>IFERROR(__xludf.DUMMYFUNCTION("GOOGLETRANSLATE(B252,""en"",""zh"")"),"描述")</f>
        <v>描述</v>
      </c>
      <c r="L252" s="6" t="str">
        <f>IFERROR(__xludf.DUMMYFUNCTION("GOOGLETRANSLATE(B252,""en"",""es"")"),"Descripción")</f>
        <v>Descripción</v>
      </c>
      <c r="M252" s="7" t="str">
        <f>IFERROR(__xludf.DUMMYFUNCTION("GOOGLETRANSLATE(B252,""en"",""iw"")"),"תיאור")</f>
        <v>תיאור</v>
      </c>
      <c r="N252" s="6" t="str">
        <f>IFERROR(__xludf.DUMMYFUNCTION("GOOGLETRANSLATE(B252,""en"",""bn"")"),"বর্ণনা")</f>
        <v>বর্ণনা</v>
      </c>
      <c r="O252" s="6"/>
      <c r="P252" s="6"/>
    </row>
    <row r="253">
      <c r="A253" s="19" t="s">
        <v>500</v>
      </c>
      <c r="B253" s="12" t="s">
        <v>501</v>
      </c>
      <c r="C253" s="5" t="str">
        <f>IFERROR(__xludf.DUMMYFUNCTION("GOOGLETRANSLATE(B253,""en"",""hi"")"),"अनुमानित राशि")</f>
        <v>अनुमानित राशि</v>
      </c>
      <c r="D253" s="6" t="str">
        <f>IFERROR(__xludf.DUMMYFUNCTION("GOOGLETRANSLATE(B253,""en"",""ar"")"),"القيمة المقدرة")</f>
        <v>القيمة المقدرة</v>
      </c>
      <c r="E253" s="6" t="str">
        <f>IFERROR(__xludf.DUMMYFUNCTION("GOOGLETRANSLATE(B253,""en"",""fr"")"),"Montant estimé")</f>
        <v>Montant estimé</v>
      </c>
      <c r="F253" s="6" t="str">
        <f>IFERROR(__xludf.DUMMYFUNCTION("GOOGLETRANSLATE(B253,""en"",""tr"")"),"Tahmini miktar")</f>
        <v>Tahmini miktar</v>
      </c>
      <c r="G253" s="6" t="str">
        <f>IFERROR(__xludf.DUMMYFUNCTION("GOOGLETRANSLATE(B253,""en"",""ru"")"),"Расчетная сумма")</f>
        <v>Расчетная сумма</v>
      </c>
      <c r="H253" s="6" t="str">
        <f>IFERROR(__xludf.DUMMYFUNCTION("GOOGLETRANSLATE(B253,""en"",""it"")"),"Ammontare stimato")</f>
        <v>Ammontare stimato</v>
      </c>
      <c r="I253" s="6" t="str">
        <f>IFERROR(__xludf.DUMMYFUNCTION("GOOGLETRANSLATE(B253,""en"",""de"")"),"Geschätzter Betrag")</f>
        <v>Geschätzter Betrag</v>
      </c>
      <c r="J253" s="6" t="str">
        <f>IFERROR(__xludf.DUMMYFUNCTION("GOOGLETRANSLATE(B253,""en"",""ko"")"),"예상 금액")</f>
        <v>예상 금액</v>
      </c>
      <c r="K253" s="6" t="str">
        <f>IFERROR(__xludf.DUMMYFUNCTION("GOOGLETRANSLATE(B253,""en"",""zh"")"),"估计数量")</f>
        <v>估计数量</v>
      </c>
      <c r="L253" s="6" t="str">
        <f>IFERROR(__xludf.DUMMYFUNCTION("GOOGLETRANSLATE(B253,""en"",""es"")"),"Cantidad estimada")</f>
        <v>Cantidad estimada</v>
      </c>
      <c r="M253" s="7" t="str">
        <f>IFERROR(__xludf.DUMMYFUNCTION("GOOGLETRANSLATE(B253,""en"",""iw"")"),"סכום משוער")</f>
        <v>סכום משוער</v>
      </c>
      <c r="N253" s="6" t="str">
        <f>IFERROR(__xludf.DUMMYFUNCTION("GOOGLETRANSLATE(B253,""en"",""bn"")"),"আনুমানিক পরিমাণ")</f>
        <v>আনুমানিক পরিমাণ</v>
      </c>
      <c r="O253" s="6"/>
      <c r="P253" s="6"/>
    </row>
    <row r="254">
      <c r="A254" s="8" t="s">
        <v>502</v>
      </c>
      <c r="B254" s="9" t="s">
        <v>503</v>
      </c>
      <c r="C254" s="5" t="str">
        <f>IFERROR(__xludf.DUMMYFUNCTION("GOOGLETRANSLATE(B254,""en"",""hi"")"),"ऐप चलाने के लिए स्थान का उपयोग आवश्यक है, कृपया इसे सेटिंग्स में सक्षम करें और टैप करें")</f>
        <v>ऐप चलाने के लिए स्थान का उपयोग आवश्यक है, कृपया इसे सेटिंग्स में सक्षम करें और टैप करें</v>
      </c>
      <c r="D254" s="6" t="str">
        <f>IFERROR(__xludf.DUMMYFUNCTION("GOOGLETRANSLATE(B254,""en"",""ar"")"),"هناك حاجة إلى الوصول إلى الموقع لتشغيل التطبيق ، يرجى تمكينه في الإعدادات والنقر على القيام به")</f>
        <v>هناك حاجة إلى الوصول إلى الموقع لتشغيل التطبيق ، يرجى تمكينه في الإعدادات والنقر على القيام به</v>
      </c>
      <c r="E254" s="6" t="str">
        <f>IFERROR(__xludf.DUMMYFUNCTION("GOOGLETRANSLATE(B254,""en"",""fr"")"),"L'accès à l'emplacement est nécessaire pour exécuter l'application, veuillez l'activer dans les paramètres et appuyez sur")</f>
        <v>L'accès à l'emplacement est nécessaire pour exécuter l'application, veuillez l'activer dans les paramètres et appuyez sur</v>
      </c>
      <c r="F254" s="6" t="str">
        <f>IFERROR(__xludf.DUMMYFUNCTION("GOOGLETRANSLATE(B254,""en"",""tr"")"),"Uygulamayı çalıştırmak için konum erişimine ihtiyaç vardır, lütfen ayarlarda etkinleştirin ve bitti.")</f>
        <v>Uygulamayı çalıştırmak için konum erişimine ihtiyaç vardır, lütfen ayarlarda etkinleştirin ve bitti.</v>
      </c>
      <c r="G254" s="6" t="str">
        <f>IFERROR(__xludf.DUMMYFUNCTION("GOOGLETRANSLATE(B254,""en"",""ru"")"),"Доступ к местоположению необходим для запуска приложения, включите его в настройках и нажмите")</f>
        <v>Доступ к местоположению необходим для запуска приложения, включите его в настройках и нажмите</v>
      </c>
      <c r="H254" s="6" t="str">
        <f>IFERROR(__xludf.DUMMYFUNCTION("GOOGLETRANSLATE(B254,""en"",""it"")"),"È necessario l'accesso alla posizione per l'esecuzione dell'app, abilitarla in Impostazioni e tocca eseguita")</f>
        <v>È necessario l'accesso alla posizione per l'esecuzione dell'app, abilitarla in Impostazioni e tocca eseguita</v>
      </c>
      <c r="I254" s="6" t="str">
        <f>IFERROR(__xludf.DUMMYFUNCTION("GOOGLETRANSLATE(B254,""en"",""de"")"),"Der Standortzugriff ist für das Ausführen der App erforderlich. Aktivieren Sie sie bitte in Einstellungen und tippen Sie auf Fertig geben")</f>
        <v>Der Standortzugriff ist für das Ausführen der App erforderlich. Aktivieren Sie sie bitte in Einstellungen und tippen Sie auf Fertig geben</v>
      </c>
      <c r="J254" s="6" t="str">
        <f>IFERROR(__xludf.DUMMYFUNCTION("GOOGLETRANSLATE(B254,""en"",""ko"")"),"앱을 실행하려면 위치 액세스가 필요합니다. 설정에서 활성화하고 완료했습니다.")</f>
        <v>앱을 실행하려면 위치 액세스가 필요합니다. 설정에서 활성화하고 완료했습니다.</v>
      </c>
      <c r="K254" s="6" t="str">
        <f>IFERROR(__xludf.DUMMYFUNCTION("GOOGLETRANSLATE(B254,""en"",""zh"")"),"运行应用程序需要位置访问，请在设置中启用并点击完成")</f>
        <v>运行应用程序需要位置访问，请在设置中启用并点击完成</v>
      </c>
      <c r="L254" s="6" t="str">
        <f>IFERROR(__xludf.DUMMYFUNCTION("GOOGLETRANSLATE(B254,""en"",""es"")"),"Se necesita acceso de ubicación para ejecutar la aplicación, habilitarla en la configuración y toque")</f>
        <v>Se necesita acceso de ubicación para ejecutar la aplicación, habilitarla en la configuración y toque</v>
      </c>
      <c r="M254" s="7" t="str">
        <f>IFERROR(__xludf.DUMMYFUNCTION("GOOGLETRANSLATE(B254,""en"",""iw"")"),"יש צורך בגישה למיקום להפעלת האפליקציה, אנא הפעל אותה בהגדרות ולברז על ביצוע")</f>
        <v>יש צורך בגישה למיקום להפעלת האפליקציה, אנא הפעל אותה בהגדרות ולברז על ביצוע</v>
      </c>
      <c r="N254" s="6" t="str">
        <f>IFERROR(__xludf.DUMMYFUNCTION("GOOGLETRANSLATE(B254,""en"",""bn"")"),"অ্যাপটি চালানোর জন্য অবস্থানের অ্যাক্সেসের প্রয়োজন, দয়া করে এটি সেটিংসে সক্ষম করুন এবং ডোন ট্যাপ করুন")</f>
        <v>অ্যাপটি চালানোর জন্য অবস্থানের অ্যাক্সেসের প্রয়োজন, দয়া করে এটি সেটিংসে সক্ষম করুন এবং ডোন ট্যাপ করুন</v>
      </c>
      <c r="O254" s="6"/>
      <c r="P254" s="6"/>
    </row>
    <row r="255">
      <c r="A255" s="8" t="s">
        <v>504</v>
      </c>
      <c r="B255" s="12" t="s">
        <v>505</v>
      </c>
      <c r="C255" s="5" t="str">
        <f>IFERROR(__xludf.DUMMYFUNCTION("GOOGLETRANSLATE(B255,""en"",""hi"")"),"खुली सेटिंग")</f>
        <v>खुली सेटिंग</v>
      </c>
      <c r="D255" s="6" t="str">
        <f>IFERROR(__xludf.DUMMYFUNCTION("GOOGLETRANSLATE(B255,""en"",""ar"")"),"أفتح الإعدادات")</f>
        <v>أفتح الإعدادات</v>
      </c>
      <c r="E255" s="6" t="str">
        <f>IFERROR(__xludf.DUMMYFUNCTION("GOOGLETRANSLATE(B255,""en"",""fr"")"),"Paramètres ouvrir")</f>
        <v>Paramètres ouvrir</v>
      </c>
      <c r="F255" s="6" t="str">
        <f>IFERROR(__xludf.DUMMYFUNCTION("GOOGLETRANSLATE(B255,""en"",""tr"")"),"Ayarları aç")</f>
        <v>Ayarları aç</v>
      </c>
      <c r="G255" s="6" t="str">
        <f>IFERROR(__xludf.DUMMYFUNCTION("GOOGLETRANSLATE(B255,""en"",""ru"")"),"Открыть настройки")</f>
        <v>Открыть настройки</v>
      </c>
      <c r="H255" s="6" t="str">
        <f>IFERROR(__xludf.DUMMYFUNCTION("GOOGLETRANSLATE(B255,""en"",""it"")"),"Impostazioni aperte")</f>
        <v>Impostazioni aperte</v>
      </c>
      <c r="I255" s="6" t="str">
        <f>IFERROR(__xludf.DUMMYFUNCTION("GOOGLETRANSLATE(B255,""en"",""de"")"),"Einstellungen öffnen")</f>
        <v>Einstellungen öffnen</v>
      </c>
      <c r="J255" s="6" t="str">
        <f>IFERROR(__xludf.DUMMYFUNCTION("GOOGLETRANSLATE(B255,""en"",""ko"")"),"열기 설정")</f>
        <v>열기 설정</v>
      </c>
      <c r="K255" s="6" t="str">
        <f>IFERROR(__xludf.DUMMYFUNCTION("GOOGLETRANSLATE(B255,""en"",""zh"")"),"打开设置")</f>
        <v>打开设置</v>
      </c>
      <c r="L255" s="6" t="str">
        <f>IFERROR(__xludf.DUMMYFUNCTION("GOOGLETRANSLATE(B255,""en"",""es"")"),"Configuración abierta")</f>
        <v>Configuración abierta</v>
      </c>
      <c r="M255" s="7" t="str">
        <f>IFERROR(__xludf.DUMMYFUNCTION("GOOGLETRANSLATE(B255,""en"",""iw"")"),"פתח הגדרות")</f>
        <v>פתח הגדרות</v>
      </c>
      <c r="N255" s="6" t="str">
        <f>IFERROR(__xludf.DUMMYFUNCTION("GOOGLETRANSLATE(B255,""en"",""bn"")"),"ওপেন সেটিংস")</f>
        <v>ওপেন সেটিংস</v>
      </c>
      <c r="O255" s="6"/>
      <c r="P255" s="6"/>
    </row>
    <row r="256">
      <c r="A256" s="8" t="s">
        <v>506</v>
      </c>
      <c r="B256" s="9" t="s">
        <v>507</v>
      </c>
      <c r="C256" s="5" t="str">
        <f>IFERROR(__xludf.DUMMYFUNCTION("GOOGLETRANSLATE(B256,""en"",""hi"")"),"पूर्ण")</f>
        <v>पूर्ण</v>
      </c>
      <c r="D256" s="6" t="str">
        <f>IFERROR(__xludf.DUMMYFUNCTION("GOOGLETRANSLATE(B256,""en"",""ar"")"),"فعله")</f>
        <v>فعله</v>
      </c>
      <c r="E256" s="6" t="str">
        <f>IFERROR(__xludf.DUMMYFUNCTION("GOOGLETRANSLATE(B256,""en"",""fr"")"),"Fait")</f>
        <v>Fait</v>
      </c>
      <c r="F256" s="6" t="str">
        <f>IFERROR(__xludf.DUMMYFUNCTION("GOOGLETRANSLATE(B256,""en"",""tr"")"),"Tamamlandı")</f>
        <v>Tamamlandı</v>
      </c>
      <c r="G256" s="6" t="str">
        <f>IFERROR(__xludf.DUMMYFUNCTION("GOOGLETRANSLATE(B256,""en"",""ru"")"),"Сделанный")</f>
        <v>Сделанный</v>
      </c>
      <c r="H256" s="6" t="str">
        <f>IFERROR(__xludf.DUMMYFUNCTION("GOOGLETRANSLATE(B256,""en"",""it"")"),"Fatto")</f>
        <v>Fatto</v>
      </c>
      <c r="I256" s="6" t="str">
        <f>IFERROR(__xludf.DUMMYFUNCTION("GOOGLETRANSLATE(B256,""en"",""de"")"),"Fertig")</f>
        <v>Fertig</v>
      </c>
      <c r="J256" s="6" t="str">
        <f>IFERROR(__xludf.DUMMYFUNCTION("GOOGLETRANSLATE(B256,""en"",""ko"")"),"완료")</f>
        <v>완료</v>
      </c>
      <c r="K256" s="6" t="str">
        <f>IFERROR(__xludf.DUMMYFUNCTION("GOOGLETRANSLATE(B256,""en"",""zh"")"),"完毕")</f>
        <v>完毕</v>
      </c>
      <c r="L256" s="6" t="str">
        <f>IFERROR(__xludf.DUMMYFUNCTION("GOOGLETRANSLATE(B256,""en"",""es"")"),"Hecho")</f>
        <v>Hecho</v>
      </c>
      <c r="M256" s="7" t="str">
        <f>IFERROR(__xludf.DUMMYFUNCTION("GOOGLETRANSLATE(B256,""en"",""iw"")"),"בוצע")</f>
        <v>בוצע</v>
      </c>
      <c r="N256" s="6" t="str">
        <f>IFERROR(__xludf.DUMMYFUNCTION("GOOGLETRANSLATE(B256,""en"",""bn"")"),"সম্পন্ন")</f>
        <v>সম্পন্ন</v>
      </c>
      <c r="O256" s="6"/>
      <c r="P256" s="6"/>
    </row>
    <row r="257">
      <c r="A257" s="8" t="s">
        <v>508</v>
      </c>
      <c r="B257" s="12" t="s">
        <v>509</v>
      </c>
      <c r="C257" s="5" t="str">
        <f>IFERROR(__xludf.DUMMYFUNCTION("GOOGLETRANSLATE(B257,""en"",""hi"")"),"एसओएस के लिए संपर्क चुनने के लिए संपर्क पहुंच की आवश्यकता है, इसे सेटिंग्स में सक्षम करें और टैप करें")</f>
        <v>एसओएस के लिए संपर्क चुनने के लिए संपर्क पहुंच की आवश्यकता है, इसे सेटिंग्स में सक्षम करें और टैप करें</v>
      </c>
      <c r="D257" s="6" t="str">
        <f>IFERROR(__xludf.DUMMYFUNCTION("GOOGLETRANSLATE(B257,""en"",""ar"")"),"هناك حاجة إلى الوصول إلى الاتصال لاختيار جهة الاتصال لـ SOS ، وتمكينه في الإعدادات والنقر على المنجز")</f>
        <v>هناك حاجة إلى الوصول إلى الاتصال لاختيار جهة الاتصال لـ SOS ، وتمكينه في الإعدادات والنقر على المنجز</v>
      </c>
      <c r="E257" s="6" t="str">
        <f>IFERROR(__xludf.DUMMYFUNCTION("GOOGLETRANSLATE(B257,""en"",""fr"")"),"L'accès de contact est nécessaire pour choisir le contact pour SOS, l'activez-le dans les paramètres et appuyez sur")</f>
        <v>L'accès de contact est nécessaire pour choisir le contact pour SOS, l'activez-le dans les paramètres et appuyez sur</v>
      </c>
      <c r="F257" s="6" t="str">
        <f>IFERROR(__xludf.DUMMYFUNCTION("GOOGLETRANSLATE(B257,""en"",""tr"")"),"SOS için kişi seçmek için iletişim erişimi gerekir, Plaable bunu ayarlarda etkinleştirin ve bitti.")</f>
        <v>SOS için kişi seçmek için iletişim erişimi gerekir, Plaable bunu ayarlarda etkinleştirin ve bitti.</v>
      </c>
      <c r="G257" s="6" t="str">
        <f>IFERROR(__xludf.DUMMYFUNCTION("GOOGLETRANSLATE(B257,""en"",""ru"")"),"Контактный доступ необходим для выбора контакта для SOS, Pllable включите его в настройках и нажмите «Готово")</f>
        <v>Контактный доступ необходим для выбора контакта для SOS, Pllable включите его в настройках и нажмите «Готово</v>
      </c>
      <c r="H257" s="6" t="str">
        <f>IFERROR(__xludf.DUMMYFUNCTION("GOOGLETRANSLATE(B257,""en"",""it"")"),"È necessario l'accesso a contatto per scegliere il contatto per SOS, abilitalo in piattaforma e tocca eseguita")</f>
        <v>È necessario l'accesso a contatto per scegliere il contatto per SOS, abilitalo in piattaforma e tocca eseguita</v>
      </c>
      <c r="I257" s="6" t="str">
        <f>IFERROR(__xludf.DUMMYFUNCTION("GOOGLETRANSLATE(B257,""en"",""de"")"),"Der Kontaktzugriff ist erforderlich, um Kontakt für SOS auszuwählen.")</f>
        <v>Der Kontaktzugriff ist erforderlich, um Kontakt für SOS auszuwählen.</v>
      </c>
      <c r="J257" s="6" t="str">
        <f>IFERROR(__xludf.DUMMYFUNCTION("GOOGLETRANSLATE(B257,""en"",""ko"")"),"SOS의 연락처를 선택하려면 연락처 액세스가 필요합니다.")</f>
        <v>SOS의 연락처를 선택하려면 연락처 액세스가 필요합니다.</v>
      </c>
      <c r="K257" s="6" t="str">
        <f>IFERROR(__xludf.DUMMYFUNCTION("GOOGLETRANSLATE(B257,""en"",""zh"")"),"需要接触访问才能选择SOS的联系人，请在设置中启用它，然后点击完成")</f>
        <v>需要接触访问才能选择SOS的联系人，请在设置中启用它，然后点击完成</v>
      </c>
      <c r="L257" s="6" t="str">
        <f>IFERROR(__xludf.DUMMYFUNCTION("GOOGLETRANSLATE(B257,""en"",""es"")"),"Se necesita acceso de contacto para elegir el contacto para SOS, planteable habilitarlo en la configuración y toque listo")</f>
        <v>Se necesita acceso de contacto para elegir el contacto para SOS, planteable habilitarlo en la configuración y toque listo</v>
      </c>
      <c r="M257" s="7" t="str">
        <f>IFERROR(__xludf.DUMMYFUNCTION("GOOGLETRANSLATE(B257,""en"",""iw"")"),"יש צורך בגישה ליצירת קשר כדי לבחור איש קשר ל- SOS, מאפשר זאת בהגדרות ולהקיש על בוצע")</f>
        <v>יש צורך בגישה ליצירת קשר כדי לבחור איש קשר ל- SOS, מאפשר זאת בהגדרות ולהקיש על בוצע</v>
      </c>
      <c r="N257" s="6" t="str">
        <f>IFERROR(__xludf.DUMMYFUNCTION("GOOGLETRANSLATE(B257,""en"",""bn"")"),"এসওএসের জন্য যোগাযোগ বাছাই করার জন্য যোগাযোগের অ্যাক্সেসের প্রয়োজন, প্লেবল এটি সেটিংসে সক্ষম করুন এবং ট্যাপ সম্পন্ন করুন")</f>
        <v>এসওএসের জন্য যোগাযোগ বাছাই করার জন্য যোগাযোগের অ্যাক্সেসের প্রয়োজন, প্লেবল এটি সেটিংসে সক্ষম করুন এবং ট্যাপ সম্পন্ন করুন</v>
      </c>
      <c r="O257" s="6"/>
      <c r="P257" s="6"/>
    </row>
    <row r="258">
      <c r="A258" s="8" t="s">
        <v>510</v>
      </c>
      <c r="B258" s="12" t="s">
        <v>511</v>
      </c>
      <c r="C258" s="5" t="str">
        <f>IFERROR(__xludf.DUMMYFUNCTION("GOOGLETRANSLATE(B258,""en"",""hi"")"),"छवि को कैप्चर करने के लिए कैमरा एक्सेस की आवश्यकता है, कृपया इसे सेटिंग्स में सक्षम करें और टैप करें")</f>
        <v>छवि को कैप्चर करने के लिए कैमरा एक्सेस की आवश्यकता है, कृपया इसे सेटिंग्स में सक्षम करें और टैप करें</v>
      </c>
      <c r="D258" s="6" t="str">
        <f>IFERROR(__xludf.DUMMYFUNCTION("GOOGLETRANSLATE(B258,""en"",""ar"")"),"هناك حاجة إلى الوصول إلى الكاميرا لالتقاط الصورة ، يرجى تمكينها في الإعدادات والنقر على القيام به")</f>
        <v>هناك حاجة إلى الوصول إلى الكاميرا لالتقاط الصورة ، يرجى تمكينها في الإعدادات والنقر على القيام به</v>
      </c>
      <c r="E258" s="6" t="str">
        <f>IFERROR(__xludf.DUMMYFUNCTION("GOOGLETRANSLATE(B258,""en"",""fr"")"),"L'accès à la caméra est nécessaire pour capturer l'image, veuillez l'activer dans les paramètres et appuyez sur")</f>
        <v>L'accès à la caméra est nécessaire pour capturer l'image, veuillez l'activer dans les paramètres et appuyez sur</v>
      </c>
      <c r="F258" s="6" t="str">
        <f>IFERROR(__xludf.DUMMYFUNCTION("GOOGLETRANSLATE(B258,""en"",""tr"")"),"Görüntüyü yakalamak için kamera erişimine ihtiyaç vardır, lütfen ayarlarda etkinleştirin ve bitti.")</f>
        <v>Görüntüyü yakalamak için kamera erişimine ihtiyaç vardır, lütfen ayarlarda etkinleştirin ve bitti.</v>
      </c>
      <c r="G258" s="6" t="str">
        <f>IFERROR(__xludf.DUMMYFUNCTION("GOOGLETRANSLATE(B258,""en"",""ru"")"),"Доступ к камере необходим для захвата изображения, включите его в настройках и нажмите")</f>
        <v>Доступ к камере необходим для захвата изображения, включите его в настройках и нажмите</v>
      </c>
      <c r="H258" s="6" t="str">
        <f>IFERROR(__xludf.DUMMYFUNCTION("GOOGLETRANSLATE(B258,""en"",""it"")"),"È necessario l'accesso alla fotocamera per acquisire l'immagine, abilitarla in impostazioni e toccare")</f>
        <v>È necessario l'accesso alla fotocamera per acquisire l'immagine, abilitarla in impostazioni e toccare</v>
      </c>
      <c r="I258" s="6" t="str">
        <f>IFERROR(__xludf.DUMMYFUNCTION("GOOGLETRANSLATE(B258,""en"",""de"")"),"Der Kamerazugriff ist erforderlich, um das Bild zu erfassen, bitte aktivieren Sie es in Einstellungen und tippen Sie auf Fertig geben")</f>
        <v>Der Kamerazugriff ist erforderlich, um das Bild zu erfassen, bitte aktivieren Sie es in Einstellungen und tippen Sie auf Fertig geben</v>
      </c>
      <c r="J258" s="6" t="str">
        <f>IFERROR(__xludf.DUMMYFUNCTION("GOOGLETRANSLATE(B258,""en"",""ko"")"),"이미지를 캡처하려면 카메라 액세스가 필요합니다. 설정에서 활성화하고 완료 한 탭하십시오.")</f>
        <v>이미지를 캡처하려면 카메라 액세스가 필요합니다. 설정에서 활성화하고 완료 한 탭하십시오.</v>
      </c>
      <c r="K258" s="6" t="str">
        <f>IFERROR(__xludf.DUMMYFUNCTION("GOOGLETRANSLATE(B258,""en"",""zh"")"),"捕获图像需要摄像机访问，请在设置中启用并点击完成")</f>
        <v>捕获图像需要摄像机访问，请在设置中启用并点击完成</v>
      </c>
      <c r="L258" s="6" t="str">
        <f>IFERROR(__xludf.DUMMYFUNCTION("GOOGLETRANSLATE(B258,""en"",""es"")"),"Se necesita acceso a la cámara para capturar la imagen, habilitarla en la configuración y toque")</f>
        <v>Se necesita acceso a la cámara para capturar la imagen, habilitarla en la configuración y toque</v>
      </c>
      <c r="M258" s="7" t="str">
        <f>IFERROR(__xludf.DUMMYFUNCTION("GOOGLETRANSLATE(B258,""en"",""iw"")"),"יש צורך בגישה למצלמה כדי ללכוד תמונה, אנא הפעל אותה בהגדרות והקיש על בוצע")</f>
        <v>יש צורך בגישה למצלמה כדי ללכוד תמונה, אנא הפעל אותה בהגדרות והקיש על בוצע</v>
      </c>
      <c r="N258" s="6" t="str">
        <f>IFERROR(__xludf.DUMMYFUNCTION("GOOGLETRANSLATE(B258,""en"",""bn"")"),"চিত্র ক্যাপচার করার জন্য ক্যামেরা অ্যাক্সেসের প্রয়োজন, দয়া করে এটি সেটিংসে সক্ষম করুন এবং ডোন ট্যাপ করুন")</f>
        <v>চিত্র ক্যাপচার করার জন্য ক্যামেরা অ্যাক্সেসের প্রয়োজন, দয়া করে এটি সেটিংসে সক্ষম করুন এবং ডোন ট্যাপ করুন</v>
      </c>
      <c r="O258" s="6"/>
      <c r="P258" s="6"/>
    </row>
    <row r="259">
      <c r="A259" s="8" t="s">
        <v>512</v>
      </c>
      <c r="B259" s="12" t="s">
        <v>513</v>
      </c>
      <c r="C259" s="5" t="str">
        <f>IFERROR(__xludf.DUMMYFUNCTION("GOOGLETRANSLATE(B259,""en"",""hi"")"),"छवि लेने के लिए फ़ोटो एक्सेस की आवश्यकता है, कृपया इसे सेटिंग्स में सक्षम करें और टैप करें")</f>
        <v>छवि लेने के लिए फ़ोटो एक्सेस की आवश्यकता है, कृपया इसे सेटिंग्स में सक्षम करें और टैप करें</v>
      </c>
      <c r="D259" s="6" t="str">
        <f>IFERROR(__xludf.DUMMYFUNCTION("GOOGLETRANSLATE(B259,""en"",""ar"")"),"هناك حاجة إلى الوصول إلى الصور لاختيار الصورة ، يرجى تمكينها في الإعدادات والنقر على القيام به")</f>
        <v>هناك حاجة إلى الوصول إلى الصور لاختيار الصورة ، يرجى تمكينها في الإعدادات والنقر على القيام به</v>
      </c>
      <c r="E259" s="6" t="str">
        <f>IFERROR(__xludf.DUMMYFUNCTION("GOOGLETRANSLATE(B259,""en"",""fr"")"),"Les photos sont nécessaires pour choisir l'image, veuillez l'activer dans les paramètres et appuyez sur")</f>
        <v>Les photos sont nécessaires pour choisir l'image, veuillez l'activer dans les paramètres et appuyez sur</v>
      </c>
      <c r="F259" s="6" t="str">
        <f>IFERROR(__xludf.DUMMYFUNCTION("GOOGLETRANSLATE(B259,""en"",""tr"")"),"Resim seçmek için fotoğraf erişimi gereklidir, lütfen ayarlarda etkinleştirin ve bitti.")</f>
        <v>Resim seçmek için fotoğraf erişimi gereklidir, lütfen ayarlarda etkinleştirin ve bitti.</v>
      </c>
      <c r="G259" s="6" t="str">
        <f>IFERROR(__xludf.DUMMYFUNCTION("GOOGLETRANSLATE(B259,""en"",""ru"")"),"Доступ к фотографиям необходим для выбора изображения, включите его в настройках и нажмите")</f>
        <v>Доступ к фотографиям необходим для выбора изображения, включите его в настройках и нажмите</v>
      </c>
      <c r="H259" s="6" t="str">
        <f>IFERROR(__xludf.DUMMYFUNCTION("GOOGLETRANSLATE(B259,""en"",""it"")"),"È necessario l'accesso alle foto per scegliere l'immagine, abilitarla in Impostazioni e toccare")</f>
        <v>È necessario l'accesso alle foto per scegliere l'immagine, abilitarla in Impostazioni e toccare</v>
      </c>
      <c r="I259" s="6" t="str">
        <f>IFERROR(__xludf.DUMMYFUNCTION("GOOGLETRANSLATE(B259,""en"",""de"")"),"Der Zugriff auf Fotos ist zum Auswahl von Bild erforderlich. Aktivieren Sie es in den Einstellungen und tippen Sie auf Fertig tippen")</f>
        <v>Der Zugriff auf Fotos ist zum Auswahl von Bild erforderlich. Aktivieren Sie es in den Einstellungen und tippen Sie auf Fertig tippen</v>
      </c>
      <c r="J259" s="6" t="str">
        <f>IFERROR(__xludf.DUMMYFUNCTION("GOOGLETRANSLATE(B259,""en"",""ko"")"),"이미지를 선택하려면 사진 액세스가 필요합니다. 설정에서 활성화하고 완료 한 탭하십시오.")</f>
        <v>이미지를 선택하려면 사진 액세스가 필요합니다. 설정에서 활성화하고 완료 한 탭하십시오.</v>
      </c>
      <c r="K259" s="6" t="str">
        <f>IFERROR(__xludf.DUMMYFUNCTION("GOOGLETRANSLATE(B259,""en"",""zh"")"),"需要访问照片以选择图像，请在设置中启用并点击完成")</f>
        <v>需要访问照片以选择图像，请在设置中启用并点击完成</v>
      </c>
      <c r="L259" s="6" t="str">
        <f>IFERROR(__xludf.DUMMYFUNCTION("GOOGLETRANSLATE(B259,""en"",""es"")"),"Se necesita acceso de fotos para elegir la imagen, habilitarla en la configuración y toque listo")</f>
        <v>Se necesita acceso de fotos para elegir la imagen, habilitarla en la configuración y toque listo</v>
      </c>
      <c r="M259" s="7" t="str">
        <f>IFERROR(__xludf.DUMMYFUNCTION("GOOGLETRANSLATE(B259,""en"",""iw"")"),"יש צורך בגישה לתמונות כדי לבחור תמונה, אנא הפעל אותה בהגדרות והקיש על בוצע")</f>
        <v>יש צורך בגישה לתמונות כדי לבחור תמונה, אנא הפעל אותה בהגדרות והקיש על בוצע</v>
      </c>
      <c r="N259" s="6" t="str">
        <f>IFERROR(__xludf.DUMMYFUNCTION("GOOGLETRANSLATE(B259,""en"",""bn"")"),"ছবি বাছাই করার জন্য ফটো অ্যাক্সেসের প্রয়োজন, দয়া করে এটি সেটিংসে সক্ষম করুন এবং ডোন ট্যাপ করুন")</f>
        <v>ছবি বাছাই করার জন্য ফটো অ্যাক্সেসের প্রয়োজন, দয়া করে এটি সেটিংসে সক্ষম করুন এবং ডোন ট্যাপ করুন</v>
      </c>
      <c r="O259" s="6"/>
      <c r="P259" s="6"/>
    </row>
    <row r="260">
      <c r="A260" s="8" t="s">
        <v>514</v>
      </c>
      <c r="B260" s="12" t="s">
        <v>515</v>
      </c>
      <c r="C260" s="5" t="str">
        <f>IFERROR(__xludf.DUMMYFUNCTION("GOOGLETRANSLATE(B260,""en"",""hi"")"),"OTP दर्ज करें")</f>
        <v>OTP दर्ज करें</v>
      </c>
      <c r="D260" s="6" t="str">
        <f>IFERROR(__xludf.DUMMYFUNCTION("GOOGLETRANSLATE(B260,""en"",""ar"")"),"أدخل OTP")</f>
        <v>أدخل OTP</v>
      </c>
      <c r="E260" s="6" t="str">
        <f>IFERROR(__xludf.DUMMYFUNCTION("GOOGLETRANSLATE(B260,""en"",""fr"")"),"Entrez OTP")</f>
        <v>Entrez OTP</v>
      </c>
      <c r="F260" s="6" t="str">
        <f>IFERROR(__xludf.DUMMYFUNCTION("GOOGLETRANSLATE(B260,""en"",""tr"")"),"OTP girin")</f>
        <v>OTP girin</v>
      </c>
      <c r="G260" s="6" t="str">
        <f>IFERROR(__xludf.DUMMYFUNCTION("GOOGLETRANSLATE(B260,""en"",""ru"")"),"Введите OTP")</f>
        <v>Введите OTP</v>
      </c>
      <c r="H260" s="6" t="str">
        <f>IFERROR(__xludf.DUMMYFUNCTION("GOOGLETRANSLATE(B260,""en"",""it"")"),"Immettere OTP")</f>
        <v>Immettere OTP</v>
      </c>
      <c r="I260" s="6" t="str">
        <f>IFERROR(__xludf.DUMMYFUNCTION("GOOGLETRANSLATE(B260,""en"",""de"")"),"Geben Sie OTP ein")</f>
        <v>Geben Sie OTP ein</v>
      </c>
      <c r="J260" s="6" t="str">
        <f>IFERROR(__xludf.DUMMYFUNCTION("GOOGLETRANSLATE(B260,""en"",""ko"")"),"OTP를 입력하십시오")</f>
        <v>OTP를 입력하십시오</v>
      </c>
      <c r="K260" s="6" t="str">
        <f>IFERROR(__xludf.DUMMYFUNCTION("GOOGLETRANSLATE(B260,""en"",""zh"")"),"输入OTP")</f>
        <v>输入OTP</v>
      </c>
      <c r="L260" s="6" t="str">
        <f>IFERROR(__xludf.DUMMYFUNCTION("GOOGLETRANSLATE(B260,""en"",""es"")"),"Ingrese OTP")</f>
        <v>Ingrese OTP</v>
      </c>
      <c r="M260" s="7" t="str">
        <f>IFERROR(__xludf.DUMMYFUNCTION("GOOGLETRANSLATE(B260,""en"",""iw"")"),"הזן את OTP")</f>
        <v>הזן את OTP</v>
      </c>
      <c r="N260" s="6" t="str">
        <f>IFERROR(__xludf.DUMMYFUNCTION("GOOGLETRANSLATE(B260,""en"",""bn"")"),"ওটিপি প্রবেশ করান")</f>
        <v>ওটিপি প্রবেশ করান</v>
      </c>
      <c r="O260" s="6"/>
      <c r="P260" s="6"/>
    </row>
    <row r="261">
      <c r="A261" s="8" t="s">
        <v>516</v>
      </c>
      <c r="B261" s="12" t="s">
        <v>517</v>
      </c>
      <c r="C261" s="5" t="str">
        <f>IFERROR(__xludf.DUMMYFUNCTION("GOOGLETRANSLATE(B261,""en"",""hi"")"),"कार्ड से जोड़ें")</f>
        <v>कार्ड से जोड़ें</v>
      </c>
      <c r="D261" s="6" t="str">
        <f>IFERROR(__xludf.DUMMYFUNCTION("GOOGLETRANSLATE(B261,""en"",""ar"")"),"أضف عن طريق البطاقة")</f>
        <v>أضف عن طريق البطاقة</v>
      </c>
      <c r="E261" s="6" t="str">
        <f>IFERROR(__xludf.DUMMYFUNCTION("GOOGLETRANSLATE(B261,""en"",""fr"")"),"Ajouter par carte")</f>
        <v>Ajouter par carte</v>
      </c>
      <c r="F261" s="6" t="str">
        <f>IFERROR(__xludf.DUMMYFUNCTION("GOOGLETRANSLATE(B261,""en"",""tr"")"),"Kart ekle")</f>
        <v>Kart ekle</v>
      </c>
      <c r="G261" s="6" t="str">
        <f>IFERROR(__xludf.DUMMYFUNCTION("GOOGLETRANSLATE(B261,""en"",""ru"")"),"Добавить картой")</f>
        <v>Добавить картой</v>
      </c>
      <c r="H261" s="6" t="str">
        <f>IFERROR(__xludf.DUMMYFUNCTION("GOOGLETRANSLATE(B261,""en"",""it"")"),"Aggiungi per carta")</f>
        <v>Aggiungi per carta</v>
      </c>
      <c r="I261" s="6" t="str">
        <f>IFERROR(__xludf.DUMMYFUNCTION("GOOGLETRANSLATE(B261,""en"",""de"")"),"Nach Karte hinzufügen")</f>
        <v>Nach Karte hinzufügen</v>
      </c>
      <c r="J261" s="6" t="str">
        <f>IFERROR(__xludf.DUMMYFUNCTION("GOOGLETRANSLATE(B261,""en"",""ko"")"),"카드로 추가하십시오")</f>
        <v>카드로 추가하십시오</v>
      </c>
      <c r="K261" s="6" t="str">
        <f>IFERROR(__xludf.DUMMYFUNCTION("GOOGLETRANSLATE(B261,""en"",""zh"")"),"添加卡")</f>
        <v>添加卡</v>
      </c>
      <c r="L261" s="6" t="str">
        <f>IFERROR(__xludf.DUMMYFUNCTION("GOOGLETRANSLATE(B261,""en"",""es"")"),"Agregar por tarjeta")</f>
        <v>Agregar por tarjeta</v>
      </c>
      <c r="M261" s="7" t="str">
        <f>IFERROR(__xludf.DUMMYFUNCTION("GOOGLETRANSLATE(B261,""en"",""iw"")"),"הוסף באמצעות כרטיס")</f>
        <v>הוסף באמצעות כרטיס</v>
      </c>
      <c r="N261" s="6" t="str">
        <f>IFERROR(__xludf.DUMMYFUNCTION("GOOGLETRANSLATE(B261,""en"",""bn"")"),"কার্ড দ্বারা যোগ করুন")</f>
        <v>কার্ড দ্বারা যোগ করুন</v>
      </c>
      <c r="O261" s="6"/>
      <c r="P261" s="6"/>
    </row>
    <row r="262">
      <c r="A262" s="8" t="s">
        <v>518</v>
      </c>
      <c r="B262" s="12" t="s">
        <v>519</v>
      </c>
      <c r="C262" s="5" t="str">
        <f>IFERROR(__xludf.DUMMYFUNCTION("GOOGLETRANSLATE(B262,""en"",""hi"")"),"कियोस्क द्वारा जोड़ें")</f>
        <v>कियोस्क द्वारा जोड़ें</v>
      </c>
      <c r="D262" s="6" t="str">
        <f>IFERROR(__xludf.DUMMYFUNCTION("GOOGLETRANSLATE(B262,""en"",""ar"")"),"أضف بواسطة كشك")</f>
        <v>أضف بواسطة كشك</v>
      </c>
      <c r="E262" s="6" t="str">
        <f>IFERROR(__xludf.DUMMYFUNCTION("GOOGLETRANSLATE(B262,""en"",""fr"")"),"Ajouter par kiosque")</f>
        <v>Ajouter par kiosque</v>
      </c>
      <c r="F262" s="6" t="str">
        <f>IFERROR(__xludf.DUMMYFUNCTION("GOOGLETRANSLATE(B262,""en"",""tr"")"),"Kiosk tarafından ekle")</f>
        <v>Kiosk tarafından ekle</v>
      </c>
      <c r="G262" s="6" t="str">
        <f>IFERROR(__xludf.DUMMYFUNCTION("GOOGLETRANSLATE(B262,""en"",""ru"")"),"Добавить киоском")</f>
        <v>Добавить киоском</v>
      </c>
      <c r="H262" s="6" t="str">
        <f>IFERROR(__xludf.DUMMYFUNCTION("GOOGLETRANSLATE(B262,""en"",""it"")"),"Aggiungi per chiosco")</f>
        <v>Aggiungi per chiosco</v>
      </c>
      <c r="I262" s="6" t="str">
        <f>IFERROR(__xludf.DUMMYFUNCTION("GOOGLETRANSLATE(B262,""en"",""de"")"),"Fügen Sie durch Kiosk hinzu")</f>
        <v>Fügen Sie durch Kiosk hinzu</v>
      </c>
      <c r="J262" s="6" t="str">
        <f>IFERROR(__xludf.DUMMYFUNCTION("GOOGLETRANSLATE(B262,""en"",""ko"")"),"키오스크에 추가하십시오")</f>
        <v>키오스크에 추가하십시오</v>
      </c>
      <c r="K262" s="6" t="str">
        <f>IFERROR(__xludf.DUMMYFUNCTION("GOOGLETRANSLATE(B262,""en"",""zh"")"),"添加售货亭")</f>
        <v>添加售货亭</v>
      </c>
      <c r="L262" s="6" t="str">
        <f>IFERROR(__xludf.DUMMYFUNCTION("GOOGLETRANSLATE(B262,""en"",""es"")"),"Agregar por quiosco")</f>
        <v>Agregar por quiosco</v>
      </c>
      <c r="M262" s="7" t="str">
        <f>IFERROR(__xludf.DUMMYFUNCTION("GOOGLETRANSLATE(B262,""en"",""iw"")"),"הוסף על ידי קיוסק")</f>
        <v>הוסף על ידי קיוסק</v>
      </c>
      <c r="N262" s="6" t="str">
        <f>IFERROR(__xludf.DUMMYFUNCTION("GOOGLETRANSLATE(B262,""en"",""bn"")"),"কিওস্ক দ্বারা যুক্ত করুন")</f>
        <v>কিওস্ক দ্বারা যুক্ত করুন</v>
      </c>
      <c r="O262" s="6"/>
      <c r="P262" s="6"/>
    </row>
    <row r="263">
      <c r="A263" s="8" t="s">
        <v>520</v>
      </c>
      <c r="B263" s="12" t="s">
        <v>521</v>
      </c>
      <c r="C263" s="5" t="str">
        <f>IFERROR(__xludf.DUMMYFUNCTION("GOOGLETRANSLATE(B263,""en"",""hi"")"),"कार्ड द्वारा भुगतान करें")</f>
        <v>कार्ड द्वारा भुगतान करें</v>
      </c>
      <c r="D263" s="6" t="str">
        <f>IFERROR(__xludf.DUMMYFUNCTION("GOOGLETRANSLATE(B263,""en"",""ar"")"),"دفع عن طريق البطاقة")</f>
        <v>دفع عن طريق البطاقة</v>
      </c>
      <c r="E263" s="6" t="str">
        <f>IFERROR(__xludf.DUMMYFUNCTION("GOOGLETRANSLATE(B263,""en"",""fr"")"),"Payer par carte")</f>
        <v>Payer par carte</v>
      </c>
      <c r="F263" s="6" t="str">
        <f>IFERROR(__xludf.DUMMYFUNCTION("GOOGLETRANSLATE(B263,""en"",""tr"")"),"Kartla ödeme")</f>
        <v>Kartla ödeme</v>
      </c>
      <c r="G263" s="6" t="str">
        <f>IFERROR(__xludf.DUMMYFUNCTION("GOOGLETRANSLATE(B263,""en"",""ru"")"),"Оплатить картой")</f>
        <v>Оплатить картой</v>
      </c>
      <c r="H263" s="6" t="str">
        <f>IFERROR(__xludf.DUMMYFUNCTION("GOOGLETRANSLATE(B263,""en"",""it"")"),"Paga per carta")</f>
        <v>Paga per carta</v>
      </c>
      <c r="I263" s="6" t="str">
        <f>IFERROR(__xludf.DUMMYFUNCTION("GOOGLETRANSLATE(B263,""en"",""de"")"),"Zahlen Sie mit Karte")</f>
        <v>Zahlen Sie mit Karte</v>
      </c>
      <c r="J263" s="6" t="str">
        <f>IFERROR(__xludf.DUMMYFUNCTION("GOOGLETRANSLATE(B263,""en"",""ko"")"),"카드로 지불하십시오")</f>
        <v>카드로 지불하십시오</v>
      </c>
      <c r="K263" s="6" t="str">
        <f>IFERROR(__xludf.DUMMYFUNCTION("GOOGLETRANSLATE(B263,""en"",""zh"")"),"用卡付款")</f>
        <v>用卡付款</v>
      </c>
      <c r="L263" s="6" t="str">
        <f>IFERROR(__xludf.DUMMYFUNCTION("GOOGLETRANSLATE(B263,""en"",""es"")"),"Pagar por tarjeta")</f>
        <v>Pagar por tarjeta</v>
      </c>
      <c r="M263" s="7" t="str">
        <f>IFERROR(__xludf.DUMMYFUNCTION("GOOGLETRANSLATE(B263,""en"",""iw"")"),"לשלם באמצעות כרטיס")</f>
        <v>לשלם באמצעות כרטיס</v>
      </c>
      <c r="N263" s="6" t="str">
        <f>IFERROR(__xludf.DUMMYFUNCTION("GOOGLETRANSLATE(B263,""en"",""bn"")"),"কার্ড দ্বারা প্রদান")</f>
        <v>কার্ড দ্বারা প্রদান</v>
      </c>
      <c r="O263" s="6"/>
      <c r="P263" s="6"/>
    </row>
    <row r="264">
      <c r="A264" s="8" t="s">
        <v>522</v>
      </c>
      <c r="B264" s="12" t="s">
        <v>523</v>
      </c>
      <c r="C264" s="5" t="str">
        <f>IFERROR(__xludf.DUMMYFUNCTION("GOOGLETRANSLATE(B264,""en"",""hi"")"),"कियोस्क द्वारा भुगतान")</f>
        <v>कियोस्क द्वारा भुगतान</v>
      </c>
      <c r="D264" s="6" t="str">
        <f>IFERROR(__xludf.DUMMYFUNCTION("GOOGLETRANSLATE(B264,""en"",""ar"")"),"دفع من قبل كشك")</f>
        <v>دفع من قبل كشك</v>
      </c>
      <c r="E264" s="6" t="str">
        <f>IFERROR(__xludf.DUMMYFUNCTION("GOOGLETRANSLATE(B264,""en"",""fr"")"),"Payer par kiosque")</f>
        <v>Payer par kiosque</v>
      </c>
      <c r="F264" s="6" t="str">
        <f>IFERROR(__xludf.DUMMYFUNCTION("GOOGLETRANSLATE(B264,""en"",""tr"")"),"Kiosk tarafından ödeme")</f>
        <v>Kiosk tarafından ödeme</v>
      </c>
      <c r="G264" s="6" t="str">
        <f>IFERROR(__xludf.DUMMYFUNCTION("GOOGLETRANSLATE(B264,""en"",""ru"")"),"Платить по киоску")</f>
        <v>Платить по киоску</v>
      </c>
      <c r="H264" s="6" t="str">
        <f>IFERROR(__xludf.DUMMYFUNCTION("GOOGLETRANSLATE(B264,""en"",""it"")"),"PAGA DI KIOSK")</f>
        <v>PAGA DI KIOSK</v>
      </c>
      <c r="I264" s="6" t="str">
        <f>IFERROR(__xludf.DUMMYFUNCTION("GOOGLETRANSLATE(B264,""en"",""de"")"),"Zahlen Sie mit Kiosk")</f>
        <v>Zahlen Sie mit Kiosk</v>
      </c>
      <c r="J264" s="6" t="str">
        <f>IFERROR(__xludf.DUMMYFUNCTION("GOOGLETRANSLATE(B264,""en"",""ko"")"),"키오스크로 지불하십시오")</f>
        <v>키오스크로 지불하십시오</v>
      </c>
      <c r="K264" s="6" t="str">
        <f>IFERROR(__xludf.DUMMYFUNCTION("GOOGLETRANSLATE(B264,""en"",""zh"")"),"售货亭付款")</f>
        <v>售货亭付款</v>
      </c>
      <c r="L264" s="6" t="str">
        <f>IFERROR(__xludf.DUMMYFUNCTION("GOOGLETRANSLATE(B264,""en"",""es"")"),"Pagar por quiosco")</f>
        <v>Pagar por quiosco</v>
      </c>
      <c r="M264" s="7" t="str">
        <f>IFERROR(__xludf.DUMMYFUNCTION("GOOGLETRANSLATE(B264,""en"",""iw"")"),"לשלם על ידי קיוסק")</f>
        <v>לשלם על ידי קיוסק</v>
      </c>
      <c r="N264" s="6" t="str">
        <f>IFERROR(__xludf.DUMMYFUNCTION("GOOGLETRANSLATE(B264,""en"",""bn"")"),"কিওস্ক দ্বারা প্রদান")</f>
        <v>কিওস্ক দ্বারা প্রদান</v>
      </c>
      <c r="O264" s="10"/>
      <c r="P264" s="10"/>
    </row>
    <row r="265">
      <c r="A265" s="19" t="s">
        <v>524</v>
      </c>
      <c r="B265" s="12" t="s">
        <v>525</v>
      </c>
      <c r="C265" s="5" t="str">
        <f>IFERROR(__xludf.DUMMYFUNCTION("GOOGLETRANSLATE(B265,""en"",""hi"")"),"कृपया मान्य OTP दर्ज करें")</f>
        <v>कृपया मान्य OTP दर्ज करें</v>
      </c>
      <c r="D265" s="6" t="str">
        <f>IFERROR(__xludf.DUMMYFUNCTION("GOOGLETRANSLATE(B265,""en"",""ar"")"),"الرجاء إدخال OTP صالح")</f>
        <v>الرجاء إدخال OTP صالح</v>
      </c>
      <c r="E265" s="6" t="str">
        <f>IFERROR(__xludf.DUMMYFUNCTION("GOOGLETRANSLATE(B265,""en"",""fr"")"),"Veuillez saisir OTP valide")</f>
        <v>Veuillez saisir OTP valide</v>
      </c>
      <c r="F265" s="6" t="str">
        <f>IFERROR(__xludf.DUMMYFUNCTION("GOOGLETRANSLATE(B265,""en"",""tr"")"),"Lütfen geçerli OTP girin")</f>
        <v>Lütfen geçerli OTP girin</v>
      </c>
      <c r="G265" s="6" t="str">
        <f>IFERROR(__xludf.DUMMYFUNCTION("GOOGLETRANSLATE(B265,""en"",""ru"")"),"Пожалуйста, введите действительный OTP")</f>
        <v>Пожалуйста, введите действительный OTP</v>
      </c>
      <c r="H265" s="6" t="str">
        <f>IFERROR(__xludf.DUMMYFUNCTION("GOOGLETRANSLATE(B265,""en"",""it"")"),"Inserisci OTP valido")</f>
        <v>Inserisci OTP valido</v>
      </c>
      <c r="I265" s="6" t="str">
        <f>IFERROR(__xludf.DUMMYFUNCTION("GOOGLETRANSLATE(B265,""en"",""de"")"),"Bitte geben Sie gültige OTP ein")</f>
        <v>Bitte geben Sie gültige OTP ein</v>
      </c>
      <c r="J265" s="6" t="str">
        <f>IFERROR(__xludf.DUMMYFUNCTION("GOOGLETRANSLATE(B265,""en"",""ko"")"),"유효한 OTP를 입력하십시오")</f>
        <v>유효한 OTP를 입력하십시오</v>
      </c>
      <c r="K265" s="6" t="str">
        <f>IFERROR(__xludf.DUMMYFUNCTION("GOOGLETRANSLATE(B265,""en"",""zh"")"),"请输入有效的OTP")</f>
        <v>请输入有效的OTP</v>
      </c>
      <c r="L265" s="6" t="str">
        <f>IFERROR(__xludf.DUMMYFUNCTION("GOOGLETRANSLATE(B265,""en"",""es"")"),"Ingrese OTP válido")</f>
        <v>Ingrese OTP válido</v>
      </c>
      <c r="M265" s="7" t="str">
        <f>IFERROR(__xludf.DUMMYFUNCTION("GOOGLETRANSLATE(B265,""en"",""iw"")"),"אנא הכנס OTP תקף")</f>
        <v>אנא הכנס OTP תקף</v>
      </c>
      <c r="N265" s="6" t="str">
        <f>IFERROR(__xludf.DUMMYFUNCTION("GOOGLETRANSLATE(B265,""en"",""bn"")"),"বৈধ ওটিপি লিখুন দয়া করে")</f>
        <v>বৈধ ওটিপি লিখুন দয়া করে</v>
      </c>
      <c r="O265" s="6"/>
      <c r="P265" s="6"/>
    </row>
    <row r="266">
      <c r="A266" s="19" t="s">
        <v>526</v>
      </c>
      <c r="B266" s="12" t="s">
        <v>527</v>
      </c>
      <c r="C266" s="5" t="str">
        <f>IFERROR(__xludf.DUMMYFUNCTION("GOOGLETRANSLATE(B266,""en"",""hi"")"),"बिल संदर्भ")</f>
        <v>बिल संदर्भ</v>
      </c>
      <c r="D266" s="6" t="str">
        <f>IFERROR(__xludf.DUMMYFUNCTION("GOOGLETRANSLATE(B266,""en"",""ar"")"),"مرجع مشروع القانون")</f>
        <v>مرجع مشروع القانون</v>
      </c>
      <c r="E266" s="6" t="str">
        <f>IFERROR(__xludf.DUMMYFUNCTION("GOOGLETRANSLATE(B266,""en"",""fr"")"),"Référence au projet de loi")</f>
        <v>Référence au projet de loi</v>
      </c>
      <c r="F266" s="6" t="str">
        <f>IFERROR(__xludf.DUMMYFUNCTION("GOOGLETRANSLATE(B266,""en"",""tr"")"),"Fatura referansı")</f>
        <v>Fatura referansı</v>
      </c>
      <c r="G266" s="6" t="str">
        <f>IFERROR(__xludf.DUMMYFUNCTION("GOOGLETRANSLATE(B266,""en"",""ru"")"),"Ссылка на законопроект")</f>
        <v>Ссылка на законопроект</v>
      </c>
      <c r="H266" s="6" t="str">
        <f>IFERROR(__xludf.DUMMYFUNCTION("GOOGLETRANSLATE(B266,""en"",""it"")"),"Riferimento di fattura")</f>
        <v>Riferimento di fattura</v>
      </c>
      <c r="I266" s="6" t="str">
        <f>IFERROR(__xludf.DUMMYFUNCTION("GOOGLETRANSLATE(B266,""en"",""de"")"),"Bill Referenz")</f>
        <v>Bill Referenz</v>
      </c>
      <c r="J266" s="6" t="str">
        <f>IFERROR(__xludf.DUMMYFUNCTION("GOOGLETRANSLATE(B266,""en"",""ko"")"),"청구서 참조")</f>
        <v>청구서 참조</v>
      </c>
      <c r="K266" s="6" t="str">
        <f>IFERROR(__xludf.DUMMYFUNCTION("GOOGLETRANSLATE(B266,""en"",""zh"")"),"票据参考")</f>
        <v>票据参考</v>
      </c>
      <c r="L266" s="6" t="str">
        <f>IFERROR(__xludf.DUMMYFUNCTION("GOOGLETRANSLATE(B266,""en"",""es"")"),"Referencia de factura")</f>
        <v>Referencia de factura</v>
      </c>
      <c r="M266" s="7" t="str">
        <f>IFERROR(__xludf.DUMMYFUNCTION("GOOGLETRANSLATE(B266,""en"",""iw"")"),"התייחסות לחשבון")</f>
        <v>התייחסות לחשבון</v>
      </c>
      <c r="N266" s="6" t="str">
        <f>IFERROR(__xludf.DUMMYFUNCTION("GOOGLETRANSLATE(B266,""en"",""bn"")"),"বিল রেফারেন্স")</f>
        <v>বিল রেফারেন্স</v>
      </c>
      <c r="O266" s="6"/>
      <c r="P266" s="6"/>
    </row>
    <row r="267">
      <c r="A267" s="8" t="s">
        <v>528</v>
      </c>
      <c r="B267" s="9" t="s">
        <v>529</v>
      </c>
      <c r="C267" s="5" t="str">
        <f>IFERROR(__xludf.DUMMYFUNCTION("GOOGLETRANSLATE(B267,""en"",""hi"")"),"सदस्यता")</f>
        <v>सदस्यता</v>
      </c>
      <c r="D267" s="6" t="str">
        <f>IFERROR(__xludf.DUMMYFUNCTION("GOOGLETRANSLATE(B267,""en"",""ar"")"),"الاشتراكات")</f>
        <v>الاشتراكات</v>
      </c>
      <c r="E267" s="6" t="str">
        <f>IFERROR(__xludf.DUMMYFUNCTION("GOOGLETRANSLATE(B267,""en"",""fr"")"),"Abonnements")</f>
        <v>Abonnements</v>
      </c>
      <c r="F267" s="6" t="str">
        <f>IFERROR(__xludf.DUMMYFUNCTION("GOOGLETRANSLATE(B267,""en"",""tr"")"),"Abonelik")</f>
        <v>Abonelik</v>
      </c>
      <c r="G267" s="6" t="str">
        <f>IFERROR(__xludf.DUMMYFUNCTION("GOOGLETRANSLATE(B267,""en"",""ru"")"),"Подписки")</f>
        <v>Подписки</v>
      </c>
      <c r="H267" s="6" t="str">
        <f>IFERROR(__xludf.DUMMYFUNCTION("GOOGLETRANSLATE(B267,""en"",""it"")"),"Abbonamenti")</f>
        <v>Abbonamenti</v>
      </c>
      <c r="I267" s="6" t="str">
        <f>IFERROR(__xludf.DUMMYFUNCTION("GOOGLETRANSLATE(B267,""en"",""de"")"),"Abonnements")</f>
        <v>Abonnements</v>
      </c>
      <c r="J267" s="6" t="str">
        <f>IFERROR(__xludf.DUMMYFUNCTION("GOOGLETRANSLATE(B267,""en"",""ko"")"),"구독")</f>
        <v>구독</v>
      </c>
      <c r="K267" s="6" t="str">
        <f>IFERROR(__xludf.DUMMYFUNCTION("GOOGLETRANSLATE(B267,""en"",""zh"")"),"订阅")</f>
        <v>订阅</v>
      </c>
      <c r="L267" s="6" t="str">
        <f>IFERROR(__xludf.DUMMYFUNCTION("GOOGLETRANSLATE(B267,""en"",""es"")"),"Suscripciones")</f>
        <v>Suscripciones</v>
      </c>
      <c r="M267" s="7" t="str">
        <f>IFERROR(__xludf.DUMMYFUNCTION("GOOGLETRANSLATE(B267,""en"",""iw"")"),"מנויים")</f>
        <v>מנויים</v>
      </c>
      <c r="N267" s="6" t="str">
        <f>IFERROR(__xludf.DUMMYFUNCTION("GOOGLETRANSLATE(B267,""en"",""bn"")"),"সাবস্ক্রিপশন")</f>
        <v>সাবস্ক্রিপশন</v>
      </c>
      <c r="O267" s="6"/>
      <c r="P267" s="6"/>
    </row>
    <row r="268">
      <c r="A268" s="8" t="s">
        <v>530</v>
      </c>
      <c r="B268" s="9" t="s">
        <v>531</v>
      </c>
      <c r="C268" s="5" t="str">
        <f>IFERROR(__xludf.DUMMYFUNCTION("GOOGLETRANSLATE(B268,""en"",""hi"")"),"जारी रखने के लिए एक योजना का चयन करें")</f>
        <v>जारी रखने के लिए एक योजना का चयन करें</v>
      </c>
      <c r="D268" s="6" t="str">
        <f>IFERROR(__xludf.DUMMYFUNCTION("GOOGLETRANSLATE(B268,""en"",""ar"")"),"حدد خطة للمتابعة")</f>
        <v>حدد خطة للمتابعة</v>
      </c>
      <c r="E268" s="6" t="str">
        <f>IFERROR(__xludf.DUMMYFUNCTION("GOOGLETRANSLATE(B268,""en"",""fr"")"),"Sélectionnez un plan pour continuer")</f>
        <v>Sélectionnez un plan pour continuer</v>
      </c>
      <c r="F268" s="6" t="str">
        <f>IFERROR(__xludf.DUMMYFUNCTION("GOOGLETRANSLATE(B268,""en"",""tr"")"),"Devam etmek için bir plan seçin")</f>
        <v>Devam etmek için bir plan seçin</v>
      </c>
      <c r="G268" s="6" t="str">
        <f>IFERROR(__xludf.DUMMYFUNCTION("GOOGLETRANSLATE(B268,""en"",""ru"")"),"Выберите план продолжения")</f>
        <v>Выберите план продолжения</v>
      </c>
      <c r="H268" s="6" t="str">
        <f>IFERROR(__xludf.DUMMYFUNCTION("GOOGLETRANSLATE(B268,""en"",""it"")"),"Seleziona un piano per continuare")</f>
        <v>Seleziona un piano per continuare</v>
      </c>
      <c r="I268" s="6" t="str">
        <f>IFERROR(__xludf.DUMMYFUNCTION("GOOGLETRANSLATE(B268,""en"",""de"")"),"Wählen Sie einen Plan, um fortzufahren")</f>
        <v>Wählen Sie einen Plan, um fortzufahren</v>
      </c>
      <c r="J268" s="6" t="str">
        <f>IFERROR(__xludf.DUMMYFUNCTION("GOOGLETRANSLATE(B268,""en"",""ko"")"),"계속할 계획을 선택하십시오")</f>
        <v>계속할 계획을 선택하십시오</v>
      </c>
      <c r="K268" s="6" t="str">
        <f>IFERROR(__xludf.DUMMYFUNCTION("GOOGLETRANSLATE(B268,""en"",""zh"")"),"选择一个计划继续")</f>
        <v>选择一个计划继续</v>
      </c>
      <c r="L268" s="6" t="str">
        <f>IFERROR(__xludf.DUMMYFUNCTION("GOOGLETRANSLATE(B268,""en"",""es"")"),"Seleccione un plan para continuar")</f>
        <v>Seleccione un plan para continuar</v>
      </c>
      <c r="M268" s="7" t="str">
        <f>IFERROR(__xludf.DUMMYFUNCTION("GOOGLETRANSLATE(B268,""en"",""iw"")"),"בחר תוכנית להמשך")</f>
        <v>בחר תוכנית להמשך</v>
      </c>
      <c r="N268" s="6" t="str">
        <f>IFERROR(__xludf.DUMMYFUNCTION("GOOGLETRANSLATE(B268,""en"",""bn"")"),"চালিয়ে যাওয়ার জন্য একটি পরিকল্পনা নির্বাচন করুন")</f>
        <v>চালিয়ে যাওয়ার জন্য একটি পরিকল্পনা নির্বাচন করুন</v>
      </c>
      <c r="O268" s="6"/>
      <c r="P268" s="6"/>
    </row>
    <row r="269">
      <c r="A269" s="8" t="s">
        <v>532</v>
      </c>
      <c r="B269" s="9" t="s">
        <v>533</v>
      </c>
      <c r="C269" s="5" t="str">
        <f>IFERROR(__xludf.DUMMYFUNCTION("GOOGLETRANSLATE(B269,""en"",""hi"")"),"अपने बटुए को भुगतान करें")</f>
        <v>अपने बटुए को भुगतान करें</v>
      </c>
      <c r="D269" s="6" t="str">
        <f>IFERROR(__xludf.DUMMYFUNCTION("GOOGLETRANSLATE(B269,""en"",""ar"")"),"دفعة بقعة لمحفظتك")</f>
        <v>دفعة بقعة لمحفظتك</v>
      </c>
      <c r="E269" s="6" t="str">
        <f>IFERROR(__xludf.DUMMYFUNCTION("GOOGLETRANSLATE(B269,""en"",""fr"")"),"Paiement au comptant à votre portefeuille")</f>
        <v>Paiement au comptant à votre portefeuille</v>
      </c>
      <c r="F269" s="6" t="str">
        <f>IFERROR(__xludf.DUMMYFUNCTION("GOOGLETRANSLATE(B269,""en"",""tr"")"),"Cüzdanınıza Ödeme Ödemesi")</f>
        <v>Cüzdanınıza Ödeme Ödemesi</v>
      </c>
      <c r="G269" s="6" t="str">
        <f>IFERROR(__xludf.DUMMYFUNCTION("GOOGLETRANSLATE(B269,""en"",""ru"")"),"Выставьте платеж в ваш кошелек")</f>
        <v>Выставьте платеж в ваш кошелек</v>
      </c>
      <c r="H269" s="6" t="str">
        <f>IFERROR(__xludf.DUMMYFUNCTION("GOOGLETRANSLATE(B269,""en"",""it"")"),"Spot pagamento sul tuo portafoglio")</f>
        <v>Spot pagamento sul tuo portafoglio</v>
      </c>
      <c r="I269" s="6" t="str">
        <f>IFERROR(__xludf.DUMMYFUNCTION("GOOGLETRANSLATE(B269,""en"",""de"")"),"Stellen Sie die Zahlung an Ihre Brieftasche an")</f>
        <v>Stellen Sie die Zahlung an Ihre Brieftasche an</v>
      </c>
      <c r="J269" s="6" t="str">
        <f>IFERROR(__xludf.DUMMYFUNCTION("GOOGLETRANSLATE(B269,""en"",""ko"")"),"지갑에 대한 지불금")</f>
        <v>지갑에 대한 지불금</v>
      </c>
      <c r="K269" s="6" t="str">
        <f>IFERROR(__xludf.DUMMYFUNCTION("GOOGLETRANSLATE(B269,""en"",""zh"")"),"将付款付给钱包")</f>
        <v>将付款付给钱包</v>
      </c>
      <c r="L269" s="6" t="str">
        <f>IFERROR(__xludf.DUMMYFUNCTION("GOOGLETRANSLATE(B269,""en"",""es"")"),"Pago spot a su billetera")</f>
        <v>Pago spot a su billetera</v>
      </c>
      <c r="M269" s="7" t="str">
        <f>IFERROR(__xludf.DUMMYFUNCTION("GOOGLETRANSLATE(B269,""en"",""iw"")"),"תשלום ספוט לארנק שלך")</f>
        <v>תשלום ספוט לארנק שלך</v>
      </c>
      <c r="N269" s="6" t="str">
        <f>IFERROR(__xludf.DUMMYFUNCTION("GOOGLETRANSLATE(B269,""en"",""bn"")"),"আপনার ওয়ালেটে স্পট পেমেন্ট")</f>
        <v>আপনার ওয়ালেটে স্পট পেমেন্ট</v>
      </c>
      <c r="O269" s="6"/>
      <c r="P269" s="6"/>
    </row>
    <row r="270">
      <c r="A270" s="8" t="s">
        <v>534</v>
      </c>
      <c r="B270" s="12" t="s">
        <v>535</v>
      </c>
      <c r="C270" s="5" t="str">
        <f>IFERROR(__xludf.DUMMYFUNCTION("GOOGLETRANSLATE(B270,""en"",""hi"")"),"पूरी राशि प्राप्त करने का लाभ")</f>
        <v>पूरी राशि प्राप्त करने का लाभ</v>
      </c>
      <c r="D270" s="6" t="str">
        <f>IFERROR(__xludf.DUMMYFUNCTION("GOOGLETRANSLATE(B270,""en"",""ar"")"),"فوائد الحصول على مبلغ كامل")</f>
        <v>فوائد الحصول على مبلغ كامل</v>
      </c>
      <c r="E270" s="6" t="str">
        <f>IFERROR(__xludf.DUMMYFUNCTION("GOOGLETRANSLATE(B270,""en"",""fr"")"),"Avantages d'obtenir un montant entier")</f>
        <v>Avantages d'obtenir un montant entier</v>
      </c>
      <c r="F270" s="6" t="str">
        <f>IFERROR(__xludf.DUMMYFUNCTION("GOOGLETRANSLATE(B270,""en"",""tr"")"),"Tüm miktarı almanın faydaları")</f>
        <v>Tüm miktarı almanın faydaları</v>
      </c>
      <c r="G270" s="6" t="str">
        <f>IFERROR(__xludf.DUMMYFUNCTION("GOOGLETRANSLATE(B270,""en"",""ru"")"),"Преимущества получения всей суммы")</f>
        <v>Преимущества получения всей суммы</v>
      </c>
      <c r="H270" s="6" t="str">
        <f>IFERROR(__xludf.DUMMYFUNCTION("GOOGLETRANSLATE(B270,""en"",""it"")"),"Vantaggi di ottenere un intero importo")</f>
        <v>Vantaggi di ottenere un intero importo</v>
      </c>
      <c r="I270" s="6" t="str">
        <f>IFERROR(__xludf.DUMMYFUNCTION("GOOGLETRANSLATE(B270,""en"",""de"")"),"Vorteile des gesamten Betrags")</f>
        <v>Vorteile des gesamten Betrags</v>
      </c>
      <c r="J270" s="6" t="str">
        <f>IFERROR(__xludf.DUMMYFUNCTION("GOOGLETRANSLATE(B270,""en"",""ko"")"),"전체 금액을 얻는 이점")</f>
        <v>전체 금액을 얻는 이점</v>
      </c>
      <c r="K270" s="6" t="str">
        <f>IFERROR(__xludf.DUMMYFUNCTION("GOOGLETRANSLATE(B270,""en"",""zh"")"),"获得全额的好处")</f>
        <v>获得全额的好处</v>
      </c>
      <c r="L270" s="6" t="str">
        <f>IFERROR(__xludf.DUMMYFUNCTION("GOOGLETRANSLATE(B270,""en"",""es"")"),"Beneficios de obtener toda la cantidad")</f>
        <v>Beneficios de obtener toda la cantidad</v>
      </c>
      <c r="M270" s="7" t="str">
        <f>IFERROR(__xludf.DUMMYFUNCTION("GOOGLETRANSLATE(B270,""en"",""iw"")"),"היתרונות של קבלת סכום שלם")</f>
        <v>היתרונות של קבלת סכום שלם</v>
      </c>
      <c r="N270" s="6" t="str">
        <f>IFERROR(__xludf.DUMMYFUNCTION("GOOGLETRANSLATE(B270,""en"",""bn"")"),"পুরো পরিমাণ পাওয়ার সুবিধা")</f>
        <v>পুরো পরিমাণ পাওয়ার সুবিধা</v>
      </c>
      <c r="O270" s="6"/>
      <c r="P270" s="6"/>
    </row>
    <row r="271">
      <c r="A271" s="8" t="s">
        <v>536</v>
      </c>
      <c r="B271" s="12" t="s">
        <v>537</v>
      </c>
      <c r="C271" s="5" t="str">
        <f>IFERROR(__xludf.DUMMYFUNCTION("GOOGLETRANSLATE(B271,""en"",""hi"")"),"प्राथमिकता ग्राहक सहायता प्राप्त करें")</f>
        <v>प्राथमिकता ग्राहक सहायता प्राप्त करें</v>
      </c>
      <c r="D271" s="6" t="str">
        <f>IFERROR(__xludf.DUMMYFUNCTION("GOOGLETRANSLATE(B271,""en"",""ar"")"),"احصل على دعم العملاء الأولوية")</f>
        <v>احصل على دعم العملاء الأولوية</v>
      </c>
      <c r="E271" s="6" t="str">
        <f>IFERROR(__xludf.DUMMYFUNCTION("GOOGLETRANSLATE(B271,""en"",""fr"")"),"Obtenez le support client prioritaire")</f>
        <v>Obtenez le support client prioritaire</v>
      </c>
      <c r="F271" s="6" t="str">
        <f>IFERROR(__xludf.DUMMYFUNCTION("GOOGLETRANSLATE(B271,""en"",""tr"")"),"Öncelikli Müşteri Desteği Alın")</f>
        <v>Öncelikli Müşteri Desteği Alın</v>
      </c>
      <c r="G271" s="6" t="str">
        <f>IFERROR(__xludf.DUMMYFUNCTION("GOOGLETRANSLATE(B271,""en"",""ru"")"),"Получить приоритетную поддержку клиентов")</f>
        <v>Получить приоритетную поддержку клиентов</v>
      </c>
      <c r="H271" s="6" t="str">
        <f>IFERROR(__xludf.DUMMYFUNCTION("GOOGLETRANSLATE(B271,""en"",""it"")"),"Ottieni assistenza clienti prioritaria")</f>
        <v>Ottieni assistenza clienti prioritaria</v>
      </c>
      <c r="I271" s="6" t="str">
        <f>IFERROR(__xludf.DUMMYFUNCTION("GOOGLETRANSLATE(B271,""en"",""de"")"),"Holen Sie sich vorrangigen Kundensupport")</f>
        <v>Holen Sie sich vorrangigen Kundensupport</v>
      </c>
      <c r="J271" s="6" t="str">
        <f>IFERROR(__xludf.DUMMYFUNCTION("GOOGLETRANSLATE(B271,""en"",""ko"")"),"우선 순위 고객 지원을 받으십시오")</f>
        <v>우선 순위 고객 지원을 받으십시오</v>
      </c>
      <c r="K271" s="6" t="str">
        <f>IFERROR(__xludf.DUMMYFUNCTION("GOOGLETRANSLATE(B271,""en"",""zh"")"),"获得优先客户支持")</f>
        <v>获得优先客户支持</v>
      </c>
      <c r="L271" s="6" t="str">
        <f>IFERROR(__xludf.DUMMYFUNCTION("GOOGLETRANSLATE(B271,""en"",""es"")"),"Obtener atención al cliente prioritaria")</f>
        <v>Obtener atención al cliente prioritaria</v>
      </c>
      <c r="M271" s="7" t="str">
        <f>IFERROR(__xludf.DUMMYFUNCTION("GOOGLETRANSLATE(B271,""en"",""iw"")"),"קבל תמיכת לקוחות עדיפה")</f>
        <v>קבל תמיכת לקוחות עדיפה</v>
      </c>
      <c r="N271" s="6" t="str">
        <f>IFERROR(__xludf.DUMMYFUNCTION("GOOGLETRANSLATE(B271,""en"",""bn"")"),"অগ্রাধিকার গ্রাহক সমর্থন পান")</f>
        <v>অগ্রাধিকার গ্রাহক সমর্থন পান</v>
      </c>
      <c r="O271" s="6"/>
      <c r="P271" s="6"/>
    </row>
    <row r="272">
      <c r="A272" s="8" t="s">
        <v>538</v>
      </c>
      <c r="B272" s="12" t="s">
        <v>539</v>
      </c>
      <c r="C272" s="5" t="str">
        <f>IFERROR(__xludf.DUMMYFUNCTION("GOOGLETRANSLATE(B272,""en"",""hi"")"),"0% कमीशन")</f>
        <v>0% कमीशन</v>
      </c>
      <c r="D272" s="6" t="str">
        <f>IFERROR(__xludf.DUMMYFUNCTION("GOOGLETRANSLATE(B272,""en"",""ar"")"),"0 ٪ لجنة")</f>
        <v>0 ٪ لجنة</v>
      </c>
      <c r="E272" s="6" t="str">
        <f>IFERROR(__xludf.DUMMYFUNCTION("GOOGLETRANSLATE(B272,""en"",""fr"")"),"0% de commission")</f>
        <v>0% de commission</v>
      </c>
      <c r="F272" s="6" t="str">
        <f>IFERROR(__xludf.DUMMYFUNCTION("GOOGLETRANSLATE(B272,""en"",""tr"")"),"% 0 Komisyon")</f>
        <v>% 0 Komisyon</v>
      </c>
      <c r="G272" s="6" t="str">
        <f>IFERROR(__xludf.DUMMYFUNCTION("GOOGLETRANSLATE(B272,""en"",""ru"")"),"0% комиссия")</f>
        <v>0% комиссия</v>
      </c>
      <c r="H272" s="6" t="str">
        <f>IFERROR(__xludf.DUMMYFUNCTION("GOOGLETRANSLATE(B272,""en"",""it"")"),"Commissione 0%")</f>
        <v>Commissione 0%</v>
      </c>
      <c r="I272" s="6" t="str">
        <f>IFERROR(__xludf.DUMMYFUNCTION("GOOGLETRANSLATE(B272,""en"",""de"")"),"0% Provision")</f>
        <v>0% Provision</v>
      </c>
      <c r="J272" s="6" t="str">
        <f>IFERROR(__xludf.DUMMYFUNCTION("GOOGLETRANSLATE(B272,""en"",""ko"")"),"0% 커미션")</f>
        <v>0% 커미션</v>
      </c>
      <c r="K272" s="6" t="str">
        <f>IFERROR(__xludf.DUMMYFUNCTION("GOOGLETRANSLATE(B272,""en"",""zh"")"),"0％的佣金")</f>
        <v>0％的佣金</v>
      </c>
      <c r="L272" s="6" t="str">
        <f>IFERROR(__xludf.DUMMYFUNCTION("GOOGLETRANSLATE(B272,""en"",""es"")"),"0% de comisión")</f>
        <v>0% de comisión</v>
      </c>
      <c r="M272" s="7" t="str">
        <f>IFERROR(__xludf.DUMMYFUNCTION("GOOGLETRANSLATE(B272,""en"",""iw"")"),"עמלה 0%")</f>
        <v>עמלה 0%</v>
      </c>
      <c r="N272" s="6" t="str">
        <f>IFERROR(__xludf.DUMMYFUNCTION("GOOGLETRANSLATE(B272,""en"",""bn"")"),"0% কমিশন")</f>
        <v>0% কমিশন</v>
      </c>
      <c r="O272" s="6"/>
      <c r="P272" s="6"/>
    </row>
    <row r="273">
      <c r="A273" s="19" t="s">
        <v>540</v>
      </c>
      <c r="B273" s="9" t="s">
        <v>541</v>
      </c>
      <c r="C273" s="5" t="str">
        <f>IFERROR(__xludf.DUMMYFUNCTION("GOOGLETRANSLATE(B273,""en"",""hi"")"),"आपकी सदस्यता समाप्त हो गई है")</f>
        <v>आपकी सदस्यता समाप्त हो गई है</v>
      </c>
      <c r="D273" s="6" t="str">
        <f>IFERROR(__xludf.DUMMYFUNCTION("GOOGLETRANSLATE(B273,""en"",""ar"")"),"انتهى اشتراكك")</f>
        <v>انتهى اشتراكك</v>
      </c>
      <c r="E273" s="6" t="str">
        <f>IFERROR(__xludf.DUMMYFUNCTION("GOOGLETRANSLATE(B273,""en"",""fr"")"),"Votre abonnement est terminé")</f>
        <v>Votre abonnement est terminé</v>
      </c>
      <c r="F273" s="6" t="str">
        <f>IFERROR(__xludf.DUMMYFUNCTION("GOOGLETRANSLATE(B273,""en"",""tr"")"),"Aboneliğiniz sona erdi")</f>
        <v>Aboneliğiniz sona erdi</v>
      </c>
      <c r="G273" s="6" t="str">
        <f>IFERROR(__xludf.DUMMYFUNCTION("GOOGLETRANSLATE(B273,""en"",""ru"")"),"Ваша подписка заканчивается")</f>
        <v>Ваша подписка заканчивается</v>
      </c>
      <c r="H273" s="6" t="str">
        <f>IFERROR(__xludf.DUMMYFUNCTION("GOOGLETRANSLATE(B273,""en"",""it"")"),"Il tuo abbonamento è terminato")</f>
        <v>Il tuo abbonamento è terminato</v>
      </c>
      <c r="I273" s="6" t="str">
        <f>IFERROR(__xludf.DUMMYFUNCTION("GOOGLETRANSLATE(B273,""en"",""de"")"),"Ihr Abonnement ist beendet")</f>
        <v>Ihr Abonnement ist beendet</v>
      </c>
      <c r="J273" s="6" t="str">
        <f>IFERROR(__xludf.DUMMYFUNCTION("GOOGLETRANSLATE(B273,""en"",""ko"")"),"구독이 종료되었습니다")</f>
        <v>구독이 종료되었습니다</v>
      </c>
      <c r="K273" s="6" t="str">
        <f>IFERROR(__xludf.DUMMYFUNCTION("GOOGLETRANSLATE(B273,""en"",""zh"")"),"您的订阅结束了")</f>
        <v>您的订阅结束了</v>
      </c>
      <c r="L273" s="6" t="str">
        <f>IFERROR(__xludf.DUMMYFUNCTION("GOOGLETRANSLATE(B273,""en"",""es"")"),"Su suscripción finaliza")</f>
        <v>Su suscripción finaliza</v>
      </c>
      <c r="M273" s="7" t="str">
        <f>IFERROR(__xludf.DUMMYFUNCTION("GOOGLETRANSLATE(B273,""en"",""iw"")"),"המנוי שלך מסתיים")</f>
        <v>המנוי שלך מסתיים</v>
      </c>
      <c r="N273" s="6" t="str">
        <f>IFERROR(__xludf.DUMMYFUNCTION("GOOGLETRANSLATE(B273,""en"",""bn"")"),"আপনার সাবস্ক্রিপশন শেষ হয়েছে")</f>
        <v>আপনার সাবস্ক্রিপশন শেষ হয়েছে</v>
      </c>
      <c r="O273" s="6"/>
      <c r="P273" s="6"/>
    </row>
    <row r="274">
      <c r="A274" s="19" t="s">
        <v>542</v>
      </c>
      <c r="B274" s="9" t="s">
        <v>543</v>
      </c>
      <c r="C274" s="5" t="str">
        <f>IFERROR(__xludf.DUMMYFUNCTION("GOOGLETRANSLATE(B274,""en"",""hi"")"),"आपकी सदस्यता समाप्त हो गई है")</f>
        <v>आपकी सदस्यता समाप्त हो गई है</v>
      </c>
      <c r="D274" s="6" t="str">
        <f>IFERROR(__xludf.DUMMYFUNCTION("GOOGLETRANSLATE(B274,""en"",""ar"")"),"لقد انتهى اشتراكك")</f>
        <v>لقد انتهى اشتراكك</v>
      </c>
      <c r="E274" s="6" t="str">
        <f>IFERROR(__xludf.DUMMYFUNCTION("GOOGLETRANSLATE(B274,""en"",""fr"")"),"Votre abonnement s'est terminé")</f>
        <v>Votre abonnement s'est terminé</v>
      </c>
      <c r="F274" s="6" t="str">
        <f>IFERROR(__xludf.DUMMYFUNCTION("GOOGLETRANSLATE(B274,""en"",""tr"")"),"Aboneliğiniz sona erdi")</f>
        <v>Aboneliğiniz sona erdi</v>
      </c>
      <c r="G274" s="6" t="str">
        <f>IFERROR(__xludf.DUMMYFUNCTION("GOOGLETRANSLATE(B274,""en"",""ru"")"),"Ваша подписка закончилась на")</f>
        <v>Ваша подписка закончилась на</v>
      </c>
      <c r="H274" s="6" t="str">
        <f>IFERROR(__xludf.DUMMYFUNCTION("GOOGLETRANSLATE(B274,""en"",""it"")"),"Il tuo abbonamento è finito")</f>
        <v>Il tuo abbonamento è finito</v>
      </c>
      <c r="I274" s="6" t="str">
        <f>IFERROR(__xludf.DUMMYFUNCTION("GOOGLETRANSLATE(B274,""en"",""de"")"),"Ihr Abonnement ist zu Ende gegangen")</f>
        <v>Ihr Abonnement ist zu Ende gegangen</v>
      </c>
      <c r="J274" s="6" t="str">
        <f>IFERROR(__xludf.DUMMYFUNCTION("GOOGLETRANSLATE(B274,""en"",""ko"")"),"구독이 끝났습니다")</f>
        <v>구독이 끝났습니다</v>
      </c>
      <c r="K274" s="6" t="str">
        <f>IFERROR(__xludf.DUMMYFUNCTION("GOOGLETRANSLATE(B274,""en"",""zh"")"),"您的订阅结束了")</f>
        <v>您的订阅结束了</v>
      </c>
      <c r="L274" s="6" t="str">
        <f>IFERROR(__xludf.DUMMYFUNCTION("GOOGLETRANSLATE(B274,""en"",""es"")"),"Su suscripción ha terminado en")</f>
        <v>Su suscripción ha terminado en</v>
      </c>
      <c r="M274" s="7" t="str">
        <f>IFERROR(__xludf.DUMMYFUNCTION("GOOGLETRANSLATE(B274,""en"",""iw"")"),"המנוי שלך הסתיים")</f>
        <v>המנוי שלך הסתיים</v>
      </c>
      <c r="N274" s="6" t="str">
        <f>IFERROR(__xludf.DUMMYFUNCTION("GOOGLETRANSLATE(B274,""en"",""bn"")"),"আপনার সাবস্ক্রিপশন শেষ হয়েছে")</f>
        <v>আপনার সাবস্ক্রিপশন শেষ হয়েছে</v>
      </c>
      <c r="O274" s="6"/>
      <c r="P274" s="6"/>
    </row>
    <row r="275">
      <c r="A275" s="20" t="s">
        <v>544</v>
      </c>
      <c r="B275" s="9" t="s">
        <v>545</v>
      </c>
      <c r="C275" s="5" t="str">
        <f>IFERROR(__xludf.DUMMYFUNCTION("GOOGLETRANSLATE(B275,""en"",""hi"")"),"अभी खरीदो")</f>
        <v>अभी खरीदो</v>
      </c>
      <c r="D275" s="6" t="str">
        <f>IFERROR(__xludf.DUMMYFUNCTION("GOOGLETRANSLATE(B275,""en"",""ar"")"),"شراء الآن")</f>
        <v>شراء الآن</v>
      </c>
      <c r="E275" s="6" t="str">
        <f>IFERROR(__xludf.DUMMYFUNCTION("GOOGLETRANSLATE(B275,""en"",""fr"")"),"Acheter maintenant")</f>
        <v>Acheter maintenant</v>
      </c>
      <c r="F275" s="6" t="str">
        <f>IFERROR(__xludf.DUMMYFUNCTION("GOOGLETRANSLATE(B275,""en"",""tr"")"),"Şimdi satın al")</f>
        <v>Şimdi satın al</v>
      </c>
      <c r="G275" s="6" t="str">
        <f>IFERROR(__xludf.DUMMYFUNCTION("GOOGLETRANSLATE(B275,""en"",""ru"")"),"Купить сейчас")</f>
        <v>Купить сейчас</v>
      </c>
      <c r="H275" s="6" t="str">
        <f>IFERROR(__xludf.DUMMYFUNCTION("GOOGLETRANSLATE(B275,""en"",""it"")"),"Acquista adesso")</f>
        <v>Acquista adesso</v>
      </c>
      <c r="I275" s="6" t="str">
        <f>IFERROR(__xludf.DUMMYFUNCTION("GOOGLETRANSLATE(B275,""en"",""de"")"),"Jetzt kaufen")</f>
        <v>Jetzt kaufen</v>
      </c>
      <c r="J275" s="6" t="str">
        <f>IFERROR(__xludf.DUMMYFUNCTION("GOOGLETRANSLATE(B275,""en"",""ko"")"),"지금 구입")</f>
        <v>지금 구입</v>
      </c>
      <c r="K275" s="6" t="str">
        <f>IFERROR(__xludf.DUMMYFUNCTION("GOOGLETRANSLATE(B275,""en"",""zh"")"),"现在买")</f>
        <v>现在买</v>
      </c>
      <c r="L275" s="6" t="str">
        <f>IFERROR(__xludf.DUMMYFUNCTION("GOOGLETRANSLATE(B275,""en"",""es"")"),"Comprar ahora")</f>
        <v>Comprar ahora</v>
      </c>
      <c r="M275" s="7" t="str">
        <f>IFERROR(__xludf.DUMMYFUNCTION("GOOGLETRANSLATE(B275,""en"",""iw"")"),"קנה עכשיו")</f>
        <v>קנה עכשיו</v>
      </c>
      <c r="N275" s="6" t="str">
        <f>IFERROR(__xludf.DUMMYFUNCTION("GOOGLETRANSLATE(B275,""en"",""bn"")"),"এখনই কিনুন")</f>
        <v>এখনই কিনুন</v>
      </c>
      <c r="O275" s="6"/>
      <c r="P275" s="6"/>
    </row>
    <row r="276">
      <c r="A276" s="20" t="s">
        <v>546</v>
      </c>
      <c r="B276" s="9" t="s">
        <v>547</v>
      </c>
      <c r="C276" s="5" t="str">
        <f>IFERROR(__xludf.DUMMYFUNCTION("GOOGLETRANSLATE(B276,""en"",""hi"")"),"योजनाओं को ब्राउज़ करें")</f>
        <v>योजनाओं को ब्राउज़ करें</v>
      </c>
      <c r="D276" s="6" t="str">
        <f>IFERROR(__xludf.DUMMYFUNCTION("GOOGLETRANSLATE(B276,""en"",""ar"")"),"تصفح الخطط")</f>
        <v>تصفح الخطط</v>
      </c>
      <c r="E276" s="6" t="str">
        <f>IFERROR(__xludf.DUMMYFUNCTION("GOOGLETRANSLATE(B276,""en"",""fr"")"),"Parcourir les plans")</f>
        <v>Parcourir les plans</v>
      </c>
      <c r="F276" s="6" t="str">
        <f>IFERROR(__xludf.DUMMYFUNCTION("GOOGLETRANSLATE(B276,""en"",""tr"")"),"Planlara göz atın")</f>
        <v>Planlara göz atın</v>
      </c>
      <c r="G276" s="6" t="str">
        <f>IFERROR(__xludf.DUMMYFUNCTION("GOOGLETRANSLATE(B276,""en"",""ru"")"),"Просмотрите планы")</f>
        <v>Просмотрите планы</v>
      </c>
      <c r="H276" s="6" t="str">
        <f>IFERROR(__xludf.DUMMYFUNCTION("GOOGLETRANSLATE(B276,""en"",""it"")"),"Sfoglia i piani")</f>
        <v>Sfoglia i piani</v>
      </c>
      <c r="I276" s="6" t="str">
        <f>IFERROR(__xludf.DUMMYFUNCTION("GOOGLETRANSLATE(B276,""en"",""de"")"),"Pläne durchsuchen")</f>
        <v>Pläne durchsuchen</v>
      </c>
      <c r="J276" s="6" t="str">
        <f>IFERROR(__xludf.DUMMYFUNCTION("GOOGLETRANSLATE(B276,""en"",""ko"")"),"계획 검색")</f>
        <v>계획 검색</v>
      </c>
      <c r="K276" s="6" t="str">
        <f>IFERROR(__xludf.DUMMYFUNCTION("GOOGLETRANSLATE(B276,""en"",""zh"")"),"浏览计划")</f>
        <v>浏览计划</v>
      </c>
      <c r="L276" s="6" t="str">
        <f>IFERROR(__xludf.DUMMYFUNCTION("GOOGLETRANSLATE(B276,""en"",""es"")"),"Planificar planes")</f>
        <v>Planificar planes</v>
      </c>
      <c r="M276" s="7" t="str">
        <f>IFERROR(__xludf.DUMMYFUNCTION("GOOGLETRANSLATE(B276,""en"",""iw"")"),"עיין בתוכניות")</f>
        <v>עיין בתוכניות</v>
      </c>
      <c r="N276" s="6" t="str">
        <f>IFERROR(__xludf.DUMMYFUNCTION("GOOGLETRANSLATE(B276,""en"",""bn"")"),"পরিকল্পনা ব্রাউজ")</f>
        <v>পরিকল্পনা ব্রাউজ</v>
      </c>
      <c r="O276" s="6"/>
      <c r="P276" s="6"/>
    </row>
    <row r="277">
      <c r="A277" s="20" t="s">
        <v>548</v>
      </c>
      <c r="B277" s="9" t="s">
        <v>549</v>
      </c>
      <c r="C277" s="5" t="str">
        <f>IFERROR(__xludf.DUMMYFUNCTION("GOOGLETRANSLATE(B277,""en"",""hi"")"),"मासिक योजना")</f>
        <v>मासिक योजना</v>
      </c>
      <c r="D277" s="6" t="str">
        <f>IFERROR(__xludf.DUMMYFUNCTION("GOOGLETRANSLATE(B277,""en"",""ar"")"),"خطة شهرية")</f>
        <v>خطة شهرية</v>
      </c>
      <c r="E277" s="6" t="str">
        <f>IFERROR(__xludf.DUMMYFUNCTION("GOOGLETRANSLATE(B277,""en"",""fr"")"),"Plan mensuel")</f>
        <v>Plan mensuel</v>
      </c>
      <c r="F277" s="6" t="str">
        <f>IFERROR(__xludf.DUMMYFUNCTION("GOOGLETRANSLATE(B277,""en"",""tr"")"),"Aylık plan")</f>
        <v>Aylık plan</v>
      </c>
      <c r="G277" s="6" t="str">
        <f>IFERROR(__xludf.DUMMYFUNCTION("GOOGLETRANSLATE(B277,""en"",""ru"")"),"Ежемесячный план")</f>
        <v>Ежемесячный план</v>
      </c>
      <c r="H277" s="6" t="str">
        <f>IFERROR(__xludf.DUMMYFUNCTION("GOOGLETRANSLATE(B277,""en"",""it"")"),"Piano mensile")</f>
        <v>Piano mensile</v>
      </c>
      <c r="I277" s="6" t="str">
        <f>IFERROR(__xludf.DUMMYFUNCTION("GOOGLETRANSLATE(B277,""en"",""de"")"),"Monatlicher Plan")</f>
        <v>Monatlicher Plan</v>
      </c>
      <c r="J277" s="6" t="str">
        <f>IFERROR(__xludf.DUMMYFUNCTION("GOOGLETRANSLATE(B277,""en"",""ko"")"),"월간 계획")</f>
        <v>월간 계획</v>
      </c>
      <c r="K277" s="6" t="str">
        <f>IFERROR(__xludf.DUMMYFUNCTION("GOOGLETRANSLATE(B277,""en"",""zh"")"),"每月计划")</f>
        <v>每月计划</v>
      </c>
      <c r="L277" s="6" t="str">
        <f>IFERROR(__xludf.DUMMYFUNCTION("GOOGLETRANSLATE(B277,""en"",""es"")"),"Plan mensual")</f>
        <v>Plan mensual</v>
      </c>
      <c r="M277" s="7" t="str">
        <f>IFERROR(__xludf.DUMMYFUNCTION("GOOGLETRANSLATE(B277,""en"",""iw"")"),"תוכנית חודשית")</f>
        <v>תוכנית חודשית</v>
      </c>
      <c r="N277" s="6" t="str">
        <f>IFERROR(__xludf.DUMMYFUNCTION("GOOGLETRANSLATE(B277,""en"",""bn"")"),"মাসিক পরিকল্পনা")</f>
        <v>মাসিক পরিকল্পনা</v>
      </c>
      <c r="O277" s="6"/>
      <c r="P277" s="6"/>
    </row>
    <row r="278">
      <c r="A278" s="19" t="s">
        <v>550</v>
      </c>
      <c r="B278" s="12" t="s">
        <v>551</v>
      </c>
      <c r="C278" s="5" t="str">
        <f>IFERROR(__xludf.DUMMYFUNCTION("GOOGLETRANSLATE(B278,""en"",""hi"")"),"वार्षिक योजना")</f>
        <v>वार्षिक योजना</v>
      </c>
      <c r="D278" s="6" t="str">
        <f>IFERROR(__xludf.DUMMYFUNCTION("GOOGLETRANSLATE(B278,""en"",""ar"")"),"الخطة السنوية")</f>
        <v>الخطة السنوية</v>
      </c>
      <c r="E278" s="6" t="str">
        <f>IFERROR(__xludf.DUMMYFUNCTION("GOOGLETRANSLATE(B278,""en"",""fr"")"),"Plan annuel")</f>
        <v>Plan annuel</v>
      </c>
      <c r="F278" s="6" t="str">
        <f>IFERROR(__xludf.DUMMYFUNCTION("GOOGLETRANSLATE(B278,""en"",""tr"")"),"Yıllık Plan")</f>
        <v>Yıllık Plan</v>
      </c>
      <c r="G278" s="6" t="str">
        <f>IFERROR(__xludf.DUMMYFUNCTION("GOOGLETRANSLATE(B278,""en"",""ru"")"),"Годовой план")</f>
        <v>Годовой план</v>
      </c>
      <c r="H278" s="6" t="str">
        <f>IFERROR(__xludf.DUMMYFUNCTION("GOOGLETRANSLATE(B278,""en"",""it"")"),"Piano annuale")</f>
        <v>Piano annuale</v>
      </c>
      <c r="I278" s="6" t="str">
        <f>IFERROR(__xludf.DUMMYFUNCTION("GOOGLETRANSLATE(B278,""en"",""de"")"),"Jährlicher Plan")</f>
        <v>Jährlicher Plan</v>
      </c>
      <c r="J278" s="6" t="str">
        <f>IFERROR(__xludf.DUMMYFUNCTION("GOOGLETRANSLATE(B278,""en"",""ko"")"),"연간 계획")</f>
        <v>연간 계획</v>
      </c>
      <c r="K278" s="6" t="str">
        <f>IFERROR(__xludf.DUMMYFUNCTION("GOOGLETRANSLATE(B278,""en"",""zh"")"),"年度计划")</f>
        <v>年度计划</v>
      </c>
      <c r="L278" s="6" t="str">
        <f>IFERROR(__xludf.DUMMYFUNCTION("GOOGLETRANSLATE(B278,""en"",""es"")"),"Plan anual")</f>
        <v>Plan anual</v>
      </c>
      <c r="M278" s="7" t="str">
        <f>IFERROR(__xludf.DUMMYFUNCTION("GOOGLETRANSLATE(B278,""en"",""iw"")"),"תוכנית שנתית")</f>
        <v>תוכנית שנתית</v>
      </c>
      <c r="N278" s="6" t="str">
        <f>IFERROR(__xludf.DUMMYFUNCTION("GOOGLETRANSLATE(B278,""en"",""bn"")"),"বার্ষিক পরিকল্পনা")</f>
        <v>বার্ষিক পরিকল্পনা</v>
      </c>
      <c r="O278" s="6"/>
      <c r="P278" s="6"/>
    </row>
    <row r="279">
      <c r="A279" s="8" t="s">
        <v>552</v>
      </c>
      <c r="B279" s="12" t="s">
        <v>553</v>
      </c>
      <c r="C279" s="5" t="str">
        <f>IFERROR(__xludf.DUMMYFUNCTION("GOOGLETRANSLATE(B279,""en"",""hi"")"),"पर सवारी की गई")</f>
        <v>पर सवारी की गई</v>
      </c>
      <c r="D279" s="6" t="str">
        <f>IFERROR(__xludf.DUMMYFUNCTION("GOOGLETRANSLATE(B279,""en"",""ar"")"),"ركوب جدولة في")</f>
        <v>ركوب جدولة في</v>
      </c>
      <c r="E279" s="6" t="str">
        <f>IFERROR(__xludf.DUMMYFUNCTION("GOOGLETRANSLATE(B279,""en"",""fr"")"),"Rouler prévu à")</f>
        <v>Rouler prévu à</v>
      </c>
      <c r="F279" s="6" t="str">
        <f>IFERROR(__xludf.DUMMYFUNCTION("GOOGLETRANSLATE(B279,""en"",""tr"")"),"Planlanan sürüş")</f>
        <v>Planlanan sürüş</v>
      </c>
      <c r="G279" s="6" t="str">
        <f>IFERROR(__xludf.DUMMYFUNCTION("GOOGLETRANSLATE(B279,""en"",""ru"")"),"Езда запланирована в")</f>
        <v>Езда запланирована в</v>
      </c>
      <c r="H279" s="6" t="str">
        <f>IFERROR(__xludf.DUMMYFUNCTION("GOOGLETRANSLATE(B279,""en"",""it"")"),"Cavalcare in programma a")</f>
        <v>Cavalcare in programma a</v>
      </c>
      <c r="I279" s="6" t="str">
        <f>IFERROR(__xludf.DUMMYFUNCTION("GOOGLETRANSLATE(B279,""en"",""de"")"),"Fahrt geplant bei")</f>
        <v>Fahrt geplant bei</v>
      </c>
      <c r="J279" s="6" t="str">
        <f>IFERROR(__xludf.DUMMYFUNCTION("GOOGLETRANSLATE(B279,""en"",""ko"")"),"예정된 태도")</f>
        <v>예정된 태도</v>
      </c>
      <c r="K279" s="6" t="str">
        <f>IFERROR(__xludf.DUMMYFUNCTION("GOOGLETRANSLATE(B279,""en"",""zh"")"),"乘车安排在")</f>
        <v>乘车安排在</v>
      </c>
      <c r="L279" s="6" t="str">
        <f>IFERROR(__xludf.DUMMYFUNCTION("GOOGLETRANSLATE(B279,""en"",""es"")"),"Viaje programado en")</f>
        <v>Viaje programado en</v>
      </c>
      <c r="M279" s="7" t="str">
        <f>IFERROR(__xludf.DUMMYFUNCTION("GOOGLETRANSLATE(B279,""en"",""iw"")"),"רכיבה מתוכננת ב")</f>
        <v>רכיבה מתוכננת ב</v>
      </c>
      <c r="N279" s="6" t="str">
        <f>IFERROR(__xludf.DUMMYFUNCTION("GOOGLETRANSLATE(B279,""en"",""bn"")"),"রাইড নির্ধারিত")</f>
        <v>রাইড নির্ধারিত</v>
      </c>
      <c r="O279" s="6"/>
      <c r="P279" s="6"/>
    </row>
    <row r="280">
      <c r="A280" s="8" t="s">
        <v>554</v>
      </c>
      <c r="B280" s="12" t="s">
        <v>555</v>
      </c>
      <c r="C280" s="5" t="str">
        <f>IFERROR(__xludf.DUMMYFUNCTION("GOOGLETRANSLATE(B280,""en"",""hi"")"),"रद्द करें सवारी")</f>
        <v>रद्द करें सवारी</v>
      </c>
      <c r="D280" s="6" t="str">
        <f>IFERROR(__xludf.DUMMYFUNCTION("GOOGLETRANSLATE(B280,""en"",""ar"")"),"إلغاء ركوب")</f>
        <v>إلغاء ركوب</v>
      </c>
      <c r="E280" s="6" t="str">
        <f>IFERROR(__xludf.DUMMYFUNCTION("GOOGLETRANSLATE(B280,""en"",""fr"")"),"Annuler")</f>
        <v>Annuler</v>
      </c>
      <c r="F280" s="6" t="str">
        <f>IFERROR(__xludf.DUMMYFUNCTION("GOOGLETRANSLATE(B280,""en"",""tr"")"),"Sürüşü İptal Et")</f>
        <v>Sürüşü İptal Et</v>
      </c>
      <c r="G280" s="6" t="str">
        <f>IFERROR(__xludf.DUMMYFUNCTION("GOOGLETRANSLATE(B280,""en"",""ru"")"),"Отменить поездку")</f>
        <v>Отменить поездку</v>
      </c>
      <c r="H280" s="6" t="str">
        <f>IFERROR(__xludf.DUMMYFUNCTION("GOOGLETRANSLATE(B280,""en"",""it"")"),"Annulla Ride")</f>
        <v>Annulla Ride</v>
      </c>
      <c r="I280" s="6" t="str">
        <f>IFERROR(__xludf.DUMMYFUNCTION("GOOGLETRANSLATE(B280,""en"",""de"")"),"Fahrt abbrechen")</f>
        <v>Fahrt abbrechen</v>
      </c>
      <c r="J280" s="6" t="str">
        <f>IFERROR(__xludf.DUMMYFUNCTION("GOOGLETRANSLATE(B280,""en"",""ko"")"),"타기 취소")</f>
        <v>타기 취소</v>
      </c>
      <c r="K280" s="6" t="str">
        <f>IFERROR(__xludf.DUMMYFUNCTION("GOOGLETRANSLATE(B280,""en"",""zh"")"),"取消骑行")</f>
        <v>取消骑行</v>
      </c>
      <c r="L280" s="6" t="str">
        <f>IFERROR(__xludf.DUMMYFUNCTION("GOOGLETRANSLATE(B280,""en"",""es"")"),"Cancelar un paseo")</f>
        <v>Cancelar un paseo</v>
      </c>
      <c r="M280" s="7" t="str">
        <f>IFERROR(__xludf.DUMMYFUNCTION("GOOGLETRANSLATE(B280,""en"",""iw"")"),"בטל את הנסיעה")</f>
        <v>בטל את הנסיעה</v>
      </c>
      <c r="N280" s="6" t="str">
        <f>IFERROR(__xludf.DUMMYFUNCTION("GOOGLETRANSLATE(B280,""en"",""bn"")"),"যাত্রা বাতিল করুন")</f>
        <v>যাত্রা বাতিল করুন</v>
      </c>
      <c r="O280" s="6"/>
      <c r="P280" s="6"/>
    </row>
    <row r="281">
      <c r="A281" s="8" t="s">
        <v>556</v>
      </c>
      <c r="B281" s="21" t="s">
        <v>557</v>
      </c>
      <c r="C281" s="5" t="str">
        <f>IFERROR(__xludf.DUMMYFUNCTION("GOOGLETRANSLATE(B281,""en"",""hi"")"),"सवारी जारी रखने के लिए एक योजना की सदस्यता लें")</f>
        <v>सवारी जारी रखने के लिए एक योजना की सदस्यता लें</v>
      </c>
      <c r="D281" s="6" t="str">
        <f>IFERROR(__xludf.DUMMYFUNCTION("GOOGLETRANSLATE(B281,""en"",""ar"")"),"اشترك في خطة لمواصلة الحصول على ركوب الخيل")</f>
        <v>اشترك في خطة لمواصلة الحصول على ركوب الخيل</v>
      </c>
      <c r="E281" s="6" t="str">
        <f>IFERROR(__xludf.DUMMYFUNCTION("GOOGLETRANSLATE(B281,""en"",""fr"")"),"Abonnez-vous un plan pour continuer à faire des manèges")</f>
        <v>Abonnez-vous un plan pour continuer à faire des manèges</v>
      </c>
      <c r="F281" s="6" t="str">
        <f>IFERROR(__xludf.DUMMYFUNCTION("GOOGLETRANSLATE(B281,""en"",""tr"")"),"Sürmeye devam etmek için bir plana abone olun")</f>
        <v>Sürmeye devam etmek için bir plana abone olun</v>
      </c>
      <c r="G281" s="6" t="str">
        <f>IFERROR(__xludf.DUMMYFUNCTION("GOOGLETRANSLATE(B281,""en"",""ru"")"),"Подпишитесь на план продолжения поездки")</f>
        <v>Подпишитесь на план продолжения поездки</v>
      </c>
      <c r="H281" s="6" t="str">
        <f>IFERROR(__xludf.DUMMYFUNCTION("GOOGLETRANSLATE(B281,""en"",""it"")"),"Iscriviti a un piano per continuare a ottenere corse")</f>
        <v>Iscriviti a un piano per continuare a ottenere corse</v>
      </c>
      <c r="I281" s="6" t="str">
        <f>IFERROR(__xludf.DUMMYFUNCTION("GOOGLETRANSLATE(B281,""en"",""de"")"),"Abonnieren Sie einen Plan, um weiterhin Fahrten zu erhalten")</f>
        <v>Abonnieren Sie einen Plan, um weiterhin Fahrten zu erhalten</v>
      </c>
      <c r="J281" s="6" t="str">
        <f>IFERROR(__xludf.DUMMYFUNCTION("GOOGLETRANSLATE(B281,""en"",""ko"")"),"계속 타기위한 계획을 구독하십시오")</f>
        <v>계속 타기위한 계획을 구독하십시오</v>
      </c>
      <c r="K281" s="6" t="str">
        <f>IFERROR(__xludf.DUMMYFUNCTION("GOOGLETRANSLATE(B281,""en"",""zh"")"),"订阅一个继续乘车的计划")</f>
        <v>订阅一个继续乘车的计划</v>
      </c>
      <c r="L281" s="6" t="str">
        <f>IFERROR(__xludf.DUMMYFUNCTION("GOOGLETRANSLATE(B281,""en"",""es"")"),"Suscribir un plan para continuar recibiendo viajes")</f>
        <v>Suscribir un plan para continuar recibiendo viajes</v>
      </c>
      <c r="M281" s="7" t="str">
        <f>IFERROR(__xludf.DUMMYFUNCTION("GOOGLETRANSLATE(B281,""en"",""iw"")"),"הירשם תוכנית להמשך רכיבות")</f>
        <v>הירשם תוכנית להמשך רכיבות</v>
      </c>
      <c r="N281" s="6" t="str">
        <f>IFERROR(__xludf.DUMMYFUNCTION("GOOGLETRANSLATE(B281,""en"",""bn"")"),"যাত্রা চালিয়ে যাওয়ার জন্য একটি পরিকল্পনা সাবস্ক্রাইব করুন")</f>
        <v>যাত্রা চালিয়ে যাওয়ার জন্য একটি পরিকল্পনা সাবস্ক্রাইব করুন</v>
      </c>
      <c r="O281" s="6"/>
      <c r="P281" s="6"/>
    </row>
    <row r="282">
      <c r="A282" s="8" t="s">
        <v>558</v>
      </c>
      <c r="B282" s="9" t="s">
        <v>559</v>
      </c>
      <c r="C282" s="5" t="str">
        <f>IFERROR(__xludf.DUMMYFUNCTION("GOOGLETRANSLATE(B282,""en"",""hi"")"),"शिकायतें करना")</f>
        <v>शिकायतें करना</v>
      </c>
      <c r="D282" s="6" t="str">
        <f>IFERROR(__xludf.DUMMYFUNCTION("GOOGLETRANSLATE(B282,""en"",""ar"")"),"تقديم شكاوى")</f>
        <v>تقديم شكاوى</v>
      </c>
      <c r="E282" s="6" t="str">
        <f>IFERROR(__xludf.DUMMYFUNCTION("GOOGLETRANSLATE(B282,""en"",""fr"")"),"Faire des plaintes")</f>
        <v>Faire des plaintes</v>
      </c>
      <c r="F282" s="6" t="str">
        <f>IFERROR(__xludf.DUMMYFUNCTION("GOOGLETRANSLATE(B282,""en"",""tr"")"),"Şikayette bulunmak")</f>
        <v>Şikayette bulunmak</v>
      </c>
      <c r="G282" s="6" t="str">
        <f>IFERROR(__xludf.DUMMYFUNCTION("GOOGLETRANSLATE(B282,""en"",""ru"")"),"Подавать жалобы")</f>
        <v>Подавать жалобы</v>
      </c>
      <c r="H282" s="6" t="str">
        <f>IFERROR(__xludf.DUMMYFUNCTION("GOOGLETRANSLATE(B282,""en"",""it"")"),"Fare lamentele")</f>
        <v>Fare lamentele</v>
      </c>
      <c r="I282" s="6" t="str">
        <f>IFERROR(__xludf.DUMMYFUNCTION("GOOGLETRANSLATE(B282,""en"",""de"")"),"Beschwerden machen")</f>
        <v>Beschwerden machen</v>
      </c>
      <c r="J282" s="6" t="str">
        <f>IFERROR(__xludf.DUMMYFUNCTION("GOOGLETRANSLATE(B282,""en"",""ko"")"),"불만을 제기하십시오")</f>
        <v>불만을 제기하십시오</v>
      </c>
      <c r="K282" s="6" t="str">
        <f>IFERROR(__xludf.DUMMYFUNCTION("GOOGLETRANSLATE(B282,""en"",""zh"")"),"吐槽")</f>
        <v>吐槽</v>
      </c>
      <c r="L282" s="6" t="str">
        <f>IFERROR(__xludf.DUMMYFUNCTION("GOOGLETRANSLATE(B282,""en"",""es"")"),"Hacer quejas")</f>
        <v>Hacer quejas</v>
      </c>
      <c r="M282" s="7" t="str">
        <f>IFERROR(__xludf.DUMMYFUNCTION("GOOGLETRANSLATE(B282,""en"",""iw"")"),"להעלות תלונות")</f>
        <v>להעלות תלונות</v>
      </c>
      <c r="N282" s="6" t="str">
        <f>IFERROR(__xludf.DUMMYFUNCTION("GOOGLETRANSLATE(B282,""en"",""bn"")"),"অভিযোগ করুন")</f>
        <v>অভিযোগ করুন</v>
      </c>
      <c r="O282" s="6"/>
      <c r="P282" s="6"/>
    </row>
    <row r="283">
      <c r="A283" s="8" t="s">
        <v>560</v>
      </c>
      <c r="B283" s="12" t="s">
        <v>561</v>
      </c>
      <c r="C283" s="5" t="str">
        <f>IFERROR(__xludf.DUMMYFUNCTION("GOOGLETRANSLATE(B283,""en"",""hi"")"),"प्रकार चुनने के लिए नीचे क्लिक करें")</f>
        <v>प्रकार चुनने के लिए नीचे क्लिक करें</v>
      </c>
      <c r="D283" s="6" t="str">
        <f>IFERROR(__xludf.DUMMYFUNCTION("GOOGLETRANSLATE(B283,""en"",""ar"")"),"انقر أدناه لاختيار الكتابة")</f>
        <v>انقر أدناه لاختيار الكتابة</v>
      </c>
      <c r="E283" s="6" t="str">
        <f>IFERROR(__xludf.DUMMYFUNCTION("GOOGLETRANSLATE(B283,""en"",""fr"")"),"Cliquez ci-dessous pour choisir le type")</f>
        <v>Cliquez ci-dessous pour choisir le type</v>
      </c>
      <c r="F283" s="6" t="str">
        <f>IFERROR(__xludf.DUMMYFUNCTION("GOOGLETRANSLATE(B283,""en"",""tr"")"),"Türü seçmek için aşağıya tıklayın")</f>
        <v>Türü seçmek için aşağıya tıklayın</v>
      </c>
      <c r="G283" s="6" t="str">
        <f>IFERROR(__xludf.DUMMYFUNCTION("GOOGLETRANSLATE(B283,""en"",""ru"")"),"Нажмите ниже, чтобы выбрать тип")</f>
        <v>Нажмите ниже, чтобы выбрать тип</v>
      </c>
      <c r="H283" s="6" t="str">
        <f>IFERROR(__xludf.DUMMYFUNCTION("GOOGLETRANSLATE(B283,""en"",""it"")"),"Fai clic di seguito per scegliere Digita")</f>
        <v>Fai clic di seguito per scegliere Digita</v>
      </c>
      <c r="I283" s="6" t="str">
        <f>IFERROR(__xludf.DUMMYFUNCTION("GOOGLETRANSLATE(B283,""en"",""de"")"),"Klicken Sie unten, um den Typ auszuwählen")</f>
        <v>Klicken Sie unten, um den Typ auszuwählen</v>
      </c>
      <c r="J283" s="6" t="str">
        <f>IFERROR(__xludf.DUMMYFUNCTION("GOOGLETRANSLATE(B283,""en"",""ko"")"),"유형을 선택하려면 아래를 클릭하십시오")</f>
        <v>유형을 선택하려면 아래를 클릭하십시오</v>
      </c>
      <c r="K283" s="6" t="str">
        <f>IFERROR(__xludf.DUMMYFUNCTION("GOOGLETRANSLATE(B283,""en"",""zh"")"),"单击下面选择类型")</f>
        <v>单击下面选择类型</v>
      </c>
      <c r="L283" s="6" t="str">
        <f>IFERROR(__xludf.DUMMYFUNCTION("GOOGLETRANSLATE(B283,""en"",""es"")"),"Haga clic a continuación para elegir el tipo")</f>
        <v>Haga clic a continuación para elegir el tipo</v>
      </c>
      <c r="M283" s="7" t="str">
        <f>IFERROR(__xludf.DUMMYFUNCTION("GOOGLETRANSLATE(B283,""en"",""iw"")"),"לחץ למטה כדי לבחור סוג")</f>
        <v>לחץ למטה כדי לבחור סוג</v>
      </c>
      <c r="N283" s="6" t="str">
        <f>IFERROR(__xludf.DUMMYFUNCTION("GOOGLETRANSLATE(B283,""en"",""bn"")"),"প্রকার চয়ন করতে নীচে ক্লিক করুন")</f>
        <v>প্রকার চয়ন করতে নীচে ক্লিক করুন</v>
      </c>
      <c r="O283" s="6"/>
      <c r="P283" s="6"/>
    </row>
    <row r="284">
      <c r="A284" s="8" t="s">
        <v>562</v>
      </c>
      <c r="B284" s="12" t="s">
        <v>563</v>
      </c>
      <c r="C284" s="5" t="str">
        <f>IFERROR(__xludf.DUMMYFUNCTION("GOOGLETRANSLATE(B284,""en"",""hi"")"),"अपनी शिकायत यहाँ लिखें")</f>
        <v>अपनी शिकायत यहाँ लिखें</v>
      </c>
      <c r="D284" s="6" t="str">
        <f>IFERROR(__xludf.DUMMYFUNCTION("GOOGLETRANSLATE(B284,""en"",""ar"")"),"اكتب شكواك هنا")</f>
        <v>اكتب شكواك هنا</v>
      </c>
      <c r="E284" s="6" t="str">
        <f>IFERROR(__xludf.DUMMYFUNCTION("GOOGLETRANSLATE(B284,""en"",""fr"")"),"Écrivez votre plainte ici")</f>
        <v>Écrivez votre plainte ici</v>
      </c>
      <c r="F284" s="6" t="str">
        <f>IFERROR(__xludf.DUMMYFUNCTION("GOOGLETRANSLATE(B284,""en"",""tr"")"),"Şikayetinizi buraya yazın")</f>
        <v>Şikayetinizi buraya yazın</v>
      </c>
      <c r="G284" s="6" t="str">
        <f>IFERROR(__xludf.DUMMYFUNCTION("GOOGLETRANSLATE(B284,""en"",""ru"")"),"Напишите здесь свою жалобу")</f>
        <v>Напишите здесь свою жалобу</v>
      </c>
      <c r="H284" s="6" t="str">
        <f>IFERROR(__xludf.DUMMYFUNCTION("GOOGLETRANSLATE(B284,""en"",""it"")"),"Scrivi la tua lamentela qui")</f>
        <v>Scrivi la tua lamentela qui</v>
      </c>
      <c r="I284" s="6" t="str">
        <f>IFERROR(__xludf.DUMMYFUNCTION("GOOGLETRANSLATE(B284,""en"",""de"")"),"Schreiben Sie hier Ihre Beschwerde")</f>
        <v>Schreiben Sie hier Ihre Beschwerde</v>
      </c>
      <c r="J284" s="6" t="str">
        <f>IFERROR(__xludf.DUMMYFUNCTION("GOOGLETRANSLATE(B284,""en"",""ko"")"),"여기에 불만을 작성하십시오")</f>
        <v>여기에 불만을 작성하십시오</v>
      </c>
      <c r="K284" s="6" t="str">
        <f>IFERROR(__xludf.DUMMYFUNCTION("GOOGLETRANSLATE(B284,""en"",""zh"")"),"在这里写你的投诉")</f>
        <v>在这里写你的投诉</v>
      </c>
      <c r="L284" s="6" t="str">
        <f>IFERROR(__xludf.DUMMYFUNCTION("GOOGLETRANSLATE(B284,""en"",""es"")"),"Escribe tu queja aquí")</f>
        <v>Escribe tu queja aquí</v>
      </c>
      <c r="M284" s="7" t="str">
        <f>IFERROR(__xludf.DUMMYFUNCTION("GOOGLETRANSLATE(B284,""en"",""iw"")"),"כתוב את התלונה שלך כאן")</f>
        <v>כתוב את התלונה שלך כאן</v>
      </c>
      <c r="N284" s="6" t="str">
        <f>IFERROR(__xludf.DUMMYFUNCTION("GOOGLETRANSLATE(B284,""en"",""bn"")"),"আপনার অভিযোগ এখানে লিখুন")</f>
        <v>আপনার অভিযোগ এখানে লিখুন</v>
      </c>
      <c r="O284" s="6"/>
      <c r="P284" s="6"/>
    </row>
    <row r="285">
      <c r="A285" s="8" t="s">
        <v>564</v>
      </c>
      <c r="B285" s="9" t="s">
        <v>565</v>
      </c>
      <c r="C285" s="5" t="str">
        <f>IFERROR(__xludf.DUMMYFUNCTION("GOOGLETRANSLATE(B285,""en"",""hi"")"),"हमें सफलतापूर्वक आपकी चिंता हो गई ...")</f>
        <v>हमें सफलतापूर्वक आपकी चिंता हो गई ...</v>
      </c>
      <c r="D285" s="6" t="str">
        <f>IFERROR(__xludf.DUMMYFUNCTION("GOOGLETRANSLATE(B285,""en"",""ar"")"),"لقد نجحنا في قلقك ...")</f>
        <v>لقد نجحنا في قلقك ...</v>
      </c>
      <c r="E285" s="6" t="str">
        <f>IFERROR(__xludf.DUMMYFUNCTION("GOOGLETRANSLATE(B285,""en"",""fr"")"),"Nous avons réussi à obtenir votre préoccupation ...")</f>
        <v>Nous avons réussi à obtenir votre préoccupation ...</v>
      </c>
      <c r="F285" s="6" t="str">
        <f>IFERROR(__xludf.DUMMYFUNCTION("GOOGLETRANSLATE(B285,""en"",""tr"")"),"Endişenizi başarıyla aldık ...")</f>
        <v>Endişenizi başarıyla aldık ...</v>
      </c>
      <c r="G285" s="6" t="str">
        <f>IFERROR(__xludf.DUMMYFUNCTION("GOOGLETRANSLATE(B285,""en"",""ru"")"),"Мы успешно вызвали вашу озабоченность ...")</f>
        <v>Мы успешно вызвали вашу озабоченность ...</v>
      </c>
      <c r="H285" s="6" t="str">
        <f>IFERROR(__xludf.DUMMYFUNCTION("GOOGLETRANSLATE(B285,""en"",""it"")"),"Abbiamo ottenuto con successo la tua preoccupazione ...")</f>
        <v>Abbiamo ottenuto con successo la tua preoccupazione ...</v>
      </c>
      <c r="I285" s="6" t="str">
        <f>IFERROR(__xludf.DUMMYFUNCTION("GOOGLETRANSLATE(B285,""en"",""de"")"),"Wir haben erfolgreich Ihre Besorgnis bekommen ...")</f>
        <v>Wir haben erfolgreich Ihre Besorgnis bekommen ...</v>
      </c>
      <c r="J285" s="6" t="str">
        <f>IFERROR(__xludf.DUMMYFUNCTION("GOOGLETRANSLATE(B285,""en"",""ko"")"),"우리는 당신의 우려를 성공적으로 얻었습니다 ...")</f>
        <v>우리는 당신의 우려를 성공적으로 얻었습니다 ...</v>
      </c>
      <c r="K285" s="6" t="str">
        <f>IFERROR(__xludf.DUMMYFUNCTION("GOOGLETRANSLATE(B285,""en"",""zh"")"),"我们成功地引起了您的关注...")</f>
        <v>我们成功地引起了您的关注...</v>
      </c>
      <c r="L285" s="6" t="str">
        <f>IFERROR(__xludf.DUMMYFUNCTION("GOOGLETRANSLATE(B285,""en"",""es"")"),"Tenemos su preocupación con éxito ...")</f>
        <v>Tenemos su preocupación con éxito ...</v>
      </c>
      <c r="M285" s="7" t="str">
        <f>IFERROR(__xludf.DUMMYFUNCTION("GOOGLETRANSLATE(B285,""en"",""iw"")"),"בהצלחה יש לנו את הדאגה שלך ...")</f>
        <v>בהצלחה יש לנו את הדאגה שלך ...</v>
      </c>
      <c r="N285" s="6" t="str">
        <f>IFERROR(__xludf.DUMMYFUNCTION("GOOGLETRANSLATE(B285,""en"",""bn"")"),"আমরা সফলভাবে আপনার উদ্বেগ পেয়েছি ...")</f>
        <v>আমরা সফলভাবে আপনার উদ্বেগ পেয়েছি ...</v>
      </c>
      <c r="O285" s="6"/>
      <c r="P285" s="6"/>
    </row>
    <row r="286">
      <c r="A286" s="18" t="s">
        <v>566</v>
      </c>
      <c r="B286" s="21" t="s">
        <v>567</v>
      </c>
      <c r="C286" s="5" t="str">
        <f>IFERROR(__xludf.DUMMYFUNCTION("GOOGLETRANSLATE(B286,""en"",""hi"")"),"हम आपको जल्द मिलेंगे")</f>
        <v>हम आपको जल्द मिलेंगे</v>
      </c>
      <c r="D286" s="6" t="str">
        <f>IFERROR(__xludf.DUMMYFUNCTION("GOOGLETRANSLATE(B286,""en"",""ar"")"),"سنحصل عليك عاجلاً")</f>
        <v>سنحصل عليك عاجلاً</v>
      </c>
      <c r="E286" s="6" t="str">
        <f>IFERROR(__xludf.DUMMYFUNCTION("GOOGLETRANSLATE(B286,""en"",""fr"")"),"Nous vous obtiendrons plus tôt")</f>
        <v>Nous vous obtiendrons plus tôt</v>
      </c>
      <c r="F286" s="6" t="str">
        <f>IFERROR(__xludf.DUMMYFUNCTION("GOOGLETRANSLATE(B286,""en"",""tr"")"),"Seni daha erken alacağız")</f>
        <v>Seni daha erken alacağız</v>
      </c>
      <c r="G286" s="6" t="str">
        <f>IFERROR(__xludf.DUMMYFUNCTION("GOOGLETRANSLATE(B286,""en"",""ru"")"),"Мы доставим вас раньше")</f>
        <v>Мы доставим вас раньше</v>
      </c>
      <c r="H286" s="6" t="str">
        <f>IFERROR(__xludf.DUMMYFUNCTION("GOOGLETRANSLATE(B286,""en"",""it"")"),"Ti prenderemo prima")</f>
        <v>Ti prenderemo prima</v>
      </c>
      <c r="I286" s="6" t="str">
        <f>IFERROR(__xludf.DUMMYFUNCTION("GOOGLETRANSLATE(B286,""en"",""de"")"),"Wir werden Sie früher besorgen")</f>
        <v>Wir werden Sie früher besorgen</v>
      </c>
      <c r="J286" s="6" t="str">
        <f>IFERROR(__xludf.DUMMYFUNCTION("GOOGLETRANSLATE(B286,""en"",""ko"")"),"우리는 당신을 더 빨리 데려 갈 것입니다")</f>
        <v>우리는 당신을 더 빨리 데려 갈 것입니다</v>
      </c>
      <c r="K286" s="6" t="str">
        <f>IFERROR(__xludf.DUMMYFUNCTION("GOOGLETRANSLATE(B286,""en"",""zh"")"),"我们会尽快给你")</f>
        <v>我们会尽快给你</v>
      </c>
      <c r="L286" s="6" t="str">
        <f>IFERROR(__xludf.DUMMYFUNCTION("GOOGLETRANSLATE(B286,""en"",""es"")"),"Te conseguiremos antes")</f>
        <v>Te conseguiremos antes</v>
      </c>
      <c r="M286" s="7" t="str">
        <f>IFERROR(__xludf.DUMMYFUNCTION("GOOGLETRANSLATE(B286,""en"",""iw"")"),"אנו נביא אותך מוקדם יותר")</f>
        <v>אנו נביא אותך מוקדם יותר</v>
      </c>
      <c r="N286" s="6" t="str">
        <f>IFERROR(__xludf.DUMMYFUNCTION("GOOGLETRANSLATE(B286,""en"",""bn"")"),"আমরা আপনাকে শীঘ্রই পেয়ে যাব")</f>
        <v>আমরা আপনাকে শীঘ্রই পেয়ে যাব</v>
      </c>
      <c r="O286" s="6"/>
      <c r="P286" s="6"/>
    </row>
    <row r="287">
      <c r="A287" s="8" t="s">
        <v>568</v>
      </c>
      <c r="B287" s="12" t="s">
        <v>569</v>
      </c>
      <c r="C287" s="5" t="str">
        <f>IFERROR(__xludf.DUMMYFUNCTION("GOOGLETRANSLATE(B287,""en"",""hi"")"),"धन्यवाद")</f>
        <v>धन्यवाद</v>
      </c>
      <c r="D287" s="6" t="str">
        <f>IFERROR(__xludf.DUMMYFUNCTION("GOOGLETRANSLATE(B287,""en"",""ar"")"),"شكرا لك")</f>
        <v>شكرا لك</v>
      </c>
      <c r="E287" s="6" t="str">
        <f>IFERROR(__xludf.DUMMYFUNCTION("GOOGLETRANSLATE(B287,""en"",""fr"")"),"Merci")</f>
        <v>Merci</v>
      </c>
      <c r="F287" s="6" t="str">
        <f>IFERROR(__xludf.DUMMYFUNCTION("GOOGLETRANSLATE(B287,""en"",""tr"")"),"Teşekkürler")</f>
        <v>Teşekkürler</v>
      </c>
      <c r="G287" s="6" t="str">
        <f>IFERROR(__xludf.DUMMYFUNCTION("GOOGLETRANSLATE(B287,""en"",""ru"")"),"Благодарю вас")</f>
        <v>Благодарю вас</v>
      </c>
      <c r="H287" s="6" t="str">
        <f>IFERROR(__xludf.DUMMYFUNCTION("GOOGLETRANSLATE(B287,""en"",""it"")"),"Grazie")</f>
        <v>Grazie</v>
      </c>
      <c r="I287" s="6" t="str">
        <f>IFERROR(__xludf.DUMMYFUNCTION("GOOGLETRANSLATE(B287,""en"",""de"")"),"Danke")</f>
        <v>Danke</v>
      </c>
      <c r="J287" s="6" t="str">
        <f>IFERROR(__xludf.DUMMYFUNCTION("GOOGLETRANSLATE(B287,""en"",""ko"")"),"감사합니다")</f>
        <v>감사합니다</v>
      </c>
      <c r="K287" s="6" t="str">
        <f>IFERROR(__xludf.DUMMYFUNCTION("GOOGLETRANSLATE(B287,""en"",""zh"")"),"谢谢你")</f>
        <v>谢谢你</v>
      </c>
      <c r="L287" s="6" t="str">
        <f>IFERROR(__xludf.DUMMYFUNCTION("GOOGLETRANSLATE(B287,""en"",""es"")"),"Gracias")</f>
        <v>Gracias</v>
      </c>
      <c r="M287" s="7" t="str">
        <f>IFERROR(__xludf.DUMMYFUNCTION("GOOGLETRANSLATE(B287,""en"",""iw"")"),"תודה")</f>
        <v>תודה</v>
      </c>
      <c r="N287" s="6" t="str">
        <f>IFERROR(__xludf.DUMMYFUNCTION("GOOGLETRANSLATE(B287,""en"",""bn"")"),"ধন্যবাদ")</f>
        <v>ধন্যবাদ</v>
      </c>
      <c r="O287" s="6"/>
      <c r="P287" s="6"/>
    </row>
    <row r="288">
      <c r="A288" s="8" t="s">
        <v>570</v>
      </c>
      <c r="B288" s="9" t="s">
        <v>571</v>
      </c>
      <c r="C288" s="5" t="str">
        <f>IFERROR(__xludf.DUMMYFUNCTION("GOOGLETRANSLATE(B288,""en"",""hi"")"),"न्यूनतम 10 वर्ण")</f>
        <v>न्यूनतम 10 वर्ण</v>
      </c>
      <c r="D288" s="6" t="str">
        <f>IFERROR(__xludf.DUMMYFUNCTION("GOOGLETRANSLATE(B288,""en"",""ar"")"),"الحد الأدنى 10 أحرف")</f>
        <v>الحد الأدنى 10 أحرف</v>
      </c>
      <c r="E288" s="6" t="str">
        <f>IFERROR(__xludf.DUMMYFUNCTION("GOOGLETRANSLATE(B288,""en"",""fr"")"),"Minimum 10 caractères")</f>
        <v>Minimum 10 caractères</v>
      </c>
      <c r="F288" s="6" t="str">
        <f>IFERROR(__xludf.DUMMYFUNCTION("GOOGLETRANSLATE(B288,""en"",""tr"")"),"Minimum 10 karakter")</f>
        <v>Minimum 10 karakter</v>
      </c>
      <c r="G288" s="6" t="str">
        <f>IFERROR(__xludf.DUMMYFUNCTION("GOOGLETRANSLATE(B288,""en"",""ru"")"),"Минимум 10 символов")</f>
        <v>Минимум 10 символов</v>
      </c>
      <c r="H288" s="6" t="str">
        <f>IFERROR(__xludf.DUMMYFUNCTION("GOOGLETRANSLATE(B288,""en"",""it"")"),"minimo 10 caratteri")</f>
        <v>minimo 10 caratteri</v>
      </c>
      <c r="I288" s="6" t="str">
        <f>IFERROR(__xludf.DUMMYFUNCTION("GOOGLETRANSLATE(B288,""en"",""de"")"),"Mindestens 10 Zeichen")</f>
        <v>Mindestens 10 Zeichen</v>
      </c>
      <c r="J288" s="6" t="str">
        <f>IFERROR(__xludf.DUMMYFUNCTION("GOOGLETRANSLATE(B288,""en"",""ko"")"),"최소 10 자")</f>
        <v>최소 10 자</v>
      </c>
      <c r="K288" s="6" t="str">
        <f>IFERROR(__xludf.DUMMYFUNCTION("GOOGLETRANSLATE(B288,""en"",""zh"")"),"至少10个字符")</f>
        <v>至少10个字符</v>
      </c>
      <c r="L288" s="6" t="str">
        <f>IFERROR(__xludf.DUMMYFUNCTION("GOOGLETRANSLATE(B288,""en"",""es"")"),"Mínimo 10 caracteres")</f>
        <v>Mínimo 10 caracteres</v>
      </c>
      <c r="M288" s="7" t="str">
        <f>IFERROR(__xludf.DUMMYFUNCTION("GOOGLETRANSLATE(B288,""en"",""iw"")"),"מינימום 10 תווים")</f>
        <v>מינימום 10 תווים</v>
      </c>
      <c r="N288" s="6" t="str">
        <f>IFERROR(__xludf.DUMMYFUNCTION("GOOGLETRANSLATE(B288,""en"",""bn"")"),"সর্বনিম্ন 10 অক্ষর")</f>
        <v>সর্বনিম্ন 10 অক্ষর</v>
      </c>
      <c r="O288" s="6"/>
      <c r="P288" s="6"/>
    </row>
    <row r="289">
      <c r="A289" s="8" t="s">
        <v>572</v>
      </c>
      <c r="B289" s="9" t="s">
        <v>573</v>
      </c>
      <c r="C289" s="5" t="str">
        <f>IFERROR(__xludf.DUMMYFUNCTION("GOOGLETRANSLATE(B289,""en"",""hi"")"),"1 महीने के लिए नि: शुल्क परीक्षण का प्रयास करें")</f>
        <v>1 महीने के लिए नि: शुल्क परीक्षण का प्रयास करें</v>
      </c>
      <c r="D289" s="6" t="str">
        <f>IFERROR(__xludf.DUMMYFUNCTION("GOOGLETRANSLATE(B289,""en"",""ar"")"),"جرب تجربة مجانية لمدة شهر واحد")</f>
        <v>جرب تجربة مجانية لمدة شهر واحد</v>
      </c>
      <c r="E289" s="6" t="str">
        <f>IFERROR(__xludf.DUMMYFUNCTION("GOOGLETRANSLATE(B289,""en"",""fr"")"),"Essayez l'essai gratuit pendant 1 mois")</f>
        <v>Essayez l'essai gratuit pendant 1 mois</v>
      </c>
      <c r="F289" s="6" t="str">
        <f>IFERROR(__xludf.DUMMYFUNCTION("GOOGLETRANSLATE(B289,""en"",""tr"")"),"1 ay boyunca ücretsiz denemeyi deneyin")</f>
        <v>1 ay boyunca ücretsiz denemeyi deneyin</v>
      </c>
      <c r="G289" s="6" t="str">
        <f>IFERROR(__xludf.DUMMYFUNCTION("GOOGLETRANSLATE(B289,""en"",""ru"")"),"Попробуйте бесплатную пробную версию на 1 месяц")</f>
        <v>Попробуйте бесплатную пробную версию на 1 месяц</v>
      </c>
      <c r="H289" s="6" t="str">
        <f>IFERROR(__xludf.DUMMYFUNCTION("GOOGLETRANSLATE(B289,""en"",""it"")"),"Prova la prova gratuita per 1 mese")</f>
        <v>Prova la prova gratuita per 1 mese</v>
      </c>
      <c r="I289" s="6" t="str">
        <f>IFERROR(__xludf.DUMMYFUNCTION("GOOGLETRANSLATE(B289,""en"",""de"")"),"Versuchen Sie eine kostenlose Testversion für 1 Monat")</f>
        <v>Versuchen Sie eine kostenlose Testversion für 1 Monat</v>
      </c>
      <c r="J289" s="6" t="str">
        <f>IFERROR(__xludf.DUMMYFUNCTION("GOOGLETRANSLATE(B289,""en"",""ko"")"),"1 개월 동안 무료 평가판을 사용해보십시오")</f>
        <v>1 개월 동안 무료 평가판을 사용해보십시오</v>
      </c>
      <c r="K289" s="6" t="str">
        <f>IFERROR(__xludf.DUMMYFUNCTION("GOOGLETRANSLATE(B289,""en"",""zh"")"),"尝试免费试用1个月")</f>
        <v>尝试免费试用1个月</v>
      </c>
      <c r="L289" s="6" t="str">
        <f>IFERROR(__xludf.DUMMYFUNCTION("GOOGLETRANSLATE(B289,""en"",""es"")"),"Pruebe la prueba gratuita por 1 mes")</f>
        <v>Pruebe la prueba gratuita por 1 mes</v>
      </c>
      <c r="M289" s="7" t="str">
        <f>IFERROR(__xludf.DUMMYFUNCTION("GOOGLETRANSLATE(B289,""en"",""iw"")"),"נסה ניסיון חינם למשך חודש")</f>
        <v>נסה ניסיון חינם למשך חודש</v>
      </c>
      <c r="N289" s="6" t="str">
        <f>IFERROR(__xludf.DUMMYFUNCTION("GOOGLETRANSLATE(B289,""en"",""bn"")"),"1 মাসের জন্য বিনামূল্যে ট্রায়াল চেষ্টা করুন")</f>
        <v>1 মাসের জন্য বিনামূল্যে ট্রায়াল চেষ্টা করুন</v>
      </c>
      <c r="O289" s="6"/>
      <c r="P289" s="6"/>
    </row>
    <row r="290">
      <c r="A290" s="19" t="s">
        <v>574</v>
      </c>
      <c r="B290" s="9" t="s">
        <v>575</v>
      </c>
      <c r="C290" s="5" t="str">
        <f>IFERROR(__xludf.DUMMYFUNCTION("GOOGLETRANSLATE(B290,""en"",""hi"")"),"क्या आप 1 महीने के लिए नि: शुल्क परीक्षण प्राप्त करना सुनिश्चित करते हैं")</f>
        <v>क्या आप 1 महीने के लिए नि: शुल्क परीक्षण प्राप्त करना सुनिश्चित करते हैं</v>
      </c>
      <c r="D290" s="6" t="str">
        <f>IFERROR(__xludf.DUMMYFUNCTION("GOOGLETRANSLATE(B290,""en"",""ar"")"),"هل أنت متأكد من الحصول على نسخة تجريبية مجانية لمدة شهر واحد")</f>
        <v>هل أنت متأكد من الحصول على نسخة تجريبية مجانية لمدة شهر واحد</v>
      </c>
      <c r="E290" s="6" t="str">
        <f>IFERROR(__xludf.DUMMYFUNCTION("GOOGLETRANSLATE(B290,""en"",""fr"")"),"Êtes-vous sûr d'obtenir un essai gratuit pendant 1 mois")</f>
        <v>Êtes-vous sûr d'obtenir un essai gratuit pendant 1 mois</v>
      </c>
      <c r="F290" s="6" t="str">
        <f>IFERROR(__xludf.DUMMYFUNCTION("GOOGLETRANSLATE(B290,""en"",""tr"")"),"1 ay boyunca ücretsiz deneme alacağınızdan emin misiniz")</f>
        <v>1 ay boyunca ücretsiz deneme alacağınızdan emin misiniz</v>
      </c>
      <c r="G290" s="6" t="str">
        <f>IFERROR(__xludf.DUMMYFUNCTION("GOOGLETRANSLATE(B290,""en"",""ru"")"),"Вы обязательно получите бесплатную пробную версию в течение 1 месяца")</f>
        <v>Вы обязательно получите бесплатную пробную версию в течение 1 месяца</v>
      </c>
      <c r="H290" s="6" t="str">
        <f>IFERROR(__xludf.DUMMYFUNCTION("GOOGLETRANSLATE(B290,""en"",""it"")"),"Sei sicuro di ottenere una prova gratuita per 1 mese")</f>
        <v>Sei sicuro di ottenere una prova gratuita per 1 mese</v>
      </c>
      <c r="I290" s="6" t="str">
        <f>IFERROR(__xludf.DUMMYFUNCTION("GOOGLETRANSLATE(B290,""en"",""de"")"),"Erhalten Sie mit Sicherheit eine kostenlose Testversion für 1 Monat?")</f>
        <v>Erhalten Sie mit Sicherheit eine kostenlose Testversion für 1 Monat?</v>
      </c>
      <c r="J290" s="6" t="str">
        <f>IFERROR(__xludf.DUMMYFUNCTION("GOOGLETRANSLATE(B290,""en"",""ko"")"),"1 개월 동안 무료 평가판을받을 수 있습니까?")</f>
        <v>1 개월 동안 무료 평가판을받을 수 있습니까?</v>
      </c>
      <c r="K290" s="6" t="str">
        <f>IFERROR(__xludf.DUMMYFUNCTION("GOOGLETRANSLATE(B290,""en"",""zh"")"),"您确定要获得1个月的免费试用吗")</f>
        <v>您确定要获得1个月的免费试用吗</v>
      </c>
      <c r="L290" s="6" t="str">
        <f>IFERROR(__xludf.DUMMYFUNCTION("GOOGLETRANSLATE(B290,""en"",""es"")"),"¿Estás seguro de recibir una prueba gratuita por 1 mes?")</f>
        <v>¿Estás seguro de recibir una prueba gratuita por 1 mes?</v>
      </c>
      <c r="M290" s="7" t="str">
        <f>IFERROR(__xludf.DUMMYFUNCTION("GOOGLETRANSLATE(B290,""en"",""iw"")"),"האם אתה בטוח תקבל ניסיון בחינם למשך חודש")</f>
        <v>האם אתה בטוח תקבל ניסיון בחינם למשך חודש</v>
      </c>
      <c r="N290" s="6" t="str">
        <f>IFERROR(__xludf.DUMMYFUNCTION("GOOGLETRANSLATE(B290,""en"",""bn"")"),"আপনি কি 1 মাসের জন্য নিখরচায় ট্রায়াল পাবেন?")</f>
        <v>আপনি কি 1 মাসের জন্য নিখরচায় ট্রায়াল পাবেন?</v>
      </c>
      <c r="O290" s="6"/>
      <c r="P290" s="6"/>
    </row>
    <row r="291">
      <c r="A291" s="8" t="s">
        <v>576</v>
      </c>
      <c r="B291" s="12" t="s">
        <v>577</v>
      </c>
      <c r="C291" s="5" t="str">
        <f>IFERROR(__xludf.DUMMYFUNCTION("GOOGLETRANSLATE(B291,""en"",""hi"")"),"इंतजार का समय")</f>
        <v>इंतजार का समय</v>
      </c>
      <c r="D291" s="6" t="str">
        <f>IFERROR(__xludf.DUMMYFUNCTION("GOOGLETRANSLATE(B291,""en"",""ar"")"),"وقت الانتظار")</f>
        <v>وقت الانتظار</v>
      </c>
      <c r="E291" s="6" t="str">
        <f>IFERROR(__xludf.DUMMYFUNCTION("GOOGLETRANSLATE(B291,""en"",""fr"")"),"Temps d'attente")</f>
        <v>Temps d'attente</v>
      </c>
      <c r="F291" s="6" t="str">
        <f>IFERROR(__xludf.DUMMYFUNCTION("GOOGLETRANSLATE(B291,""en"",""tr"")"),"Bekleme süresi")</f>
        <v>Bekleme süresi</v>
      </c>
      <c r="G291" s="6" t="str">
        <f>IFERROR(__xludf.DUMMYFUNCTION("GOOGLETRANSLATE(B291,""en"",""ru"")"),"Время ожидания")</f>
        <v>Время ожидания</v>
      </c>
      <c r="H291" s="6" t="str">
        <f>IFERROR(__xludf.DUMMYFUNCTION("GOOGLETRANSLATE(B291,""en"",""it"")"),"Tempo di attesa")</f>
        <v>Tempo di attesa</v>
      </c>
      <c r="I291" s="6" t="str">
        <f>IFERROR(__xludf.DUMMYFUNCTION("GOOGLETRANSLATE(B291,""en"",""de"")"),"Wartezeit")</f>
        <v>Wartezeit</v>
      </c>
      <c r="J291" s="6" t="str">
        <f>IFERROR(__xludf.DUMMYFUNCTION("GOOGLETRANSLATE(B291,""en"",""ko"")"),"대기 시간")</f>
        <v>대기 시간</v>
      </c>
      <c r="K291" s="6" t="str">
        <f>IFERROR(__xludf.DUMMYFUNCTION("GOOGLETRANSLATE(B291,""en"",""zh"")"),"等待的时间")</f>
        <v>等待的时间</v>
      </c>
      <c r="L291" s="6" t="str">
        <f>IFERROR(__xludf.DUMMYFUNCTION("GOOGLETRANSLATE(B291,""en"",""es"")"),"Tiempo de espera")</f>
        <v>Tiempo de espera</v>
      </c>
      <c r="M291" s="7" t="str">
        <f>IFERROR(__xludf.DUMMYFUNCTION("GOOGLETRANSLATE(B291,""en"",""iw"")"),"זמן המתנה")</f>
        <v>זמן המתנה</v>
      </c>
      <c r="N291" s="6" t="str">
        <f>IFERROR(__xludf.DUMMYFUNCTION("GOOGLETRANSLATE(B291,""en"",""bn"")"),"অপেক্ষা করার সময়")</f>
        <v>অপেক্ষা করার সময়</v>
      </c>
      <c r="O291" s="6"/>
      <c r="P291" s="6"/>
    </row>
    <row r="292">
      <c r="A292" s="8" t="s">
        <v>578</v>
      </c>
      <c r="B292" s="9" t="s">
        <v>579</v>
      </c>
      <c r="C292" s="5" t="str">
        <f>IFERROR(__xludf.DUMMYFUNCTION("GOOGLETRANSLATE(B292,""en"",""hi"")"),"मिनट")</f>
        <v>मिनट</v>
      </c>
      <c r="D292" s="6" t="str">
        <f>IFERROR(__xludf.DUMMYFUNCTION("GOOGLETRANSLATE(B292,""en"",""ar"")"),"دقيقة")</f>
        <v>دقيقة</v>
      </c>
      <c r="E292" s="6" t="str">
        <f>IFERROR(__xludf.DUMMYFUNCTION("GOOGLETRANSLATE(B292,""en"",""fr"")"),"min")</f>
        <v>min</v>
      </c>
      <c r="F292" s="6" t="str">
        <f>IFERROR(__xludf.DUMMYFUNCTION("GOOGLETRANSLATE(B292,""en"",""tr"")"),"dakikalar")</f>
        <v>dakikalar</v>
      </c>
      <c r="G292" s="6" t="str">
        <f>IFERROR(__xludf.DUMMYFUNCTION("GOOGLETRANSLATE(B292,""en"",""ru"")"),"мин")</f>
        <v>мин</v>
      </c>
      <c r="H292" s="6" t="str">
        <f>IFERROR(__xludf.DUMMYFUNCTION("GOOGLETRANSLATE(B292,""en"",""it"")"),"Min")</f>
        <v>Min</v>
      </c>
      <c r="I292" s="6" t="str">
        <f>IFERROR(__xludf.DUMMYFUNCTION("GOOGLETRANSLATE(B292,""en"",""de"")"),"mins")</f>
        <v>mins</v>
      </c>
      <c r="J292" s="6" t="str">
        <f>IFERROR(__xludf.DUMMYFUNCTION("GOOGLETRANSLATE(B292,""en"",""ko"")"),"분")</f>
        <v>분</v>
      </c>
      <c r="K292" s="6" t="str">
        <f>IFERROR(__xludf.DUMMYFUNCTION("GOOGLETRANSLATE(B292,""en"",""zh"")"),"分钟")</f>
        <v>分钟</v>
      </c>
      <c r="L292" s="6" t="str">
        <f>IFERROR(__xludf.DUMMYFUNCTION("GOOGLETRANSLATE(B292,""en"",""es"")"),"mínimos")</f>
        <v>mínimos</v>
      </c>
      <c r="M292" s="7" t="str">
        <f>IFERROR(__xludf.DUMMYFUNCTION("GOOGLETRANSLATE(B292,""en"",""iw"")"),"דקות")</f>
        <v>דקות</v>
      </c>
      <c r="N292" s="6" t="str">
        <f>IFERROR(__xludf.DUMMYFUNCTION("GOOGLETRANSLATE(B292,""en"",""bn"")"),"মিনিট")</f>
        <v>মিনিট</v>
      </c>
      <c r="O292" s="6"/>
      <c r="P292" s="6"/>
    </row>
    <row r="293">
      <c r="A293" s="8" t="s">
        <v>580</v>
      </c>
      <c r="B293" s="9" t="s">
        <v>581</v>
      </c>
      <c r="C293" s="5" t="str">
        <f>IFERROR(__xludf.DUMMYFUNCTION("GOOGLETRANSLATE(B293,""en"",""hi"")"),"मुक्त प्रतीक्षा समय")</f>
        <v>मुक्त प्रतीक्षा समय</v>
      </c>
      <c r="D293" s="6" t="str">
        <f>IFERROR(__xludf.DUMMYFUNCTION("GOOGLETRANSLATE(B293,""en"",""ar"")"),"وقت انتظار مجاني")</f>
        <v>وقت انتظار مجاني</v>
      </c>
      <c r="E293" s="6" t="str">
        <f>IFERROR(__xludf.DUMMYFUNCTION("GOOGLETRANSLATE(B293,""en"",""fr"")"),"Temps d'attente gratuit")</f>
        <v>Temps d'attente gratuit</v>
      </c>
      <c r="F293" s="6" t="str">
        <f>IFERROR(__xludf.DUMMYFUNCTION("GOOGLETRANSLATE(B293,""en"",""tr"")"),"Ücretsiz bekleme süresi")</f>
        <v>Ücretsiz bekleme süresi</v>
      </c>
      <c r="G293" s="6" t="str">
        <f>IFERROR(__xludf.DUMMYFUNCTION("GOOGLETRANSLATE(B293,""en"",""ru"")"),"Бесплатное время ожидания")</f>
        <v>Бесплатное время ожидания</v>
      </c>
      <c r="H293" s="6" t="str">
        <f>IFERROR(__xludf.DUMMYFUNCTION("GOOGLETRANSLATE(B293,""en"",""it"")"),"Tempo di attesa gratuito")</f>
        <v>Tempo di attesa gratuito</v>
      </c>
      <c r="I293" s="6" t="str">
        <f>IFERROR(__xludf.DUMMYFUNCTION("GOOGLETRANSLATE(B293,""en"",""de"")"),"Kostenlose Wartezeit")</f>
        <v>Kostenlose Wartezeit</v>
      </c>
      <c r="J293" s="6" t="str">
        <f>IFERROR(__xludf.DUMMYFUNCTION("GOOGLETRANSLATE(B293,""en"",""ko"")"),"무료 대기 시간")</f>
        <v>무료 대기 시간</v>
      </c>
      <c r="K293" s="6" t="str">
        <f>IFERROR(__xludf.DUMMYFUNCTION("GOOGLETRANSLATE(B293,""en"",""zh"")"),"免费等待时间")</f>
        <v>免费等待时间</v>
      </c>
      <c r="L293" s="6" t="str">
        <f>IFERROR(__xludf.DUMMYFUNCTION("GOOGLETRANSLATE(B293,""en"",""es"")"),"Tiempo de espera gratis")</f>
        <v>Tiempo de espera gratis</v>
      </c>
      <c r="M293" s="7" t="str">
        <f>IFERROR(__xludf.DUMMYFUNCTION("GOOGLETRANSLATE(B293,""en"",""iw"")"),"זמן המתנה בחינם")</f>
        <v>זמן המתנה בחינם</v>
      </c>
      <c r="N293" s="6" t="str">
        <f>IFERROR(__xludf.DUMMYFUNCTION("GOOGLETRANSLATE(B293,""en"",""bn"")"),"বিনামূল্যে অপেক্ষার সময়")</f>
        <v>বিনামূল্যে অপেক্ষার সময়</v>
      </c>
      <c r="O293" s="6"/>
      <c r="P293" s="6"/>
    </row>
    <row r="294">
      <c r="A294" s="8" t="s">
        <v>582</v>
      </c>
      <c r="B294" s="12" t="s">
        <v>583</v>
      </c>
      <c r="C294" s="5" t="str">
        <f>IFERROR(__xludf.DUMMYFUNCTION("GOOGLETRANSLATE(B294,""en"",""hi"")"),"यात्रा शुरू होने से पहले मुक्त प्रतीक्षा समय")</f>
        <v>यात्रा शुरू होने से पहले मुक्त प्रतीक्षा समय</v>
      </c>
      <c r="D294" s="6" t="str">
        <f>IFERROR(__xludf.DUMMYFUNCTION("GOOGLETRANSLATE(B294,""en"",""ar"")"),"وقت انتظار مجاني قبل بدء الرحلة")</f>
        <v>وقت انتظار مجاني قبل بدء الرحلة</v>
      </c>
      <c r="E294" s="6" t="str">
        <f>IFERROR(__xludf.DUMMYFUNCTION("GOOGLETRANSLATE(B294,""en"",""fr"")"),"Temps d'attente gratuit avant le début du voyage")</f>
        <v>Temps d'attente gratuit avant le début du voyage</v>
      </c>
      <c r="F294" s="6" t="str">
        <f>IFERROR(__xludf.DUMMYFUNCTION("GOOGLETRANSLATE(B294,""en"",""tr"")"),"Gezi başlamadan önce ücretsiz bekleme süresi")</f>
        <v>Gezi başlamadan önce ücretsiz bekleme süresi</v>
      </c>
      <c r="G294" s="6" t="str">
        <f>IFERROR(__xludf.DUMMYFUNCTION("GOOGLETRANSLATE(B294,""en"",""ru"")"),"Бесплатное время ожидания перед началом поездки")</f>
        <v>Бесплатное время ожидания перед началом поездки</v>
      </c>
      <c r="H294" s="6" t="str">
        <f>IFERROR(__xludf.DUMMYFUNCTION("GOOGLETRANSLATE(B294,""en"",""it"")"),"Tempo di attesa gratuito prima dell'inizio del viaggio")</f>
        <v>Tempo di attesa gratuito prima dell'inizio del viaggio</v>
      </c>
      <c r="I294" s="6" t="str">
        <f>IFERROR(__xludf.DUMMYFUNCTION("GOOGLETRANSLATE(B294,""en"",""de"")"),"Kostenlose Wartezeit vor dem Start")</f>
        <v>Kostenlose Wartezeit vor dem Start</v>
      </c>
      <c r="J294" s="6" t="str">
        <f>IFERROR(__xludf.DUMMYFUNCTION("GOOGLETRANSLATE(B294,""en"",""ko"")"),"여행 시작 전의 무료 대기 시간")</f>
        <v>여행 시작 전의 무료 대기 시간</v>
      </c>
      <c r="K294" s="6" t="str">
        <f>IFERROR(__xludf.DUMMYFUNCTION("GOOGLETRANSLATE(B294,""en"",""zh"")"),"旅行开始前的免费等待时间")</f>
        <v>旅行开始前的免费等待时间</v>
      </c>
      <c r="L294" s="6" t="str">
        <f>IFERROR(__xludf.DUMMYFUNCTION("GOOGLETRANSLATE(B294,""en"",""es"")"),"Tiempo de espera gratis antes del viaje al viaje")</f>
        <v>Tiempo de espera gratis antes del viaje al viaje</v>
      </c>
      <c r="M294" s="7" t="str">
        <f>IFERROR(__xludf.DUMMYFUNCTION("GOOGLETRANSLATE(B294,""en"",""iw"")"),"זמן המתנה בחינם לפני תחילת הטיול")</f>
        <v>זמן המתנה בחינם לפני תחילת הטיול</v>
      </c>
      <c r="N294" s="6" t="str">
        <f>IFERROR(__xludf.DUMMYFUNCTION("GOOGLETRANSLATE(B294,""en"",""bn"")"),"ট্রিপ শুরুর আগে বিনামূল্যে অপেক্ষার সময়")</f>
        <v>ট্রিপ শুরুর আগে বিনামূল্যে অপেক্ষার সময়</v>
      </c>
      <c r="O294" s="6"/>
      <c r="P294" s="6"/>
    </row>
    <row r="295">
      <c r="A295" s="8" t="s">
        <v>584</v>
      </c>
      <c r="B295" s="12" t="s">
        <v>585</v>
      </c>
      <c r="C295" s="5" t="str">
        <f>IFERROR(__xludf.DUMMYFUNCTION("GOOGLETRANSLATE(B295,""en"",""hi"")"),"यात्रा शुरू होने के बाद मुक्त प्रतीक्षा समय")</f>
        <v>यात्रा शुरू होने के बाद मुक्त प्रतीक्षा समय</v>
      </c>
      <c r="D295" s="6" t="str">
        <f>IFERROR(__xludf.DUMMYFUNCTION("GOOGLETRANSLATE(B295,""en"",""ar"")"),"وقت انتظار مجاني بعد بدء الرحلة")</f>
        <v>وقت انتظار مجاني بعد بدء الرحلة</v>
      </c>
      <c r="E295" s="6" t="str">
        <f>IFERROR(__xludf.DUMMYFUNCTION("GOOGLETRANSLATE(B295,""en"",""fr"")"),"Temps d'attente gratuit après le début du voyage")</f>
        <v>Temps d'attente gratuit après le début du voyage</v>
      </c>
      <c r="F295" s="6" t="str">
        <f>IFERROR(__xludf.DUMMYFUNCTION("GOOGLETRANSLATE(B295,""en"",""tr"")"),"Gezi başladıktan sonra ücretsiz bekleme süresi")</f>
        <v>Gezi başladıktan sonra ücretsiz bekleme süresi</v>
      </c>
      <c r="G295" s="6" t="str">
        <f>IFERROR(__xludf.DUMMYFUNCTION("GOOGLETRANSLATE(B295,""en"",""ru"")"),"Бесплатное время ожидания после начала поездки")</f>
        <v>Бесплатное время ожидания после начала поездки</v>
      </c>
      <c r="H295" s="6" t="str">
        <f>IFERROR(__xludf.DUMMYFUNCTION("GOOGLETRANSLATE(B295,""en"",""it"")"),"Tempo di attesa gratuito dopo il viaggio di inizio")</f>
        <v>Tempo di attesa gratuito dopo il viaggio di inizio</v>
      </c>
      <c r="I295" s="6" t="str">
        <f>IFERROR(__xludf.DUMMYFUNCTION("GOOGLETRANSLATE(B295,""en"",""de"")"),"Kostenlose Wartezeit nach dem Start des Trips")</f>
        <v>Kostenlose Wartezeit nach dem Start des Trips</v>
      </c>
      <c r="J295" s="6" t="str">
        <f>IFERROR(__xludf.DUMMYFUNCTION("GOOGLETRANSLATE(B295,""en"",""ko"")"),"여행 시작 후 무료 대기 시간")</f>
        <v>여행 시작 후 무료 대기 시간</v>
      </c>
      <c r="K295" s="6" t="str">
        <f>IFERROR(__xludf.DUMMYFUNCTION("GOOGLETRANSLATE(B295,""en"",""zh"")"),"旅行开始后免费等待时间")</f>
        <v>旅行开始后免费等待时间</v>
      </c>
      <c r="L295" s="6" t="str">
        <f>IFERROR(__xludf.DUMMYFUNCTION("GOOGLETRANSLATE(B295,""en"",""es"")"),"Tiempo de espera gratis después del viaje comienza")</f>
        <v>Tiempo de espera gratis después del viaje comienza</v>
      </c>
      <c r="M295" s="7" t="str">
        <f>IFERROR(__xludf.DUMMYFUNCTION("GOOGLETRANSLATE(B295,""en"",""iw"")"),"זמן המתנה בחינם לאחר התחלת הטיול")</f>
        <v>זמן המתנה בחינם לאחר התחלת הטיול</v>
      </c>
      <c r="N295" s="6" t="str">
        <f>IFERROR(__xludf.DUMMYFUNCTION("GOOGLETRANSLATE(B295,""en"",""bn"")"),"ট্রিপ শুরুর পরে বিনামূল্যে অপেক্ষার সময়")</f>
        <v>ট্রিপ শুরুর পরে বিনামূল্যে অপেক্ষার সময়</v>
      </c>
      <c r="O295" s="6"/>
      <c r="P295" s="6"/>
    </row>
    <row r="296">
      <c r="A296" s="8" t="s">
        <v>586</v>
      </c>
      <c r="B296" s="12" t="s">
        <v>587</v>
      </c>
      <c r="C296" s="5" t="str">
        <f>IFERROR(__xludf.DUMMYFUNCTION("GOOGLETRANSLATE(B296,""en"",""hi"")"),"प्रतीक्षा मूल्य")</f>
        <v>प्रतीक्षा मूल्य</v>
      </c>
      <c r="D296" s="6" t="str">
        <f>IFERROR(__xludf.DUMMYFUNCTION("GOOGLETRANSLATE(B296,""en"",""ar"")"),"سعر الانتظار")</f>
        <v>سعر الانتظار</v>
      </c>
      <c r="E296" s="6" t="str">
        <f>IFERROR(__xludf.DUMMYFUNCTION("GOOGLETRANSLATE(B296,""en"",""fr"")"),"Prix ​​d'attente")</f>
        <v>Prix ​​d'attente</v>
      </c>
      <c r="F296" s="6" t="str">
        <f>IFERROR(__xludf.DUMMYFUNCTION("GOOGLETRANSLATE(B296,""en"",""tr"")"),"Bekleme fiyatı")</f>
        <v>Bekleme fiyatı</v>
      </c>
      <c r="G296" s="6" t="str">
        <f>IFERROR(__xludf.DUMMYFUNCTION("GOOGLETRANSLATE(B296,""en"",""ru"")"),"Цена ожидания")</f>
        <v>Цена ожидания</v>
      </c>
      <c r="H296" s="6" t="str">
        <f>IFERROR(__xludf.DUMMYFUNCTION("GOOGLETRANSLATE(B296,""en"",""it"")"),"Prezzo di attesa")</f>
        <v>Prezzo di attesa</v>
      </c>
      <c r="I296" s="6" t="str">
        <f>IFERROR(__xludf.DUMMYFUNCTION("GOOGLETRANSLATE(B296,""en"",""de"")"),"Wartepreis")</f>
        <v>Wartepreis</v>
      </c>
      <c r="J296" s="6" t="str">
        <f>IFERROR(__xludf.DUMMYFUNCTION("GOOGLETRANSLATE(B296,""en"",""ko"")"),"대기 가격")</f>
        <v>대기 가격</v>
      </c>
      <c r="K296" s="6" t="str">
        <f>IFERROR(__xludf.DUMMYFUNCTION("GOOGLETRANSLATE(B296,""en"",""zh"")"),"等待价格")</f>
        <v>等待价格</v>
      </c>
      <c r="L296" s="6" t="str">
        <f>IFERROR(__xludf.DUMMYFUNCTION("GOOGLETRANSLATE(B296,""en"",""es"")"),"Precio de espera")</f>
        <v>Precio de espera</v>
      </c>
      <c r="M296" s="7" t="str">
        <f>IFERROR(__xludf.DUMMYFUNCTION("GOOGLETRANSLATE(B296,""en"",""iw"")"),"מחיר המתנה")</f>
        <v>מחיר המתנה</v>
      </c>
      <c r="N296" s="6" t="str">
        <f>IFERROR(__xludf.DUMMYFUNCTION("GOOGLETRANSLATE(B296,""en"",""bn"")"),"অপেক্ষার দাম")</f>
        <v>অপেক্ষার দাম</v>
      </c>
      <c r="O296" s="6"/>
      <c r="P296" s="6"/>
    </row>
    <row r="297">
      <c r="A297" s="8" t="s">
        <v>588</v>
      </c>
      <c r="B297" s="12" t="s">
        <v>589</v>
      </c>
      <c r="C297" s="5" t="str">
        <f>IFERROR(__xludf.DUMMYFUNCTION("GOOGLETRANSLATE(B297,""en"",""hi"")"),"छूट")</f>
        <v>छूट</v>
      </c>
      <c r="D297" s="6" t="str">
        <f>IFERROR(__xludf.DUMMYFUNCTION("GOOGLETRANSLATE(B297,""en"",""ar"")"),"تخفيض")</f>
        <v>تخفيض</v>
      </c>
      <c r="E297" s="6" t="str">
        <f>IFERROR(__xludf.DUMMYFUNCTION("GOOGLETRANSLATE(B297,""en"",""fr"")"),"Remise")</f>
        <v>Remise</v>
      </c>
      <c r="F297" s="6" t="str">
        <f>IFERROR(__xludf.DUMMYFUNCTION("GOOGLETRANSLATE(B297,""en"",""tr"")"),"İndirim")</f>
        <v>İndirim</v>
      </c>
      <c r="G297" s="6" t="str">
        <f>IFERROR(__xludf.DUMMYFUNCTION("GOOGLETRANSLATE(B297,""en"",""ru"")"),"Скидка")</f>
        <v>Скидка</v>
      </c>
      <c r="H297" s="6" t="str">
        <f>IFERROR(__xludf.DUMMYFUNCTION("GOOGLETRANSLATE(B297,""en"",""it"")"),"Sconto")</f>
        <v>Sconto</v>
      </c>
      <c r="I297" s="6" t="str">
        <f>IFERROR(__xludf.DUMMYFUNCTION("GOOGLETRANSLATE(B297,""en"",""de"")"),"Rabatt")</f>
        <v>Rabatt</v>
      </c>
      <c r="J297" s="6" t="str">
        <f>IFERROR(__xludf.DUMMYFUNCTION("GOOGLETRANSLATE(B297,""en"",""ko"")"),"할인")</f>
        <v>할인</v>
      </c>
      <c r="K297" s="6" t="str">
        <f>IFERROR(__xludf.DUMMYFUNCTION("GOOGLETRANSLATE(B297,""en"",""zh"")"),"折扣")</f>
        <v>折扣</v>
      </c>
      <c r="L297" s="6" t="str">
        <f>IFERROR(__xludf.DUMMYFUNCTION("GOOGLETRANSLATE(B297,""en"",""es"")"),"Descuento")</f>
        <v>Descuento</v>
      </c>
      <c r="M297" s="7" t="str">
        <f>IFERROR(__xludf.DUMMYFUNCTION("GOOGLETRANSLATE(B297,""en"",""iw"")"),"הנחה")</f>
        <v>הנחה</v>
      </c>
      <c r="N297" s="6" t="str">
        <f>IFERROR(__xludf.DUMMYFUNCTION("GOOGLETRANSLATE(B297,""en"",""bn"")"),"ছাড়")</f>
        <v>ছাড়</v>
      </c>
      <c r="O297" s="10"/>
      <c r="P297" s="10"/>
    </row>
    <row r="298">
      <c r="A298" s="22" t="s">
        <v>590</v>
      </c>
      <c r="B298" s="9" t="s">
        <v>591</v>
      </c>
      <c r="C298" s="5" t="str">
        <f>IFERROR(__xludf.DUMMYFUNCTION("GOOGLETRANSLATE(B298,""en"",""hi"")"),"सेवा आपके स्थान पर उपलब्ध नहीं है")</f>
        <v>सेवा आपके स्थान पर उपलब्ध नहीं है</v>
      </c>
      <c r="D298" s="6" t="str">
        <f>IFERROR(__xludf.DUMMYFUNCTION("GOOGLETRANSLATE(B298,""en"",""ar"")"),"الخدمة غير متوفرة في موقعك")</f>
        <v>الخدمة غير متوفرة في موقعك</v>
      </c>
      <c r="E298" s="6" t="str">
        <f>IFERROR(__xludf.DUMMYFUNCTION("GOOGLETRANSLATE(B298,""en"",""fr"")"),"Service non disponible dans votre emplacement")</f>
        <v>Service non disponible dans votre emplacement</v>
      </c>
      <c r="F298" s="6" t="str">
        <f>IFERROR(__xludf.DUMMYFUNCTION("GOOGLETRANSLATE(B298,""en"",""tr"")"),"Bulunduğunuzda hizmet mevcut değil")</f>
        <v>Bulunduğunuzda hizmet mevcut değil</v>
      </c>
      <c r="G298" s="6" t="str">
        <f>IFERROR(__xludf.DUMMYFUNCTION("GOOGLETRANSLATE(B298,""en"",""ru"")"),"Сервис недоступен в вашем месте")</f>
        <v>Сервис недоступен в вашем месте</v>
      </c>
      <c r="H298" s="6" t="str">
        <f>IFERROR(__xludf.DUMMYFUNCTION("GOOGLETRANSLATE(B298,""en"",""it"")"),"Servizio non disponibile nella tua posizione")</f>
        <v>Servizio non disponibile nella tua posizione</v>
      </c>
      <c r="I298" s="6" t="str">
        <f>IFERROR(__xludf.DUMMYFUNCTION("GOOGLETRANSLATE(B298,""en"",""de"")"),"Service nicht in Ihrem Standort verfügbar")</f>
        <v>Service nicht in Ihrem Standort verfügbar</v>
      </c>
      <c r="J298" s="6" t="str">
        <f>IFERROR(__xludf.DUMMYFUNCTION("GOOGLETRANSLATE(B298,""en"",""ko"")"),"귀하의 위치에서 서비스를 사용할 수 없습니다")</f>
        <v>귀하의 위치에서 서비스를 사용할 수 없습니다</v>
      </c>
      <c r="K298" s="6" t="str">
        <f>IFERROR(__xludf.DUMMYFUNCTION("GOOGLETRANSLATE(B298,""en"",""zh"")"),"您的位置不可用的服务")</f>
        <v>您的位置不可用的服务</v>
      </c>
      <c r="L298" s="6" t="str">
        <f>IFERROR(__xludf.DUMMYFUNCTION("GOOGLETRANSLATE(B298,""en"",""es"")"),"Servicio no disponible en su ubicación")</f>
        <v>Servicio no disponible en su ubicación</v>
      </c>
      <c r="M298" s="7" t="str">
        <f>IFERROR(__xludf.DUMMYFUNCTION("GOOGLETRANSLATE(B298,""en"",""iw"")"),"השירות אינו זמין במיקום שלך")</f>
        <v>השירות אינו זמין במיקום שלך</v>
      </c>
      <c r="N298" s="6" t="str">
        <f>IFERROR(__xludf.DUMMYFUNCTION("GOOGLETRANSLATE(B298,""en"",""bn"")"),"আপনার অবস্থানে পরিষেবা পাওয়া যায় না")</f>
        <v>আপনার অবস্থানে পরিষেবা পাওয়া যায় না</v>
      </c>
      <c r="O298" s="6"/>
      <c r="P298" s="6"/>
    </row>
    <row r="299">
      <c r="A299" s="23" t="s">
        <v>592</v>
      </c>
      <c r="B299" s="12" t="s">
        <v>593</v>
      </c>
      <c r="C299" s="5" t="str">
        <f>IFERROR(__xludf.DUMMYFUNCTION("GOOGLETRANSLATE(B299,""en"",""hi"")"),"कर का समावेशी")</f>
        <v>कर का समावेशी</v>
      </c>
      <c r="D299" s="6" t="str">
        <f>IFERROR(__xludf.DUMMYFUNCTION("GOOGLETRANSLATE(B299,""en"",""ar"")"),"بما في ذلك الضريبة")</f>
        <v>بما في ذلك الضريبة</v>
      </c>
      <c r="E299" s="6" t="str">
        <f>IFERROR(__xludf.DUMMYFUNCTION("GOOGLETRANSLATE(B299,""en"",""fr"")"),"Y compris la taxe")</f>
        <v>Y compris la taxe</v>
      </c>
      <c r="F299" s="6" t="str">
        <f>IFERROR(__xludf.DUMMYFUNCTION("GOOGLETRANSLATE(B299,""en"",""tr"")"),"Vergi dahil")</f>
        <v>Vergi dahil</v>
      </c>
      <c r="G299" s="6" t="str">
        <f>IFERROR(__xludf.DUMMYFUNCTION("GOOGLETRANSLATE(B299,""en"",""ru"")"),"Включая налог")</f>
        <v>Включая налог</v>
      </c>
      <c r="H299" s="6" t="str">
        <f>IFERROR(__xludf.DUMMYFUNCTION("GOOGLETRANSLATE(B299,""en"",""it"")"),"Inclusiva delle tasse")</f>
        <v>Inclusiva delle tasse</v>
      </c>
      <c r="I299" s="6" t="str">
        <f>IFERROR(__xludf.DUMMYFUNCTION("GOOGLETRANSLATE(B299,""en"",""de"")"),"Steuern inklusive")</f>
        <v>Steuern inklusive</v>
      </c>
      <c r="J299" s="6" t="str">
        <f>IFERROR(__xludf.DUMMYFUNCTION("GOOGLETRANSLATE(B299,""en"",""ko"")"),"세금 포함")</f>
        <v>세금 포함</v>
      </c>
      <c r="K299" s="6" t="str">
        <f>IFERROR(__xludf.DUMMYFUNCTION("GOOGLETRANSLATE(B299,""en"",""zh"")"),"包括税收")</f>
        <v>包括税收</v>
      </c>
      <c r="L299" s="6" t="str">
        <f>IFERROR(__xludf.DUMMYFUNCTION("GOOGLETRANSLATE(B299,""en"",""es"")"),"Inclusivo de impuestos")</f>
        <v>Inclusivo de impuestos</v>
      </c>
      <c r="M299" s="7" t="str">
        <f>IFERROR(__xludf.DUMMYFUNCTION("GOOGLETRANSLATE(B299,""en"",""iw"")"),"כולל מס")</f>
        <v>כולל מס</v>
      </c>
      <c r="N299" s="6" t="str">
        <f>IFERROR(__xludf.DUMMYFUNCTION("GOOGLETRANSLATE(B299,""en"",""bn"")"),"কর অন্তর্ভুক্ত")</f>
        <v>কর অন্তর্ভুক্ত</v>
      </c>
      <c r="O299" s="6"/>
      <c r="P299" s="6"/>
    </row>
    <row r="300">
      <c r="A300" s="8" t="s">
        <v>594</v>
      </c>
      <c r="B300" s="12" t="s">
        <v>595</v>
      </c>
      <c r="C300" s="5" t="str">
        <f>IFERROR(__xludf.DUMMYFUNCTION("GOOGLETRANSLATE(B300,""en"",""hi"")"),"वृद्धि शुल्क")</f>
        <v>वृद्धि शुल्क</v>
      </c>
      <c r="D300" s="6" t="str">
        <f>IFERROR(__xludf.DUMMYFUNCTION("GOOGLETRANSLATE(B300,""en"",""ar"")"),"رسوم زيادة")</f>
        <v>رسوم زيادة</v>
      </c>
      <c r="E300" s="6" t="str">
        <f>IFERROR(__xludf.DUMMYFUNCTION("GOOGLETRANSLATE(B300,""en"",""fr"")"),"Frais de surtension")</f>
        <v>Frais de surtension</v>
      </c>
      <c r="F300" s="6" t="str">
        <f>IFERROR(__xludf.DUMMYFUNCTION("GOOGLETRANSLATE(B300,""en"",""tr"")"),"Dalgalanma ücreti")</f>
        <v>Dalgalanma ücreti</v>
      </c>
      <c r="G300" s="6" t="str">
        <f>IFERROR(__xludf.DUMMYFUNCTION("GOOGLETRANSLATE(B300,""en"",""ru"")"),"Плата за рамп")</f>
        <v>Плата за рамп</v>
      </c>
      <c r="H300" s="6" t="str">
        <f>IFERROR(__xludf.DUMMYFUNCTION("GOOGLETRANSLATE(B300,""en"",""it"")"),"Tassa di sovratensione")</f>
        <v>Tassa di sovratensione</v>
      </c>
      <c r="I300" s="6" t="str">
        <f>IFERROR(__xludf.DUMMYFUNCTION("GOOGLETRANSLATE(B300,""en"",""de"")"),"Schubgebühr")</f>
        <v>Schubgebühr</v>
      </c>
      <c r="J300" s="6" t="str">
        <f>IFERROR(__xludf.DUMMYFUNCTION("GOOGLETRANSLATE(B300,""en"",""ko"")"),"급증 요금")</f>
        <v>급증 요금</v>
      </c>
      <c r="K300" s="6" t="str">
        <f>IFERROR(__xludf.DUMMYFUNCTION("GOOGLETRANSLATE(B300,""en"",""zh"")"),"激增费")</f>
        <v>激增费</v>
      </c>
      <c r="L300" s="6" t="str">
        <f>IFERROR(__xludf.DUMMYFUNCTION("GOOGLETRANSLATE(B300,""en"",""es"")"),"Tarifa de sobretensión")</f>
        <v>Tarifa de sobretensión</v>
      </c>
      <c r="M300" s="7" t="str">
        <f>IFERROR(__xludf.DUMMYFUNCTION("GOOGLETRANSLATE(B300,""en"",""iw"")"),"דמי מתח")</f>
        <v>דמי מתח</v>
      </c>
      <c r="N300" s="6" t="str">
        <f>IFERROR(__xludf.DUMMYFUNCTION("GOOGLETRANSLATE(B300,""en"",""bn"")"),"সার্জ ফি")</f>
        <v>সার্জ ফি</v>
      </c>
      <c r="O300" s="6"/>
      <c r="P300" s="6"/>
    </row>
    <row r="301">
      <c r="A301" s="24" t="s">
        <v>596</v>
      </c>
      <c r="B301" s="25" t="s">
        <v>597</v>
      </c>
      <c r="C301" s="5" t="str">
        <f>IFERROR(__xludf.DUMMYFUNCTION("GOOGLETRANSLATE(B301,""en"",""hi"")"),"भुगतान विधि चुनें")</f>
        <v>भुगतान विधि चुनें</v>
      </c>
      <c r="D301" s="6" t="str">
        <f>IFERROR(__xludf.DUMMYFUNCTION("GOOGLETRANSLATE(B301,""en"",""ar"")"),"اختر وسيلة الدفع")</f>
        <v>اختر وسيلة الدفع</v>
      </c>
      <c r="E301" s="6" t="str">
        <f>IFERROR(__xludf.DUMMYFUNCTION("GOOGLETRANSLATE(B301,""en"",""fr"")"),"Choisissez le mode de paiement")</f>
        <v>Choisissez le mode de paiement</v>
      </c>
      <c r="F301" s="6" t="str">
        <f>IFERROR(__xludf.DUMMYFUNCTION("GOOGLETRANSLATE(B301,""en"",""tr"")"),"Ödeme yöntemini seçin")</f>
        <v>Ödeme yöntemini seçin</v>
      </c>
      <c r="G301" s="6" t="str">
        <f>IFERROR(__xludf.DUMMYFUNCTION("GOOGLETRANSLATE(B301,""en"",""ru"")"),"Выберите способ оплаты")</f>
        <v>Выберите способ оплаты</v>
      </c>
      <c r="H301" s="6" t="str">
        <f>IFERROR(__xludf.DUMMYFUNCTION("GOOGLETRANSLATE(B301,""en"",""it"")"),"Scegli il metodo di pagamento")</f>
        <v>Scegli il metodo di pagamento</v>
      </c>
      <c r="I301" s="6" t="str">
        <f>IFERROR(__xludf.DUMMYFUNCTION("GOOGLETRANSLATE(B301,""en"",""de"")"),"Zahlungsart auswählen")</f>
        <v>Zahlungsart auswählen</v>
      </c>
      <c r="J301" s="6" t="str">
        <f>IFERROR(__xludf.DUMMYFUNCTION("GOOGLETRANSLATE(B301,""en"",""ko"")"),"결제 방법 선택")</f>
        <v>결제 방법 선택</v>
      </c>
      <c r="K301" s="6" t="str">
        <f>IFERROR(__xludf.DUMMYFUNCTION("GOOGLETRANSLATE(B301,""en"",""zh"")"),"选择付款方式")</f>
        <v>选择付款方式</v>
      </c>
      <c r="L301" s="6" t="str">
        <f>IFERROR(__xludf.DUMMYFUNCTION("GOOGLETRANSLATE(B301,""en"",""es"")"),"Elige el método de pago")</f>
        <v>Elige el método de pago</v>
      </c>
      <c r="M301" s="7" t="str">
        <f>IFERROR(__xludf.DUMMYFUNCTION("GOOGLETRANSLATE(B301,""en"",""iw"")"),"בחר שיטת תשלום")</f>
        <v>בחר שיטת תשלום</v>
      </c>
      <c r="N301" s="6" t="str">
        <f>IFERROR(__xludf.DUMMYFUNCTION("GOOGLETRANSLATE(B301,""en"",""bn"")"),"পেমেন্ট পদ্ধতি নির্বাচন করুন")</f>
        <v>পেমেন্ট পদ্ধতি নির্বাচন করুন</v>
      </c>
      <c r="O301" s="6"/>
      <c r="P301" s="6"/>
    </row>
    <row r="302">
      <c r="A302" s="24" t="s">
        <v>598</v>
      </c>
      <c r="B302" s="11" t="s">
        <v>599</v>
      </c>
      <c r="C302" s="5" t="str">
        <f>IFERROR(__xludf.DUMMYFUNCTION("GOOGLETRANSLATE(B302,""en"",""hi"")"),"किराये की सवारी")</f>
        <v>किराये की सवारी</v>
      </c>
      <c r="D302" s="6" t="str">
        <f>IFERROR(__xludf.DUMMYFUNCTION("GOOGLETRANSLATE(B302,""en"",""ar"")"),"ركوب الإيجار")</f>
        <v>ركوب الإيجار</v>
      </c>
      <c r="E302" s="6" t="str">
        <f>IFERROR(__xludf.DUMMYFUNCTION("GOOGLETRANSLATE(B302,""en"",""fr"")"),"Promenade de location")</f>
        <v>Promenade de location</v>
      </c>
      <c r="F302" s="6" t="str">
        <f>IFERROR(__xludf.DUMMYFUNCTION("GOOGLETRANSLATE(B302,""en"",""tr"")"),"Kiralık Sürüş")</f>
        <v>Kiralık Sürüş</v>
      </c>
      <c r="G302" s="6" t="str">
        <f>IFERROR(__xludf.DUMMYFUNCTION("GOOGLETRANSLATE(B302,""en"",""ru"")"),"Аренда езды")</f>
        <v>Аренда езды</v>
      </c>
      <c r="H302" s="6" t="str">
        <f>IFERROR(__xludf.DUMMYFUNCTION("GOOGLETRANSLATE(B302,""en"",""it"")"),"Giro in affitto")</f>
        <v>Giro in affitto</v>
      </c>
      <c r="I302" s="6" t="str">
        <f>IFERROR(__xludf.DUMMYFUNCTION("GOOGLETRANSLATE(B302,""en"",""de"")"),"Mietfahrt")</f>
        <v>Mietfahrt</v>
      </c>
      <c r="J302" s="6" t="str">
        <f>IFERROR(__xludf.DUMMYFUNCTION("GOOGLETRANSLATE(B302,""en"",""ko"")"),"임대 승차")</f>
        <v>임대 승차</v>
      </c>
      <c r="K302" s="6" t="str">
        <f>IFERROR(__xludf.DUMMYFUNCTION("GOOGLETRANSLATE(B302,""en"",""zh"")"),"租车")</f>
        <v>租车</v>
      </c>
      <c r="L302" s="6" t="str">
        <f>IFERROR(__xludf.DUMMYFUNCTION("GOOGLETRANSLATE(B302,""en"",""es"")"),"Paseo en alquiler")</f>
        <v>Paseo en alquiler</v>
      </c>
      <c r="M302" s="7" t="str">
        <f>IFERROR(__xludf.DUMMYFUNCTION("GOOGLETRANSLATE(B302,""en"",""iw"")"),"נסיעה להשכרה")</f>
        <v>נסיעה להשכרה</v>
      </c>
      <c r="N302" s="6" t="str">
        <f>IFERROR(__xludf.DUMMYFUNCTION("GOOGLETRANSLATE(B302,""en"",""bn"")"),"ভাড়া রাইড")</f>
        <v>ভাড়া রাইড</v>
      </c>
      <c r="O302" s="6"/>
      <c r="P302" s="6"/>
    </row>
    <row r="303">
      <c r="A303" s="24" t="s">
        <v>600</v>
      </c>
      <c r="B303" s="11" t="s">
        <v>601</v>
      </c>
      <c r="C303" s="5" t="str">
        <f>IFERROR(__xludf.DUMMYFUNCTION("GOOGLETRANSLATE(B303,""en"",""hi"")"),"नियमित")</f>
        <v>नियमित</v>
      </c>
      <c r="D303" s="6" t="str">
        <f>IFERROR(__xludf.DUMMYFUNCTION("GOOGLETRANSLATE(B303,""en"",""ar"")"),"عادي")</f>
        <v>عادي</v>
      </c>
      <c r="E303" s="6" t="str">
        <f>IFERROR(__xludf.DUMMYFUNCTION("GOOGLETRANSLATE(B303,""en"",""fr"")"),"Habituel")</f>
        <v>Habituel</v>
      </c>
      <c r="F303" s="6" t="str">
        <f>IFERROR(__xludf.DUMMYFUNCTION("GOOGLETRANSLATE(B303,""en"",""tr"")"),"Düzenli")</f>
        <v>Düzenli</v>
      </c>
      <c r="G303" s="6" t="str">
        <f>IFERROR(__xludf.DUMMYFUNCTION("GOOGLETRANSLATE(B303,""en"",""ru"")"),"Обычный")</f>
        <v>Обычный</v>
      </c>
      <c r="H303" s="6" t="str">
        <f>IFERROR(__xludf.DUMMYFUNCTION("GOOGLETRANSLATE(B303,""en"",""it"")"),"Regolare")</f>
        <v>Regolare</v>
      </c>
      <c r="I303" s="6" t="str">
        <f>IFERROR(__xludf.DUMMYFUNCTION("GOOGLETRANSLATE(B303,""en"",""de"")"),"Regulär")</f>
        <v>Regulär</v>
      </c>
      <c r="J303" s="6" t="str">
        <f>IFERROR(__xludf.DUMMYFUNCTION("GOOGLETRANSLATE(B303,""en"",""ko"")"),"정기적인")</f>
        <v>정기적인</v>
      </c>
      <c r="K303" s="6" t="str">
        <f>IFERROR(__xludf.DUMMYFUNCTION("GOOGLETRANSLATE(B303,""en"",""zh"")"),"常规的")</f>
        <v>常规的</v>
      </c>
      <c r="L303" s="6" t="str">
        <f>IFERROR(__xludf.DUMMYFUNCTION("GOOGLETRANSLATE(B303,""en"",""es"")"),"Regular")</f>
        <v>Regular</v>
      </c>
      <c r="M303" s="7" t="str">
        <f>IFERROR(__xludf.DUMMYFUNCTION("GOOGLETRANSLATE(B303,""en"",""iw"")"),"רגיל")</f>
        <v>רגיל</v>
      </c>
      <c r="N303" s="6" t="str">
        <f>IFERROR(__xludf.DUMMYFUNCTION("GOOGLETRANSLATE(B303,""en"",""bn"")"),"নিয়মিত")</f>
        <v>নিয়মিত</v>
      </c>
      <c r="O303" s="6"/>
      <c r="P303" s="6"/>
    </row>
    <row r="304">
      <c r="A304" s="24" t="s">
        <v>602</v>
      </c>
      <c r="B304" s="11" t="s">
        <v>603</v>
      </c>
      <c r="C304" s="5" t="str">
        <f>IFERROR(__xludf.DUMMYFUNCTION("GOOGLETRANSLATE(B304,""en"",""hi"")"),"पैकेज का नाम")</f>
        <v>पैकेज का नाम</v>
      </c>
      <c r="D304" s="6" t="str">
        <f>IFERROR(__xludf.DUMMYFUNCTION("GOOGLETRANSLATE(B304,""en"",""ar"")"),"اسم الحزمة")</f>
        <v>اسم الحزمة</v>
      </c>
      <c r="E304" s="6" t="str">
        <f>IFERROR(__xludf.DUMMYFUNCTION("GOOGLETRANSLATE(B304,""en"",""fr"")"),"Nom du paquet")</f>
        <v>Nom du paquet</v>
      </c>
      <c r="F304" s="6" t="str">
        <f>IFERROR(__xludf.DUMMYFUNCTION("GOOGLETRANSLATE(B304,""en"",""tr"")"),"Paket ismi")</f>
        <v>Paket ismi</v>
      </c>
      <c r="G304" s="6" t="str">
        <f>IFERROR(__xludf.DUMMYFUNCTION("GOOGLETRANSLATE(B304,""en"",""ru"")"),"Имя пакета")</f>
        <v>Имя пакета</v>
      </c>
      <c r="H304" s="6" t="str">
        <f>IFERROR(__xludf.DUMMYFUNCTION("GOOGLETRANSLATE(B304,""en"",""it"")"),"Nome del pacchetto")</f>
        <v>Nome del pacchetto</v>
      </c>
      <c r="I304" s="6" t="str">
        <f>IFERROR(__xludf.DUMMYFUNCTION("GOOGLETRANSLATE(B304,""en"",""de"")"),"Paketnamen")</f>
        <v>Paketnamen</v>
      </c>
      <c r="J304" s="6" t="str">
        <f>IFERROR(__xludf.DUMMYFUNCTION("GOOGLETRANSLATE(B304,""en"",""ko"")"),"패키지 이름")</f>
        <v>패키지 이름</v>
      </c>
      <c r="K304" s="6" t="str">
        <f>IFERROR(__xludf.DUMMYFUNCTION("GOOGLETRANSLATE(B304,""en"",""zh"")"),"包裹名字")</f>
        <v>包裹名字</v>
      </c>
      <c r="L304" s="6" t="str">
        <f>IFERROR(__xludf.DUMMYFUNCTION("GOOGLETRANSLATE(B304,""en"",""es"")"),"Nombre del paquete")</f>
        <v>Nombre del paquete</v>
      </c>
      <c r="M304" s="7" t="str">
        <f>IFERROR(__xludf.DUMMYFUNCTION("GOOGLETRANSLATE(B304,""en"",""iw"")"),"שם חבילה")</f>
        <v>שם חבילה</v>
      </c>
      <c r="N304" s="6" t="str">
        <f>IFERROR(__xludf.DUMMYFUNCTION("GOOGLETRANSLATE(B304,""en"",""bn"")"),"প্যাকেজ নাম")</f>
        <v>প্যাকেজ নাম</v>
      </c>
      <c r="O304" s="6"/>
      <c r="P304" s="6"/>
    </row>
    <row r="305">
      <c r="A305" s="24" t="s">
        <v>604</v>
      </c>
      <c r="B305" s="25" t="s">
        <v>605</v>
      </c>
      <c r="C305" s="5" t="str">
        <f>IFERROR(__xludf.DUMMYFUNCTION("GOOGLETRANSLATE(B305,""en"",""hi"")"),"कृपया मान्य रेफरल कोड दर्ज करें")</f>
        <v>कृपया मान्य रेफरल कोड दर्ज करें</v>
      </c>
      <c r="D305" s="6" t="str">
        <f>IFERROR(__xludf.DUMMYFUNCTION("GOOGLETRANSLATE(B305,""en"",""ar"")"),"الرجاء إدخال رمز الإحالة الصحيح")</f>
        <v>الرجاء إدخال رمز الإحالة الصحيح</v>
      </c>
      <c r="E305" s="6" t="str">
        <f>IFERROR(__xludf.DUMMYFUNCTION("GOOGLETRANSLATE(B305,""en"",""fr"")"),"Veuillez saisir le code de référence valide")</f>
        <v>Veuillez saisir le code de référence valide</v>
      </c>
      <c r="F305" s="6" t="str">
        <f>IFERROR(__xludf.DUMMYFUNCTION("GOOGLETRANSLATE(B305,""en"",""tr"")"),"Lütfen geçerli yönlendirme kodunu girin")</f>
        <v>Lütfen geçerli yönlendirme kodunu girin</v>
      </c>
      <c r="G305" s="6" t="str">
        <f>IFERROR(__xludf.DUMMYFUNCTION("GOOGLETRANSLATE(B305,""en"",""ru"")"),"Пожалуйста, введите действительный реферальный код")</f>
        <v>Пожалуйста, введите действительный реферальный код</v>
      </c>
      <c r="H305" s="6" t="str">
        <f>IFERROR(__xludf.DUMMYFUNCTION("GOOGLETRANSLATE(B305,""en"",""it"")"),"Immettere il codice di riferimento valido")</f>
        <v>Immettere il codice di riferimento valido</v>
      </c>
      <c r="I305" s="6" t="str">
        <f>IFERROR(__xludf.DUMMYFUNCTION("GOOGLETRANSLATE(B305,""en"",""de"")"),"Bitte geben Sie einen gültigen Empfehlungscode ein")</f>
        <v>Bitte geben Sie einen gültigen Empfehlungscode ein</v>
      </c>
      <c r="J305" s="6" t="str">
        <f>IFERROR(__xludf.DUMMYFUNCTION("GOOGLETRANSLATE(B305,""en"",""ko"")"),"유효한 추천 코드를 입력하십시오")</f>
        <v>유효한 추천 코드를 입력하십시오</v>
      </c>
      <c r="K305" s="6" t="str">
        <f>IFERROR(__xludf.DUMMYFUNCTION("GOOGLETRANSLATE(B305,""en"",""zh"")"),"请输入有效的推荐代码")</f>
        <v>请输入有效的推荐代码</v>
      </c>
      <c r="L305" s="6" t="str">
        <f>IFERROR(__xludf.DUMMYFUNCTION("GOOGLETRANSLATE(B305,""en"",""es"")"),"Ingrese el código de referencia válido")</f>
        <v>Ingrese el código de referencia válido</v>
      </c>
      <c r="M305" s="7" t="str">
        <f>IFERROR(__xludf.DUMMYFUNCTION("GOOGLETRANSLATE(B305,""en"",""iw"")"),"אנא הזן קוד הפניה תקף")</f>
        <v>אנא הזן קוד הפניה תקף</v>
      </c>
      <c r="N305" s="6" t="str">
        <f>IFERROR(__xludf.DUMMYFUNCTION("GOOGLETRANSLATE(B305,""en"",""bn"")"),"বৈধ রেফারাল কোড লিখুন দয়া করে")</f>
        <v>বৈধ রেফারাল কোড লিখুন দয়া করে</v>
      </c>
      <c r="O305" s="6"/>
      <c r="P305" s="6"/>
    </row>
    <row r="306">
      <c r="A306" s="24" t="s">
        <v>606</v>
      </c>
      <c r="B306" s="25" t="s">
        <v>607</v>
      </c>
      <c r="C306" s="5" t="str">
        <f>IFERROR(__xludf.DUMMYFUNCTION("GOOGLETRANSLATE(B306,""en"",""hi"")"),"ड्राइवर आता है")</f>
        <v>ड्राइवर आता है</v>
      </c>
      <c r="D306" s="6" t="str">
        <f>IFERROR(__xludf.DUMMYFUNCTION("GOOGLETRANSLATE(B306,""en"",""ar"")"),"يصل السائق")</f>
        <v>يصل السائق</v>
      </c>
      <c r="E306" s="6" t="str">
        <f>IFERROR(__xludf.DUMMYFUNCTION("GOOGLETRANSLATE(B306,""en"",""fr"")"),"Le conducteur arrive dans")</f>
        <v>Le conducteur arrive dans</v>
      </c>
      <c r="F306" s="6" t="str">
        <f>IFERROR(__xludf.DUMMYFUNCTION("GOOGLETRANSLATE(B306,""en"",""tr"")"),"Sürücü geldi")</f>
        <v>Sürücü geldi</v>
      </c>
      <c r="G306" s="6" t="str">
        <f>IFERROR(__xludf.DUMMYFUNCTION("GOOGLETRANSLATE(B306,""en"",""ru"")"),"Водитель прибывает")</f>
        <v>Водитель прибывает</v>
      </c>
      <c r="H306" s="6" t="str">
        <f>IFERROR(__xludf.DUMMYFUNCTION("GOOGLETRANSLATE(B306,""en"",""it"")"),"Il conducente arriva")</f>
        <v>Il conducente arriva</v>
      </c>
      <c r="I306" s="6" t="str">
        <f>IFERROR(__xludf.DUMMYFUNCTION("GOOGLETRANSLATE(B306,""en"",""de"")"),"Fahrer kommt herein")</f>
        <v>Fahrer kommt herein</v>
      </c>
      <c r="J306" s="6" t="str">
        <f>IFERROR(__xludf.DUMMYFUNCTION("GOOGLETRANSLATE(B306,""en"",""ko"")"),"운전자가 도착합니다")</f>
        <v>운전자가 도착합니다</v>
      </c>
      <c r="K306" s="6" t="str">
        <f>IFERROR(__xludf.DUMMYFUNCTION("GOOGLETRANSLATE(B306,""en"",""zh"")"),"驾驶员到达")</f>
        <v>驾驶员到达</v>
      </c>
      <c r="L306" s="6" t="str">
        <f>IFERROR(__xludf.DUMMYFUNCTION("GOOGLETRANSLATE(B306,""en"",""es"")"),"El conductor llega a")</f>
        <v>El conductor llega a</v>
      </c>
      <c r="M306" s="7" t="str">
        <f>IFERROR(__xludf.DUMMYFUNCTION("GOOGLETRANSLATE(B306,""en"",""iw"")"),"הנהג מגיע פנימה")</f>
        <v>הנהג מגיע פנימה</v>
      </c>
      <c r="N306" s="6" t="str">
        <f>IFERROR(__xludf.DUMMYFUNCTION("GOOGLETRANSLATE(B306,""en"",""bn"")"),"ড্রাইভার ভিতরে এসে")</f>
        <v>ড্রাইভার ভিতরে এসে</v>
      </c>
      <c r="O306" s="6"/>
      <c r="P306" s="6"/>
    </row>
    <row r="307">
      <c r="A307" s="24" t="s">
        <v>608</v>
      </c>
      <c r="B307" s="25" t="s">
        <v>609</v>
      </c>
      <c r="C307" s="5" t="str">
        <f>IFERROR(__xludf.DUMMYFUNCTION("GOOGLETRANSLATE(B307,""en"",""hi"")"),"कृपया सही ईमेल पता दें")</f>
        <v>कृपया सही ईमेल पता दें</v>
      </c>
      <c r="D307" s="6" t="str">
        <f>IFERROR(__xludf.DUMMYFUNCTION("GOOGLETRANSLATE(B307,""en"",""ar"")"),"الرجاء إدخال عنوان بريد إلكتروني صالح")</f>
        <v>الرجاء إدخال عنوان بريد إلكتروني صالح</v>
      </c>
      <c r="E307" s="6" t="str">
        <f>IFERROR(__xludf.DUMMYFUNCTION("GOOGLETRANSLATE(B307,""en"",""fr"")"),"Veuillez saisir l'adresse e-mail valide")</f>
        <v>Veuillez saisir l'adresse e-mail valide</v>
      </c>
      <c r="F307" s="6" t="str">
        <f>IFERROR(__xludf.DUMMYFUNCTION("GOOGLETRANSLATE(B307,""en"",""tr"")"),"Lütfen geçerli e -posta adresini girin")</f>
        <v>Lütfen geçerli e -posta adresini girin</v>
      </c>
      <c r="G307" s="6" t="str">
        <f>IFERROR(__xludf.DUMMYFUNCTION("GOOGLETRANSLATE(B307,""en"",""ru"")"),"Пожалуйста, введите действующий адрес электронной почты")</f>
        <v>Пожалуйста, введите действующий адрес электронной почты</v>
      </c>
      <c r="H307" s="6" t="str">
        <f>IFERROR(__xludf.DUMMYFUNCTION("GOOGLETRANSLATE(B307,""en"",""it"")"),"Inserisci indirizzo email valido")</f>
        <v>Inserisci indirizzo email valido</v>
      </c>
      <c r="I307" s="6" t="str">
        <f>IFERROR(__xludf.DUMMYFUNCTION("GOOGLETRANSLATE(B307,""en"",""de"")"),"Bitte geben Sie eine gültige Email Adresse an")</f>
        <v>Bitte geben Sie eine gültige Email Adresse an</v>
      </c>
      <c r="J307" s="6" t="str">
        <f>IFERROR(__xludf.DUMMYFUNCTION("GOOGLETRANSLATE(B307,""en"",""ko"")"),"유효한 이메일 주소를 입력하십시오")</f>
        <v>유효한 이메일 주소를 입력하십시오</v>
      </c>
      <c r="K307" s="6" t="str">
        <f>IFERROR(__xludf.DUMMYFUNCTION("GOOGLETRANSLATE(B307,""en"",""zh"")"),"请输入有效的电子邮件地址")</f>
        <v>请输入有效的电子邮件地址</v>
      </c>
      <c r="L307" s="6" t="str">
        <f>IFERROR(__xludf.DUMMYFUNCTION("GOOGLETRANSLATE(B307,""en"",""es"")"),"Por favor ingrese una dirección de correo electrónico válida")</f>
        <v>Por favor ingrese una dirección de correo electrónico válida</v>
      </c>
      <c r="M307" s="7" t="str">
        <f>IFERROR(__xludf.DUMMYFUNCTION("GOOGLETRANSLATE(B307,""en"",""iw"")"),"אנא הזן כתובת דוא""ל תקפה")</f>
        <v>אנא הזן כתובת דוא"ל תקפה</v>
      </c>
      <c r="N307" s="6" t="str">
        <f>IFERROR(__xludf.DUMMYFUNCTION("GOOGLETRANSLATE(B307,""en"",""bn"")"),"বৈধ ইমেইল ঠিকানা লিখুন")</f>
        <v>বৈধ ইমেইল ঠিকানা লিখুন</v>
      </c>
      <c r="O307" s="6"/>
      <c r="P307" s="6"/>
    </row>
    <row r="308">
      <c r="A308" s="24" t="s">
        <v>610</v>
      </c>
      <c r="B308" s="25" t="s">
        <v>611</v>
      </c>
      <c r="C308" s="5" t="str">
        <f>IFERROR(__xludf.DUMMYFUNCTION("GOOGLETRANSLATE(B308,""en"",""hi"")"),"खाता हटा दो")</f>
        <v>खाता हटा दो</v>
      </c>
      <c r="D308" s="6" t="str">
        <f>IFERROR(__xludf.DUMMYFUNCTION("GOOGLETRANSLATE(B308,""en"",""ar"")"),"حذف الحساب")</f>
        <v>حذف الحساب</v>
      </c>
      <c r="E308" s="6" t="str">
        <f>IFERROR(__xludf.DUMMYFUNCTION("GOOGLETRANSLATE(B308,""en"",""fr"")"),"Supprimer le compte")</f>
        <v>Supprimer le compte</v>
      </c>
      <c r="F308" s="6" t="str">
        <f>IFERROR(__xludf.DUMMYFUNCTION("GOOGLETRANSLATE(B308,""en"",""tr"")"),"Hesabı sil")</f>
        <v>Hesabı sil</v>
      </c>
      <c r="G308" s="6" t="str">
        <f>IFERROR(__xludf.DUMMYFUNCTION("GOOGLETRANSLATE(B308,""en"",""ru"")"),"Удалить аккаунт")</f>
        <v>Удалить аккаунт</v>
      </c>
      <c r="H308" s="6" t="str">
        <f>IFERROR(__xludf.DUMMYFUNCTION("GOOGLETRANSLATE(B308,""en"",""it"")"),"Eliminare l'account")</f>
        <v>Eliminare l'account</v>
      </c>
      <c r="I308" s="6" t="str">
        <f>IFERROR(__xludf.DUMMYFUNCTION("GOOGLETRANSLATE(B308,""en"",""de"")"),"Konto löschen")</f>
        <v>Konto löschen</v>
      </c>
      <c r="J308" s="6" t="str">
        <f>IFERROR(__xludf.DUMMYFUNCTION("GOOGLETRANSLATE(B308,""en"",""ko"")"),"계정 삭제")</f>
        <v>계정 삭제</v>
      </c>
      <c r="K308" s="6" t="str">
        <f>IFERROR(__xludf.DUMMYFUNCTION("GOOGLETRANSLATE(B308,""en"",""zh"")"),"删除帐户")</f>
        <v>删除帐户</v>
      </c>
      <c r="L308" s="6" t="str">
        <f>IFERROR(__xludf.DUMMYFUNCTION("GOOGLETRANSLATE(B308,""en"",""es"")"),"Borrar cuenta")</f>
        <v>Borrar cuenta</v>
      </c>
      <c r="M308" s="7" t="str">
        <f>IFERROR(__xludf.DUMMYFUNCTION("GOOGLETRANSLATE(B308,""en"",""iw"")"),"מחק חשבון")</f>
        <v>מחק חשבון</v>
      </c>
      <c r="N308" s="6" t="str">
        <f>IFERROR(__xludf.DUMMYFUNCTION("GOOGLETRANSLATE(B308,""en"",""bn"")"),"হিসাব মুছে ফেলা")</f>
        <v>হিসাব মুছে ফেলা</v>
      </c>
      <c r="O308" s="6"/>
      <c r="P308" s="6"/>
    </row>
    <row r="309">
      <c r="A309" s="24" t="s">
        <v>612</v>
      </c>
      <c r="B309" s="25" t="s">
        <v>613</v>
      </c>
      <c r="C309" s="5" t="str">
        <f>IFERROR(__xludf.DUMMYFUNCTION("GOOGLETRANSLATE(B309,""en"",""hi"")"),"क्या आप निश्चित रूप से अपना खाता हटाना चाहते हैं")</f>
        <v>क्या आप निश्चित रूप से अपना खाता हटाना चाहते हैं</v>
      </c>
      <c r="D309" s="6" t="str">
        <f>IFERROR(__xludf.DUMMYFUNCTION("GOOGLETRANSLATE(B309,""en"",""ar"")"),"هل تريد حذف حسابك")</f>
        <v>هل تريد حذف حسابك</v>
      </c>
      <c r="E309" s="6" t="str">
        <f>IFERROR(__xludf.DUMMYFUNCTION("GOOGLETRANSLATE(B309,""en"",""fr"")"),"Êtes-vous sûr de supprimer votre compte")</f>
        <v>Êtes-vous sûr de supprimer votre compte</v>
      </c>
      <c r="F309" s="6" t="str">
        <f>IFERROR(__xludf.DUMMYFUNCTION("GOOGLETRANSLATE(B309,""en"",""tr"")"),"Hesabınızı silmek istiyorsunuz?")</f>
        <v>Hesabınızı silmek istiyorsunuz?</v>
      </c>
      <c r="G309" s="6" t="str">
        <f>IFERROR(__xludf.DUMMYFUNCTION("GOOGLETRANSLATE(B309,""en"",""ru"")"),"Вы уверены, что хотите удалить свою учетную запись")</f>
        <v>Вы уверены, что хотите удалить свою учетную запись</v>
      </c>
      <c r="H309" s="6" t="str">
        <f>IFERROR(__xludf.DUMMYFUNCTION("GOOGLETRANSLATE(B309,""en"",""it"")"),"Sei sicuro che desideri eliminare il tuo account")</f>
        <v>Sei sicuro che desideri eliminare il tuo account</v>
      </c>
      <c r="I309" s="6" t="str">
        <f>IFERROR(__xludf.DUMMYFUNCTION("GOOGLETRANSLATE(B309,""en"",""de"")"),"Möchten Sie Ihr Konto sicher löschen?")</f>
        <v>Möchten Sie Ihr Konto sicher löschen?</v>
      </c>
      <c r="J309" s="6" t="str">
        <f>IFERROR(__xludf.DUMMYFUNCTION("GOOGLETRANSLATE(B309,""en"",""ko"")"),"계정을 삭제하고 싶습니까?")</f>
        <v>계정을 삭제하고 싶습니까?</v>
      </c>
      <c r="K309" s="6" t="str">
        <f>IFERROR(__xludf.DUMMYFUNCTION("GOOGLETRANSLATE(B309,""en"",""zh"")"),"您确定要删除您的帐户吗")</f>
        <v>您确定要删除您的帐户吗</v>
      </c>
      <c r="L309" s="6" t="str">
        <f>IFERROR(__xludf.DUMMYFUNCTION("GOOGLETRANSLATE(B309,""en"",""es"")"),"¿Está seguro de que desea eliminar su cuenta?")</f>
        <v>¿Está seguro de que desea eliminar su cuenta?</v>
      </c>
      <c r="M309" s="7" t="str">
        <f>IFERROR(__xludf.DUMMYFUNCTION("GOOGLETRANSLATE(B309,""en"",""iw"")"),"האם אתה בטוח רוצה למחוק את חשבונך")</f>
        <v>האם אתה בטוח רוצה למחוק את חשבונך</v>
      </c>
      <c r="N309" s="6" t="str">
        <f>IFERROR(__xludf.DUMMYFUNCTION("GOOGLETRANSLATE(B309,""en"",""bn"")"),"আপনি কি নিশ্চিত আপনার অ্যাকাউন্ট মুছতে চান?")</f>
        <v>আপনি কি নিশ্চিত আপনার অ্যাকাউন্ট মুছতে চান?</v>
      </c>
      <c r="O309" s="6"/>
      <c r="P309" s="6"/>
    </row>
    <row r="310">
      <c r="A310" s="24" t="s">
        <v>614</v>
      </c>
      <c r="B310" s="25" t="s">
        <v>615</v>
      </c>
      <c r="C310" s="5" t="str">
        <f>IFERROR(__xludf.DUMMYFUNCTION("GOOGLETRANSLATE(B310,""en"",""hi"")"),"रद्द करें कारण जोड़ें")</f>
        <v>रद्द करें कारण जोड़ें</v>
      </c>
      <c r="D310" s="6" t="str">
        <f>IFERROR(__xludf.DUMMYFUNCTION("GOOGLETRANSLATE(B310,""en"",""ar"")"),"أضف سبب إلغاء")</f>
        <v>أضف سبب إلغاء</v>
      </c>
      <c r="E310" s="6" t="str">
        <f>IFERROR(__xludf.DUMMYFUNCTION("GOOGLETRANSLATE(B310,""en"",""fr"")"),"Ajouter Annuler la raison")</f>
        <v>Ajouter Annuler la raison</v>
      </c>
      <c r="F310" s="6" t="str">
        <f>IFERROR(__xludf.DUMMYFUNCTION("GOOGLETRANSLATE(B310,""en"",""tr"")"),"İptal Aklını Ekle")</f>
        <v>İptal Aklını Ekle</v>
      </c>
      <c r="G310" s="6" t="str">
        <f>IFERROR(__xludf.DUMMYFUNCTION("GOOGLETRANSLATE(B310,""en"",""ru"")"),"Добавить причину отменить")</f>
        <v>Добавить причину отменить</v>
      </c>
      <c r="H310" s="6" t="str">
        <f>IFERROR(__xludf.DUMMYFUNCTION("GOOGLETRANSLATE(B310,""en"",""it"")"),"Aggiungi motivo di cancellazione")</f>
        <v>Aggiungi motivo di cancellazione</v>
      </c>
      <c r="I310" s="6" t="str">
        <f>IFERROR(__xludf.DUMMYFUNCTION("GOOGLETRANSLATE(B310,""en"",""de"")"),"Abbrechen der Vernunft hinzufügen")</f>
        <v>Abbrechen der Vernunft hinzufügen</v>
      </c>
      <c r="J310" s="6" t="str">
        <f>IFERROR(__xludf.DUMMYFUNCTION("GOOGLETRANSLATE(B310,""en"",""ko"")"),"취소 이유를 추가하십시오")</f>
        <v>취소 이유를 추가하십시오</v>
      </c>
      <c r="K310" s="6" t="str">
        <f>IFERROR(__xludf.DUMMYFUNCTION("GOOGLETRANSLATE(B310,""en"",""zh"")"),"添加取消原因")</f>
        <v>添加取消原因</v>
      </c>
      <c r="L310" s="6" t="str">
        <f>IFERROR(__xludf.DUMMYFUNCTION("GOOGLETRANSLATE(B310,""en"",""es"")"),"Agregar motivo de cancelación")</f>
        <v>Agregar motivo de cancelación</v>
      </c>
      <c r="M310" s="7" t="str">
        <f>IFERROR(__xludf.DUMMYFUNCTION("GOOGLETRANSLATE(B310,""en"",""iw"")"),"הוסף סיבה לבטל")</f>
        <v>הוסף סיבה לבטל</v>
      </c>
      <c r="N310" s="6" t="str">
        <f>IFERROR(__xludf.DUMMYFUNCTION("GOOGLETRANSLATE(B310,""en"",""bn"")"),"বাতিল করার কারণ যুক্ত করুন")</f>
        <v>বাতিল করার কারণ যুক্ত করুন</v>
      </c>
      <c r="O310" s="6"/>
      <c r="P310" s="6"/>
    </row>
    <row r="311">
      <c r="A311" s="24" t="s">
        <v>616</v>
      </c>
      <c r="B311" s="25" t="s">
        <v>617</v>
      </c>
      <c r="C311" s="5" t="str">
        <f>IFERROR(__xludf.DUMMYFUNCTION("GOOGLETRANSLATE(B311,""en"",""hi"")"),"यात्री के साथ चैट करें")</f>
        <v>यात्री के साथ चैट करें</v>
      </c>
      <c r="D311" s="6" t="str">
        <f>IFERROR(__xludf.DUMMYFUNCTION("GOOGLETRANSLATE(B311,""en"",""ar"")"),"الدردشة مع الراكب")</f>
        <v>الدردشة مع الراكب</v>
      </c>
      <c r="E311" s="6" t="str">
        <f>IFERROR(__xludf.DUMMYFUNCTION("GOOGLETRANSLATE(B311,""en"",""fr"")"),"Discuter avec passager")</f>
        <v>Discuter avec passager</v>
      </c>
      <c r="F311" s="6" t="str">
        <f>IFERROR(__xludf.DUMMYFUNCTION("GOOGLETRANSLATE(B311,""en"",""tr"")"),"Yolcu ile sohbet edin")</f>
        <v>Yolcu ile sohbet edin</v>
      </c>
      <c r="G311" s="6" t="str">
        <f>IFERROR(__xludf.DUMMYFUNCTION("GOOGLETRANSLATE(B311,""en"",""ru"")"),"Общаться с пассажиром")</f>
        <v>Общаться с пассажиром</v>
      </c>
      <c r="H311" s="6" t="str">
        <f>IFERROR(__xludf.DUMMYFUNCTION("GOOGLETRANSLATE(B311,""en"",""it"")"),"Chatta con il passeggero")</f>
        <v>Chatta con il passeggero</v>
      </c>
      <c r="I311" s="6" t="str">
        <f>IFERROR(__xludf.DUMMYFUNCTION("GOOGLETRANSLATE(B311,""en"",""de"")"),"Chatten Sie mit Passagier")</f>
        <v>Chatten Sie mit Passagier</v>
      </c>
      <c r="J311" s="6" t="str">
        <f>IFERROR(__xludf.DUMMYFUNCTION("GOOGLETRANSLATE(B311,""en"",""ko"")"),"승객과 채팅")</f>
        <v>승객과 채팅</v>
      </c>
      <c r="K311" s="6" t="str">
        <f>IFERROR(__xludf.DUMMYFUNCTION("GOOGLETRANSLATE(B311,""en"",""zh"")"),"与乘客聊天")</f>
        <v>与乘客聊天</v>
      </c>
      <c r="L311" s="6" t="str">
        <f>IFERROR(__xludf.DUMMYFUNCTION("GOOGLETRANSLATE(B311,""en"",""es"")"),"Chatear con pasajero")</f>
        <v>Chatear con pasajero</v>
      </c>
      <c r="M311" s="7" t="str">
        <f>IFERROR(__xludf.DUMMYFUNCTION("GOOGLETRANSLATE(B311,""en"",""iw"")"),"לשוחח עם הנוסע")</f>
        <v>לשוחח עם הנוסע</v>
      </c>
      <c r="N311" s="6" t="str">
        <f>IFERROR(__xludf.DUMMYFUNCTION("GOOGLETRANSLATE(B311,""en"",""bn"")"),"যাত্রীর সাথে চ্যাট করুন")</f>
        <v>যাত্রীর সাথে চ্যাট করুন</v>
      </c>
      <c r="O311" s="6"/>
      <c r="P311" s="6"/>
    </row>
    <row r="312">
      <c r="A312" s="24" t="s">
        <v>618</v>
      </c>
      <c r="B312" s="25" t="s">
        <v>619</v>
      </c>
      <c r="C312" s="5" t="str">
        <f>IFERROR(__xludf.DUMMYFUNCTION("GOOGLETRANSLATE(B312,""en"",""hi"")"),"उपलब्ध")</f>
        <v>उपलब्ध</v>
      </c>
      <c r="D312" s="6" t="str">
        <f>IFERROR(__xludf.DUMMYFUNCTION("GOOGLETRANSLATE(B312,""en"",""ar"")"),"متوفرة")</f>
        <v>متوفرة</v>
      </c>
      <c r="E312" s="6" t="str">
        <f>IFERROR(__xludf.DUMMYFUNCTION("GOOGLETRANSLATE(B312,""en"",""fr"")"),"Disponible")</f>
        <v>Disponible</v>
      </c>
      <c r="F312" s="6" t="str">
        <f>IFERROR(__xludf.DUMMYFUNCTION("GOOGLETRANSLATE(B312,""en"",""tr"")"),"Mevcut")</f>
        <v>Mevcut</v>
      </c>
      <c r="G312" s="6" t="str">
        <f>IFERROR(__xludf.DUMMYFUNCTION("GOOGLETRANSLATE(B312,""en"",""ru"")"),"Доступный")</f>
        <v>Доступный</v>
      </c>
      <c r="H312" s="6" t="str">
        <f>IFERROR(__xludf.DUMMYFUNCTION("GOOGLETRANSLATE(B312,""en"",""it"")"),"A disposizione")</f>
        <v>A disposizione</v>
      </c>
      <c r="I312" s="6" t="str">
        <f>IFERROR(__xludf.DUMMYFUNCTION("GOOGLETRANSLATE(B312,""en"",""de"")"),"Verfügbar")</f>
        <v>Verfügbar</v>
      </c>
      <c r="J312" s="6" t="str">
        <f>IFERROR(__xludf.DUMMYFUNCTION("GOOGLETRANSLATE(B312,""en"",""ko"")"),"사용 가능")</f>
        <v>사용 가능</v>
      </c>
      <c r="K312" s="6" t="str">
        <f>IFERROR(__xludf.DUMMYFUNCTION("GOOGLETRANSLATE(B312,""en"",""zh"")"),"可用的")</f>
        <v>可用的</v>
      </c>
      <c r="L312" s="6" t="str">
        <f>IFERROR(__xludf.DUMMYFUNCTION("GOOGLETRANSLATE(B312,""en"",""es"")"),"Disponible")</f>
        <v>Disponible</v>
      </c>
      <c r="M312" s="7" t="str">
        <f>IFERROR(__xludf.DUMMYFUNCTION("GOOGLETRANSLATE(B312,""en"",""iw"")"),"זמין")</f>
        <v>זמין</v>
      </c>
      <c r="N312" s="6" t="str">
        <f>IFERROR(__xludf.DUMMYFUNCTION("GOOGLETRANSLATE(B312,""en"",""bn"")"),"উপলব্ধ")</f>
        <v>উপলব্ধ</v>
      </c>
      <c r="O312" s="6"/>
      <c r="P312" s="6"/>
    </row>
    <row r="313">
      <c r="A313" s="24" t="s">
        <v>620</v>
      </c>
      <c r="B313" s="25" t="s">
        <v>621</v>
      </c>
      <c r="C313" s="5" t="str">
        <f>IFERROR(__xludf.DUMMYFUNCTION("GOOGLETRANSLATE(B313,""en"",""hi"")"),"सवार")</f>
        <v>सवार</v>
      </c>
      <c r="D313" s="6" t="str">
        <f>IFERROR(__xludf.DUMMYFUNCTION("GOOGLETRANSLATE(B313,""en"",""ar"")"),"صعد على متنها")</f>
        <v>صعد على متنها</v>
      </c>
      <c r="E313" s="6" t="str">
        <f>IFERROR(__xludf.DUMMYFUNCTION("GOOGLETRANSLATE(B313,""en"",""fr"")"),"À bord")</f>
        <v>À bord</v>
      </c>
      <c r="F313" s="6" t="str">
        <f>IFERROR(__xludf.DUMMYFUNCTION("GOOGLETRANSLATE(B313,""en"",""tr"")"),"Gemide")</f>
        <v>Gemide</v>
      </c>
      <c r="G313" s="6" t="str">
        <f>IFERROR(__xludf.DUMMYFUNCTION("GOOGLETRANSLATE(B313,""en"",""ru"")"),"На борту")</f>
        <v>На борту</v>
      </c>
      <c r="H313" s="6" t="str">
        <f>IFERROR(__xludf.DUMMYFUNCTION("GOOGLETRANSLATE(B313,""en"",""it"")"),"A bordo")</f>
        <v>A bordo</v>
      </c>
      <c r="I313" s="6" t="str">
        <f>IFERROR(__xludf.DUMMYFUNCTION("GOOGLETRANSLATE(B313,""en"",""de"")"),"Am Bord")</f>
        <v>Am Bord</v>
      </c>
      <c r="J313" s="6" t="str">
        <f>IFERROR(__xludf.DUMMYFUNCTION("GOOGLETRANSLATE(B313,""en"",""ko"")"),"온보드")</f>
        <v>온보드</v>
      </c>
      <c r="K313" s="6" t="str">
        <f>IFERROR(__xludf.DUMMYFUNCTION("GOOGLETRANSLATE(B313,""en"",""zh"")"),"在船上")</f>
        <v>在船上</v>
      </c>
      <c r="L313" s="6" t="str">
        <f>IFERROR(__xludf.DUMMYFUNCTION("GOOGLETRANSLATE(B313,""en"",""es"")"),"A bordo")</f>
        <v>A bordo</v>
      </c>
      <c r="M313" s="7" t="str">
        <f>IFERROR(__xludf.DUMMYFUNCTION("GOOGLETRANSLATE(B313,""en"",""iw"")"),"על הסיפון")</f>
        <v>על הסיפון</v>
      </c>
      <c r="N313" s="6" t="str">
        <f>IFERROR(__xludf.DUMMYFUNCTION("GOOGLETRANSLATE(B313,""en"",""bn"")"),"বোর্ডে")</f>
        <v>বোর্ডে</v>
      </c>
      <c r="O313" s="6"/>
      <c r="P313" s="6"/>
    </row>
    <row r="314">
      <c r="A314" s="24" t="s">
        <v>622</v>
      </c>
      <c r="B314" s="25" t="s">
        <v>623</v>
      </c>
      <c r="C314" s="5" t="str">
        <f>IFERROR(__xludf.DUMMYFUNCTION("GOOGLETRANSLATE(B314,""en"",""hi"")"),"ऑफलाइन")</f>
        <v>ऑफलाइन</v>
      </c>
      <c r="D314" s="6" t="str">
        <f>IFERROR(__xludf.DUMMYFUNCTION("GOOGLETRANSLATE(B314,""en"",""ar"")"),"غير متصل على الانترنت")</f>
        <v>غير متصل على الانترنت</v>
      </c>
      <c r="E314" s="6" t="str">
        <f>IFERROR(__xludf.DUMMYFUNCTION("GOOGLETRANSLATE(B314,""en"",""fr"")"),"Hors ligne")</f>
        <v>Hors ligne</v>
      </c>
      <c r="F314" s="6" t="str">
        <f>IFERROR(__xludf.DUMMYFUNCTION("GOOGLETRANSLATE(B314,""en"",""tr"")"),"Çevrimdışı")</f>
        <v>Çevrimdışı</v>
      </c>
      <c r="G314" s="6" t="str">
        <f>IFERROR(__xludf.DUMMYFUNCTION("GOOGLETRANSLATE(B314,""en"",""ru"")"),"Не в сети")</f>
        <v>Не в сети</v>
      </c>
      <c r="H314" s="6" t="str">
        <f>IFERROR(__xludf.DUMMYFUNCTION("GOOGLETRANSLATE(B314,""en"",""it"")"),"disconnesso")</f>
        <v>disconnesso</v>
      </c>
      <c r="I314" s="6" t="str">
        <f>IFERROR(__xludf.DUMMYFUNCTION("GOOGLETRANSLATE(B314,""en"",""de"")"),"Offline")</f>
        <v>Offline</v>
      </c>
      <c r="J314" s="6" t="str">
        <f>IFERROR(__xludf.DUMMYFUNCTION("GOOGLETRANSLATE(B314,""en"",""ko"")"),"오프라인")</f>
        <v>오프라인</v>
      </c>
      <c r="K314" s="6" t="str">
        <f>IFERROR(__xludf.DUMMYFUNCTION("GOOGLETRANSLATE(B314,""en"",""zh"")"),"离线")</f>
        <v>离线</v>
      </c>
      <c r="L314" s="6" t="str">
        <f>IFERROR(__xludf.DUMMYFUNCTION("GOOGLETRANSLATE(B314,""en"",""es"")"),"Desconectado")</f>
        <v>Desconectado</v>
      </c>
      <c r="M314" s="7" t="str">
        <f>IFERROR(__xludf.DUMMYFUNCTION("GOOGLETRANSLATE(B314,""en"",""iw"")"),"לא מקוון")</f>
        <v>לא מקוון</v>
      </c>
      <c r="N314" s="6" t="str">
        <f>IFERROR(__xludf.DUMMYFUNCTION("GOOGLETRANSLATE(B314,""en"",""bn"")"),"অফলাইন")</f>
        <v>অফলাইন</v>
      </c>
      <c r="O314" s="6"/>
      <c r="P314" s="6"/>
    </row>
    <row r="315">
      <c r="A315" s="24" t="s">
        <v>624</v>
      </c>
      <c r="B315" s="25" t="s">
        <v>356</v>
      </c>
      <c r="C315" s="5" t="str">
        <f>IFERROR(__xludf.DUMMYFUNCTION("GOOGLETRANSLATE(B315,""en"",""hi"")"),"कोई डेटा नहीं मिला")</f>
        <v>कोई डेटा नहीं मिला</v>
      </c>
      <c r="D315" s="6" t="str">
        <f>IFERROR(__xludf.DUMMYFUNCTION("GOOGLETRANSLATE(B315,""en"",""ar"")"),"لاتوجد بيانات")</f>
        <v>لاتوجد بيانات</v>
      </c>
      <c r="E315" s="6" t="str">
        <f>IFERROR(__xludf.DUMMYFUNCTION("GOOGLETRANSLATE(B315,""en"",""fr"")"),"Aucune donnée disponible")</f>
        <v>Aucune donnée disponible</v>
      </c>
      <c r="F315" s="6" t="str">
        <f>IFERROR(__xludf.DUMMYFUNCTION("GOOGLETRANSLATE(B315,""en"",""tr"")"),"Veri bulunamadı")</f>
        <v>Veri bulunamadı</v>
      </c>
      <c r="G315" s="6" t="str">
        <f>IFERROR(__xludf.DUMMYFUNCTION("GOOGLETRANSLATE(B315,""en"",""ru"")"),"Данные не найдены")</f>
        <v>Данные не найдены</v>
      </c>
      <c r="H315" s="6" t="str">
        <f>IFERROR(__xludf.DUMMYFUNCTION("GOOGLETRANSLATE(B315,""en"",""it"")"),"Nessun dato trovato")</f>
        <v>Nessun dato trovato</v>
      </c>
      <c r="I315" s="6" t="str">
        <f>IFERROR(__xludf.DUMMYFUNCTION("GOOGLETRANSLATE(B315,""en"",""de"")"),"Keine Daten gefunden")</f>
        <v>Keine Daten gefunden</v>
      </c>
      <c r="J315" s="6" t="str">
        <f>IFERROR(__xludf.DUMMYFUNCTION("GOOGLETRANSLATE(B315,""en"",""ko"")"),"데이터가 없습니다")</f>
        <v>데이터가 없습니다</v>
      </c>
      <c r="K315" s="6" t="str">
        <f>IFERROR(__xludf.DUMMYFUNCTION("GOOGLETRANSLATE(B315,""en"",""zh"")"),"没有找到数据")</f>
        <v>没有找到数据</v>
      </c>
      <c r="L315" s="6" t="str">
        <f>IFERROR(__xludf.DUMMYFUNCTION("GOOGLETRANSLATE(B315,""en"",""es"")"),"Datos no encontrados")</f>
        <v>Datos no encontrados</v>
      </c>
      <c r="M315" s="7" t="str">
        <f>IFERROR(__xludf.DUMMYFUNCTION("GOOGLETRANSLATE(B315,""en"",""iw"")"),"לא נמצאו נתונים")</f>
        <v>לא נמצאו נתונים</v>
      </c>
      <c r="N315" s="6" t="str">
        <f>IFERROR(__xludf.DUMMYFUNCTION("GOOGLETRANSLATE(B315,""en"",""bn"")"),"কোনও ডেটা পাওয়া যায় নি")</f>
        <v>কোনও ডেটা পাওয়া যায় নি</v>
      </c>
      <c r="O315" s="6"/>
      <c r="P315" s="6"/>
    </row>
    <row r="316">
      <c r="A316" s="24" t="s">
        <v>625</v>
      </c>
      <c r="B316" s="25" t="s">
        <v>626</v>
      </c>
      <c r="C316" s="5" t="str">
        <f>IFERROR(__xludf.DUMMYFUNCTION("GOOGLETRANSLATE(B316,""en"",""hi"")"),"वाहनों का प्रबंधन करें")</f>
        <v>वाहनों का प्रबंधन करें</v>
      </c>
      <c r="D316" s="6" t="str">
        <f>IFERROR(__xludf.DUMMYFUNCTION("GOOGLETRANSLATE(B316,""en"",""ar"")"),"إدارة المركبات")</f>
        <v>إدارة المركبات</v>
      </c>
      <c r="E316" s="6" t="str">
        <f>IFERROR(__xludf.DUMMYFUNCTION("GOOGLETRANSLATE(B316,""en"",""fr"")"),"Gérer les véhicules")</f>
        <v>Gérer les véhicules</v>
      </c>
      <c r="F316" s="6" t="str">
        <f>IFERROR(__xludf.DUMMYFUNCTION("GOOGLETRANSLATE(B316,""en"",""tr"")"),"Araçları Yönetin")</f>
        <v>Araçları Yönetin</v>
      </c>
      <c r="G316" s="6" t="str">
        <f>IFERROR(__xludf.DUMMYFUNCTION("GOOGLETRANSLATE(B316,""en"",""ru"")"),"Управлять транспортными средствами")</f>
        <v>Управлять транспортными средствами</v>
      </c>
      <c r="H316" s="6" t="str">
        <f>IFERROR(__xludf.DUMMYFUNCTION("GOOGLETRANSLATE(B316,""en"",""it"")"),"Gestisci i veicoli")</f>
        <v>Gestisci i veicoli</v>
      </c>
      <c r="I316" s="6" t="str">
        <f>IFERROR(__xludf.DUMMYFUNCTION("GOOGLETRANSLATE(B316,""en"",""de"")"),"Fahrzeuge verwalten")</f>
        <v>Fahrzeuge verwalten</v>
      </c>
      <c r="J316" s="6" t="str">
        <f>IFERROR(__xludf.DUMMYFUNCTION("GOOGLETRANSLATE(B316,""en"",""ko"")"),"차량 관리")</f>
        <v>차량 관리</v>
      </c>
      <c r="K316" s="6" t="str">
        <f>IFERROR(__xludf.DUMMYFUNCTION("GOOGLETRANSLATE(B316,""en"",""zh"")"),"管理车辆")</f>
        <v>管理车辆</v>
      </c>
      <c r="L316" s="6" t="str">
        <f>IFERROR(__xludf.DUMMYFUNCTION("GOOGLETRANSLATE(B316,""en"",""es"")"),"Administrar vehículos")</f>
        <v>Administrar vehículos</v>
      </c>
      <c r="M316" s="7" t="str">
        <f>IFERROR(__xludf.DUMMYFUNCTION("GOOGLETRANSLATE(B316,""en"",""iw"")"),"נהל רכבים")</f>
        <v>נהל רכבים</v>
      </c>
      <c r="N316" s="6" t="str">
        <f>IFERROR(__xludf.DUMMYFUNCTION("GOOGLETRANSLATE(B316,""en"",""bn"")"),"যানবাহন পরিচালনা করুন")</f>
        <v>যানবাহন পরিচালনা করুন</v>
      </c>
      <c r="O316" s="6"/>
      <c r="P316" s="6"/>
    </row>
    <row r="317">
      <c r="A317" s="24" t="s">
        <v>627</v>
      </c>
      <c r="B317" s="25" t="s">
        <v>628</v>
      </c>
      <c r="C317" s="5" t="str">
        <f>IFERROR(__xludf.DUMMYFUNCTION("GOOGLETRANSLATE(B317,""en"",""hi"")"),"ड्राइवरों को प्रबंधित करें")</f>
        <v>ड्राइवरों को प्रबंधित करें</v>
      </c>
      <c r="D317" s="6" t="str">
        <f>IFERROR(__xludf.DUMMYFUNCTION("GOOGLETRANSLATE(B317,""en"",""ar"")"),"إدارة السائقين")</f>
        <v>إدارة السائقين</v>
      </c>
      <c r="E317" s="6" t="str">
        <f>IFERROR(__xludf.DUMMYFUNCTION("GOOGLETRANSLATE(B317,""en"",""fr"")"),"Gérer les conducteurs")</f>
        <v>Gérer les conducteurs</v>
      </c>
      <c r="F317" s="6" t="str">
        <f>IFERROR(__xludf.DUMMYFUNCTION("GOOGLETRANSLATE(B317,""en"",""tr"")"),"Sürücüleri Yönetin")</f>
        <v>Sürücüleri Yönetin</v>
      </c>
      <c r="G317" s="6" t="str">
        <f>IFERROR(__xludf.DUMMYFUNCTION("GOOGLETRANSLATE(B317,""en"",""ru"")"),"Управлять водителями")</f>
        <v>Управлять водителями</v>
      </c>
      <c r="H317" s="6" t="str">
        <f>IFERROR(__xludf.DUMMYFUNCTION("GOOGLETRANSLATE(B317,""en"",""it"")"),"Gestisci i conducenti")</f>
        <v>Gestisci i conducenti</v>
      </c>
      <c r="I317" s="6" t="str">
        <f>IFERROR(__xludf.DUMMYFUNCTION("GOOGLETRANSLATE(B317,""en"",""de"")"),"Treiber verwalten")</f>
        <v>Treiber verwalten</v>
      </c>
      <c r="J317" s="6" t="str">
        <f>IFERROR(__xludf.DUMMYFUNCTION("GOOGLETRANSLATE(B317,""en"",""ko"")"),"드라이버를 관리합니다")</f>
        <v>드라이버를 관리합니다</v>
      </c>
      <c r="K317" s="6" t="str">
        <f>IFERROR(__xludf.DUMMYFUNCTION("GOOGLETRANSLATE(B317,""en"",""zh"")"),"管理驾驶员")</f>
        <v>管理驾驶员</v>
      </c>
      <c r="L317" s="6" t="str">
        <f>IFERROR(__xludf.DUMMYFUNCTION("GOOGLETRANSLATE(B317,""en"",""es"")"),"Administrar conductores")</f>
        <v>Administrar conductores</v>
      </c>
      <c r="M317" s="7" t="str">
        <f>IFERROR(__xludf.DUMMYFUNCTION("GOOGLETRANSLATE(B317,""en"",""iw"")"),"לנהל נהגים")</f>
        <v>לנהל נהגים</v>
      </c>
      <c r="N317" s="6" t="str">
        <f>IFERROR(__xludf.DUMMYFUNCTION("GOOGLETRANSLATE(B317,""en"",""bn"")"),"ড্রাইভার পরিচালনা করুন")</f>
        <v>ড্রাইভার পরিচালনা করুন</v>
      </c>
      <c r="O317" s="6"/>
      <c r="P317" s="6"/>
    </row>
    <row r="318">
      <c r="A318" s="24" t="s">
        <v>629</v>
      </c>
      <c r="B318" s="25" t="s">
        <v>630</v>
      </c>
      <c r="C318" s="5" t="str">
        <f>IFERROR(__xludf.DUMMYFUNCTION("GOOGLETRANSLATE(B318,""en"",""hi"")"),"ड्राइवर ने सफलतापूर्वक जोड़ा")</f>
        <v>ड्राइवर ने सफलतापूर्वक जोड़ा</v>
      </c>
      <c r="D318" s="6" t="str">
        <f>IFERROR(__xludf.DUMMYFUNCTION("GOOGLETRANSLATE(B318,""en"",""ar"")"),"أضاف السائق بنجاح")</f>
        <v>أضاف السائق بنجاح</v>
      </c>
      <c r="E318" s="6" t="str">
        <f>IFERROR(__xludf.DUMMYFUNCTION("GOOGLETRANSLATE(B318,""en"",""fr"")"),"Le conducteur ajouté avec succès")</f>
        <v>Le conducteur ajouté avec succès</v>
      </c>
      <c r="F318" s="6" t="str">
        <f>IFERROR(__xludf.DUMMYFUNCTION("GOOGLETRANSLATE(B318,""en"",""tr"")"),"Sürücü başarıyla eklendi")</f>
        <v>Sürücü başarıyla eklendi</v>
      </c>
      <c r="G318" s="6" t="str">
        <f>IFERROR(__xludf.DUMMYFUNCTION("GOOGLETRANSLATE(B318,""en"",""ru"")"),"Драйвер добавлен успешно")</f>
        <v>Драйвер добавлен успешно</v>
      </c>
      <c r="H318" s="6" t="str">
        <f>IFERROR(__xludf.DUMMYFUNCTION("GOOGLETRANSLATE(B318,""en"",""it"")"),"Driver aggiunto con successo")</f>
        <v>Driver aggiunto con successo</v>
      </c>
      <c r="I318" s="6" t="str">
        <f>IFERROR(__xludf.DUMMYFUNCTION("GOOGLETRANSLATE(B318,""en"",""de"")"),"Der Fahrer fügte erfolgreich hinzu")</f>
        <v>Der Fahrer fügte erfolgreich hinzu</v>
      </c>
      <c r="J318" s="6" t="str">
        <f>IFERROR(__xludf.DUMMYFUNCTION("GOOGLETRANSLATE(B318,""en"",""ko"")"),"운전자가 성공적으로 추가되었습니다")</f>
        <v>운전자가 성공적으로 추가되었습니다</v>
      </c>
      <c r="K318" s="6" t="str">
        <f>IFERROR(__xludf.DUMMYFUNCTION("GOOGLETRANSLATE(B318,""en"",""zh"")"),"驱动程序成功添加了")</f>
        <v>驱动程序成功添加了</v>
      </c>
      <c r="L318" s="6" t="str">
        <f>IFERROR(__xludf.DUMMYFUNCTION("GOOGLETRANSLATE(B318,""en"",""es"")"),"Conductor agregado con éxito")</f>
        <v>Conductor agregado con éxito</v>
      </c>
      <c r="M318" s="7" t="str">
        <f>IFERROR(__xludf.DUMMYFUNCTION("GOOGLETRANSLATE(B318,""en"",""iw"")"),"הנהג הוסיף בהצלחה")</f>
        <v>הנהג הוסיף בהצלחה</v>
      </c>
      <c r="N318" s="6" t="str">
        <f>IFERROR(__xludf.DUMMYFUNCTION("GOOGLETRANSLATE(B318,""en"",""bn"")"),"ড্রাইভার সফলভাবে যোগ করেছে")</f>
        <v>ড্রাইভার সফলভাবে যোগ করেছে</v>
      </c>
      <c r="O318" s="6"/>
      <c r="P318" s="6"/>
    </row>
    <row r="319">
      <c r="A319" s="24" t="s">
        <v>631</v>
      </c>
      <c r="B319" s="25" t="s">
        <v>632</v>
      </c>
      <c r="C319" s="5" t="str">
        <f>IFERROR(__xludf.DUMMYFUNCTION("GOOGLETRANSLATE(B319,""en"",""hi"")"),"कोई चालक नहीं")</f>
        <v>कोई चालक नहीं</v>
      </c>
      <c r="D319" s="6" t="str">
        <f>IFERROR(__xludf.DUMMYFUNCTION("GOOGLETRANSLATE(B319,""en"",""ar"")"),"لا سائق")</f>
        <v>لا سائق</v>
      </c>
      <c r="E319" s="6" t="str">
        <f>IFERROR(__xludf.DUMMYFUNCTION("GOOGLETRANSLATE(B319,""en"",""fr"")"),"Pas de conducteur")</f>
        <v>Pas de conducteur</v>
      </c>
      <c r="F319" s="6" t="str">
        <f>IFERROR(__xludf.DUMMYFUNCTION("GOOGLETRANSLATE(B319,""en"",""tr"")"),"Sürücü yok")</f>
        <v>Sürücü yok</v>
      </c>
      <c r="G319" s="6" t="str">
        <f>IFERROR(__xludf.DUMMYFUNCTION("GOOGLETRANSLATE(B319,""en"",""ru"")"),"Нет водителя")</f>
        <v>Нет водителя</v>
      </c>
      <c r="H319" s="6" t="str">
        <f>IFERROR(__xludf.DUMMYFUNCTION("GOOGLETRANSLATE(B319,""en"",""it"")"),"Nessun driver")</f>
        <v>Nessun driver</v>
      </c>
      <c r="I319" s="6" t="str">
        <f>IFERROR(__xludf.DUMMYFUNCTION("GOOGLETRANSLATE(B319,""en"",""de"")"),"Kein Fahrer")</f>
        <v>Kein Fahrer</v>
      </c>
      <c r="J319" s="6" t="str">
        <f>IFERROR(__xludf.DUMMYFUNCTION("GOOGLETRANSLATE(B319,""en"",""ko"")"),"운전자가 없습니다")</f>
        <v>운전자가 없습니다</v>
      </c>
      <c r="K319" s="6" t="str">
        <f>IFERROR(__xludf.DUMMYFUNCTION("GOOGLETRANSLATE(B319,""en"",""zh"")"),"没有驾驶员")</f>
        <v>没有驾驶员</v>
      </c>
      <c r="L319" s="6" t="str">
        <f>IFERROR(__xludf.DUMMYFUNCTION("GOOGLETRANSLATE(B319,""en"",""es"")"),"Sin conductor")</f>
        <v>Sin conductor</v>
      </c>
      <c r="M319" s="7" t="str">
        <f>IFERROR(__xludf.DUMMYFUNCTION("GOOGLETRANSLATE(B319,""en"",""iw"")"),"אין נהג")</f>
        <v>אין נהג</v>
      </c>
      <c r="N319" s="6" t="str">
        <f>IFERROR(__xludf.DUMMYFUNCTION("GOOGLETRANSLATE(B319,""en"",""bn"")"),"ড্রাইভার নেই")</f>
        <v>ড্রাইভার নেই</v>
      </c>
      <c r="O319" s="6"/>
      <c r="P319" s="6"/>
    </row>
    <row r="320">
      <c r="A320" s="24" t="s">
        <v>633</v>
      </c>
      <c r="B320" s="25" t="s">
        <v>634</v>
      </c>
      <c r="C320" s="5" t="str">
        <f>IFERROR(__xludf.DUMMYFUNCTION("GOOGLETRANSLATE(B320,""en"",""hi"")"),"नया ड्राइवर + असाइन करें")</f>
        <v>नया ड्राइवर + असाइन करें</v>
      </c>
      <c r="D320" s="6" t="str">
        <f>IFERROR(__xludf.DUMMYFUNCTION("GOOGLETRANSLATE(B320,""en"",""ar"")"),"تعيين برنامج تشغيل جديد +")</f>
        <v>تعيين برنامج تشغيل جديد +</v>
      </c>
      <c r="E320" s="6" t="str">
        <f>IFERROR(__xludf.DUMMYFUNCTION("GOOGLETRANSLATE(B320,""en"",""fr"")"),"Attribuer un nouveau pilote +")</f>
        <v>Attribuer un nouveau pilote +</v>
      </c>
      <c r="F320" s="6" t="str">
        <f>IFERROR(__xludf.DUMMYFUNCTION("GOOGLETRANSLATE(B320,""en"",""tr"")"),"Yeni sürücü ata +")</f>
        <v>Yeni sürücü ata +</v>
      </c>
      <c r="G320" s="6" t="str">
        <f>IFERROR(__xludf.DUMMYFUNCTION("GOOGLETRANSLATE(B320,""en"",""ru"")"),"Назначьте новый драйвер +")</f>
        <v>Назначьте новый драйвер +</v>
      </c>
      <c r="H320" s="6" t="str">
        <f>IFERROR(__xludf.DUMMYFUNCTION("GOOGLETRANSLATE(B320,""en"",""it"")"),"Assegna un nuovo driver +")</f>
        <v>Assegna un nuovo driver +</v>
      </c>
      <c r="I320" s="6" t="str">
        <f>IFERROR(__xludf.DUMMYFUNCTION("GOOGLETRANSLATE(B320,""en"",""de"")"),"Neuen Treiber + zuweisen")</f>
        <v>Neuen Treiber + zuweisen</v>
      </c>
      <c r="J320" s="6" t="str">
        <f>IFERROR(__xludf.DUMMYFUNCTION("GOOGLETRANSLATE(B320,""en"",""ko"")"),"새 드라이버 +를 할당하십시오")</f>
        <v>새 드라이버 +를 할당하십시오</v>
      </c>
      <c r="K320" s="6" t="str">
        <f>IFERROR(__xludf.DUMMYFUNCTION("GOOGLETRANSLATE(B320,""en"",""zh"")"),"分配新驱动程序 +")</f>
        <v>分配新驱动程序 +</v>
      </c>
      <c r="L320" s="6" t="str">
        <f>IFERROR(__xludf.DUMMYFUNCTION("GOOGLETRANSLATE(B320,""en"",""es"")"),"Asignar un nuevo controlador +")</f>
        <v>Asignar un nuevo controlador +</v>
      </c>
      <c r="M320" s="7" t="str">
        <f>IFERROR(__xludf.DUMMYFUNCTION("GOOGLETRANSLATE(B320,""en"",""iw"")"),"הקצה מנהל התקן חדש +")</f>
        <v>הקצה מנהל התקן חדש +</v>
      </c>
      <c r="N320" s="6" t="str">
        <f>IFERROR(__xludf.DUMMYFUNCTION("GOOGLETRANSLATE(B320,""en"",""bn"")"),"নতুন ড্রাইভার + বরাদ্দ +")</f>
        <v>নতুন ড্রাইভার + বরাদ্দ +</v>
      </c>
      <c r="O320" s="6"/>
      <c r="P320" s="6"/>
    </row>
    <row r="321">
      <c r="A321" s="24" t="s">
        <v>635</v>
      </c>
      <c r="B321" s="25" t="s">
        <v>636</v>
      </c>
      <c r="C321" s="5" t="str">
        <f>IFERROR(__xludf.DUMMYFUNCTION("GOOGLETRANSLATE(B321,""en"",""hi"")"),"कृपया ड्राइवर का चयन करें")</f>
        <v>कृपया ड्राइवर का चयन करें</v>
      </c>
      <c r="D321" s="6" t="str">
        <f>IFERROR(__xludf.DUMMYFUNCTION("GOOGLETRANSLATE(B321,""en"",""ar"")"),"الرجاء تحديد برنامج التشغيل")</f>
        <v>الرجاء تحديد برنامج التشغيل</v>
      </c>
      <c r="E321" s="6" t="str">
        <f>IFERROR(__xludf.DUMMYFUNCTION("GOOGLETRANSLATE(B321,""en"",""fr"")"),"Veuillez sélectionner le pilote")</f>
        <v>Veuillez sélectionner le pilote</v>
      </c>
      <c r="F321" s="6" t="str">
        <f>IFERROR(__xludf.DUMMYFUNCTION("GOOGLETRANSLATE(B321,""en"",""tr"")"),"Lütfen Sürücüyü Seçin")</f>
        <v>Lütfen Sürücüyü Seçin</v>
      </c>
      <c r="G321" s="6" t="str">
        <f>IFERROR(__xludf.DUMMYFUNCTION("GOOGLETRANSLATE(B321,""en"",""ru"")"),"Пожалуйста, выберите драйвер")</f>
        <v>Пожалуйста, выберите драйвер</v>
      </c>
      <c r="H321" s="6" t="str">
        <f>IFERROR(__xludf.DUMMYFUNCTION("GOOGLETRANSLATE(B321,""en"",""it"")"),"Seleziona Driver")</f>
        <v>Seleziona Driver</v>
      </c>
      <c r="I321" s="6" t="str">
        <f>IFERROR(__xludf.DUMMYFUNCTION("GOOGLETRANSLATE(B321,""en"",""de"")"),"Bitte wählen Sie Treiber")</f>
        <v>Bitte wählen Sie Treiber</v>
      </c>
      <c r="J321" s="6" t="str">
        <f>IFERROR(__xludf.DUMMYFUNCTION("GOOGLETRANSLATE(B321,""en"",""ko"")"),"드라이버를 선택하십시오")</f>
        <v>드라이버를 선택하십시오</v>
      </c>
      <c r="K321" s="6" t="str">
        <f>IFERROR(__xludf.DUMMYFUNCTION("GOOGLETRANSLATE(B321,""en"",""zh"")"),"请选择驱动程序")</f>
        <v>请选择驱动程序</v>
      </c>
      <c r="L321" s="6" t="str">
        <f>IFERROR(__xludf.DUMMYFUNCTION("GOOGLETRANSLATE(B321,""en"",""es"")"),"Seleccione el controlador")</f>
        <v>Seleccione el controlador</v>
      </c>
      <c r="M321" s="7" t="str">
        <f>IFERROR(__xludf.DUMMYFUNCTION("GOOGLETRANSLATE(B321,""en"",""iw"")"),"אנא בחר מנהל התקן")</f>
        <v>אנא בחר מנהל התקן</v>
      </c>
      <c r="N321" s="6" t="str">
        <f>IFERROR(__xludf.DUMMYFUNCTION("GOOGLETRANSLATE(B321,""en"",""bn"")"),"ড্রাইভার নির্বাচন করুন")</f>
        <v>ড্রাইভার নির্বাচন করুন</v>
      </c>
      <c r="O321" s="6"/>
      <c r="P321" s="6"/>
    </row>
    <row r="322">
      <c r="A322" s="24" t="s">
        <v>637</v>
      </c>
      <c r="B322" s="25" t="s">
        <v>638</v>
      </c>
      <c r="C322" s="5" t="str">
        <f>IFERROR(__xludf.DUMMYFUNCTION("GOOGLETRANSLATE(B322,""en"",""hi"")"),"बेड़े को सौंपा नहीं गया")</f>
        <v>बेड़े को सौंपा नहीं गया</v>
      </c>
      <c r="D322" s="6" t="str">
        <f>IFERROR(__xludf.DUMMYFUNCTION("GOOGLETRANSLATE(B322,""en"",""ar"")"),"الأسطول لم يتم تعيينه")</f>
        <v>الأسطول لم يتم تعيينه</v>
      </c>
      <c r="E322" s="6" t="str">
        <f>IFERROR(__xludf.DUMMYFUNCTION("GOOGLETRANSLATE(B322,""en"",""fr"")"),"Flotte non affectée")</f>
        <v>Flotte non affectée</v>
      </c>
      <c r="F322" s="6" t="str">
        <f>IFERROR(__xludf.DUMMYFUNCTION("GOOGLETRANSLATE(B322,""en"",""tr"")"),"Filo atanmadı")</f>
        <v>Filo atanmadı</v>
      </c>
      <c r="G322" s="6" t="str">
        <f>IFERROR(__xludf.DUMMYFUNCTION("GOOGLETRANSLATE(B322,""en"",""ru"")"),"Флот не назначен")</f>
        <v>Флот не назначен</v>
      </c>
      <c r="H322" s="6" t="str">
        <f>IFERROR(__xludf.DUMMYFUNCTION("GOOGLETRANSLATE(B322,""en"",""it"")"),"Flotta non assegnata")</f>
        <v>Flotta non assegnata</v>
      </c>
      <c r="I322" s="6" t="str">
        <f>IFERROR(__xludf.DUMMYFUNCTION("GOOGLETRANSLATE(B322,""en"",""de"")"),"Flotte nicht zugewiesen")</f>
        <v>Flotte nicht zugewiesen</v>
      </c>
      <c r="J322" s="6" t="str">
        <f>IFERROR(__xludf.DUMMYFUNCTION("GOOGLETRANSLATE(B322,""en"",""ko"")"),"함대가 할당되지 않았습니다")</f>
        <v>함대가 할당되지 않았습니다</v>
      </c>
      <c r="K322" s="6" t="str">
        <f>IFERROR(__xludf.DUMMYFUNCTION("GOOGLETRANSLATE(B322,""en"",""zh"")"),"舰队未分配")</f>
        <v>舰队未分配</v>
      </c>
      <c r="L322" s="6" t="str">
        <f>IFERROR(__xludf.DUMMYFUNCTION("GOOGLETRANSLATE(B322,""en"",""es"")"),"Flota no asignada")</f>
        <v>Flota no asignada</v>
      </c>
      <c r="M322" s="7" t="str">
        <f>IFERROR(__xludf.DUMMYFUNCTION("GOOGLETRANSLATE(B322,""en"",""iw"")"),"צי לא הוקצה")</f>
        <v>צי לא הוקצה</v>
      </c>
      <c r="N322" s="6" t="str">
        <f>IFERROR(__xludf.DUMMYFUNCTION("GOOGLETRANSLATE(B322,""en"",""bn"")"),"বহর বরাদ্দ করা হয়নি")</f>
        <v>বহর বরাদ্দ করা হয়নি</v>
      </c>
      <c r="O322" s="6"/>
      <c r="P322" s="6"/>
    </row>
    <row r="323">
      <c r="A323" s="24" t="s">
        <v>639</v>
      </c>
      <c r="B323" s="25" t="s">
        <v>640</v>
      </c>
      <c r="C323" s="5" t="str">
        <f>IFERROR(__xludf.DUMMYFUNCTION("GOOGLETRANSLATE(B323,""en"",""hi"")"),"कोई ड्राइवर नहीं मिला")</f>
        <v>कोई ड्राइवर नहीं मिला</v>
      </c>
      <c r="D323" s="6" t="str">
        <f>IFERROR(__xludf.DUMMYFUNCTION("GOOGLETRANSLATE(B323,""en"",""ar"")"),"لم يتم العثور على السائقين")</f>
        <v>لم يتم العثور على السائقين</v>
      </c>
      <c r="E323" s="6" t="str">
        <f>IFERROR(__xludf.DUMMYFUNCTION("GOOGLETRANSLATE(B323,""en"",""fr"")"),"Aucun conducteur trouvé")</f>
        <v>Aucun conducteur trouvé</v>
      </c>
      <c r="F323" s="6" t="str">
        <f>IFERROR(__xludf.DUMMYFUNCTION("GOOGLETRANSLATE(B323,""en"",""tr"")"),"Sürücü bulunamadı")</f>
        <v>Sürücü bulunamadı</v>
      </c>
      <c r="G323" s="6" t="str">
        <f>IFERROR(__xludf.DUMMYFUNCTION("GOOGLETRANSLATE(B323,""en"",""ru"")"),"Водителей не найдено")</f>
        <v>Водителей не найдено</v>
      </c>
      <c r="H323" s="6" t="str">
        <f>IFERROR(__xludf.DUMMYFUNCTION("GOOGLETRANSLATE(B323,""en"",""it"")"),"Nessun driver trovato")</f>
        <v>Nessun driver trovato</v>
      </c>
      <c r="I323" s="6" t="str">
        <f>IFERROR(__xludf.DUMMYFUNCTION("GOOGLETRANSLATE(B323,""en"",""de"")"),"Keine Fahrer gefunden")</f>
        <v>Keine Fahrer gefunden</v>
      </c>
      <c r="J323" s="6" t="str">
        <f>IFERROR(__xludf.DUMMYFUNCTION("GOOGLETRANSLATE(B323,""en"",""ko"")"),"운전자가 발견되지 않았습니다")</f>
        <v>운전자가 발견되지 않았습니다</v>
      </c>
      <c r="K323" s="6" t="str">
        <f>IFERROR(__xludf.DUMMYFUNCTION("GOOGLETRANSLATE(B323,""en"",""zh"")"),"找不到司机")</f>
        <v>找不到司机</v>
      </c>
      <c r="L323" s="6" t="str">
        <f>IFERROR(__xludf.DUMMYFUNCTION("GOOGLETRANSLATE(B323,""en"",""es"")"),"No se encontraron conductores")</f>
        <v>No se encontraron conductores</v>
      </c>
      <c r="M323" s="7" t="str">
        <f>IFERROR(__xludf.DUMMYFUNCTION("GOOGLETRANSLATE(B323,""en"",""iw"")"),"לא נמצאו נהגים")</f>
        <v>לא נמצאו נהגים</v>
      </c>
      <c r="N323" s="6" t="str">
        <f>IFERROR(__xludf.DUMMYFUNCTION("GOOGLETRANSLATE(B323,""en"",""bn"")"),"কোনও ড্রাইভার পাওয়া যায় নি")</f>
        <v>কোনও ড্রাইভার পাওয়া যায় নি</v>
      </c>
      <c r="O323" s="6"/>
      <c r="P323" s="6"/>
    </row>
    <row r="324">
      <c r="A324" s="24" t="s">
        <v>641</v>
      </c>
      <c r="B324" s="25" t="s">
        <v>642</v>
      </c>
      <c r="C324" s="5" t="str">
        <f>IFERROR(__xludf.DUMMYFUNCTION("GOOGLETRANSLATE(B324,""en"",""hi"")"),"तारीख़ चुनें")</f>
        <v>तारीख़ चुनें</v>
      </c>
      <c r="D324" s="6" t="str">
        <f>IFERROR(__xludf.DUMMYFUNCTION("GOOGLETRANSLATE(B324,""en"",""ar"")"),"حدد تاريخ")</f>
        <v>حدد تاريخ</v>
      </c>
      <c r="E324" s="6" t="str">
        <f>IFERROR(__xludf.DUMMYFUNCTION("GOOGLETRANSLATE(B324,""en"",""fr"")"),"Sélectionner une date")</f>
        <v>Sélectionner une date</v>
      </c>
      <c r="F324" s="6" t="str">
        <f>IFERROR(__xludf.DUMMYFUNCTION("GOOGLETRANSLATE(B324,""en"",""tr"")"),"Tarih seç")</f>
        <v>Tarih seç</v>
      </c>
      <c r="G324" s="6" t="str">
        <f>IFERROR(__xludf.DUMMYFUNCTION("GOOGLETRANSLATE(B324,""en"",""ru"")"),"Выберите дату")</f>
        <v>Выберите дату</v>
      </c>
      <c r="H324" s="6" t="str">
        <f>IFERROR(__xludf.DUMMYFUNCTION("GOOGLETRANSLATE(B324,""en"",""it"")"),"Seleziona data")</f>
        <v>Seleziona data</v>
      </c>
      <c r="I324" s="6" t="str">
        <f>IFERROR(__xludf.DUMMYFUNCTION("GOOGLETRANSLATE(B324,""en"",""de"")"),"Datum auswählen")</f>
        <v>Datum auswählen</v>
      </c>
      <c r="J324" s="6" t="str">
        <f>IFERROR(__xludf.DUMMYFUNCTION("GOOGLETRANSLATE(B324,""en"",""ko"")"),"날짜를 선택하십시오")</f>
        <v>날짜를 선택하십시오</v>
      </c>
      <c r="K324" s="6" t="str">
        <f>IFERROR(__xludf.DUMMYFUNCTION("GOOGLETRANSLATE(B324,""en"",""zh"")"),"选择日期")</f>
        <v>选择日期</v>
      </c>
      <c r="L324" s="6" t="str">
        <f>IFERROR(__xludf.DUMMYFUNCTION("GOOGLETRANSLATE(B324,""en"",""es"")"),"Seleccione fecha")</f>
        <v>Seleccione fecha</v>
      </c>
      <c r="M324" s="7" t="str">
        <f>IFERROR(__xludf.DUMMYFUNCTION("GOOGLETRANSLATE(B324,""en"",""iw"")"),"בחר תאריך")</f>
        <v>בחר תאריך</v>
      </c>
      <c r="N324" s="6" t="str">
        <f>IFERROR(__xludf.DUMMYFUNCTION("GOOGLETRANSLATE(B324,""en"",""bn"")"),"তারিখ নির্বাচন করুন")</f>
        <v>তারিখ নির্বাচন করুন</v>
      </c>
      <c r="O324" s="6"/>
      <c r="P324" s="6"/>
    </row>
    <row r="325">
      <c r="A325" s="24" t="s">
        <v>643</v>
      </c>
      <c r="B325" s="25" t="s">
        <v>644</v>
      </c>
      <c r="C325" s="5" t="str">
        <f>IFERROR(__xludf.DUMMYFUNCTION("GOOGLETRANSLATE(B325,""en"",""hi"")"),"उपयोगकर्ता")</f>
        <v>उपयोगकर्ता</v>
      </c>
      <c r="D325" s="6" t="str">
        <f>IFERROR(__xludf.DUMMYFUNCTION("GOOGLETRANSLATE(B325,""en"",""ar"")"),"المستعمل")</f>
        <v>المستعمل</v>
      </c>
      <c r="E325" s="6" t="str">
        <f>IFERROR(__xludf.DUMMYFUNCTION("GOOGLETRANSLATE(B325,""en"",""fr"")"),"Utilisateur")</f>
        <v>Utilisateur</v>
      </c>
      <c r="F325" s="6" t="str">
        <f>IFERROR(__xludf.DUMMYFUNCTION("GOOGLETRANSLATE(B325,""en"",""tr"")"),"Kullanıcı")</f>
        <v>Kullanıcı</v>
      </c>
      <c r="G325" s="6" t="str">
        <f>IFERROR(__xludf.DUMMYFUNCTION("GOOGLETRANSLATE(B325,""en"",""ru"")"),"Пользователь")</f>
        <v>Пользователь</v>
      </c>
      <c r="H325" s="6" t="str">
        <f>IFERROR(__xludf.DUMMYFUNCTION("GOOGLETRANSLATE(B325,""en"",""it"")"),"Utente")</f>
        <v>Utente</v>
      </c>
      <c r="I325" s="6" t="str">
        <f>IFERROR(__xludf.DUMMYFUNCTION("GOOGLETRANSLATE(B325,""en"",""de"")"),"Benutzer")</f>
        <v>Benutzer</v>
      </c>
      <c r="J325" s="6" t="str">
        <f>IFERROR(__xludf.DUMMYFUNCTION("GOOGLETRANSLATE(B325,""en"",""ko"")"),"사용자")</f>
        <v>사용자</v>
      </c>
      <c r="K325" s="6" t="str">
        <f>IFERROR(__xludf.DUMMYFUNCTION("GOOGLETRANSLATE(B325,""en"",""zh"")"),"用户")</f>
        <v>用户</v>
      </c>
      <c r="L325" s="6" t="str">
        <f>IFERROR(__xludf.DUMMYFUNCTION("GOOGLETRANSLATE(B325,""en"",""es"")"),"Usuario")</f>
        <v>Usuario</v>
      </c>
      <c r="M325" s="7" t="str">
        <f>IFERROR(__xludf.DUMMYFUNCTION("GOOGLETRANSLATE(B325,""en"",""iw"")"),"מִשׁתַמֵשׁ")</f>
        <v>מִשׁתַמֵשׁ</v>
      </c>
      <c r="N325" s="6" t="str">
        <f>IFERROR(__xludf.DUMMYFUNCTION("GOOGLETRANSLATE(B325,""en"",""bn"")"),"ব্যবহারকারী")</f>
        <v>ব্যবহারকারী</v>
      </c>
      <c r="O325" s="6"/>
      <c r="P325" s="6"/>
    </row>
    <row r="326">
      <c r="A326" s="24" t="s">
        <v>645</v>
      </c>
      <c r="B326" s="25" t="s">
        <v>646</v>
      </c>
      <c r="C326" s="5" t="str">
        <f>IFERROR(__xludf.DUMMYFUNCTION("GOOGLETRANSLATE(B326,""en"",""hi"")"),"चालक")</f>
        <v>चालक</v>
      </c>
      <c r="D326" s="6" t="str">
        <f>IFERROR(__xludf.DUMMYFUNCTION("GOOGLETRANSLATE(B326,""en"",""ar"")"),"سائق")</f>
        <v>سائق</v>
      </c>
      <c r="E326" s="6" t="str">
        <f>IFERROR(__xludf.DUMMYFUNCTION("GOOGLETRANSLATE(B326,""en"",""fr"")"),"Chauffeur")</f>
        <v>Chauffeur</v>
      </c>
      <c r="F326" s="6" t="str">
        <f>IFERROR(__xludf.DUMMYFUNCTION("GOOGLETRANSLATE(B326,""en"",""tr"")"),"Şoför")</f>
        <v>Şoför</v>
      </c>
      <c r="G326" s="6" t="str">
        <f>IFERROR(__xludf.DUMMYFUNCTION("GOOGLETRANSLATE(B326,""en"",""ru"")"),"Водитель")</f>
        <v>Водитель</v>
      </c>
      <c r="H326" s="6" t="str">
        <f>IFERROR(__xludf.DUMMYFUNCTION("GOOGLETRANSLATE(B326,""en"",""it"")"),"Autista")</f>
        <v>Autista</v>
      </c>
      <c r="I326" s="6" t="str">
        <f>IFERROR(__xludf.DUMMYFUNCTION("GOOGLETRANSLATE(B326,""en"",""de"")"),"Treiber")</f>
        <v>Treiber</v>
      </c>
      <c r="J326" s="6" t="str">
        <f>IFERROR(__xludf.DUMMYFUNCTION("GOOGLETRANSLATE(B326,""en"",""ko"")"),"운전사")</f>
        <v>운전사</v>
      </c>
      <c r="K326" s="6" t="str">
        <f>IFERROR(__xludf.DUMMYFUNCTION("GOOGLETRANSLATE(B326,""en"",""zh"")"),"司机")</f>
        <v>司机</v>
      </c>
      <c r="L326" s="6" t="str">
        <f>IFERROR(__xludf.DUMMYFUNCTION("GOOGLETRANSLATE(B326,""en"",""es"")"),"Conductor")</f>
        <v>Conductor</v>
      </c>
      <c r="M326" s="7" t="str">
        <f>IFERROR(__xludf.DUMMYFUNCTION("GOOGLETRANSLATE(B326,""en"",""iw"")"),"נהג")</f>
        <v>נהג</v>
      </c>
      <c r="N326" s="6" t="str">
        <f>IFERROR(__xludf.DUMMYFUNCTION("GOOGLETRANSLATE(B326,""en"",""bn"")"),"ড্রাইভার")</f>
        <v>ড্রাইভার</v>
      </c>
      <c r="O326" s="6"/>
      <c r="P326" s="6"/>
    </row>
    <row r="327">
      <c r="A327" s="24" t="s">
        <v>647</v>
      </c>
      <c r="B327" s="26" t="s">
        <v>648</v>
      </c>
      <c r="C327" s="5" t="str">
        <f>IFERROR(__xludf.DUMMYFUNCTION("GOOGLETRANSLATE(B327,""en"",""hi"")"),"ड्राइवर को सौंपा नहीं गया")</f>
        <v>ड्राइवर को सौंपा नहीं गया</v>
      </c>
      <c r="D327" s="6" t="str">
        <f>IFERROR(__xludf.DUMMYFUNCTION("GOOGLETRANSLATE(B327,""en"",""ar"")"),"سائق لم يتم تعيينه")</f>
        <v>سائق لم يتم تعيينه</v>
      </c>
      <c r="E327" s="6" t="str">
        <f>IFERROR(__xludf.DUMMYFUNCTION("GOOGLETRANSLATE(B327,""en"",""fr"")"),"Conducteur non affecté")</f>
        <v>Conducteur non affecté</v>
      </c>
      <c r="F327" s="6" t="str">
        <f>IFERROR(__xludf.DUMMYFUNCTION("GOOGLETRANSLATE(B327,""en"",""tr"")"),"Sürücü atanmadı")</f>
        <v>Sürücü atanmadı</v>
      </c>
      <c r="G327" s="6" t="str">
        <f>IFERROR(__xludf.DUMMYFUNCTION("GOOGLETRANSLATE(B327,""en"",""ru"")"),"Водитель не назначен")</f>
        <v>Водитель не назначен</v>
      </c>
      <c r="H327" s="6" t="str">
        <f>IFERROR(__xludf.DUMMYFUNCTION("GOOGLETRANSLATE(B327,""en"",""it"")"),"Driver non assegnato")</f>
        <v>Driver non assegnato</v>
      </c>
      <c r="I327" s="6" t="str">
        <f>IFERROR(__xludf.DUMMYFUNCTION("GOOGLETRANSLATE(B327,""en"",""de"")"),"Treiber nicht zugewiesen")</f>
        <v>Treiber nicht zugewiesen</v>
      </c>
      <c r="J327" s="6" t="str">
        <f>IFERROR(__xludf.DUMMYFUNCTION("GOOGLETRANSLATE(B327,""en"",""ko"")"),"드라이버가 할당되지 않았습니다")</f>
        <v>드라이버가 할당되지 않았습니다</v>
      </c>
      <c r="K327" s="6" t="str">
        <f>IFERROR(__xludf.DUMMYFUNCTION("GOOGLETRANSLATE(B327,""en"",""zh"")"),"驱动程序未分配")</f>
        <v>驱动程序未分配</v>
      </c>
      <c r="L327" s="6" t="str">
        <f>IFERROR(__xludf.DUMMYFUNCTION("GOOGLETRANSLATE(B327,""en"",""es"")"),"Controlador no asignado")</f>
        <v>Controlador no asignado</v>
      </c>
      <c r="M327" s="7" t="str">
        <f>IFERROR(__xludf.DUMMYFUNCTION("GOOGLETRANSLATE(B327,""en"",""iw"")"),"מנהל התקן לא הוקצה")</f>
        <v>מנהל התקן לא הוקצה</v>
      </c>
      <c r="N327" s="6" t="str">
        <f>IFERROR(__xludf.DUMMYFUNCTION("GOOGLETRANSLATE(B327,""en"",""bn"")"),"ড্রাইভার বরাদ্দ করা হয়নি")</f>
        <v>ড্রাইভার বরাদ্দ করা হয়নি</v>
      </c>
      <c r="O327" s="6"/>
      <c r="P327" s="6"/>
    </row>
    <row r="328">
      <c r="A328" s="24" t="s">
        <v>649</v>
      </c>
      <c r="B328" s="26" t="s">
        <v>650</v>
      </c>
      <c r="C328" s="5" t="str">
        <f>IFERROR(__xludf.DUMMYFUNCTION("GOOGLETRANSLATE(B328,""en"",""hi"")"),"अनुमोदन के लिए प्रतीक्षा")</f>
        <v>अनुमोदन के लिए प्रतीक्षा</v>
      </c>
      <c r="D328" s="6" t="str">
        <f>IFERROR(__xludf.DUMMYFUNCTION("GOOGLETRANSLATE(B328,""en"",""ar"")"),"بانتظار الموافقة")</f>
        <v>بانتظار الموافقة</v>
      </c>
      <c r="E328" s="6" t="str">
        <f>IFERROR(__xludf.DUMMYFUNCTION("GOOGLETRANSLATE(B328,""en"",""fr"")"),"En attente d'approbation")</f>
        <v>En attente d'approbation</v>
      </c>
      <c r="F328" s="6" t="str">
        <f>IFERROR(__xludf.DUMMYFUNCTION("GOOGLETRANSLATE(B328,""en"",""tr"")"),"Onay bekleniyor")</f>
        <v>Onay bekleniyor</v>
      </c>
      <c r="G328" s="6" t="str">
        <f>IFERROR(__xludf.DUMMYFUNCTION("GOOGLETRANSLATE(B328,""en"",""ru"")"),"Ожидание подтверждения")</f>
        <v>Ожидание подтверждения</v>
      </c>
      <c r="H328" s="6" t="str">
        <f>IFERROR(__xludf.DUMMYFUNCTION("GOOGLETRANSLATE(B328,""en"",""it"")"),"In attesa di approvazione")</f>
        <v>In attesa di approvazione</v>
      </c>
      <c r="I328" s="6" t="str">
        <f>IFERROR(__xludf.DUMMYFUNCTION("GOOGLETRANSLATE(B328,""en"",""de"")"),"Warten auf die Bestätigung")</f>
        <v>Warten auf die Bestätigung</v>
      </c>
      <c r="J328" s="6" t="str">
        <f>IFERROR(__xludf.DUMMYFUNCTION("GOOGLETRANSLATE(B328,""en"",""ko"")"),"승인 대기 중")</f>
        <v>승인 대기 중</v>
      </c>
      <c r="K328" s="6" t="str">
        <f>IFERROR(__xludf.DUMMYFUNCTION("GOOGLETRANSLATE(B328,""en"",""zh"")"),"等待批准")</f>
        <v>等待批准</v>
      </c>
      <c r="L328" s="6" t="str">
        <f>IFERROR(__xludf.DUMMYFUNCTION("GOOGLETRANSLATE(B328,""en"",""es"")"),"A la espera de la aprobación")</f>
        <v>A la espera de la aprobación</v>
      </c>
      <c r="M328" s="7" t="str">
        <f>IFERROR(__xludf.DUMMYFUNCTION("GOOGLETRANSLATE(B328,""en"",""iw"")"),"מחכה לאישור")</f>
        <v>מחכה לאישור</v>
      </c>
      <c r="N328" s="6" t="str">
        <f>IFERROR(__xludf.DUMMYFUNCTION("GOOGLETRANSLATE(B328,""en"",""bn"")"),"অনুমোদনের জন্য অপেক্ষা করছে")</f>
        <v>অনুমোদনের জন্য অপেক্ষা করছে</v>
      </c>
      <c r="O328" s="6"/>
      <c r="P328" s="6"/>
    </row>
    <row r="329">
      <c r="A329" s="24" t="s">
        <v>651</v>
      </c>
      <c r="B329" s="25" t="s">
        <v>652</v>
      </c>
      <c r="C329" s="5" t="str">
        <f>IFERROR(__xludf.DUMMYFUNCTION("GOOGLETRANSLATE(B329,""en"",""hi"")"),"कोई वाहन नहीं मिला")</f>
        <v>कोई वाहन नहीं मिला</v>
      </c>
      <c r="D329" s="6" t="str">
        <f>IFERROR(__xludf.DUMMYFUNCTION("GOOGLETRANSLATE(B329,""en"",""ar"")"),"لم يتم العثور على مركبة")</f>
        <v>لم يتم العثور على مركبة</v>
      </c>
      <c r="E329" s="6" t="str">
        <f>IFERROR(__xludf.DUMMYFUNCTION("GOOGLETRANSLATE(B329,""en"",""fr"")"),"Aucun véhicule trouvé")</f>
        <v>Aucun véhicule trouvé</v>
      </c>
      <c r="F329" s="6" t="str">
        <f>IFERROR(__xludf.DUMMYFUNCTION("GOOGLETRANSLATE(B329,""en"",""tr"")"),"Araç bulunamadı")</f>
        <v>Araç bulunamadı</v>
      </c>
      <c r="G329" s="6" t="str">
        <f>IFERROR(__xludf.DUMMYFUNCTION("GOOGLETRANSLATE(B329,""en"",""ru"")"),"Транспортное средство не найдено")</f>
        <v>Транспортное средство не найдено</v>
      </c>
      <c r="H329" s="6" t="str">
        <f>IFERROR(__xludf.DUMMYFUNCTION("GOOGLETRANSLATE(B329,""en"",""it"")"),"Nessun veicolo trovato")</f>
        <v>Nessun veicolo trovato</v>
      </c>
      <c r="I329" s="6" t="str">
        <f>IFERROR(__xludf.DUMMYFUNCTION("GOOGLETRANSLATE(B329,""en"",""de"")"),"Kein Fahrzeug gefunden")</f>
        <v>Kein Fahrzeug gefunden</v>
      </c>
      <c r="J329" s="6" t="str">
        <f>IFERROR(__xludf.DUMMYFUNCTION("GOOGLETRANSLATE(B329,""en"",""ko"")"),"차량이 발견되지 않았습니다")</f>
        <v>차량이 발견되지 않았습니다</v>
      </c>
      <c r="K329" s="6" t="str">
        <f>IFERROR(__xludf.DUMMYFUNCTION("GOOGLETRANSLATE(B329,""en"",""zh"")"),"找不到车辆")</f>
        <v>找不到车辆</v>
      </c>
      <c r="L329" s="6" t="str">
        <f>IFERROR(__xludf.DUMMYFUNCTION("GOOGLETRANSLATE(B329,""en"",""es"")"),"No se encuentra ningún vehículo")</f>
        <v>No se encuentra ningún vehículo</v>
      </c>
      <c r="M329" s="7" t="str">
        <f>IFERROR(__xludf.DUMMYFUNCTION("GOOGLETRANSLATE(B329,""en"",""iw"")"),"לא נמצא רכב")</f>
        <v>לא נמצא רכב</v>
      </c>
      <c r="N329" s="6" t="str">
        <f>IFERROR(__xludf.DUMMYFUNCTION("GOOGLETRANSLATE(B329,""en"",""bn"")"),"কোনও যানবাহন পাওয়া যায় নি")</f>
        <v>কোনও যানবাহন পাওয়া যায় নি</v>
      </c>
      <c r="O329" s="6"/>
      <c r="P329" s="6"/>
    </row>
    <row r="330">
      <c r="A330" s="24" t="s">
        <v>653</v>
      </c>
      <c r="B330" s="25" t="s">
        <v>654</v>
      </c>
      <c r="C330" s="5" t="str">
        <f>IFERROR(__xludf.DUMMYFUNCTION("GOOGLETRANSLATE(B330,""en"",""hi"")"),"चालक असाइन करें")</f>
        <v>चालक असाइन करें</v>
      </c>
      <c r="D330" s="6" t="str">
        <f>IFERROR(__xludf.DUMMYFUNCTION("GOOGLETRANSLATE(B330,""en"",""ar"")"),"تعيين برنامج التشغيل")</f>
        <v>تعيين برنامج التشغيل</v>
      </c>
      <c r="E330" s="6" t="str">
        <f>IFERROR(__xludf.DUMMYFUNCTION("GOOGLETRANSLATE(B330,""en"",""fr"")"),"Affecter le conducteur")</f>
        <v>Affecter le conducteur</v>
      </c>
      <c r="F330" s="6" t="str">
        <f>IFERROR(__xludf.DUMMYFUNCTION("GOOGLETRANSLATE(B330,""en"",""tr"")"),"Sürücü atayın")</f>
        <v>Sürücü atayın</v>
      </c>
      <c r="G330" s="6" t="str">
        <f>IFERROR(__xludf.DUMMYFUNCTION("GOOGLETRANSLATE(B330,""en"",""ru"")"),"Назначить драйвер")</f>
        <v>Назначить драйвер</v>
      </c>
      <c r="H330" s="6" t="str">
        <f>IFERROR(__xludf.DUMMYFUNCTION("GOOGLETRANSLATE(B330,""en"",""it"")"),"Assegna il driver")</f>
        <v>Assegna il driver</v>
      </c>
      <c r="I330" s="6" t="str">
        <f>IFERROR(__xludf.DUMMYFUNCTION("GOOGLETRANSLATE(B330,""en"",""de"")"),"Treiber zuweisen")</f>
        <v>Treiber zuweisen</v>
      </c>
      <c r="J330" s="6" t="str">
        <f>IFERROR(__xludf.DUMMYFUNCTION("GOOGLETRANSLATE(B330,""en"",""ko"")"),"드라이버 할당")</f>
        <v>드라이버 할당</v>
      </c>
      <c r="K330" s="6" t="str">
        <f>IFERROR(__xludf.DUMMYFUNCTION("GOOGLETRANSLATE(B330,""en"",""zh"")"),"分配驱动程序")</f>
        <v>分配驱动程序</v>
      </c>
      <c r="L330" s="6" t="str">
        <f>IFERROR(__xludf.DUMMYFUNCTION("GOOGLETRANSLATE(B330,""en"",""es"")"),"Asignar controlador")</f>
        <v>Asignar controlador</v>
      </c>
      <c r="M330" s="7" t="str">
        <f>IFERROR(__xludf.DUMMYFUNCTION("GOOGLETRANSLATE(B330,""en"",""iw"")"),"הקצה מנהל התקן")</f>
        <v>הקצה מנהל התקן</v>
      </c>
      <c r="N330" s="6" t="str">
        <f>IFERROR(__xludf.DUMMYFUNCTION("GOOGLETRANSLATE(B330,""en"",""bn"")"),"ড্রাইভার বরাদ্দ করুন")</f>
        <v>ড্রাইভার বরাদ্দ করুন</v>
      </c>
      <c r="O330" s="6"/>
      <c r="P330" s="6"/>
    </row>
    <row r="331">
      <c r="A331" s="24" t="s">
        <v>655</v>
      </c>
      <c r="B331" s="25" t="s">
        <v>656</v>
      </c>
      <c r="C331" s="5" t="str">
        <f>IFERROR(__xludf.DUMMYFUNCTION("GOOGLETRANSLATE(B331,""en"",""hi"")"),"डॉक्स अपलोड करें")</f>
        <v>डॉक्स अपलोड करें</v>
      </c>
      <c r="D331" s="6" t="str">
        <f>IFERROR(__xludf.DUMMYFUNCTION("GOOGLETRANSLATE(B331,""en"",""ar"")"),"تحميل المستندات")</f>
        <v>تحميل المستندات</v>
      </c>
      <c r="E331" s="6" t="str">
        <f>IFERROR(__xludf.DUMMYFUNCTION("GOOGLETRANSLATE(B331,""en"",""fr"")"),"Télécharger des documents")</f>
        <v>Télécharger des documents</v>
      </c>
      <c r="F331" s="6" t="str">
        <f>IFERROR(__xludf.DUMMYFUNCTION("GOOGLETRANSLATE(B331,""en"",""tr"")"),"Dokümanlar Yükle")</f>
        <v>Dokümanlar Yükle</v>
      </c>
      <c r="G331" s="6" t="str">
        <f>IFERROR(__xludf.DUMMYFUNCTION("GOOGLETRANSLATE(B331,""en"",""ru"")"),"Загрузить документы")</f>
        <v>Загрузить документы</v>
      </c>
      <c r="H331" s="6" t="str">
        <f>IFERROR(__xludf.DUMMYFUNCTION("GOOGLETRANSLATE(B331,""en"",""it"")"),"Carica documenti")</f>
        <v>Carica documenti</v>
      </c>
      <c r="I331" s="6" t="str">
        <f>IFERROR(__xludf.DUMMYFUNCTION("GOOGLETRANSLATE(B331,""en"",""de"")"),"Laden Sie Docs hoch")</f>
        <v>Laden Sie Docs hoch</v>
      </c>
      <c r="J331" s="6" t="str">
        <f>IFERROR(__xludf.DUMMYFUNCTION("GOOGLETRANSLATE(B331,""en"",""ko"")"),"문서를 업로드하십시오")</f>
        <v>문서를 업로드하십시오</v>
      </c>
      <c r="K331" s="6" t="str">
        <f>IFERROR(__xludf.DUMMYFUNCTION("GOOGLETRANSLATE(B331,""en"",""zh"")"),"上传文档")</f>
        <v>上传文档</v>
      </c>
      <c r="L331" s="6" t="str">
        <f>IFERROR(__xludf.DUMMYFUNCTION("GOOGLETRANSLATE(B331,""en"",""es"")"),"Subir documentos")</f>
        <v>Subir documentos</v>
      </c>
      <c r="M331" s="7" t="str">
        <f>IFERROR(__xludf.DUMMYFUNCTION("GOOGLETRANSLATE(B331,""en"",""iw"")"),"העלה מסמכים")</f>
        <v>העלה מסמכים</v>
      </c>
      <c r="N331" s="6" t="str">
        <f>IFERROR(__xludf.DUMMYFUNCTION("GOOGLETRANSLATE(B331,""en"",""bn"")"),"ডক্স আপলোড করুন")</f>
        <v>ডক্স আপলোড করুন</v>
      </c>
      <c r="O331" s="6"/>
      <c r="P331" s="6"/>
    </row>
    <row r="332">
      <c r="A332" s="24" t="s">
        <v>657</v>
      </c>
      <c r="B332" s="25" t="s">
        <v>658</v>
      </c>
      <c r="C332" s="5" t="str">
        <f>IFERROR(__xludf.DUMMYFUNCTION("GOOGLETRANSLATE(B332,""en"",""hi"")"),"वाहन ने सुसंगत रूप से जोड़ा")</f>
        <v>वाहन ने सुसंगत रूप से जोड़ा</v>
      </c>
      <c r="D332" s="6" t="str">
        <f>IFERROR(__xludf.DUMMYFUNCTION("GOOGLETRANSLATE(B332,""en"",""ar"")"),"مركبة أضيفت بنزلة")</f>
        <v>مركبة أضيفت بنزلة</v>
      </c>
      <c r="E332" s="6" t="str">
        <f>IFERROR(__xludf.DUMMYFUNCTION("GOOGLETRANSLATE(B332,""en"",""fr"")"),"Véhicule avec succès ajouté")</f>
        <v>Véhicule avec succès ajouté</v>
      </c>
      <c r="F332" s="6" t="str">
        <f>IFERROR(__xludf.DUMMYFUNCTION("GOOGLETRANSLATE(B332,""en"",""tr"")"),"Araç başarılı bir şekilde eklendi")</f>
        <v>Araç başarılı bir şekilde eklendi</v>
      </c>
      <c r="G332" s="6" t="str">
        <f>IFERROR(__xludf.DUMMYFUNCTION("GOOGLETRANSLATE(B332,""en"",""ru"")"),"Транспортный автомобиль успешно добавлен")</f>
        <v>Транспортный автомобиль успешно добавлен</v>
      </c>
      <c r="H332" s="6" t="str">
        <f>IFERROR(__xludf.DUMMYFUNCTION("GOOGLETRANSLATE(B332,""en"",""it"")"),"Veicolo aggiunto con successo")</f>
        <v>Veicolo aggiunto con successo</v>
      </c>
      <c r="I332" s="6" t="str">
        <f>IFERROR(__xludf.DUMMYFUNCTION("GOOGLETRANSLATE(B332,""en"",""de"")"),"Fahrzeug fügte erfolgreich hinzu")</f>
        <v>Fahrzeug fügte erfolgreich hinzu</v>
      </c>
      <c r="J332" s="6" t="str">
        <f>IFERROR(__xludf.DUMMYFUNCTION("GOOGLETRANSLATE(B332,""en"",""ko"")"),"차량이 성공적으로 추가되었습니다")</f>
        <v>차량이 성공적으로 추가되었습니다</v>
      </c>
      <c r="K332" s="6" t="str">
        <f>IFERROR(__xludf.DUMMYFUNCTION("GOOGLETRANSLATE(B332,""en"",""zh"")"),"可成功添加车辆")</f>
        <v>可成功添加车辆</v>
      </c>
      <c r="L332" s="6" t="str">
        <f>IFERROR(__xludf.DUMMYFUNCTION("GOOGLETRANSLATE(B332,""en"",""es"")"),"Vehículo agregado con éxito")</f>
        <v>Vehículo agregado con éxito</v>
      </c>
      <c r="M332" s="7" t="str">
        <f>IFERROR(__xludf.DUMMYFUNCTION("GOOGLETRANSLATE(B332,""en"",""iw"")"),"רכב הוסיף במצוקה")</f>
        <v>רכב הוסיף במצוקה</v>
      </c>
      <c r="N332" s="6" t="str">
        <f>IFERROR(__xludf.DUMMYFUNCTION("GOOGLETRANSLATE(B332,""en"",""bn"")"),"যানবাহন সফলভাবে যুক্ত")</f>
        <v>যানবাহন সফলভাবে যুক্ত</v>
      </c>
      <c r="O332" s="6"/>
      <c r="P332" s="6"/>
    </row>
    <row r="333">
      <c r="A333" s="24" t="s">
        <v>659</v>
      </c>
      <c r="B333" s="25" t="s">
        <v>660</v>
      </c>
      <c r="C333" s="5" t="str">
        <f>IFERROR(__xludf.DUMMYFUNCTION("GOOGLETRANSLATE(B333,""en"",""hi"")"),"फ़ोटो जोड़ें")</f>
        <v>फ़ोटो जोड़ें</v>
      </c>
      <c r="D333" s="6" t="str">
        <f>IFERROR(__xludf.DUMMYFUNCTION("GOOGLETRANSLATE(B333,""en"",""ar"")"),"إضافة صورة")</f>
        <v>إضافة صورة</v>
      </c>
      <c r="E333" s="6" t="str">
        <f>IFERROR(__xludf.DUMMYFUNCTION("GOOGLETRANSLATE(B333,""en"",""fr"")"),"Ajouter une photo")</f>
        <v>Ajouter une photo</v>
      </c>
      <c r="F333" s="6" t="str">
        <f>IFERROR(__xludf.DUMMYFUNCTION("GOOGLETRANSLATE(B333,""en"",""tr"")"),"Fotoğraf ekle")</f>
        <v>Fotoğraf ekle</v>
      </c>
      <c r="G333" s="6" t="str">
        <f>IFERROR(__xludf.DUMMYFUNCTION("GOOGLETRANSLATE(B333,""en"",""ru"")"),"Добавить фото")</f>
        <v>Добавить фото</v>
      </c>
      <c r="H333" s="6" t="str">
        <f>IFERROR(__xludf.DUMMYFUNCTION("GOOGLETRANSLATE(B333,""en"",""it"")"),"Aggiungi foto")</f>
        <v>Aggiungi foto</v>
      </c>
      <c r="I333" s="6" t="str">
        <f>IFERROR(__xludf.DUMMYFUNCTION("GOOGLETRANSLATE(B333,""en"",""de"")"),"Foto hinzufügen")</f>
        <v>Foto hinzufügen</v>
      </c>
      <c r="J333" s="6" t="str">
        <f>IFERROR(__xludf.DUMMYFUNCTION("GOOGLETRANSLATE(B333,""en"",""ko"")"),"사진 추가")</f>
        <v>사진 추가</v>
      </c>
      <c r="K333" s="6" t="str">
        <f>IFERROR(__xludf.DUMMYFUNCTION("GOOGLETRANSLATE(B333,""en"",""zh"")"),"添加照片")</f>
        <v>添加照片</v>
      </c>
      <c r="L333" s="6" t="str">
        <f>IFERROR(__xludf.DUMMYFUNCTION("GOOGLETRANSLATE(B333,""en"",""es"")"),"Añadir foto")</f>
        <v>Añadir foto</v>
      </c>
      <c r="M333" s="7" t="str">
        <f>IFERROR(__xludf.DUMMYFUNCTION("GOOGLETRANSLATE(B333,""en"",""iw"")"),"הוסף תמונה")</f>
        <v>הוסף תמונה</v>
      </c>
      <c r="N333" s="6" t="str">
        <f>IFERROR(__xludf.DUMMYFUNCTION("GOOGLETRANSLATE(B333,""en"",""bn"")"),"ছবি যোগ করুন")</f>
        <v>ছবি যোগ করুন</v>
      </c>
      <c r="O333" s="6"/>
      <c r="P333" s="6"/>
    </row>
    <row r="334">
      <c r="A334" s="24" t="s">
        <v>661</v>
      </c>
      <c r="B334" s="25" t="s">
        <v>662</v>
      </c>
      <c r="C334" s="5" t="str">
        <f>IFERROR(__xludf.DUMMYFUNCTION("GOOGLETRANSLATE(B334,""en"",""hi"")"),"एक व्यक्तिगत ड्राइवर के रूप में लॉगिन करें")</f>
        <v>एक व्यक्तिगत ड्राइवर के रूप में लॉगिन करें</v>
      </c>
      <c r="D334" s="6" t="str">
        <f>IFERROR(__xludf.DUMMYFUNCTION("GOOGLETRANSLATE(B334,""en"",""ar"")"),"تسجيل الدخول كسائق فردي")</f>
        <v>تسجيل الدخول كسائق فردي</v>
      </c>
      <c r="E334" s="6" t="str">
        <f>IFERROR(__xludf.DUMMYFUNCTION("GOOGLETRANSLATE(B334,""en"",""fr"")"),"Connectez-vous en tant que conducteur individuel")</f>
        <v>Connectez-vous en tant que conducteur individuel</v>
      </c>
      <c r="F334" s="6" t="str">
        <f>IFERROR(__xludf.DUMMYFUNCTION("GOOGLETRANSLATE(B334,""en"",""tr"")"),"Bireysel bir sürücü olarak giriş yapın")</f>
        <v>Bireysel bir sürücü olarak giriş yapın</v>
      </c>
      <c r="G334" s="6" t="str">
        <f>IFERROR(__xludf.DUMMYFUNCTION("GOOGLETRANSLATE(B334,""en"",""ru"")"),"Войти как отдельный драйвер")</f>
        <v>Войти как отдельный драйвер</v>
      </c>
      <c r="H334" s="6" t="str">
        <f>IFERROR(__xludf.DUMMYFUNCTION("GOOGLETRANSLATE(B334,""en"",""it"")"),"Accedi come singolo driver")</f>
        <v>Accedi come singolo driver</v>
      </c>
      <c r="I334" s="6" t="str">
        <f>IFERROR(__xludf.DUMMYFUNCTION("GOOGLETRANSLATE(B334,""en"",""de"")"),"Melden Sie sich als einzelner Treiber an")</f>
        <v>Melden Sie sich als einzelner Treiber an</v>
      </c>
      <c r="J334" s="6" t="str">
        <f>IFERROR(__xludf.DUMMYFUNCTION("GOOGLETRANSLATE(B334,""en"",""ko"")"),"개별 드라이버로 로그인하십시오")</f>
        <v>개별 드라이버로 로그인하십시오</v>
      </c>
      <c r="K334" s="6" t="str">
        <f>IFERROR(__xludf.DUMMYFUNCTION("GOOGLETRANSLATE(B334,""en"",""zh"")"),"登录单个驱动程序")</f>
        <v>登录单个驱动程序</v>
      </c>
      <c r="L334" s="6" t="str">
        <f>IFERROR(__xludf.DUMMYFUNCTION("GOOGLETRANSLATE(B334,""en"",""es"")"),"Iniciar sesión como conductor individual")</f>
        <v>Iniciar sesión como conductor individual</v>
      </c>
      <c r="M334" s="7" t="str">
        <f>IFERROR(__xludf.DUMMYFUNCTION("GOOGLETRANSLATE(B334,""en"",""iw"")"),"התחבר כנהג בודד")</f>
        <v>התחבר כנהג בודד</v>
      </c>
      <c r="N334" s="6" t="str">
        <f>IFERROR(__xludf.DUMMYFUNCTION("GOOGLETRANSLATE(B334,""en"",""bn"")"),"স্বতন্ত্র ড্রাইভার হিসাবে লগইন করুন")</f>
        <v>স্বতন্ত্র ড্রাইভার হিসাবে লগইন করুন</v>
      </c>
      <c r="O334" s="6"/>
      <c r="P334" s="6"/>
    </row>
    <row r="335">
      <c r="A335" s="24" t="s">
        <v>663</v>
      </c>
      <c r="B335" s="25" t="s">
        <v>664</v>
      </c>
      <c r="C335" s="5" t="str">
        <f>IFERROR(__xludf.DUMMYFUNCTION("GOOGLETRANSLATE(B335,""en"",""hi"")"),"किराये के मालिक के रूप में लॉगिन करें")</f>
        <v>किराये के मालिक के रूप में लॉगिन करें</v>
      </c>
      <c r="D335" s="6" t="str">
        <f>IFERROR(__xludf.DUMMYFUNCTION("GOOGLETRANSLATE(B335,""en"",""ar"")"),"تسجيل الدخول كمالك تأجير")</f>
        <v>تسجيل الدخول كمالك تأجير</v>
      </c>
      <c r="E335" s="6" t="str">
        <f>IFERROR(__xludf.DUMMYFUNCTION("GOOGLETRANSLATE(B335,""en"",""fr"")"),"Connectez-vous en tant que propriétaire de location")</f>
        <v>Connectez-vous en tant que propriétaire de location</v>
      </c>
      <c r="F335" s="6" t="str">
        <f>IFERROR(__xludf.DUMMYFUNCTION("GOOGLETRANSLATE(B335,""en"",""tr"")"),"Kiralama sahibi olarak giriş yapın")</f>
        <v>Kiralama sahibi olarak giriş yapın</v>
      </c>
      <c r="G335" s="6" t="str">
        <f>IFERROR(__xludf.DUMMYFUNCTION("GOOGLETRANSLATE(B335,""en"",""ru"")"),"Войти как владелец аренды")</f>
        <v>Войти как владелец аренды</v>
      </c>
      <c r="H335" s="6" t="str">
        <f>IFERROR(__xludf.DUMMYFUNCTION("GOOGLETRANSLATE(B335,""en"",""it"")"),"Accedi come proprietario del noleggio")</f>
        <v>Accedi come proprietario del noleggio</v>
      </c>
      <c r="I335" s="6" t="str">
        <f>IFERROR(__xludf.DUMMYFUNCTION("GOOGLETRANSLATE(B335,""en"",""de"")"),"Login als Mietbesitzer")</f>
        <v>Login als Mietbesitzer</v>
      </c>
      <c r="J335" s="6" t="str">
        <f>IFERROR(__xludf.DUMMYFUNCTION("GOOGLETRANSLATE(B335,""en"",""ko"")"),"임대 소유자로 로그인하십시오")</f>
        <v>임대 소유자로 로그인하십시오</v>
      </c>
      <c r="K335" s="6" t="str">
        <f>IFERROR(__xludf.DUMMYFUNCTION("GOOGLETRANSLATE(B335,""en"",""zh"")"),"登录作为租赁所有者")</f>
        <v>登录作为租赁所有者</v>
      </c>
      <c r="L335" s="6" t="str">
        <f>IFERROR(__xludf.DUMMYFUNCTION("GOOGLETRANSLATE(B335,""en"",""es"")"),"Iniciar sesión como propietario de alquiler")</f>
        <v>Iniciar sesión como propietario de alquiler</v>
      </c>
      <c r="M335" s="7" t="str">
        <f>IFERROR(__xludf.DUMMYFUNCTION("GOOGLETRANSLATE(B335,""en"",""iw"")"),"התחבר כבעלים להשכרה")</f>
        <v>התחבר כבעלים להשכרה</v>
      </c>
      <c r="N335" s="6" t="str">
        <f>IFERROR(__xludf.DUMMYFUNCTION("GOOGLETRANSLATE(B335,""en"",""bn"")"),"ভাড়া মালিক হিসাবে লগইন করুন")</f>
        <v>ভাড়া মালিক হিসাবে লগইন করুন</v>
      </c>
      <c r="O335" s="6"/>
      <c r="P335" s="6"/>
    </row>
    <row r="336">
      <c r="A336" s="24" t="s">
        <v>665</v>
      </c>
      <c r="B336" s="25" t="s">
        <v>666</v>
      </c>
      <c r="C336" s="5" t="str">
        <f>IFERROR(__xludf.DUMMYFUNCTION("GOOGLETRANSLATE(B336,""en"",""hi"")"),"बेड़े विवरण")</f>
        <v>बेड़े विवरण</v>
      </c>
      <c r="D336" s="6" t="str">
        <f>IFERROR(__xludf.DUMMYFUNCTION("GOOGLETRANSLATE(B336,""en"",""ar"")"),"تفاصيل الأسطول")</f>
        <v>تفاصيل الأسطول</v>
      </c>
      <c r="E336" s="6" t="str">
        <f>IFERROR(__xludf.DUMMYFUNCTION("GOOGLETRANSLATE(B336,""en"",""fr"")"),"Détails de la flotte")</f>
        <v>Détails de la flotte</v>
      </c>
      <c r="F336" s="6" t="str">
        <f>IFERROR(__xludf.DUMMYFUNCTION("GOOGLETRANSLATE(B336,""en"",""tr"")"),"Filo detayları")</f>
        <v>Filo detayları</v>
      </c>
      <c r="G336" s="6" t="str">
        <f>IFERROR(__xludf.DUMMYFUNCTION("GOOGLETRANSLATE(B336,""en"",""ru"")"),"Детали флота")</f>
        <v>Детали флота</v>
      </c>
      <c r="H336" s="6" t="str">
        <f>IFERROR(__xludf.DUMMYFUNCTION("GOOGLETRANSLATE(B336,""en"",""it"")"),"Dettagli della flotta")</f>
        <v>Dettagli della flotta</v>
      </c>
      <c r="I336" s="6" t="str">
        <f>IFERROR(__xludf.DUMMYFUNCTION("GOOGLETRANSLATE(B336,""en"",""de"")"),"Flottendetails")</f>
        <v>Flottendetails</v>
      </c>
      <c r="J336" s="6" t="str">
        <f>IFERROR(__xludf.DUMMYFUNCTION("GOOGLETRANSLATE(B336,""en"",""ko"")"),"함대 세부 사항")</f>
        <v>함대 세부 사항</v>
      </c>
      <c r="K336" s="6" t="str">
        <f>IFERROR(__xludf.DUMMYFUNCTION("GOOGLETRANSLATE(B336,""en"",""zh"")"),"车队的细节")</f>
        <v>车队的细节</v>
      </c>
      <c r="L336" s="6" t="str">
        <f>IFERROR(__xludf.DUMMYFUNCTION("GOOGLETRANSLATE(B336,""en"",""es"")"),"Detalles de la flota")</f>
        <v>Detalles de la flota</v>
      </c>
      <c r="M336" s="7" t="str">
        <f>IFERROR(__xludf.DUMMYFUNCTION("GOOGLETRANSLATE(B336,""en"",""iw"")"),"פרטי צי")</f>
        <v>פרטי צי</v>
      </c>
      <c r="N336" s="6" t="str">
        <f>IFERROR(__xludf.DUMMYFUNCTION("GOOGLETRANSLATE(B336,""en"",""bn"")"),"বহর বিশদ")</f>
        <v>বহর বিশদ</v>
      </c>
      <c r="O336" s="6"/>
      <c r="P336" s="6"/>
    </row>
    <row r="337">
      <c r="A337" s="24" t="s">
        <v>667</v>
      </c>
      <c r="B337" s="25" t="s">
        <v>668</v>
      </c>
      <c r="C337" s="5" t="str">
        <f>IFERROR(__xludf.DUMMYFUNCTION("GOOGLETRANSLATE(B337,""en"",""hi"")"),"ड्राइवर को हटा दें")</f>
        <v>ड्राइवर को हटा दें</v>
      </c>
      <c r="D337" s="6" t="str">
        <f>IFERROR(__xludf.DUMMYFUNCTION("GOOGLETRANSLATE(B337,""en"",""ar"")"),"حذف السائق")</f>
        <v>حذف السائق</v>
      </c>
      <c r="E337" s="6" t="str">
        <f>IFERROR(__xludf.DUMMYFUNCTION("GOOGLETRANSLATE(B337,""en"",""fr"")"),"Supprimer le conducteur")</f>
        <v>Supprimer le conducteur</v>
      </c>
      <c r="F337" s="6" t="str">
        <f>IFERROR(__xludf.DUMMYFUNCTION("GOOGLETRANSLATE(B337,""en"",""tr"")"),"Sürücüyü Sil")</f>
        <v>Sürücüyü Sil</v>
      </c>
      <c r="G337" s="6" t="str">
        <f>IFERROR(__xludf.DUMMYFUNCTION("GOOGLETRANSLATE(B337,""en"",""ru"")"),"Удалить драйвер")</f>
        <v>Удалить драйвер</v>
      </c>
      <c r="H337" s="6" t="str">
        <f>IFERROR(__xludf.DUMMYFUNCTION("GOOGLETRANSLATE(B337,""en"",""it"")"),"Elimina driver")</f>
        <v>Elimina driver</v>
      </c>
      <c r="I337" s="6" t="str">
        <f>IFERROR(__xludf.DUMMYFUNCTION("GOOGLETRANSLATE(B337,""en"",""de"")"),"Fahrer löschen")</f>
        <v>Fahrer löschen</v>
      </c>
      <c r="J337" s="6" t="str">
        <f>IFERROR(__xludf.DUMMYFUNCTION("GOOGLETRANSLATE(B337,""en"",""ko"")"),"드라이버 삭제")</f>
        <v>드라이버 삭제</v>
      </c>
      <c r="K337" s="6" t="str">
        <f>IFERROR(__xludf.DUMMYFUNCTION("GOOGLETRANSLATE(B337,""en"",""zh"")"),"删除驱动程序")</f>
        <v>删除驱动程序</v>
      </c>
      <c r="L337" s="6" t="str">
        <f>IFERROR(__xludf.DUMMYFUNCTION("GOOGLETRANSLATE(B337,""en"",""es"")"),"Eliminar el controlador")</f>
        <v>Eliminar el controlador</v>
      </c>
      <c r="M337" s="7" t="str">
        <f>IFERROR(__xludf.DUMMYFUNCTION("GOOGLETRANSLATE(B337,""en"",""iw"")"),"מחק את הנהג")</f>
        <v>מחק את הנהג</v>
      </c>
      <c r="N337" s="6" t="str">
        <f>IFERROR(__xludf.DUMMYFUNCTION("GOOGLETRANSLATE(B337,""en"",""bn"")"),"ড্রাইভার মুছুন")</f>
        <v>ড্রাইভার মুছুন</v>
      </c>
      <c r="O337" s="6"/>
      <c r="P337" s="6"/>
    </row>
    <row r="338">
      <c r="A338" s="24" t="s">
        <v>669</v>
      </c>
      <c r="B338" s="25" t="s">
        <v>670</v>
      </c>
      <c r="C338" s="5" t="str">
        <f>IFERROR(__xludf.DUMMYFUNCTION("GOOGLETRANSLATE(B338,""en"",""hi"")"),"क्या आप निश्चित रूप से इस ड्राइवर को हटाना चाहते हैं?")</f>
        <v>क्या आप निश्चित रूप से इस ड्राइवर को हटाना चाहते हैं?</v>
      </c>
      <c r="D338" s="6" t="str">
        <f>IFERROR(__xludf.DUMMYFUNCTION("GOOGLETRANSLATE(B338,""en"",""ar"")"),"هل أنت متأكد من حذف هذا السائق؟")</f>
        <v>هل أنت متأكد من حذف هذا السائق؟</v>
      </c>
      <c r="E338" s="6" t="str">
        <f>IFERROR(__xludf.DUMMYFUNCTION("GOOGLETRANSLATE(B338,""en"",""fr"")"),"Êtes-vous sûr de vouloir supprimer ce pilote?")</f>
        <v>Êtes-vous sûr de vouloir supprimer ce pilote?</v>
      </c>
      <c r="F338" s="6" t="str">
        <f>IFERROR(__xludf.DUMMYFUNCTION("GOOGLETRANSLATE(B338,""en"",""tr"")"),"Bu sürücüyü silmek istiyorsunuz?")</f>
        <v>Bu sürücüyü silmek istiyorsunuz?</v>
      </c>
      <c r="G338" s="6" t="str">
        <f>IFERROR(__xludf.DUMMYFUNCTION("GOOGLETRANSLATE(B338,""en"",""ru"")"),"Вы уверены, что хотите удалить этот драйвер?")</f>
        <v>Вы уверены, что хотите удалить этот драйвер?</v>
      </c>
      <c r="H338" s="6" t="str">
        <f>IFERROR(__xludf.DUMMYFUNCTION("GOOGLETRANSLATE(B338,""en"",""it"")"),"Sei sicuro di eliminare questo driver?")</f>
        <v>Sei sicuro di eliminare questo driver?</v>
      </c>
      <c r="I338" s="6" t="str">
        <f>IFERROR(__xludf.DUMMYFUNCTION("GOOGLETRANSLATE(B338,""en"",""de"")"),"Möchten Sie diesen Fahrer sicher löschen?")</f>
        <v>Möchten Sie diesen Fahrer sicher löschen?</v>
      </c>
      <c r="J338" s="6" t="str">
        <f>IFERROR(__xludf.DUMMYFUNCTION("GOOGLETRANSLATE(B338,""en"",""ko"")"),"이 드라이버를 삭제 하시겠습니까?")</f>
        <v>이 드라이버를 삭제 하시겠습니까?</v>
      </c>
      <c r="K338" s="6" t="str">
        <f>IFERROR(__xludf.DUMMYFUNCTION("GOOGLETRANSLATE(B338,""en"",""zh"")"),"您确定要删除此驱动程序吗？")</f>
        <v>您确定要删除此驱动程序吗？</v>
      </c>
      <c r="L338" s="6" t="str">
        <f>IFERROR(__xludf.DUMMYFUNCTION("GOOGLETRANSLATE(B338,""en"",""es"")"),"¿Estás seguro de que quieres eliminar este controlador?")</f>
        <v>¿Estás seguro de que quieres eliminar este controlador?</v>
      </c>
      <c r="M338" s="7" t="str">
        <f>IFERROR(__xludf.DUMMYFUNCTION("GOOGLETRANSLATE(B338,""en"",""iw"")"),"האם אתה בטוח רוצה למחוק את מנהל ההתקן הזה?")</f>
        <v>האם אתה בטוח רוצה למחוק את מנהל ההתקן הזה?</v>
      </c>
      <c r="N338" s="6" t="str">
        <f>IFERROR(__xludf.DUMMYFUNCTION("GOOGLETRANSLATE(B338,""en"",""bn"")"),"আপনি কি নিশ্চিত যে এই ড্রাইভারটি মুছতে চান?")</f>
        <v>আপনি কি নিশ্চিত যে এই ড্রাইভারটি মুছতে চান?</v>
      </c>
      <c r="O338" s="6"/>
      <c r="P338" s="6"/>
    </row>
    <row r="339">
      <c r="A339" s="24" t="s">
        <v>671</v>
      </c>
      <c r="B339" s="25" t="s">
        <v>672</v>
      </c>
      <c r="C339" s="5" t="str">
        <f>IFERROR(__xludf.DUMMYFUNCTION("GOOGLETRANSLATE(B339,""en"",""hi"")"),"हाँ")</f>
        <v>हाँ</v>
      </c>
      <c r="D339" s="6" t="str">
        <f>IFERROR(__xludf.DUMMYFUNCTION("GOOGLETRANSLATE(B339,""en"",""ar"")"),"نعم")</f>
        <v>نعم</v>
      </c>
      <c r="E339" s="6" t="str">
        <f>IFERROR(__xludf.DUMMYFUNCTION("GOOGLETRANSLATE(B339,""en"",""fr"")"),"Oui")</f>
        <v>Oui</v>
      </c>
      <c r="F339" s="6" t="str">
        <f>IFERROR(__xludf.DUMMYFUNCTION("GOOGLETRANSLATE(B339,""en"",""tr"")"),"Evet")</f>
        <v>Evet</v>
      </c>
      <c r="G339" s="6" t="str">
        <f>IFERROR(__xludf.DUMMYFUNCTION("GOOGLETRANSLATE(B339,""en"",""ru"")"),"Да")</f>
        <v>Да</v>
      </c>
      <c r="H339" s="6" t="str">
        <f>IFERROR(__xludf.DUMMYFUNCTION("GOOGLETRANSLATE(B339,""en"",""it"")"),"sì")</f>
        <v>sì</v>
      </c>
      <c r="I339" s="6" t="str">
        <f>IFERROR(__xludf.DUMMYFUNCTION("GOOGLETRANSLATE(B339,""en"",""de"")"),"Ja")</f>
        <v>Ja</v>
      </c>
      <c r="J339" s="6" t="str">
        <f>IFERROR(__xludf.DUMMYFUNCTION("GOOGLETRANSLATE(B339,""en"",""ko"")"),"예")</f>
        <v>예</v>
      </c>
      <c r="K339" s="6" t="str">
        <f>IFERROR(__xludf.DUMMYFUNCTION("GOOGLETRANSLATE(B339,""en"",""zh"")"),"是的")</f>
        <v>是的</v>
      </c>
      <c r="L339" s="6" t="str">
        <f>IFERROR(__xludf.DUMMYFUNCTION("GOOGLETRANSLATE(B339,""en"",""es"")"),"Sí")</f>
        <v>Sí</v>
      </c>
      <c r="M339" s="7" t="str">
        <f>IFERROR(__xludf.DUMMYFUNCTION("GOOGLETRANSLATE(B339,""en"",""iw"")"),"כן")</f>
        <v>כן</v>
      </c>
      <c r="N339" s="6" t="str">
        <f>IFERROR(__xludf.DUMMYFUNCTION("GOOGLETRANSLATE(B339,""en"",""bn"")"),"হ্যাঁ")</f>
        <v>হ্যাঁ</v>
      </c>
      <c r="O339" s="6"/>
      <c r="P339" s="6"/>
    </row>
    <row r="340">
      <c r="A340" s="24" t="s">
        <v>673</v>
      </c>
      <c r="B340" s="25" t="s">
        <v>674</v>
      </c>
      <c r="C340" s="5" t="str">
        <f>IFERROR(__xludf.DUMMYFUNCTION("GOOGLETRANSLATE(B340,""en"",""hi"")"),"नहीं")</f>
        <v>नहीं</v>
      </c>
      <c r="D340" s="6" t="str">
        <f>IFERROR(__xludf.DUMMYFUNCTION("GOOGLETRANSLATE(B340,""en"",""ar"")"),"رقم")</f>
        <v>رقم</v>
      </c>
      <c r="E340" s="6" t="str">
        <f>IFERROR(__xludf.DUMMYFUNCTION("GOOGLETRANSLATE(B340,""en"",""fr"")"),"Non")</f>
        <v>Non</v>
      </c>
      <c r="F340" s="6" t="str">
        <f>IFERROR(__xludf.DUMMYFUNCTION("GOOGLETRANSLATE(B340,""en"",""tr"")"),"Numara")</f>
        <v>Numara</v>
      </c>
      <c r="G340" s="6" t="str">
        <f>IFERROR(__xludf.DUMMYFUNCTION("GOOGLETRANSLATE(B340,""en"",""ru"")"),"Нет")</f>
        <v>Нет</v>
      </c>
      <c r="H340" s="6" t="str">
        <f>IFERROR(__xludf.DUMMYFUNCTION("GOOGLETRANSLATE(B340,""en"",""it"")"),"No")</f>
        <v>No</v>
      </c>
      <c r="I340" s="6" t="str">
        <f>IFERROR(__xludf.DUMMYFUNCTION("GOOGLETRANSLATE(B340,""en"",""de"")"),"Nein")</f>
        <v>Nein</v>
      </c>
      <c r="J340" s="6" t="str">
        <f>IFERROR(__xludf.DUMMYFUNCTION("GOOGLETRANSLATE(B340,""en"",""ko"")"),"아니")</f>
        <v>아니</v>
      </c>
      <c r="K340" s="6" t="str">
        <f>IFERROR(__xludf.DUMMYFUNCTION("GOOGLETRANSLATE(B340,""en"",""zh"")"),"不")</f>
        <v>不</v>
      </c>
      <c r="L340" s="6" t="str">
        <f>IFERROR(__xludf.DUMMYFUNCTION("GOOGLETRANSLATE(B340,""en"",""es"")"),"No")</f>
        <v>No</v>
      </c>
      <c r="M340" s="7" t="str">
        <f>IFERROR(__xludf.DUMMYFUNCTION("GOOGLETRANSLATE(B340,""en"",""iw"")"),"לא")</f>
        <v>לא</v>
      </c>
      <c r="N340" s="6" t="str">
        <f>IFERROR(__xludf.DUMMYFUNCTION("GOOGLETRANSLATE(B340,""en"",""bn"")"),"না")</f>
        <v>না</v>
      </c>
      <c r="O340" s="6"/>
      <c r="P340" s="6"/>
    </row>
    <row r="341">
      <c r="A341" s="24" t="s">
        <v>675</v>
      </c>
      <c r="B341" s="25" t="s">
        <v>676</v>
      </c>
      <c r="C341" s="5" t="str">
        <f>IFERROR(__xludf.DUMMYFUNCTION("GOOGLETRANSLATE(B341,""en"",""hi"")"),"आपका मालिक बटुआ संतुलन कम है, कृपया अपने मालिक से संपर्क करें")</f>
        <v>आपका मालिक बटुआ संतुलन कम है, कृपया अपने मालिक से संपर्क करें</v>
      </c>
      <c r="D341" s="6" t="str">
        <f>IFERROR(__xludf.DUMMYFUNCTION("GOOGLETRANSLATE(B341,""en"",""ar"")"),"رصيد محفظة المالك الخاص بك منخفض ، يرجى الاتصال بمالكك")</f>
        <v>رصيد محفظة المالك الخاص بك منخفض ، يرجى الاتصال بمالكك</v>
      </c>
      <c r="E341" s="6" t="str">
        <f>IFERROR(__xludf.DUMMYFUNCTION("GOOGLETRANSLATE(B341,""en"",""fr"")"),"Votre solde de portefeuille est faible, veuillez contacter votre propriétaire")</f>
        <v>Votre solde de portefeuille est faible, veuillez contacter votre propriétaire</v>
      </c>
      <c r="F341" s="6" t="str">
        <f>IFERROR(__xludf.DUMMYFUNCTION("GOOGLETRANSLATE(B341,""en"",""tr"")"),"Sahibi cüzdan bakiyeniz düşüktür, lütfen sahibinizle iletişime geçin")</f>
        <v>Sahibi cüzdan bakiyeniz düşüktür, lütfen sahibinizle iletişime geçin</v>
      </c>
      <c r="G341" s="6" t="str">
        <f>IFERROR(__xludf.DUMMYFUNCTION("GOOGLETRANSLATE(B341,""en"",""ru"")"),"Ваша владельца баланса кошелька низкий, пожалуйста, свяжитесь с вашим владельцем")</f>
        <v>Ваша владельца баланса кошелька низкий, пожалуйста, свяжитесь с вашим владельцем</v>
      </c>
      <c r="H341" s="6" t="str">
        <f>IFERROR(__xludf.DUMMYFUNCTION("GOOGLETRANSLATE(B341,""en"",""it"")"),"Il saldo del portafoglio del tuo proprietario è basso, contatta il proprietario")</f>
        <v>Il saldo del portafoglio del tuo proprietario è basso, contatta il proprietario</v>
      </c>
      <c r="I341" s="6" t="str">
        <f>IFERROR(__xludf.DUMMYFUNCTION("GOOGLETRANSLATE(B341,""en"",""de"")"),"Ihr Eigentümer Brieftaschenbalance ist niedrig. Bitte wenden Sie sich an Ihren Besitzer")</f>
        <v>Ihr Eigentümer Brieftaschenbalance ist niedrig. Bitte wenden Sie sich an Ihren Besitzer</v>
      </c>
      <c r="J341" s="6" t="str">
        <f>IFERROR(__xludf.DUMMYFUNCTION("GOOGLETRANSLATE(B341,""en"",""ko"")"),"소유자 지갑 잔액은 낮습니다. 소유자에게 문의하십시오.")</f>
        <v>소유자 지갑 잔액은 낮습니다. 소유자에게 문의하십시오.</v>
      </c>
      <c r="K341" s="6" t="str">
        <f>IFERROR(__xludf.DUMMYFUNCTION("GOOGLETRANSLATE(B341,""en"",""zh"")"),"您的主人钱包余额较低，请联系您的主人")</f>
        <v>您的主人钱包余额较低，请联系您的主人</v>
      </c>
      <c r="L341" s="6" t="str">
        <f>IFERROR(__xludf.DUMMYFUNCTION("GOOGLETRANSLATE(B341,""en"",""es"")"),"El saldo de su billetera de su propietario es bajo, comuníquese con su propietario")</f>
        <v>El saldo de su billetera de su propietario es bajo, comuníquese con su propietario</v>
      </c>
      <c r="M341" s="7" t="str">
        <f>IFERROR(__xludf.DUMMYFUNCTION("GOOGLETRANSLATE(B341,""en"",""iw"")"),"יתרת הארנק של הבעלים שלך נמוכה, אנא צור קשר עם הבעלים שלך")</f>
        <v>יתרת הארנק של הבעלים שלך נמוכה, אנא צור קשר עם הבעלים שלך</v>
      </c>
      <c r="N341" s="6" t="str">
        <f>IFERROR(__xludf.DUMMYFUNCTION("GOOGLETRANSLATE(B341,""en"",""bn"")"),"আপনার মালিকের মানিব্যাগের ভারসাম্য কম, দয়া করে আপনার মালিকের সাথে যোগাযোগ করুন")</f>
        <v>আপনার মালিকের মানিব্যাগের ভারসাম্য কম, দয়া করে আপনার মালিকের সাথে যোগাযোগ করুন</v>
      </c>
      <c r="O341" s="6"/>
      <c r="P341" s="6"/>
    </row>
    <row r="342">
      <c r="A342" s="24" t="s">
        <v>677</v>
      </c>
      <c r="B342" s="25" t="s">
        <v>678</v>
      </c>
      <c r="C342" s="5" t="str">
        <f>IFERROR(__xludf.DUMMYFUNCTION("GOOGLETRANSLATE(B342,""en"",""hi"")"),"वाहन जोड़ें")</f>
        <v>वाहन जोड़ें</v>
      </c>
      <c r="D342" s="6" t="str">
        <f>IFERROR(__xludf.DUMMYFUNCTION("GOOGLETRANSLATE(B342,""en"",""ar"")"),"أضف السيارة")</f>
        <v>أضف السيارة</v>
      </c>
      <c r="E342" s="6" t="str">
        <f>IFERROR(__xludf.DUMMYFUNCTION("GOOGLETRANSLATE(B342,""en"",""fr"")"),"Ajouter un véhicule")</f>
        <v>Ajouter un véhicule</v>
      </c>
      <c r="F342" s="6" t="str">
        <f>IFERROR(__xludf.DUMMYFUNCTION("GOOGLETRANSLATE(B342,""en"",""tr"")"),"Araç ekle")</f>
        <v>Araç ekle</v>
      </c>
      <c r="G342" s="6" t="str">
        <f>IFERROR(__xludf.DUMMYFUNCTION("GOOGLETRANSLATE(B342,""en"",""ru"")"),"Добавить автомобиль")</f>
        <v>Добавить автомобиль</v>
      </c>
      <c r="H342" s="6" t="str">
        <f>IFERROR(__xludf.DUMMYFUNCTION("GOOGLETRANSLATE(B342,""en"",""it"")"),"Aggiungi veicolo")</f>
        <v>Aggiungi veicolo</v>
      </c>
      <c r="I342" s="6" t="str">
        <f>IFERROR(__xludf.DUMMYFUNCTION("GOOGLETRANSLATE(B342,""en"",""de"")"),"Fahrzeug hinzufügen")</f>
        <v>Fahrzeug hinzufügen</v>
      </c>
      <c r="J342" s="6" t="str">
        <f>IFERROR(__xludf.DUMMYFUNCTION("GOOGLETRANSLATE(B342,""en"",""ko"")"),"차량을 추가하십시오")</f>
        <v>차량을 추가하십시오</v>
      </c>
      <c r="K342" s="6" t="str">
        <f>IFERROR(__xludf.DUMMYFUNCTION("GOOGLETRANSLATE(B342,""en"",""zh"")"),"添加车辆")</f>
        <v>添加车辆</v>
      </c>
      <c r="L342" s="6" t="str">
        <f>IFERROR(__xludf.DUMMYFUNCTION("GOOGLETRANSLATE(B342,""en"",""es"")"),"Agregar vehículo")</f>
        <v>Agregar vehículo</v>
      </c>
      <c r="M342" s="7" t="str">
        <f>IFERROR(__xludf.DUMMYFUNCTION("GOOGLETRANSLATE(B342,""en"",""iw"")"),"הוסף רכב")</f>
        <v>הוסף רכב</v>
      </c>
      <c r="N342" s="6" t="str">
        <f>IFERROR(__xludf.DUMMYFUNCTION("GOOGLETRANSLATE(B342,""en"",""bn"")"),"যানবাহন যোগ করুন")</f>
        <v>যানবাহন যোগ করুন</v>
      </c>
      <c r="O342" s="6"/>
      <c r="P342" s="6"/>
    </row>
    <row r="343">
      <c r="A343" s="24" t="s">
        <v>679</v>
      </c>
      <c r="B343" s="25" t="s">
        <v>680</v>
      </c>
      <c r="C343" s="5" t="str">
        <f>IFERROR(__xludf.DUMMYFUNCTION("GOOGLETRANSLATE(B343,""en"",""hi"")"),"पता")</f>
        <v>पता</v>
      </c>
      <c r="D343" s="6" t="str">
        <f>IFERROR(__xludf.DUMMYFUNCTION("GOOGLETRANSLATE(B343,""en"",""ar"")"),"تبوك")</f>
        <v>تبوك</v>
      </c>
      <c r="E343" s="6" t="str">
        <f>IFERROR(__xludf.DUMMYFUNCTION("GOOGLETRANSLATE(B343,""en"",""fr"")"),"Adresse")</f>
        <v>Adresse</v>
      </c>
      <c r="F343" s="6" t="str">
        <f>IFERROR(__xludf.DUMMYFUNCTION("GOOGLETRANSLATE(B343,""en"",""tr"")"),"Adres")</f>
        <v>Adres</v>
      </c>
      <c r="G343" s="6" t="str">
        <f>IFERROR(__xludf.DUMMYFUNCTION("GOOGLETRANSLATE(B343,""en"",""ru"")"),"Адрес")</f>
        <v>Адрес</v>
      </c>
      <c r="H343" s="6" t="str">
        <f>IFERROR(__xludf.DUMMYFUNCTION("GOOGLETRANSLATE(B343,""en"",""it"")"),"Indirizzo")</f>
        <v>Indirizzo</v>
      </c>
      <c r="I343" s="6" t="str">
        <f>IFERROR(__xludf.DUMMYFUNCTION("GOOGLETRANSLATE(B343,""en"",""de"")"),"Adresse")</f>
        <v>Adresse</v>
      </c>
      <c r="J343" s="6" t="str">
        <f>IFERROR(__xludf.DUMMYFUNCTION("GOOGLETRANSLATE(B343,""en"",""ko"")"),"주소")</f>
        <v>주소</v>
      </c>
      <c r="K343" s="6" t="str">
        <f>IFERROR(__xludf.DUMMYFUNCTION("GOOGLETRANSLATE(B343,""en"",""zh"")"),"地址")</f>
        <v>地址</v>
      </c>
      <c r="L343" s="6" t="str">
        <f>IFERROR(__xludf.DUMMYFUNCTION("GOOGLETRANSLATE(B343,""en"",""es"")"),"Dirección")</f>
        <v>Dirección</v>
      </c>
      <c r="M343" s="7" t="str">
        <f>IFERROR(__xludf.DUMMYFUNCTION("GOOGLETRANSLATE(B343,""en"",""iw"")"),"כתובת")</f>
        <v>כתובת</v>
      </c>
      <c r="N343" s="6" t="str">
        <f>IFERROR(__xludf.DUMMYFUNCTION("GOOGLETRANSLATE(B343,""en"",""bn"")"),"ঠিকানা")</f>
        <v>ঠিকানা</v>
      </c>
      <c r="O343" s="6"/>
      <c r="P343" s="6"/>
    </row>
    <row r="344">
      <c r="A344" s="24" t="s">
        <v>30</v>
      </c>
      <c r="B344" s="25" t="s">
        <v>681</v>
      </c>
      <c r="C344" s="5" t="str">
        <f>IFERROR(__xludf.DUMMYFUNCTION("GOOGLETRANSLATE(B344,""en"",""hi"")"),"फ़ोन नंबर")</f>
        <v>फ़ोन नंबर</v>
      </c>
      <c r="D344" s="6" t="str">
        <f>IFERROR(__xludf.DUMMYFUNCTION("GOOGLETRANSLATE(B344,""en"",""ar"")"),"رقم الهاتف")</f>
        <v>رقم الهاتف</v>
      </c>
      <c r="E344" s="6" t="str">
        <f>IFERROR(__xludf.DUMMYFUNCTION("GOOGLETRANSLATE(B344,""en"",""fr"")"),"numéro de téléphone")</f>
        <v>numéro de téléphone</v>
      </c>
      <c r="F344" s="6" t="str">
        <f>IFERROR(__xludf.DUMMYFUNCTION("GOOGLETRANSLATE(B344,""en"",""tr"")"),"telefon numarası")</f>
        <v>telefon numarası</v>
      </c>
      <c r="G344" s="6" t="str">
        <f>IFERROR(__xludf.DUMMYFUNCTION("GOOGLETRANSLATE(B344,""en"",""ru"")"),"номер телефона")</f>
        <v>номер телефона</v>
      </c>
      <c r="H344" s="6" t="str">
        <f>IFERROR(__xludf.DUMMYFUNCTION("GOOGLETRANSLATE(B344,""en"",""it"")"),"numero di telefono")</f>
        <v>numero di telefono</v>
      </c>
      <c r="I344" s="6" t="str">
        <f>IFERROR(__xludf.DUMMYFUNCTION("GOOGLETRANSLATE(B344,""en"",""de"")"),"Telefonnummer")</f>
        <v>Telefonnummer</v>
      </c>
      <c r="J344" s="6" t="str">
        <f>IFERROR(__xludf.DUMMYFUNCTION("GOOGLETRANSLATE(B344,""en"",""ko"")"),"전화 번호")</f>
        <v>전화 번호</v>
      </c>
      <c r="K344" s="6" t="str">
        <f>IFERROR(__xludf.DUMMYFUNCTION("GOOGLETRANSLATE(B344,""en"",""zh"")"),"电话号码")</f>
        <v>电话号码</v>
      </c>
      <c r="L344" s="6" t="str">
        <f>IFERROR(__xludf.DUMMYFUNCTION("GOOGLETRANSLATE(B344,""en"",""es"")"),"número de teléfono")</f>
        <v>número de teléfono</v>
      </c>
      <c r="M344" s="7" t="str">
        <f>IFERROR(__xludf.DUMMYFUNCTION("GOOGLETRANSLATE(B344,""en"",""iw"")"),"מספר טלפון")</f>
        <v>מספר טלפון</v>
      </c>
      <c r="N344" s="6" t="str">
        <f>IFERROR(__xludf.DUMMYFUNCTION("GOOGLETRANSLATE(B344,""en"",""bn"")"),"ফোন নম্বর")</f>
        <v>ফোন নম্বর</v>
      </c>
      <c r="O344" s="6"/>
      <c r="P344" s="6"/>
    </row>
    <row r="345">
      <c r="A345" s="18" t="s">
        <v>682</v>
      </c>
      <c r="B345" s="25" t="s">
        <v>683</v>
      </c>
      <c r="C345" s="5" t="str">
        <f>IFERROR(__xludf.DUMMYFUNCTION("GOOGLETRANSLATE(B345,""en"",""hi"")"),"ड्राइवर जोड़ें")</f>
        <v>ड्राइवर जोड़ें</v>
      </c>
      <c r="D345" s="6" t="str">
        <f>IFERROR(__xludf.DUMMYFUNCTION("GOOGLETRANSLATE(B345,""en"",""ar"")"),"أضف سائق")</f>
        <v>أضف سائق</v>
      </c>
      <c r="E345" s="6" t="str">
        <f>IFERROR(__xludf.DUMMYFUNCTION("GOOGLETRANSLATE(B345,""en"",""fr"")"),"Ajouter le conducteur")</f>
        <v>Ajouter le conducteur</v>
      </c>
      <c r="F345" s="6" t="str">
        <f>IFERROR(__xludf.DUMMYFUNCTION("GOOGLETRANSLATE(B345,""en"",""tr"")"),"Sürücü Ekle")</f>
        <v>Sürücü Ekle</v>
      </c>
      <c r="G345" s="6" t="str">
        <f>IFERROR(__xludf.DUMMYFUNCTION("GOOGLETRANSLATE(B345,""en"",""ru"")"),"Добавить драйвер")</f>
        <v>Добавить драйвер</v>
      </c>
      <c r="H345" s="6" t="str">
        <f>IFERROR(__xludf.DUMMYFUNCTION("GOOGLETRANSLATE(B345,""en"",""it"")"),"Aggiungi driver")</f>
        <v>Aggiungi driver</v>
      </c>
      <c r="I345" s="6" t="str">
        <f>IFERROR(__xludf.DUMMYFUNCTION("GOOGLETRANSLATE(B345,""en"",""de"")"),"Fahrer hinzufügen")</f>
        <v>Fahrer hinzufügen</v>
      </c>
      <c r="J345" s="6" t="str">
        <f>IFERROR(__xludf.DUMMYFUNCTION("GOOGLETRANSLATE(B345,""en"",""ko"")"),"드라이버를 추가하십시오")</f>
        <v>드라이버를 추가하십시오</v>
      </c>
      <c r="K345" s="6" t="str">
        <f>IFERROR(__xludf.DUMMYFUNCTION("GOOGLETRANSLATE(B345,""en"",""zh"")"),"添加驱动程序")</f>
        <v>添加驱动程序</v>
      </c>
      <c r="L345" s="6" t="str">
        <f>IFERROR(__xludf.DUMMYFUNCTION("GOOGLETRANSLATE(B345,""en"",""es"")"),"Agregar controlador")</f>
        <v>Agregar controlador</v>
      </c>
      <c r="M345" s="7" t="str">
        <f>IFERROR(__xludf.DUMMYFUNCTION("GOOGLETRANSLATE(B345,""en"",""iw"")"),"הוסף את הנהג")</f>
        <v>הוסף את הנהג</v>
      </c>
      <c r="N345" s="6" t="str">
        <f>IFERROR(__xludf.DUMMYFUNCTION("GOOGLETRANSLATE(B345,""en"",""bn"")"),"ড্রাইভার যোগ করুন")</f>
        <v>ড্রাইভার যোগ করুন</v>
      </c>
      <c r="O345" s="6"/>
      <c r="P345" s="6"/>
    </row>
    <row r="346">
      <c r="A346" s="24" t="s">
        <v>684</v>
      </c>
      <c r="B346" s="25" t="s">
        <v>685</v>
      </c>
      <c r="C346" s="5" t="str">
        <f>IFERROR(__xludf.DUMMYFUNCTION("GOOGLETRANSLATE(B346,""en"",""hi"")"),"क्षेत्र चुनें")</f>
        <v>क्षेत्र चुनें</v>
      </c>
      <c r="D346" s="6" t="str">
        <f>IFERROR(__xludf.DUMMYFUNCTION("GOOGLETRANSLATE(B346,""en"",""ar"")"),"اختر المنطقة")</f>
        <v>اختر المنطقة</v>
      </c>
      <c r="E346" s="6" t="str">
        <f>IFERROR(__xludf.DUMMYFUNCTION("GOOGLETRANSLATE(B346,""en"",""fr"")"),"Choisir la zone")</f>
        <v>Choisir la zone</v>
      </c>
      <c r="F346" s="6" t="str">
        <f>IFERROR(__xludf.DUMMYFUNCTION("GOOGLETRANSLATE(B346,""en"",""tr"")"),"Alanı Seçin")</f>
        <v>Alanı Seçin</v>
      </c>
      <c r="G346" s="6" t="str">
        <f>IFERROR(__xludf.DUMMYFUNCTION("GOOGLETRANSLATE(B346,""en"",""ru"")"),"Выберите область")</f>
        <v>Выберите область</v>
      </c>
      <c r="H346" s="6" t="str">
        <f>IFERROR(__xludf.DUMMYFUNCTION("GOOGLETRANSLATE(B346,""en"",""it"")"),"Scegli l'area")</f>
        <v>Scegli l'area</v>
      </c>
      <c r="I346" s="6" t="str">
        <f>IFERROR(__xludf.DUMMYFUNCTION("GOOGLETRANSLATE(B346,""en"",""de"")"),"Wählen Sie den Bereich")</f>
        <v>Wählen Sie den Bereich</v>
      </c>
      <c r="J346" s="6" t="str">
        <f>IFERROR(__xludf.DUMMYFUNCTION("GOOGLETRANSLATE(B346,""en"",""ko"")"),"영역을 선택하십시오")</f>
        <v>영역을 선택하십시오</v>
      </c>
      <c r="K346" s="6" t="str">
        <f>IFERROR(__xludf.DUMMYFUNCTION("GOOGLETRANSLATE(B346,""en"",""zh"")"),"选择区域")</f>
        <v>选择区域</v>
      </c>
      <c r="L346" s="6" t="str">
        <f>IFERROR(__xludf.DUMMYFUNCTION("GOOGLETRANSLATE(B346,""en"",""es"")"),"Elegir el área")</f>
        <v>Elegir el área</v>
      </c>
      <c r="M346" s="7" t="str">
        <f>IFERROR(__xludf.DUMMYFUNCTION("GOOGLETRANSLATE(B346,""en"",""iw"")"),"בחר אזור")</f>
        <v>בחר אזור</v>
      </c>
      <c r="N346" s="6" t="str">
        <f>IFERROR(__xludf.DUMMYFUNCTION("GOOGLETRANSLATE(B346,""en"",""bn"")"),"অঞ্চল চয়ন করুন")</f>
        <v>অঞ্চল চয়ন করুন</v>
      </c>
      <c r="O346" s="6"/>
      <c r="P346" s="6"/>
    </row>
    <row r="347">
      <c r="A347" s="24" t="s">
        <v>686</v>
      </c>
      <c r="B347" s="25" t="s">
        <v>687</v>
      </c>
      <c r="C347" s="5" t="str">
        <f>IFERROR(__xludf.DUMMYFUNCTION("GOOGLETRANSLATE(B347,""en"",""hi"")"),"कंपनी का नाम")</f>
        <v>कंपनी का नाम</v>
      </c>
      <c r="D347" s="6" t="str">
        <f>IFERROR(__xludf.DUMMYFUNCTION("GOOGLETRANSLATE(B347,""en"",""ar"")"),"اسم الشركة")</f>
        <v>اسم الشركة</v>
      </c>
      <c r="E347" s="6" t="str">
        <f>IFERROR(__xludf.DUMMYFUNCTION("GOOGLETRANSLATE(B347,""en"",""fr"")"),"Nom de l'entreprise")</f>
        <v>Nom de l'entreprise</v>
      </c>
      <c r="F347" s="6" t="str">
        <f>IFERROR(__xludf.DUMMYFUNCTION("GOOGLETRANSLATE(B347,""en"",""tr"")"),"Firma Adı")</f>
        <v>Firma Adı</v>
      </c>
      <c r="G347" s="6" t="str">
        <f>IFERROR(__xludf.DUMMYFUNCTION("GOOGLETRANSLATE(B347,""en"",""ru"")"),"Название компании")</f>
        <v>Название компании</v>
      </c>
      <c r="H347" s="6" t="str">
        <f>IFERROR(__xludf.DUMMYFUNCTION("GOOGLETRANSLATE(B347,""en"",""it"")"),"Nome della ditta")</f>
        <v>Nome della ditta</v>
      </c>
      <c r="I347" s="6" t="str">
        <f>IFERROR(__xludf.DUMMYFUNCTION("GOOGLETRANSLATE(B347,""en"",""de"")"),"Name der Firma")</f>
        <v>Name der Firma</v>
      </c>
      <c r="J347" s="6" t="str">
        <f>IFERROR(__xludf.DUMMYFUNCTION("GOOGLETRANSLATE(B347,""en"",""ko"")"),"회사 이름")</f>
        <v>회사 이름</v>
      </c>
      <c r="K347" s="6" t="str">
        <f>IFERROR(__xludf.DUMMYFUNCTION("GOOGLETRANSLATE(B347,""en"",""zh"")"),"公司名称")</f>
        <v>公司名称</v>
      </c>
      <c r="L347" s="6" t="str">
        <f>IFERROR(__xludf.DUMMYFUNCTION("GOOGLETRANSLATE(B347,""en"",""es"")"),"nombre de empresa")</f>
        <v>nombre de empresa</v>
      </c>
      <c r="M347" s="7" t="str">
        <f>IFERROR(__xludf.DUMMYFUNCTION("GOOGLETRANSLATE(B347,""en"",""iw"")"),"שם החברה")</f>
        <v>שם החברה</v>
      </c>
      <c r="N347" s="6" t="str">
        <f>IFERROR(__xludf.DUMMYFUNCTION("GOOGLETRANSLATE(B347,""en"",""bn"")"),"কোমপানির নাম")</f>
        <v>কোমপানির নাম</v>
      </c>
      <c r="O347" s="6"/>
      <c r="P347" s="6"/>
    </row>
    <row r="348">
      <c r="A348" s="24" t="s">
        <v>688</v>
      </c>
      <c r="B348" s="25" t="s">
        <v>689</v>
      </c>
      <c r="C348" s="5" t="str">
        <f>IFERROR(__xludf.DUMMYFUNCTION("GOOGLETRANSLATE(B348,""en"",""hi"")"),"शहर")</f>
        <v>शहर</v>
      </c>
      <c r="D348" s="6" t="str">
        <f>IFERROR(__xludf.DUMMYFUNCTION("GOOGLETRANSLATE(B348,""en"",""ar"")"),"مدينة")</f>
        <v>مدينة</v>
      </c>
      <c r="E348" s="6" t="str">
        <f>IFERROR(__xludf.DUMMYFUNCTION("GOOGLETRANSLATE(B348,""en"",""fr"")"),"Ville")</f>
        <v>Ville</v>
      </c>
      <c r="F348" s="6" t="str">
        <f>IFERROR(__xludf.DUMMYFUNCTION("GOOGLETRANSLATE(B348,""en"",""tr"")"),"Şehir")</f>
        <v>Şehir</v>
      </c>
      <c r="G348" s="6" t="str">
        <f>IFERROR(__xludf.DUMMYFUNCTION("GOOGLETRANSLATE(B348,""en"",""ru"")"),"Город")</f>
        <v>Город</v>
      </c>
      <c r="H348" s="6" t="str">
        <f>IFERROR(__xludf.DUMMYFUNCTION("GOOGLETRANSLATE(B348,""en"",""it"")"),"Città")</f>
        <v>Città</v>
      </c>
      <c r="I348" s="6" t="str">
        <f>IFERROR(__xludf.DUMMYFUNCTION("GOOGLETRANSLATE(B348,""en"",""de"")"),"Stadt")</f>
        <v>Stadt</v>
      </c>
      <c r="J348" s="6" t="str">
        <f>IFERROR(__xludf.DUMMYFUNCTION("GOOGLETRANSLATE(B348,""en"",""ko"")"),"도시")</f>
        <v>도시</v>
      </c>
      <c r="K348" s="6" t="str">
        <f>IFERROR(__xludf.DUMMYFUNCTION("GOOGLETRANSLATE(B348,""en"",""zh"")"),"城市")</f>
        <v>城市</v>
      </c>
      <c r="L348" s="6" t="str">
        <f>IFERROR(__xludf.DUMMYFUNCTION("GOOGLETRANSLATE(B348,""en"",""es"")"),"Ciudad")</f>
        <v>Ciudad</v>
      </c>
      <c r="M348" s="7" t="str">
        <f>IFERROR(__xludf.DUMMYFUNCTION("GOOGLETRANSLATE(B348,""en"",""iw"")"),"עִיר")</f>
        <v>עִיר</v>
      </c>
      <c r="N348" s="6" t="str">
        <f>IFERROR(__xludf.DUMMYFUNCTION("GOOGLETRANSLATE(B348,""en"",""bn"")"),"শহর")</f>
        <v>শহর</v>
      </c>
      <c r="O348" s="6"/>
      <c r="P348" s="6"/>
    </row>
    <row r="349">
      <c r="A349" s="24" t="s">
        <v>690</v>
      </c>
      <c r="B349" s="25" t="s">
        <v>691</v>
      </c>
      <c r="C349" s="5" t="str">
        <f>IFERROR(__xludf.DUMMYFUNCTION("GOOGLETRANSLATE(B349,""en"",""hi"")"),"डाक कोड")</f>
        <v>डाक कोड</v>
      </c>
      <c r="D349" s="6" t="str">
        <f>IFERROR(__xludf.DUMMYFUNCTION("GOOGLETRANSLATE(B349,""en"",""ar"")"),"رمز بريدي")</f>
        <v>رمز بريدي</v>
      </c>
      <c r="E349" s="6" t="str">
        <f>IFERROR(__xludf.DUMMYFUNCTION("GOOGLETRANSLATE(B349,""en"",""fr"")"),"code postal")</f>
        <v>code postal</v>
      </c>
      <c r="F349" s="6" t="str">
        <f>IFERROR(__xludf.DUMMYFUNCTION("GOOGLETRANSLATE(B349,""en"",""tr"")"),"Posta Kodu")</f>
        <v>Posta Kodu</v>
      </c>
      <c r="G349" s="6" t="str">
        <f>IFERROR(__xludf.DUMMYFUNCTION("GOOGLETRANSLATE(B349,""en"",""ru"")"),"Почтовый Код")</f>
        <v>Почтовый Код</v>
      </c>
      <c r="H349" s="6" t="str">
        <f>IFERROR(__xludf.DUMMYFUNCTION("GOOGLETRANSLATE(B349,""en"",""it"")"),"Codice Postale")</f>
        <v>Codice Postale</v>
      </c>
      <c r="I349" s="6" t="str">
        <f>IFERROR(__xludf.DUMMYFUNCTION("GOOGLETRANSLATE(B349,""en"",""de"")"),"Postleitzahl")</f>
        <v>Postleitzahl</v>
      </c>
      <c r="J349" s="6" t="str">
        <f>IFERROR(__xludf.DUMMYFUNCTION("GOOGLETRANSLATE(B349,""en"",""ko"")"),"우편 번호")</f>
        <v>우편 번호</v>
      </c>
      <c r="K349" s="6" t="str">
        <f>IFERROR(__xludf.DUMMYFUNCTION("GOOGLETRANSLATE(B349,""en"",""zh"")"),"邮政编码")</f>
        <v>邮政编码</v>
      </c>
      <c r="L349" s="6" t="str">
        <f>IFERROR(__xludf.DUMMYFUNCTION("GOOGLETRANSLATE(B349,""en"",""es"")"),"Código postal")</f>
        <v>Código postal</v>
      </c>
      <c r="M349" s="7" t="str">
        <f>IFERROR(__xludf.DUMMYFUNCTION("GOOGLETRANSLATE(B349,""en"",""iw"")"),"מיקוד")</f>
        <v>מיקוד</v>
      </c>
      <c r="N349" s="6" t="str">
        <f>IFERROR(__xludf.DUMMYFUNCTION("GOOGLETRANSLATE(B349,""en"",""bn"")"),"পোস্ট অফিসের নাম্বার")</f>
        <v>পোস্ট অফিসের নাম্বার</v>
      </c>
      <c r="O349" s="6"/>
      <c r="P349" s="6"/>
    </row>
    <row r="350">
      <c r="A350" s="24" t="s">
        <v>692</v>
      </c>
      <c r="B350" s="25" t="s">
        <v>693</v>
      </c>
      <c r="C350" s="5" t="str">
        <f>IFERROR(__xludf.DUMMYFUNCTION("GOOGLETRANSLATE(B350,""en"",""hi"")"),"कर संख्या")</f>
        <v>कर संख्या</v>
      </c>
      <c r="D350" s="6" t="str">
        <f>IFERROR(__xludf.DUMMYFUNCTION("GOOGLETRANSLATE(B350,""en"",""ar"")"),"الرقم الضريبي")</f>
        <v>الرقم الضريبي</v>
      </c>
      <c r="E350" s="6" t="str">
        <f>IFERROR(__xludf.DUMMYFUNCTION("GOOGLETRANSLATE(B350,""en"",""fr"")"),"Numéro d'identification fiscale")</f>
        <v>Numéro d'identification fiscale</v>
      </c>
      <c r="F350" s="6" t="str">
        <f>IFERROR(__xludf.DUMMYFUNCTION("GOOGLETRANSLATE(B350,""en"",""tr"")"),"Vergi numarası")</f>
        <v>Vergi numarası</v>
      </c>
      <c r="G350" s="6" t="str">
        <f>IFERROR(__xludf.DUMMYFUNCTION("GOOGLETRANSLATE(B350,""en"",""ru"")"),"Налоговый номер")</f>
        <v>Налоговый номер</v>
      </c>
      <c r="H350" s="6" t="str">
        <f>IFERROR(__xludf.DUMMYFUNCTION("GOOGLETRANSLATE(B350,""en"",""it"")"),"Numero fiscale")</f>
        <v>Numero fiscale</v>
      </c>
      <c r="I350" s="6" t="str">
        <f>IFERROR(__xludf.DUMMYFUNCTION("GOOGLETRANSLATE(B350,""en"",""de"")"),"Steuernummer")</f>
        <v>Steuernummer</v>
      </c>
      <c r="J350" s="6" t="str">
        <f>IFERROR(__xludf.DUMMYFUNCTION("GOOGLETRANSLATE(B350,""en"",""ko"")"),"세금 번호")</f>
        <v>세금 번호</v>
      </c>
      <c r="K350" s="6" t="str">
        <f>IFERROR(__xludf.DUMMYFUNCTION("GOOGLETRANSLATE(B350,""en"",""zh"")"),"税号")</f>
        <v>税号</v>
      </c>
      <c r="L350" s="6" t="str">
        <f>IFERROR(__xludf.DUMMYFUNCTION("GOOGLETRANSLATE(B350,""en"",""es"")"),"Número de impuesto")</f>
        <v>Número de impuesto</v>
      </c>
      <c r="M350" s="7" t="str">
        <f>IFERROR(__xludf.DUMMYFUNCTION("GOOGLETRANSLATE(B350,""en"",""iw"")"),"מספר מס")</f>
        <v>מספר מס</v>
      </c>
      <c r="N350" s="6" t="str">
        <f>IFERROR(__xludf.DUMMYFUNCTION("GOOGLETRANSLATE(B350,""en"",""bn"")"),"কর নম্বর")</f>
        <v>কর নম্বর</v>
      </c>
      <c r="O350" s="6"/>
      <c r="P350" s="6"/>
    </row>
    <row r="351">
      <c r="A351" s="24" t="s">
        <v>694</v>
      </c>
      <c r="B351" s="25" t="s">
        <v>695</v>
      </c>
      <c r="C351" s="5" t="str">
        <f>IFERROR(__xludf.DUMMYFUNCTION("GOOGLETRANSLATE(B351,""en"",""hi"")"),"कोई बेड़ा सौंपा नहीं गया")</f>
        <v>कोई बेड़ा सौंपा नहीं गया</v>
      </c>
      <c r="D351" s="6" t="str">
        <f>IFERROR(__xludf.DUMMYFUNCTION("GOOGLETRANSLATE(B351,""en"",""ar"")"),"لم يتم تعيين أسطول")</f>
        <v>لم يتم تعيين أسطول</v>
      </c>
      <c r="E351" s="6" t="str">
        <f>IFERROR(__xludf.DUMMYFUNCTION("GOOGLETRANSLATE(B351,""en"",""fr"")"),"Aucune flotte affectée")</f>
        <v>Aucune flotte affectée</v>
      </c>
      <c r="F351" s="6" t="str">
        <f>IFERROR(__xludf.DUMMYFUNCTION("GOOGLETRANSLATE(B351,""en"",""tr"")"),"Filo atandı")</f>
        <v>Filo atandı</v>
      </c>
      <c r="G351" s="6" t="str">
        <f>IFERROR(__xludf.DUMMYFUNCTION("GOOGLETRANSLATE(B351,""en"",""ru"")"),"Не назначен флот")</f>
        <v>Не назначен флот</v>
      </c>
      <c r="H351" s="6" t="str">
        <f>IFERROR(__xludf.DUMMYFUNCTION("GOOGLETRANSLATE(B351,""en"",""it"")"),"Nessuna flotta assegnata")</f>
        <v>Nessuna flotta assegnata</v>
      </c>
      <c r="I351" s="6" t="str">
        <f>IFERROR(__xludf.DUMMYFUNCTION("GOOGLETRANSLATE(B351,""en"",""de"")"),"Keine Flotte zugewiesen")</f>
        <v>Keine Flotte zugewiesen</v>
      </c>
      <c r="J351" s="6" t="str">
        <f>IFERROR(__xludf.DUMMYFUNCTION("GOOGLETRANSLATE(B351,""en"",""ko"")"),"함대가 할당되지 않았습니다")</f>
        <v>함대가 할당되지 않았습니다</v>
      </c>
      <c r="K351" s="6" t="str">
        <f>IFERROR(__xludf.DUMMYFUNCTION("GOOGLETRANSLATE(B351,""en"",""zh"")"),"没有舰队分配")</f>
        <v>没有舰队分配</v>
      </c>
      <c r="L351" s="6" t="str">
        <f>IFERROR(__xludf.DUMMYFUNCTION("GOOGLETRANSLATE(B351,""en"",""es"")"),"No se asigna flota")</f>
        <v>No se asigna flota</v>
      </c>
      <c r="M351" s="7" t="str">
        <f>IFERROR(__xludf.DUMMYFUNCTION("GOOGLETRANSLATE(B351,""en"",""iw"")"),"אין צי שהוקצה")</f>
        <v>אין צי שהוקצה</v>
      </c>
      <c r="N351" s="6" t="str">
        <f>IFERROR(__xludf.DUMMYFUNCTION("GOOGLETRANSLATE(B351,""en"",""bn"")"),"কোন বহর বরাদ্দ করা হয়নি")</f>
        <v>কোন বহর বরাদ্দ করা হয়নি</v>
      </c>
      <c r="O351" s="6"/>
      <c r="P351" s="6"/>
    </row>
    <row r="352">
      <c r="A352" s="27" t="s">
        <v>696</v>
      </c>
      <c r="B352" s="28" t="s">
        <v>697</v>
      </c>
      <c r="C352" s="5" t="str">
        <f>IFERROR(__xludf.DUMMYFUNCTION("GOOGLETRANSLATE(B352,""en"",""hi"")"),"कृपया मान्य रेफरल कोड दर्ज करें")</f>
        <v>कृपया मान्य रेफरल कोड दर्ज करें</v>
      </c>
      <c r="D352" s="6" t="str">
        <f>IFERROR(__xludf.DUMMYFUNCTION("GOOGLETRANSLATE(B352,""en"",""ar"")"),"الرجاء إدخال رمز الإحالة الصحيح")</f>
        <v>الرجاء إدخال رمز الإحالة الصحيح</v>
      </c>
      <c r="E352" s="6" t="str">
        <f>IFERROR(__xludf.DUMMYFUNCTION("GOOGLETRANSLATE(B352,""en"",""fr"")"),"Veuillez saisir le code de référence valide")</f>
        <v>Veuillez saisir le code de référence valide</v>
      </c>
      <c r="F352" s="6" t="str">
        <f>IFERROR(__xludf.DUMMYFUNCTION("GOOGLETRANSLATE(B352,""en"",""tr"")"),"Lütfen geçerli yönlendirme kodunu girin")</f>
        <v>Lütfen geçerli yönlendirme kodunu girin</v>
      </c>
      <c r="G352" s="6" t="str">
        <f>IFERROR(__xludf.DUMMYFUNCTION("GOOGLETRANSLATE(B352,""en"",""ru"")"),"Пожалуйста, введите действительный реферальный код")</f>
        <v>Пожалуйста, введите действительный реферальный код</v>
      </c>
      <c r="H352" s="6" t="str">
        <f>IFERROR(__xludf.DUMMYFUNCTION("GOOGLETRANSLATE(B352,""en"",""it"")"),"Immettere il codice di riferimento valido")</f>
        <v>Immettere il codice di riferimento valido</v>
      </c>
      <c r="I352" s="6" t="str">
        <f>IFERROR(__xludf.DUMMYFUNCTION("GOOGLETRANSLATE(B352,""en"",""de"")"),"Bitte geben Sie einen gültigen Empfehlungscode ein")</f>
        <v>Bitte geben Sie einen gültigen Empfehlungscode ein</v>
      </c>
      <c r="J352" s="6" t="str">
        <f>IFERROR(__xludf.DUMMYFUNCTION("GOOGLETRANSLATE(B352,""en"",""ko"")"),"유효한 추천 코드를 입력하십시오")</f>
        <v>유효한 추천 코드를 입력하십시오</v>
      </c>
      <c r="K352" s="6" t="str">
        <f>IFERROR(__xludf.DUMMYFUNCTION("GOOGLETRANSLATE(B352,""en"",""zh"")"),"请输入有效的推荐代码")</f>
        <v>请输入有效的推荐代码</v>
      </c>
      <c r="L352" s="6" t="str">
        <f>IFERROR(__xludf.DUMMYFUNCTION("GOOGLETRANSLATE(B352,""en"",""es"")"),"Ingrese el código de referencia válido")</f>
        <v>Ingrese el código de referencia válido</v>
      </c>
      <c r="M352" s="7" t="str">
        <f>IFERROR(__xludf.DUMMYFUNCTION("GOOGLETRANSLATE(B352,""en"",""iw"")"),"אנא הזן קוד הפניה תקף")</f>
        <v>אנא הזן קוד הפניה תקף</v>
      </c>
      <c r="N352" s="6" t="str">
        <f>IFERROR(__xludf.DUMMYFUNCTION("GOOGLETRANSLATE(B352,""en"",""bn"")"),"বৈধ রেফারাল কোড লিখুন দয়া করে")</f>
        <v>বৈধ রেফারাল কোড লিখুন দয়া করে</v>
      </c>
      <c r="O352" s="6"/>
      <c r="P352" s="6"/>
    </row>
    <row r="353">
      <c r="A353" s="27" t="s">
        <v>698</v>
      </c>
      <c r="B353" s="28" t="s">
        <v>699</v>
      </c>
      <c r="C353" s="5" t="str">
        <f>IFERROR(__xludf.DUMMYFUNCTION("GOOGLETRANSLATE(B353,""en"",""hi"")"),"शिपमेंट भार")</f>
        <v>शिपमेंट भार</v>
      </c>
      <c r="D353" s="6" t="str">
        <f>IFERROR(__xludf.DUMMYFUNCTION("GOOGLETRANSLATE(B353,""en"",""ar"")"),"تحميل الشحن")</f>
        <v>تحميل الشحن</v>
      </c>
      <c r="E353" s="6" t="str">
        <f>IFERROR(__xludf.DUMMYFUNCTION("GOOGLETRANSLATE(B353,""en"",""fr"")"),"Charge d'expédition")</f>
        <v>Charge d'expédition</v>
      </c>
      <c r="F353" s="6" t="str">
        <f>IFERROR(__xludf.DUMMYFUNCTION("GOOGLETRANSLATE(B353,""en"",""tr"")"),"Sevkıyat yükü")</f>
        <v>Sevkıyat yükü</v>
      </c>
      <c r="G353" s="6" t="str">
        <f>IFERROR(__xludf.DUMMYFUNCTION("GOOGLETRANSLATE(B353,""en"",""ru"")"),"Груз отгрузки")</f>
        <v>Груз отгрузки</v>
      </c>
      <c r="H353" s="6" t="str">
        <f>IFERROR(__xludf.DUMMYFUNCTION("GOOGLETRANSLATE(B353,""en"",""it"")"),"Carico di spedizione")</f>
        <v>Carico di spedizione</v>
      </c>
      <c r="I353" s="6" t="str">
        <f>IFERROR(__xludf.DUMMYFUNCTION("GOOGLETRANSLATE(B353,""en"",""de"")"),"Versandbelastung")</f>
        <v>Versandbelastung</v>
      </c>
      <c r="J353" s="6" t="str">
        <f>IFERROR(__xludf.DUMMYFUNCTION("GOOGLETRANSLATE(B353,""en"",""ko"")"),"배송 부하")</f>
        <v>배송 부하</v>
      </c>
      <c r="K353" s="6" t="str">
        <f>IFERROR(__xludf.DUMMYFUNCTION("GOOGLETRANSLATE(B353,""en"",""zh"")"),"装运负荷")</f>
        <v>装运负荷</v>
      </c>
      <c r="L353" s="6" t="str">
        <f>IFERROR(__xludf.DUMMYFUNCTION("GOOGLETRANSLATE(B353,""en"",""es"")"),"Carga de envío")</f>
        <v>Carga de envío</v>
      </c>
      <c r="M353" s="7" t="str">
        <f>IFERROR(__xludf.DUMMYFUNCTION("GOOGLETRANSLATE(B353,""en"",""iw"")"),"עומס משלוח")</f>
        <v>עומס משלוח</v>
      </c>
      <c r="N353" s="6" t="str">
        <f>IFERROR(__xludf.DUMMYFUNCTION("GOOGLETRANSLATE(B353,""en"",""bn"")"),"চালানের বোঝা")</f>
        <v>চালানের বোঝা</v>
      </c>
      <c r="O353" s="6"/>
      <c r="P353" s="6"/>
    </row>
    <row r="354">
      <c r="A354" s="27" t="s">
        <v>700</v>
      </c>
      <c r="B354" s="28" t="s">
        <v>701</v>
      </c>
      <c r="C354" s="5" t="str">
        <f>IFERROR(__xludf.DUMMYFUNCTION("GOOGLETRANSLATE(B354,""en"",""hi"")"),"शिपमेंट अनलोड")</f>
        <v>शिपमेंट अनलोड</v>
      </c>
      <c r="D354" s="6" t="str">
        <f>IFERROR(__xludf.DUMMYFUNCTION("GOOGLETRANSLATE(B354,""en"",""ar"")"),"تفريغ الشحن")</f>
        <v>تفريغ الشحن</v>
      </c>
      <c r="E354" s="6" t="str">
        <f>IFERROR(__xludf.DUMMYFUNCTION("GOOGLETRANSLATE(B354,""en"",""fr"")"),"Déchargement d'expédition")</f>
        <v>Déchargement d'expédition</v>
      </c>
      <c r="F354" s="6" t="str">
        <f>IFERROR(__xludf.DUMMYFUNCTION("GOOGLETRANSLATE(B354,""en"",""tr"")"),"Gönderi Boşaltılması")</f>
        <v>Gönderi Boşaltılması</v>
      </c>
      <c r="G354" s="6" t="str">
        <f>IFERROR(__xludf.DUMMYFUNCTION("GOOGLETRANSLATE(B354,""en"",""ru"")"),"Отгрузка разгрузки")</f>
        <v>Отгрузка разгрузки</v>
      </c>
      <c r="H354" s="6" t="str">
        <f>IFERROR(__xludf.DUMMYFUNCTION("GOOGLETRANSLATE(B354,""en"",""it"")"),"Scaricamento di spedizione")</f>
        <v>Scaricamento di spedizione</v>
      </c>
      <c r="I354" s="6" t="str">
        <f>IFERROR(__xludf.DUMMYFUNCTION("GOOGLETRANSLATE(B354,""en"",""de"")"),"Versandentladen")</f>
        <v>Versandentladen</v>
      </c>
      <c r="J354" s="6" t="str">
        <f>IFERROR(__xludf.DUMMYFUNCTION("GOOGLETRANSLATE(B354,""en"",""ko"")"),"배송 언로드")</f>
        <v>배송 언로드</v>
      </c>
      <c r="K354" s="6" t="str">
        <f>IFERROR(__xludf.DUMMYFUNCTION("GOOGLETRANSLATE(B354,""en"",""zh"")"),"货运卸载")</f>
        <v>货运卸载</v>
      </c>
      <c r="L354" s="6" t="str">
        <f>IFERROR(__xludf.DUMMYFUNCTION("GOOGLETRANSLATE(B354,""en"",""es"")"),"Descarga de envío")</f>
        <v>Descarga de envío</v>
      </c>
      <c r="M354" s="7" t="str">
        <f>IFERROR(__xludf.DUMMYFUNCTION("GOOGLETRANSLATE(B354,""en"",""iw"")"),"פרוק משלוח")</f>
        <v>פרוק משלוח</v>
      </c>
      <c r="N354" s="6" t="str">
        <f>IFERROR(__xludf.DUMMYFUNCTION("GOOGLETRANSLATE(B354,""en"",""bn"")"),"চালান আনলোড")</f>
        <v>চালান আনলোড</v>
      </c>
      <c r="O354" s="6"/>
      <c r="P354" s="6"/>
    </row>
    <row r="355">
      <c r="A355" s="27" t="s">
        <v>702</v>
      </c>
      <c r="B355" s="28" t="s">
        <v>703</v>
      </c>
      <c r="C355" s="5" t="str">
        <f>IFERROR(__xludf.DUMMYFUNCTION("GOOGLETRANSLATE(B355,""en"",""hi"")"),"निर्देश")</f>
        <v>निर्देश</v>
      </c>
      <c r="D355" s="6" t="str">
        <f>IFERROR(__xludf.DUMMYFUNCTION("GOOGLETRANSLATE(B355,""en"",""ar"")"),"تعليمات")</f>
        <v>تعليمات</v>
      </c>
      <c r="E355" s="6" t="str">
        <f>IFERROR(__xludf.DUMMYFUNCTION("GOOGLETRANSLATE(B355,""en"",""fr"")"),"Des instructions")</f>
        <v>Des instructions</v>
      </c>
      <c r="F355" s="6" t="str">
        <f>IFERROR(__xludf.DUMMYFUNCTION("GOOGLETRANSLATE(B355,""en"",""tr"")"),"Talimatlar")</f>
        <v>Talimatlar</v>
      </c>
      <c r="G355" s="6" t="str">
        <f>IFERROR(__xludf.DUMMYFUNCTION("GOOGLETRANSLATE(B355,""en"",""ru"")"),"инструкции")</f>
        <v>инструкции</v>
      </c>
      <c r="H355" s="6" t="str">
        <f>IFERROR(__xludf.DUMMYFUNCTION("GOOGLETRANSLATE(B355,""en"",""it"")"),"Istruzioni")</f>
        <v>Istruzioni</v>
      </c>
      <c r="I355" s="6" t="str">
        <f>IFERROR(__xludf.DUMMYFUNCTION("GOOGLETRANSLATE(B355,""en"",""de"")"),"Anweisungen")</f>
        <v>Anweisungen</v>
      </c>
      <c r="J355" s="6" t="str">
        <f>IFERROR(__xludf.DUMMYFUNCTION("GOOGLETRANSLATE(B355,""en"",""ko"")"),"지침")</f>
        <v>지침</v>
      </c>
      <c r="K355" s="6" t="str">
        <f>IFERROR(__xludf.DUMMYFUNCTION("GOOGLETRANSLATE(B355,""en"",""zh"")"),"指示")</f>
        <v>指示</v>
      </c>
      <c r="L355" s="6" t="str">
        <f>IFERROR(__xludf.DUMMYFUNCTION("GOOGLETRANSLATE(B355,""en"",""es"")"),"Instrucciones")</f>
        <v>Instrucciones</v>
      </c>
      <c r="M355" s="7" t="str">
        <f>IFERROR(__xludf.DUMMYFUNCTION("GOOGLETRANSLATE(B355,""en"",""iw"")"),"הוראות")</f>
        <v>הוראות</v>
      </c>
      <c r="N355" s="6" t="str">
        <f>IFERROR(__xludf.DUMMYFUNCTION("GOOGLETRANSLATE(B355,""en"",""bn"")"),"নির্দেশাবলী")</f>
        <v>নির্দেশাবলী</v>
      </c>
      <c r="O355" s="6"/>
      <c r="P355" s="6"/>
    </row>
    <row r="356">
      <c r="A356" s="27" t="s">
        <v>704</v>
      </c>
      <c r="B356" s="28" t="s">
        <v>705</v>
      </c>
      <c r="C356" s="5" t="str">
        <f>IFERROR(__xludf.DUMMYFUNCTION("GOOGLETRANSLATE(B356,""en"",""hi"")"),"निर्देश जोड़ें")</f>
        <v>निर्देश जोड़ें</v>
      </c>
      <c r="D356" s="6" t="str">
        <f>IFERROR(__xludf.DUMMYFUNCTION("GOOGLETRANSLATE(B356,""en"",""ar"")"),"إضافة تعليمات")</f>
        <v>إضافة تعليمات</v>
      </c>
      <c r="E356" s="6" t="str">
        <f>IFERROR(__xludf.DUMMYFUNCTION("GOOGLETRANSLATE(B356,""en"",""fr"")"),"Ajouter des instructions")</f>
        <v>Ajouter des instructions</v>
      </c>
      <c r="F356" s="6" t="str">
        <f>IFERROR(__xludf.DUMMYFUNCTION("GOOGLETRANSLATE(B356,""en"",""tr"")"),"Talimat ekle")</f>
        <v>Talimat ekle</v>
      </c>
      <c r="G356" s="6" t="str">
        <f>IFERROR(__xludf.DUMMYFUNCTION("GOOGLETRANSLATE(B356,""en"",""ru"")"),"Добавить инструкции")</f>
        <v>Добавить инструкции</v>
      </c>
      <c r="H356" s="6" t="str">
        <f>IFERROR(__xludf.DUMMYFUNCTION("GOOGLETRANSLATE(B356,""en"",""it"")"),"Aggiungi istruzioni")</f>
        <v>Aggiungi istruzioni</v>
      </c>
      <c r="I356" s="6" t="str">
        <f>IFERROR(__xludf.DUMMYFUNCTION("GOOGLETRANSLATE(B356,""en"",""de"")"),"Anweisungen hinzufügen")</f>
        <v>Anweisungen hinzufügen</v>
      </c>
      <c r="J356" s="6" t="str">
        <f>IFERROR(__xludf.DUMMYFUNCTION("GOOGLETRANSLATE(B356,""en"",""ko"")"),"지침을 추가하십시오")</f>
        <v>지침을 추가하십시오</v>
      </c>
      <c r="K356" s="6" t="str">
        <f>IFERROR(__xludf.DUMMYFUNCTION("GOOGLETRANSLATE(B356,""en"",""zh"")"),"添加说明")</f>
        <v>添加说明</v>
      </c>
      <c r="L356" s="6" t="str">
        <f>IFERROR(__xludf.DUMMYFUNCTION("GOOGLETRANSLATE(B356,""en"",""es"")"),"Agregar instrucciones")</f>
        <v>Agregar instrucciones</v>
      </c>
      <c r="M356" s="7" t="str">
        <f>IFERROR(__xludf.DUMMYFUNCTION("GOOGLETRANSLATE(B356,""en"",""iw"")"),"הוסף הוראות")</f>
        <v>הוסף הוראות</v>
      </c>
      <c r="N356" s="6" t="str">
        <f>IFERROR(__xludf.DUMMYFUNCTION("GOOGLETRANSLATE(B356,""en"",""bn"")"),"নির্দেশাবলী যুক্ত করুন")</f>
        <v>নির্দেশাবলী যুক্ত করুন</v>
      </c>
      <c r="O356" s="6"/>
      <c r="P356" s="6"/>
    </row>
    <row r="357">
      <c r="A357" s="27" t="s">
        <v>706</v>
      </c>
      <c r="B357" s="28" t="s">
        <v>707</v>
      </c>
      <c r="C357" s="5" t="str">
        <f>IFERROR(__xludf.DUMMYFUNCTION("GOOGLETRANSLATE(B357,""en"",""hi"")"),"लॉन्ग प्रेस और स्विच एड्रेस पोजीशन के लिए स्थानांतरित करें")</f>
        <v>लॉन्ग प्रेस और स्विच एड्रेस पोजीशन के लिए स्थानांतरित करें</v>
      </c>
      <c r="D357" s="6" t="str">
        <f>IFERROR(__xludf.DUMMYFUNCTION("GOOGLETRANSLATE(B357,""en"",""ar"")"),"اضغط الطويل والتحرك لموضع عنوان التبديل")</f>
        <v>اضغط الطويل والتحرك لموضع عنوان التبديل</v>
      </c>
      <c r="E357" s="6" t="str">
        <f>IFERROR(__xludf.DUMMYFUNCTION("GOOGLETRANSLATE(B357,""en"",""fr"")"),"Appuyez à long terme et déplacez pour la position de l'adresse du commutateur")</f>
        <v>Appuyez à long terme et déplacez pour la position de l'adresse du commutateur</v>
      </c>
      <c r="F357" s="6" t="str">
        <f>IFERROR(__xludf.DUMMYFUNCTION("GOOGLETRANSLATE(B357,""en"",""tr"")"),"Anahtar adresi konumu için uzun basın ve hareket")</f>
        <v>Anahtar adresi konumu için uzun basın ve hareket</v>
      </c>
      <c r="G357" s="6" t="str">
        <f>IFERROR(__xludf.DUMMYFUNCTION("GOOGLETRANSLATE(B357,""en"",""ru"")"),"Длинное нажатие и перемещение для позиции адреса переключения")</f>
        <v>Длинное нажатие и перемещение для позиции адреса переключения</v>
      </c>
      <c r="H357" s="6" t="str">
        <f>IFERROR(__xludf.DUMMYFUNCTION("GOOGLETRANSLATE(B357,""en"",""it"")"),"Premere a lungo e spostarsi per la posizione dell'indirizzo interruttore")</f>
        <v>Premere a lungo e spostarsi per la posizione dell'indirizzo interruttore</v>
      </c>
      <c r="I357" s="6" t="str">
        <f>IFERROR(__xludf.DUMMYFUNCTION("GOOGLETRANSLATE(B357,""en"",""de"")"),"Lange Presse und Bewegung für die Switch -Adressposition")</f>
        <v>Lange Presse und Bewegung für die Switch -Adressposition</v>
      </c>
      <c r="J357" s="6" t="str">
        <f>IFERROR(__xludf.DUMMYFUNCTION("GOOGLETRANSLATE(B357,""en"",""ko"")"),"Long Press를 누르고 스위치 주소 위치를 이동합니다")</f>
        <v>Long Press를 누르고 스위치 주소 위치를 이동합니다</v>
      </c>
      <c r="K357" s="6" t="str">
        <f>IFERROR(__xludf.DUMMYFUNCTION("GOOGLETRANSLATE(B357,""en"",""zh"")"),"长按和移动开关地址位置")</f>
        <v>长按和移动开关地址位置</v>
      </c>
      <c r="L357" s="6" t="str">
        <f>IFERROR(__xludf.DUMMYFUNCTION("GOOGLETRANSLATE(B357,""en"",""es"")"),"Presione larga y muévase para la posición de la dirección del conmutador")</f>
        <v>Presione larga y muévase para la posición de la dirección del conmutador</v>
      </c>
      <c r="M357" s="7" t="str">
        <f>IFERROR(__xludf.DUMMYFUNCTION("GOOGLETRANSLATE(B357,""en"",""iw"")"),"לחץ ארוך והזז למצב כתובת מתג")</f>
        <v>לחץ ארוך והזז למצב כתובת מתג</v>
      </c>
      <c r="N357" s="6" t="str">
        <f>IFERROR(__xludf.DUMMYFUNCTION("GOOGLETRANSLATE(B357,""en"",""bn"")"),"দীর্ঘ প্রেস এবং স্যুইচ ঠিকানা অবস্থানের জন্য সরান")</f>
        <v>দীর্ঘ প্রেস এবং স্যুইচ ঠিকানা অবস্থানের জন্য সরান</v>
      </c>
      <c r="O357" s="29"/>
      <c r="P357" s="29"/>
    </row>
    <row r="358">
      <c r="A358" s="27" t="s">
        <v>708</v>
      </c>
      <c r="B358" s="30" t="s">
        <v>709</v>
      </c>
      <c r="C358" s="5" t="str">
        <f>IFERROR(__xludf.DUMMYFUNCTION("GOOGLETRANSLATE(B358,""en"",""hi"")"),"नेविगेशन के लिए पता चुनें")</f>
        <v>नेविगेशन के लिए पता चुनें</v>
      </c>
      <c r="D358" s="6" t="str">
        <f>IFERROR(__xludf.DUMMYFUNCTION("GOOGLETRANSLATE(B358,""en"",""ar"")"),"اختر عنوان الملاحة")</f>
        <v>اختر عنوان الملاحة</v>
      </c>
      <c r="E358" s="6" t="str">
        <f>IFERROR(__xludf.DUMMYFUNCTION("GOOGLETRANSLATE(B358,""en"",""fr"")"),"Choisissez l'adresse de navigation")</f>
        <v>Choisissez l'adresse de navigation</v>
      </c>
      <c r="F358" s="6" t="str">
        <f>IFERROR(__xludf.DUMMYFUNCTION("GOOGLETRANSLATE(B358,""en"",""tr"")"),"Navigasyon için adresi seçin")</f>
        <v>Navigasyon için adresi seçin</v>
      </c>
      <c r="G358" s="6" t="str">
        <f>IFERROR(__xludf.DUMMYFUNCTION("GOOGLETRANSLATE(B358,""en"",""ru"")"),"Выберите адрес для навигации")</f>
        <v>Выберите адрес для навигации</v>
      </c>
      <c r="H358" s="6" t="str">
        <f>IFERROR(__xludf.DUMMYFUNCTION("GOOGLETRANSLATE(B358,""en"",""it"")"),"Scegli l'indirizzo per la navigazione")</f>
        <v>Scegli l'indirizzo per la navigazione</v>
      </c>
      <c r="I358" s="6" t="str">
        <f>IFERROR(__xludf.DUMMYFUNCTION("GOOGLETRANSLATE(B358,""en"",""de"")"),"Wählen Sie die Adresse für die Navigation")</f>
        <v>Wählen Sie die Adresse für die Navigation</v>
      </c>
      <c r="J358" s="6" t="str">
        <f>IFERROR(__xludf.DUMMYFUNCTION("GOOGLETRANSLATE(B358,""en"",""ko"")"),"내비게이션을 위해 주소를 선택하십시오")</f>
        <v>내비게이션을 위해 주소를 선택하십시오</v>
      </c>
      <c r="K358" s="6" t="str">
        <f>IFERROR(__xludf.DUMMYFUNCTION("GOOGLETRANSLATE(B358,""en"",""zh"")"),"选择导航地址")</f>
        <v>选择导航地址</v>
      </c>
      <c r="L358" s="6" t="str">
        <f>IFERROR(__xludf.DUMMYFUNCTION("GOOGLETRANSLATE(B358,""en"",""es"")"),"Elija la dirección para la navegación")</f>
        <v>Elija la dirección para la navegación</v>
      </c>
      <c r="M358" s="7" t="str">
        <f>IFERROR(__xludf.DUMMYFUNCTION("GOOGLETRANSLATE(B358,""en"",""iw"")"),"בחר כתובת לניווט")</f>
        <v>בחר כתובת לניווט</v>
      </c>
      <c r="N358" s="6" t="str">
        <f>IFERROR(__xludf.DUMMYFUNCTION("GOOGLETRANSLATE(B358,""en"",""bn"")"),"নেভিগেশন জন্য ঠিকানা চয়ন করুন")</f>
        <v>নেভিগেশন জন্য ঠিকানা চয়ন করুন</v>
      </c>
      <c r="O358" s="29"/>
      <c r="P358" s="29"/>
    </row>
    <row r="359">
      <c r="A359" s="27" t="s">
        <v>710</v>
      </c>
      <c r="B359" s="30" t="s">
        <v>711</v>
      </c>
      <c r="C359" s="5" t="str">
        <f>IFERROR(__xludf.DUMMYFUNCTION("GOOGLETRANSLATE(B359,""en"",""hi"")"),"हस्ताक्षर")</f>
        <v>हस्ताक्षर</v>
      </c>
      <c r="D359" s="6" t="str">
        <f>IFERROR(__xludf.DUMMYFUNCTION("GOOGLETRANSLATE(B359,""en"",""ar"")"),"التوقيع")</f>
        <v>التوقيع</v>
      </c>
      <c r="E359" s="6" t="str">
        <f>IFERROR(__xludf.DUMMYFUNCTION("GOOGLETRANSLATE(B359,""en"",""fr"")"),"Signature")</f>
        <v>Signature</v>
      </c>
      <c r="F359" s="6" t="str">
        <f>IFERROR(__xludf.DUMMYFUNCTION("GOOGLETRANSLATE(B359,""en"",""tr"")"),"İmza")</f>
        <v>İmza</v>
      </c>
      <c r="G359" s="6" t="str">
        <f>IFERROR(__xludf.DUMMYFUNCTION("GOOGLETRANSLATE(B359,""en"",""ru"")"),"Подпись")</f>
        <v>Подпись</v>
      </c>
      <c r="H359" s="6" t="str">
        <f>IFERROR(__xludf.DUMMYFUNCTION("GOOGLETRANSLATE(B359,""en"",""it"")"),"Firma")</f>
        <v>Firma</v>
      </c>
      <c r="I359" s="6" t="str">
        <f>IFERROR(__xludf.DUMMYFUNCTION("GOOGLETRANSLATE(B359,""en"",""de"")"),"Unterschrift")</f>
        <v>Unterschrift</v>
      </c>
      <c r="J359" s="6" t="str">
        <f>IFERROR(__xludf.DUMMYFUNCTION("GOOGLETRANSLATE(B359,""en"",""ko"")"),"서명")</f>
        <v>서명</v>
      </c>
      <c r="K359" s="6" t="str">
        <f>IFERROR(__xludf.DUMMYFUNCTION("GOOGLETRANSLATE(B359,""en"",""zh"")"),"签名")</f>
        <v>签名</v>
      </c>
      <c r="L359" s="6" t="str">
        <f>IFERROR(__xludf.DUMMYFUNCTION("GOOGLETRANSLATE(B359,""en"",""es"")"),"Firma")</f>
        <v>Firma</v>
      </c>
      <c r="M359" s="7" t="str">
        <f>IFERROR(__xludf.DUMMYFUNCTION("GOOGLETRANSLATE(B359,""en"",""iw"")"),"חֲתִימָה")</f>
        <v>חֲתִימָה</v>
      </c>
      <c r="N359" s="6" t="str">
        <f>IFERROR(__xludf.DUMMYFUNCTION("GOOGLETRANSLATE(B359,""en"",""bn"")"),"স্বাক্ষর")</f>
        <v>স্বাক্ষর</v>
      </c>
      <c r="O359" s="29"/>
      <c r="P359" s="29"/>
    </row>
    <row r="360">
      <c r="A360" s="27" t="s">
        <v>712</v>
      </c>
      <c r="B360" s="30" t="s">
        <v>713</v>
      </c>
      <c r="C360" s="5" t="str">
        <f>IFERROR(__xludf.DUMMYFUNCTION("GOOGLETRANSLATE(B360,""en"",""hi"")"),"पुन: प्रयास करें")</f>
        <v>पुन: प्रयास करें</v>
      </c>
      <c r="D360" s="6" t="str">
        <f>IFERROR(__xludf.DUMMYFUNCTION("GOOGLETRANSLATE(B360,""en"",""ar"")"),"إعادة المحاولة")</f>
        <v>إعادة المحاولة</v>
      </c>
      <c r="E360" s="6" t="str">
        <f>IFERROR(__xludf.DUMMYFUNCTION("GOOGLETRANSLATE(B360,""en"",""fr"")"),"Recommencez")</f>
        <v>Recommencez</v>
      </c>
      <c r="F360" s="6" t="str">
        <f>IFERROR(__xludf.DUMMYFUNCTION("GOOGLETRANSLATE(B360,""en"",""tr"")"),"Tekrarlamak")</f>
        <v>Tekrarlamak</v>
      </c>
      <c r="G360" s="6" t="str">
        <f>IFERROR(__xludf.DUMMYFUNCTION("GOOGLETRANSLATE(B360,""en"",""ru"")"),"Повторно")</f>
        <v>Повторно</v>
      </c>
      <c r="H360" s="6" t="str">
        <f>IFERROR(__xludf.DUMMYFUNCTION("GOOGLETRANSLATE(B360,""en"",""it"")"),"Riprovare")</f>
        <v>Riprovare</v>
      </c>
      <c r="I360" s="6" t="str">
        <f>IFERROR(__xludf.DUMMYFUNCTION("GOOGLETRANSLATE(B360,""en"",""de"")"),"Wiederholen")</f>
        <v>Wiederholen</v>
      </c>
      <c r="J360" s="6" t="str">
        <f>IFERROR(__xludf.DUMMYFUNCTION("GOOGLETRANSLATE(B360,""en"",""ko"")"),"다시 해 보다")</f>
        <v>다시 해 보다</v>
      </c>
      <c r="K360" s="6" t="str">
        <f>IFERROR(__xludf.DUMMYFUNCTION("GOOGLETRANSLATE(B360,""en"",""zh"")"),"重试")</f>
        <v>重试</v>
      </c>
      <c r="L360" s="6" t="str">
        <f>IFERROR(__xludf.DUMMYFUNCTION("GOOGLETRANSLATE(B360,""en"",""es"")"),"Rever")</f>
        <v>Rever</v>
      </c>
      <c r="M360" s="7" t="str">
        <f>IFERROR(__xludf.DUMMYFUNCTION("GOOGLETRANSLATE(B360,""en"",""iw"")"),"נסה שוב")</f>
        <v>נסה שוב</v>
      </c>
      <c r="N360" s="6" t="str">
        <f>IFERROR(__xludf.DUMMYFUNCTION("GOOGLETRANSLATE(B360,""en"",""bn"")"),"পুনরায় চেষ্টা করা")</f>
        <v>পুনরায় চেষ্টা করা</v>
      </c>
      <c r="O360" s="29"/>
      <c r="P360" s="29"/>
    </row>
    <row r="361">
      <c r="A361" s="27" t="s">
        <v>714</v>
      </c>
      <c r="B361" s="28" t="s">
        <v>715</v>
      </c>
      <c r="C361" s="5" t="str">
        <f>IFERROR(__xludf.DUMMYFUNCTION("GOOGLETRANSLATE(B361,""en"",""hi"")"),"स्थान की पुष्टि करें स्थान")</f>
        <v>स्थान की पुष्टि करें स्थान</v>
      </c>
      <c r="D361" s="6" t="str">
        <f>IFERROR(__xludf.DUMMYFUNCTION("GOOGLETRANSLATE(B361,""en"",""ar"")"),"تأكيد موقع اختيار")</f>
        <v>تأكيد موقع اختيار</v>
      </c>
      <c r="E361" s="6" t="str">
        <f>IFERROR(__xludf.DUMMYFUNCTION("GOOGLETRANSLATE(B361,""en"",""fr"")"),"Confirmer l'emplacement de choix")</f>
        <v>Confirmer l'emplacement de choix</v>
      </c>
      <c r="F361" s="6" t="str">
        <f>IFERROR(__xludf.DUMMYFUNCTION("GOOGLETRANSLATE(B361,""en"",""tr"")"),"Seçim Konumunu Onaylayın")</f>
        <v>Seçim Konumunu Onaylayın</v>
      </c>
      <c r="G361" s="6" t="str">
        <f>IFERROR(__xludf.DUMMYFUNCTION("GOOGLETRANSLATE(B361,""en"",""ru"")"),"Подтвердите место выбора")</f>
        <v>Подтвердите место выбора</v>
      </c>
      <c r="H361" s="6" t="str">
        <f>IFERROR(__xludf.DUMMYFUNCTION("GOOGLETRANSLATE(B361,""en"",""it"")"),"Conferma la posizione della scelta")</f>
        <v>Conferma la posizione della scelta</v>
      </c>
      <c r="I361" s="6" t="str">
        <f>IFERROR(__xludf.DUMMYFUNCTION("GOOGLETRANSLATE(B361,""en"",""de"")"),"Bestätigen Sie den Auswahlort")</f>
        <v>Bestätigen Sie den Auswahlort</v>
      </c>
      <c r="J361" s="6" t="str">
        <f>IFERROR(__xludf.DUMMYFUNCTION("GOOGLETRANSLATE(B361,""en"",""ko"")"),"선택 위치를 확인하십시오")</f>
        <v>선택 위치를 확인하십시오</v>
      </c>
      <c r="K361" s="6" t="str">
        <f>IFERROR(__xludf.DUMMYFUNCTION("GOOGLETRANSLATE(B361,""en"",""zh"")"),"确认选择位置")</f>
        <v>确认选择位置</v>
      </c>
      <c r="L361" s="6" t="str">
        <f>IFERROR(__xludf.DUMMYFUNCTION("GOOGLETRANSLATE(B361,""en"",""es"")"),"Confirmar la ubicación de selección")</f>
        <v>Confirmar la ubicación de selección</v>
      </c>
      <c r="M361" s="7" t="str">
        <f>IFERROR(__xludf.DUMMYFUNCTION("GOOGLETRANSLATE(B361,""en"",""iw"")"),"אשר את מיקום הבחירה")</f>
        <v>אשר את מיקום הבחירה</v>
      </c>
      <c r="N361" s="6" t="str">
        <f>IFERROR(__xludf.DUMMYFUNCTION("GOOGLETRANSLATE(B361,""en"",""bn"")"),"অবস্থান বাছাই নিশ্চিত করুন")</f>
        <v>অবস্থান বাছাই নিশ্চিত করুন</v>
      </c>
      <c r="O361" s="29"/>
      <c r="P361" s="29"/>
    </row>
    <row r="362">
      <c r="A362" s="27" t="s">
        <v>716</v>
      </c>
      <c r="B362" s="28" t="s">
        <v>717</v>
      </c>
      <c r="C362" s="5" t="str">
        <f>IFERROR(__xludf.DUMMYFUNCTION("GOOGLETRANSLATE(B362,""en"",""hi"")"),"ड्रॉप स्थान की पुष्टि करें")</f>
        <v>ड्रॉप स्थान की पुष्टि करें</v>
      </c>
      <c r="D362" s="6" t="str">
        <f>IFERROR(__xludf.DUMMYFUNCTION("GOOGLETRANSLATE(B362,""en"",""ar"")"),"تأكيد موقع إسقاط")</f>
        <v>تأكيد موقع إسقاط</v>
      </c>
      <c r="E362" s="6" t="str">
        <f>IFERROR(__xludf.DUMMYFUNCTION("GOOGLETRANSLATE(B362,""en"",""fr"")"),"Confirmer l'emplacement de la chute")</f>
        <v>Confirmer l'emplacement de la chute</v>
      </c>
      <c r="F362" s="6" t="str">
        <f>IFERROR(__xludf.DUMMYFUNCTION("GOOGLETRANSLATE(B362,""en"",""tr"")"),"Bırak yerini onaylayın")</f>
        <v>Bırak yerini onaylayın</v>
      </c>
      <c r="G362" s="6" t="str">
        <f>IFERROR(__xludf.DUMMYFUNCTION("GOOGLETRANSLATE(B362,""en"",""ru"")"),"Подтвердите местоположение падения")</f>
        <v>Подтвердите местоположение падения</v>
      </c>
      <c r="H362" s="6" t="str">
        <f>IFERROR(__xludf.DUMMYFUNCTION("GOOGLETRANSLATE(B362,""en"",""it"")"),"Conferma la posizione di caduta")</f>
        <v>Conferma la posizione di caduta</v>
      </c>
      <c r="I362" s="6" t="str">
        <f>IFERROR(__xludf.DUMMYFUNCTION("GOOGLETRANSLATE(B362,""en"",""de"")"),"Bestätigen Sie den Drop -Standort")</f>
        <v>Bestätigen Sie den Drop -Standort</v>
      </c>
      <c r="J362" s="6" t="str">
        <f>IFERROR(__xludf.DUMMYFUNCTION("GOOGLETRANSLATE(B362,""en"",""ko"")"),"드롭 위치를 확인하십시오")</f>
        <v>드롭 위치를 확인하십시오</v>
      </c>
      <c r="K362" s="6" t="str">
        <f>IFERROR(__xludf.DUMMYFUNCTION("GOOGLETRANSLATE(B362,""en"",""zh"")"),"确认位置")</f>
        <v>确认位置</v>
      </c>
      <c r="L362" s="6" t="str">
        <f>IFERROR(__xludf.DUMMYFUNCTION("GOOGLETRANSLATE(B362,""en"",""es"")"),"Confirmar la ubicación de caída")</f>
        <v>Confirmar la ubicación de caída</v>
      </c>
      <c r="M362" s="7" t="str">
        <f>IFERROR(__xludf.DUMMYFUNCTION("GOOGLETRANSLATE(B362,""en"",""iw"")"),"אשר את מיקום הטיפה")</f>
        <v>אשר את מיקום הטיפה</v>
      </c>
      <c r="N362" s="6" t="str">
        <f>IFERROR(__xludf.DUMMYFUNCTION("GOOGLETRANSLATE(B362,""en"",""bn"")"),"ড্রপ অবস্থান নিশ্চিত করুন")</f>
        <v>ড্রপ অবস্থান নিশ্চিত করুন</v>
      </c>
      <c r="O362" s="29"/>
      <c r="P362" s="29"/>
    </row>
    <row r="363">
      <c r="A363" s="27" t="s">
        <v>718</v>
      </c>
      <c r="B363" s="28" t="s">
        <v>719</v>
      </c>
      <c r="C363" s="5" t="str">
        <f>IFERROR(__xludf.DUMMYFUNCTION("GOOGLETRANSLATE(B363,""en"",""hi"")"),"नए स्थान की पुष्टि करें")</f>
        <v>नए स्थान की पुष्टि करें</v>
      </c>
      <c r="D363" s="6" t="str">
        <f>IFERROR(__xludf.DUMMYFUNCTION("GOOGLETRANSLATE(B363,""en"",""ar"")"),"تأكيد موقع جديد")</f>
        <v>تأكيد موقع جديد</v>
      </c>
      <c r="E363" s="6" t="str">
        <f>IFERROR(__xludf.DUMMYFUNCTION("GOOGLETRANSLATE(B363,""en"",""fr"")"),"Confirmer le nouvel emplacement")</f>
        <v>Confirmer le nouvel emplacement</v>
      </c>
      <c r="F363" s="6" t="str">
        <f>IFERROR(__xludf.DUMMYFUNCTION("GOOGLETRANSLATE(B363,""en"",""tr"")"),"Yeni konumu onaylayın")</f>
        <v>Yeni konumu onaylayın</v>
      </c>
      <c r="G363" s="6" t="str">
        <f>IFERROR(__xludf.DUMMYFUNCTION("GOOGLETRANSLATE(B363,""en"",""ru"")"),"Подтвердите новое место")</f>
        <v>Подтвердите новое место</v>
      </c>
      <c r="H363" s="6" t="str">
        <f>IFERROR(__xludf.DUMMYFUNCTION("GOOGLETRANSLATE(B363,""en"",""it"")"),"Conferma nuova posizione")</f>
        <v>Conferma nuova posizione</v>
      </c>
      <c r="I363" s="6" t="str">
        <f>IFERROR(__xludf.DUMMYFUNCTION("GOOGLETRANSLATE(B363,""en"",""de"")"),"Bestätigen Sie den neuen Standort")</f>
        <v>Bestätigen Sie den neuen Standort</v>
      </c>
      <c r="J363" s="6" t="str">
        <f>IFERROR(__xludf.DUMMYFUNCTION("GOOGLETRANSLATE(B363,""en"",""ko"")"),"새로운 위치를 확인하십시오")</f>
        <v>새로운 위치를 확인하십시오</v>
      </c>
      <c r="K363" s="6" t="str">
        <f>IFERROR(__xludf.DUMMYFUNCTION("GOOGLETRANSLATE(B363,""en"",""zh"")"),"确认新位置")</f>
        <v>确认新位置</v>
      </c>
      <c r="L363" s="6" t="str">
        <f>IFERROR(__xludf.DUMMYFUNCTION("GOOGLETRANSLATE(B363,""en"",""es"")"),"Confirmar una nueva ubicación")</f>
        <v>Confirmar una nueva ubicación</v>
      </c>
      <c r="M363" s="7" t="str">
        <f>IFERROR(__xludf.DUMMYFUNCTION("GOOGLETRANSLATE(B363,""en"",""iw"")"),"אשר מיקום חדש")</f>
        <v>אשר מיקום חדש</v>
      </c>
      <c r="N363" s="6" t="str">
        <f>IFERROR(__xludf.DUMMYFUNCTION("GOOGLETRANSLATE(B363,""en"",""bn"")"),"নতুন অবস্থান নিশ্চিত করুন")</f>
        <v>নতুন অবস্থান নিশ্চিত করুন</v>
      </c>
      <c r="O363" s="29"/>
      <c r="P363" s="29"/>
    </row>
    <row r="364">
      <c r="A364" s="27" t="s">
        <v>720</v>
      </c>
      <c r="B364" s="28" t="s">
        <v>721</v>
      </c>
      <c r="C364" s="5" t="str">
        <f>IFERROR(__xludf.DUMMYFUNCTION("GOOGLETRANSLATE(B364,""en"",""hi"")"),"रिसीवर की जानकारी")</f>
        <v>रिसीवर की जानकारी</v>
      </c>
      <c r="D364" s="6" t="str">
        <f>IFERROR(__xludf.DUMMYFUNCTION("GOOGLETRANSLATE(B364,""en"",""ar"")"),"معلومات المتلقي")</f>
        <v>معلومات المتلقي</v>
      </c>
      <c r="E364" s="6" t="str">
        <f>IFERROR(__xludf.DUMMYFUNCTION("GOOGLETRANSLATE(B364,""en"",""fr"")"),"Informations sur le récepteur")</f>
        <v>Informations sur le récepteur</v>
      </c>
      <c r="F364" s="6" t="str">
        <f>IFERROR(__xludf.DUMMYFUNCTION("GOOGLETRANSLATE(B364,""en"",""tr"")"),"Alıcı Bilgisi")</f>
        <v>Alıcı Bilgisi</v>
      </c>
      <c r="G364" s="6" t="str">
        <f>IFERROR(__xludf.DUMMYFUNCTION("GOOGLETRANSLATE(B364,""en"",""ru"")"),"Информация о приемнике")</f>
        <v>Информация о приемнике</v>
      </c>
      <c r="H364" s="6" t="str">
        <f>IFERROR(__xludf.DUMMYFUNCTION("GOOGLETRANSLATE(B364,""en"",""it"")"),"Informazioni sul ricevitore")</f>
        <v>Informazioni sul ricevitore</v>
      </c>
      <c r="I364" s="6" t="str">
        <f>IFERROR(__xludf.DUMMYFUNCTION("GOOGLETRANSLATE(B364,""en"",""de"")"),"Empfängerinformationen")</f>
        <v>Empfängerinformationen</v>
      </c>
      <c r="J364" s="6" t="str">
        <f>IFERROR(__xludf.DUMMYFUNCTION("GOOGLETRANSLATE(B364,""en"",""ko"")"),"수신기 정보")</f>
        <v>수신기 정보</v>
      </c>
      <c r="K364" s="6" t="str">
        <f>IFERROR(__xludf.DUMMYFUNCTION("GOOGLETRANSLATE(B364,""en"",""zh"")"),"接收器信息")</f>
        <v>接收器信息</v>
      </c>
      <c r="L364" s="6" t="str">
        <f>IFERROR(__xludf.DUMMYFUNCTION("GOOGLETRANSLATE(B364,""en"",""es"")"),"Información del receptor")</f>
        <v>Información del receptor</v>
      </c>
      <c r="M364" s="7" t="str">
        <f>IFERROR(__xludf.DUMMYFUNCTION("GOOGLETRANSLATE(B364,""en"",""iw"")"),"מידע על מקלט")</f>
        <v>מידע על מקלט</v>
      </c>
      <c r="N364" s="6" t="str">
        <f>IFERROR(__xludf.DUMMYFUNCTION("GOOGLETRANSLATE(B364,""en"",""bn"")"),"রিসিভার তথ্য")</f>
        <v>রিসিভার তথ্য</v>
      </c>
      <c r="O364" s="29"/>
      <c r="P364" s="29"/>
    </row>
    <row r="365">
      <c r="A365" s="27" t="s">
        <v>722</v>
      </c>
      <c r="B365" s="28" t="s">
        <v>723</v>
      </c>
      <c r="C365" s="5" t="str">
        <f>IFERROR(__xludf.DUMMYFUNCTION("GOOGLETRANSLATE(B365,""en"",""hi"")"),"मोबाइल नंबर")</f>
        <v>मोबाइल नंबर</v>
      </c>
      <c r="D365" s="6" t="str">
        <f>IFERROR(__xludf.DUMMYFUNCTION("GOOGLETRANSLATE(B365,""en"",""ar"")"),"رقم الهاتف المحمول")</f>
        <v>رقم الهاتف المحمول</v>
      </c>
      <c r="E365" s="6" t="str">
        <f>IFERROR(__xludf.DUMMYFUNCTION("GOOGLETRANSLATE(B365,""en"",""fr"")"),"Numéro de portable")</f>
        <v>Numéro de portable</v>
      </c>
      <c r="F365" s="6" t="str">
        <f>IFERROR(__xludf.DUMMYFUNCTION("GOOGLETRANSLATE(B365,""en"",""tr"")"),"Cep numarası")</f>
        <v>Cep numarası</v>
      </c>
      <c r="G365" s="6" t="str">
        <f>IFERROR(__xludf.DUMMYFUNCTION("GOOGLETRANSLATE(B365,""en"",""ru"")"),"Номер мобильного")</f>
        <v>Номер мобильного</v>
      </c>
      <c r="H365" s="6" t="str">
        <f>IFERROR(__xludf.DUMMYFUNCTION("GOOGLETRANSLATE(B365,""en"",""it"")"),"Numero di cellulare")</f>
        <v>Numero di cellulare</v>
      </c>
      <c r="I365" s="6" t="str">
        <f>IFERROR(__xludf.DUMMYFUNCTION("GOOGLETRANSLATE(B365,""en"",""de"")"),"Handynummer")</f>
        <v>Handynummer</v>
      </c>
      <c r="J365" s="6" t="str">
        <f>IFERROR(__xludf.DUMMYFUNCTION("GOOGLETRANSLATE(B365,""en"",""ko"")"),"휴대폰 번호")</f>
        <v>휴대폰 번호</v>
      </c>
      <c r="K365" s="6" t="str">
        <f>IFERROR(__xludf.DUMMYFUNCTION("GOOGLETRANSLATE(B365,""en"",""zh"")"),"手机号码")</f>
        <v>手机号码</v>
      </c>
      <c r="L365" s="6" t="str">
        <f>IFERROR(__xludf.DUMMYFUNCTION("GOOGLETRANSLATE(B365,""en"",""es"")"),"Número de teléfono móvil")</f>
        <v>Número de teléfono móvil</v>
      </c>
      <c r="M365" s="7" t="str">
        <f>IFERROR(__xludf.DUMMYFUNCTION("GOOGLETRANSLATE(B365,""en"",""iw"")"),"מספר טלפון נייד")</f>
        <v>מספר טלפון נייד</v>
      </c>
      <c r="N365" s="6" t="str">
        <f>IFERROR(__xludf.DUMMYFUNCTION("GOOGLETRANSLATE(B365,""en"",""bn"")"),"মোবাইল নম্বর")</f>
        <v>মোবাইল নম্বর</v>
      </c>
      <c r="O365" s="29"/>
      <c r="P365" s="29"/>
    </row>
    <row r="366">
      <c r="A366" s="27" t="s">
        <v>724</v>
      </c>
      <c r="B366" s="28" t="s">
        <v>725</v>
      </c>
      <c r="C366" s="5" t="str">
        <f>IFERROR(__xludf.DUMMYFUNCTION("GOOGLETRANSLATE(B366,""en"",""hi"")"),"विवरण की पुष्टि करें")</f>
        <v>विवरण की पुष्टि करें</v>
      </c>
      <c r="D366" s="6" t="str">
        <f>IFERROR(__xludf.DUMMYFUNCTION("GOOGLETRANSLATE(B366,""en"",""ar"")"),"تأكيد التفاصيل")</f>
        <v>تأكيد التفاصيل</v>
      </c>
      <c r="E366" s="6" t="str">
        <f>IFERROR(__xludf.DUMMYFUNCTION("GOOGLETRANSLATE(B366,""en"",""fr"")"),"Confirmer les détails")</f>
        <v>Confirmer les détails</v>
      </c>
      <c r="F366" s="6" t="str">
        <f>IFERROR(__xludf.DUMMYFUNCTION("GOOGLETRANSLATE(B366,""en"",""tr"")"),"Ayrıntıları onaylayın")</f>
        <v>Ayrıntıları onaylayın</v>
      </c>
      <c r="G366" s="6" t="str">
        <f>IFERROR(__xludf.DUMMYFUNCTION("GOOGLETRANSLATE(B366,""en"",""ru"")"),"Подтвердите детали")</f>
        <v>Подтвердите детали</v>
      </c>
      <c r="H366" s="6" t="str">
        <f>IFERROR(__xludf.DUMMYFUNCTION("GOOGLETRANSLATE(B366,""en"",""it"")"),"Conferma i dettagli")</f>
        <v>Conferma i dettagli</v>
      </c>
      <c r="I366" s="6" t="str">
        <f>IFERROR(__xludf.DUMMYFUNCTION("GOOGLETRANSLATE(B366,""en"",""de"")"),"Details bestätigen")</f>
        <v>Details bestätigen</v>
      </c>
      <c r="J366" s="6" t="str">
        <f>IFERROR(__xludf.DUMMYFUNCTION("GOOGLETRANSLATE(B366,""en"",""ko"")"),"세부 사항을 확인하십시오")</f>
        <v>세부 사항을 확인하십시오</v>
      </c>
      <c r="K366" s="6" t="str">
        <f>IFERROR(__xludf.DUMMYFUNCTION("GOOGLETRANSLATE(B366,""en"",""zh"")"),"确认详细信息")</f>
        <v>确认详细信息</v>
      </c>
      <c r="L366" s="6" t="str">
        <f>IFERROR(__xludf.DUMMYFUNCTION("GOOGLETRANSLATE(B366,""en"",""es"")"),"Detalles de confirmación")</f>
        <v>Detalles de confirmación</v>
      </c>
      <c r="M366" s="7" t="str">
        <f>IFERROR(__xludf.DUMMYFUNCTION("GOOGLETRANSLATE(B366,""en"",""iw"")"),"אשר פרטים")</f>
        <v>אשר פרטים</v>
      </c>
      <c r="N366" s="6" t="str">
        <f>IFERROR(__xludf.DUMMYFUNCTION("GOOGLETRANSLATE(B366,""en"",""bn"")"),"বিশদ নিশ্চিত করুন")</f>
        <v>বিশদ নিশ্চিত করুন</v>
      </c>
      <c r="O366" s="29"/>
      <c r="P366" s="29"/>
    </row>
    <row r="367">
      <c r="A367" s="27" t="s">
        <v>726</v>
      </c>
      <c r="B367" s="28" t="s">
        <v>727</v>
      </c>
      <c r="C367" s="5" t="str">
        <f>IFERROR(__xludf.DUMMYFUNCTION("GOOGLETRANSLATE(B367,""en"",""hi"")"),"स्टॉप जोड़ें")</f>
        <v>स्टॉप जोड़ें</v>
      </c>
      <c r="D367" s="6" t="str">
        <f>IFERROR(__xludf.DUMMYFUNCTION("GOOGLETRANSLATE(B367,""en"",""ar"")"),"أضف التوقف")</f>
        <v>أضف التوقف</v>
      </c>
      <c r="E367" s="6" t="str">
        <f>IFERROR(__xludf.DUMMYFUNCTION("GOOGLETRANSLATE(B367,""en"",""fr"")"),"Ajouter un arrêt")</f>
        <v>Ajouter un arrêt</v>
      </c>
      <c r="F367" s="6" t="str">
        <f>IFERROR(__xludf.DUMMYFUNCTION("GOOGLETRANSLATE(B367,""en"",""tr"")"),"Durdur ekle")</f>
        <v>Durdur ekle</v>
      </c>
      <c r="G367" s="6" t="str">
        <f>IFERROR(__xludf.DUMMYFUNCTION("GOOGLETRANSLATE(B367,""en"",""ru"")"),"Добавить остановку")</f>
        <v>Добавить остановку</v>
      </c>
      <c r="H367" s="6" t="str">
        <f>IFERROR(__xludf.DUMMYFUNCTION("GOOGLETRANSLATE(B367,""en"",""it"")"),"Aggiungi stop")</f>
        <v>Aggiungi stop</v>
      </c>
      <c r="I367" s="6" t="str">
        <f>IFERROR(__xludf.DUMMYFUNCTION("GOOGLETRANSLATE(B367,""en"",""de"")"),"Stop hinzufügen")</f>
        <v>Stop hinzufügen</v>
      </c>
      <c r="J367" s="6" t="str">
        <f>IFERROR(__xludf.DUMMYFUNCTION("GOOGLETRANSLATE(B367,""en"",""ko"")"),"정지 추가")</f>
        <v>정지 추가</v>
      </c>
      <c r="K367" s="6" t="str">
        <f>IFERROR(__xludf.DUMMYFUNCTION("GOOGLETRANSLATE(B367,""en"",""zh"")"),"添加停止")</f>
        <v>添加停止</v>
      </c>
      <c r="L367" s="6" t="str">
        <f>IFERROR(__xludf.DUMMYFUNCTION("GOOGLETRANSLATE(B367,""en"",""es"")"),"Agregar parada")</f>
        <v>Agregar parada</v>
      </c>
      <c r="M367" s="7" t="str">
        <f>IFERROR(__xludf.DUMMYFUNCTION("GOOGLETRANSLATE(B367,""en"",""iw"")"),"הוסף עצירה")</f>
        <v>הוסף עצירה</v>
      </c>
      <c r="N367" s="6" t="str">
        <f>IFERROR(__xludf.DUMMYFUNCTION("GOOGLETRANSLATE(B367,""en"",""bn"")"),"স্টপ যোগ করুন")</f>
        <v>স্টপ যোগ করুন</v>
      </c>
      <c r="O367" s="29"/>
      <c r="P367" s="29"/>
    </row>
    <row r="368">
      <c r="A368" s="27" t="s">
        <v>728</v>
      </c>
      <c r="B368" s="28" t="s">
        <v>729</v>
      </c>
      <c r="C368" s="5" t="str">
        <f>IFERROR(__xludf.DUMMYFUNCTION("GOOGLETRANSLATE(B368,""en"",""hi"")"),"प्रेषक जानकारी")</f>
        <v>प्रेषक जानकारी</v>
      </c>
      <c r="D368" s="6" t="str">
        <f>IFERROR(__xludf.DUMMYFUNCTION("GOOGLETRANSLATE(B368,""en"",""ar"")"),"معلومات المرسل")</f>
        <v>معلومات المرسل</v>
      </c>
      <c r="E368" s="6" t="str">
        <f>IFERROR(__xludf.DUMMYFUNCTION("GOOGLETRANSLATE(B368,""en"",""fr"")"),"Informations sur l'expéditeur")</f>
        <v>Informations sur l'expéditeur</v>
      </c>
      <c r="F368" s="6" t="str">
        <f>IFERROR(__xludf.DUMMYFUNCTION("GOOGLETRANSLATE(B368,""en"",""tr"")"),"Gönderen bilgileri")</f>
        <v>Gönderen bilgileri</v>
      </c>
      <c r="G368" s="6" t="str">
        <f>IFERROR(__xludf.DUMMYFUNCTION("GOOGLETRANSLATE(B368,""en"",""ru"")"),"Информация о отправке")</f>
        <v>Информация о отправке</v>
      </c>
      <c r="H368" s="6" t="str">
        <f>IFERROR(__xludf.DUMMYFUNCTION("GOOGLETRANSLATE(B368,""en"",""it"")"),"Informazioni sul mittente")</f>
        <v>Informazioni sul mittente</v>
      </c>
      <c r="I368" s="6" t="str">
        <f>IFERROR(__xludf.DUMMYFUNCTION("GOOGLETRANSLATE(B368,""en"",""de"")"),"Absenderinfo")</f>
        <v>Absenderinfo</v>
      </c>
      <c r="J368" s="6" t="str">
        <f>IFERROR(__xludf.DUMMYFUNCTION("GOOGLETRANSLATE(B368,""en"",""ko"")"),"발신자 정보")</f>
        <v>발신자 정보</v>
      </c>
      <c r="K368" s="6" t="str">
        <f>IFERROR(__xludf.DUMMYFUNCTION("GOOGLETRANSLATE(B368,""en"",""zh"")"),"发件人信息")</f>
        <v>发件人信息</v>
      </c>
      <c r="L368" s="6" t="str">
        <f>IFERROR(__xludf.DUMMYFUNCTION("GOOGLETRANSLATE(B368,""en"",""es"")"),"Información del remitente")</f>
        <v>Información del remitente</v>
      </c>
      <c r="M368" s="7" t="str">
        <f>IFERROR(__xludf.DUMMYFUNCTION("GOOGLETRANSLATE(B368,""en"",""iw"")"),"מידע על שולח")</f>
        <v>מידע על שולח</v>
      </c>
      <c r="N368" s="6" t="str">
        <f>IFERROR(__xludf.DUMMYFUNCTION("GOOGLETRANSLATE(B368,""en"",""bn"")"),"প্রেরক তথ্য")</f>
        <v>প্রেরক তথ্য</v>
      </c>
      <c r="O368" s="29"/>
      <c r="P368" s="29"/>
    </row>
    <row r="369">
      <c r="A369" s="27" t="s">
        <v>730</v>
      </c>
      <c r="B369" s="28" t="s">
        <v>731</v>
      </c>
      <c r="C369" s="5" t="str">
        <f>IFERROR(__xludf.DUMMYFUNCTION("GOOGLETRANSLATE(B369,""en"",""hi"")"),"पिकअप संपर्क")</f>
        <v>पिकअप संपर्क</v>
      </c>
      <c r="D369" s="6" t="str">
        <f>IFERROR(__xludf.DUMMYFUNCTION("GOOGLETRANSLATE(B369,""en"",""ar"")"),"جهة الاتصال بالتقاط")</f>
        <v>جهة الاتصال بالتقاط</v>
      </c>
      <c r="E369" s="6" t="str">
        <f>IFERROR(__xludf.DUMMYFUNCTION("GOOGLETRANSLATE(B369,""en"",""fr"")"),"Contact de ramassage")</f>
        <v>Contact de ramassage</v>
      </c>
      <c r="F369" s="6" t="str">
        <f>IFERROR(__xludf.DUMMYFUNCTION("GOOGLETRANSLATE(B369,""en"",""tr"")"),"Pikap Kişisi")</f>
        <v>Pikap Kişisi</v>
      </c>
      <c r="G369" s="6" t="str">
        <f>IFERROR(__xludf.DUMMYFUNCTION("GOOGLETRANSLATE(B369,""en"",""ru"")"),"Контакт с пикапом")</f>
        <v>Контакт с пикапом</v>
      </c>
      <c r="H369" s="6" t="str">
        <f>IFERROR(__xludf.DUMMYFUNCTION("GOOGLETRANSLATE(B369,""en"",""it"")"),"Contatto di raccolta")</f>
        <v>Contatto di raccolta</v>
      </c>
      <c r="I369" s="6" t="str">
        <f>IFERROR(__xludf.DUMMYFUNCTION("GOOGLETRANSLATE(B369,""en"",""de"")"),"Abholkontakt")</f>
        <v>Abholkontakt</v>
      </c>
      <c r="J369" s="6" t="str">
        <f>IFERROR(__xludf.DUMMYFUNCTION("GOOGLETRANSLATE(B369,""en"",""ko"")"),"픽업 연락처")</f>
        <v>픽업 연락처</v>
      </c>
      <c r="K369" s="6" t="str">
        <f>IFERROR(__xludf.DUMMYFUNCTION("GOOGLETRANSLATE(B369,""en"",""zh"")"),"接触联系")</f>
        <v>接触联系</v>
      </c>
      <c r="L369" s="6" t="str">
        <f>IFERROR(__xludf.DUMMYFUNCTION("GOOGLETRANSLATE(B369,""en"",""es"")"),"Contacto de recogida")</f>
        <v>Contacto de recogida</v>
      </c>
      <c r="M369" s="7" t="str">
        <f>IFERROR(__xludf.DUMMYFUNCTION("GOOGLETRANSLATE(B369,""en"",""iw"")"),"איש קשר איסוף")</f>
        <v>איש קשר איסוף</v>
      </c>
      <c r="N369" s="6" t="str">
        <f>IFERROR(__xludf.DUMMYFUNCTION("GOOGLETRANSLATE(B369,""en"",""bn"")"),"পিকআপ যোগাযোগ")</f>
        <v>পিকআপ যোগাযোগ</v>
      </c>
      <c r="O369" s="29"/>
      <c r="P369" s="29"/>
    </row>
    <row r="370">
      <c r="A370" s="27" t="s">
        <v>732</v>
      </c>
      <c r="B370" s="28" t="s">
        <v>733</v>
      </c>
      <c r="C370" s="5" t="str">
        <f>IFERROR(__xludf.DUMMYFUNCTION("GOOGLETRANSLATE(B370,""en"",""hi"")"),"माल का प्रकार चुनें")</f>
        <v>माल का प्रकार चुनें</v>
      </c>
      <c r="D370" s="6" t="str">
        <f>IFERROR(__xludf.DUMMYFUNCTION("GOOGLETRANSLATE(B370,""en"",""ar"")"),"اختر نوع البضائع")</f>
        <v>اختر نوع البضائع</v>
      </c>
      <c r="E370" s="6" t="str">
        <f>IFERROR(__xludf.DUMMYFUNCTION("GOOGLETRANSLATE(B370,""en"",""fr"")"),"Choisissez le type de marchandises")</f>
        <v>Choisissez le type de marchandises</v>
      </c>
      <c r="F370" s="6" t="str">
        <f>IFERROR(__xludf.DUMMYFUNCTION("GOOGLETRANSLATE(B370,""en"",""tr"")"),"Mal Türünü Seçin")</f>
        <v>Mal Türünü Seçin</v>
      </c>
      <c r="G370" s="6" t="str">
        <f>IFERROR(__xludf.DUMMYFUNCTION("GOOGLETRANSLATE(B370,""en"",""ru"")"),"Выберите тип товара")</f>
        <v>Выберите тип товара</v>
      </c>
      <c r="H370" s="6" t="str">
        <f>IFERROR(__xludf.DUMMYFUNCTION("GOOGLETRANSLATE(B370,""en"",""it"")"),"Scegli il tipo di merce")</f>
        <v>Scegli il tipo di merce</v>
      </c>
      <c r="I370" s="6" t="str">
        <f>IFERROR(__xludf.DUMMYFUNCTION("GOOGLETRANSLATE(B370,""en"",""de"")"),"Wählen Sie Warenart")</f>
        <v>Wählen Sie Warenart</v>
      </c>
      <c r="J370" s="6" t="str">
        <f>IFERROR(__xludf.DUMMYFUNCTION("GOOGLETRANSLATE(B370,""en"",""ko"")"),"상품 유형을 선택하십시오")</f>
        <v>상품 유형을 선택하십시오</v>
      </c>
      <c r="K370" s="6" t="str">
        <f>IFERROR(__xludf.DUMMYFUNCTION("GOOGLETRANSLATE(B370,""en"",""zh"")"),"选择商品类型")</f>
        <v>选择商品类型</v>
      </c>
      <c r="L370" s="6" t="str">
        <f>IFERROR(__xludf.DUMMYFUNCTION("GOOGLETRANSLATE(B370,""en"",""es"")"),"Elija el tipo de productos")</f>
        <v>Elija el tipo de productos</v>
      </c>
      <c r="M370" s="7" t="str">
        <f>IFERROR(__xludf.DUMMYFUNCTION("GOOGLETRANSLATE(B370,""en"",""iw"")"),"בחר סוג מוצרים")</f>
        <v>בחר סוג מוצרים</v>
      </c>
      <c r="N370" s="6" t="str">
        <f>IFERROR(__xludf.DUMMYFUNCTION("GOOGLETRANSLATE(B370,""en"",""bn"")"),"পণ্য প্রকার চয়ন করুন")</f>
        <v>পণ্য প্রকার চয়ন করুন</v>
      </c>
      <c r="O370" s="29"/>
      <c r="P370" s="29"/>
    </row>
    <row r="371">
      <c r="A371" s="27" t="s">
        <v>734</v>
      </c>
      <c r="B371" s="28" t="s">
        <v>735</v>
      </c>
      <c r="C371" s="5" t="str">
        <f>IFERROR(__xludf.DUMMYFUNCTION("GOOGLETRANSLATE(B371,""en"",""hi"")"),"ढीला")</f>
        <v>ढीला</v>
      </c>
      <c r="D371" s="6" t="str">
        <f>IFERROR(__xludf.DUMMYFUNCTION("GOOGLETRANSLATE(B371,""en"",""ar"")"),"مرتخي")</f>
        <v>مرتخي</v>
      </c>
      <c r="E371" s="6" t="str">
        <f>IFERROR(__xludf.DUMMYFUNCTION("GOOGLETRANSLATE(B371,""en"",""fr"")"),"Ample")</f>
        <v>Ample</v>
      </c>
      <c r="F371" s="6" t="str">
        <f>IFERROR(__xludf.DUMMYFUNCTION("GOOGLETRANSLATE(B371,""en"",""tr"")"),"Gevşetmek")</f>
        <v>Gevşetmek</v>
      </c>
      <c r="G371" s="6" t="str">
        <f>IFERROR(__xludf.DUMMYFUNCTION("GOOGLETRANSLATE(B371,""en"",""ru"")"),"Свободный")</f>
        <v>Свободный</v>
      </c>
      <c r="H371" s="6" t="str">
        <f>IFERROR(__xludf.DUMMYFUNCTION("GOOGLETRANSLATE(B371,""en"",""it"")"),"Sciolto")</f>
        <v>Sciolto</v>
      </c>
      <c r="I371" s="6" t="str">
        <f>IFERROR(__xludf.DUMMYFUNCTION("GOOGLETRANSLATE(B371,""en"",""de"")"),"Lose")</f>
        <v>Lose</v>
      </c>
      <c r="J371" s="6" t="str">
        <f>IFERROR(__xludf.DUMMYFUNCTION("GOOGLETRANSLATE(B371,""en"",""ko"")"),"헐렁한")</f>
        <v>헐렁한</v>
      </c>
      <c r="K371" s="6" t="str">
        <f>IFERROR(__xludf.DUMMYFUNCTION("GOOGLETRANSLATE(B371,""en"",""zh"")"),"松动的")</f>
        <v>松动的</v>
      </c>
      <c r="L371" s="6" t="str">
        <f>IFERROR(__xludf.DUMMYFUNCTION("GOOGLETRANSLATE(B371,""en"",""es"")"),"Suelto")</f>
        <v>Suelto</v>
      </c>
      <c r="M371" s="7" t="str">
        <f>IFERROR(__xludf.DUMMYFUNCTION("GOOGLETRANSLATE(B371,""en"",""iw"")"),"מְשׁוּחרָר")</f>
        <v>מְשׁוּחרָר</v>
      </c>
      <c r="N371" s="6" t="str">
        <f>IFERROR(__xludf.DUMMYFUNCTION("GOOGLETRANSLATE(B371,""en"",""bn"")"),"আলগা")</f>
        <v>আলগা</v>
      </c>
      <c r="O371" s="29"/>
      <c r="P371" s="29"/>
    </row>
    <row r="372">
      <c r="A372" s="27" t="s">
        <v>736</v>
      </c>
      <c r="B372" s="28" t="s">
        <v>737</v>
      </c>
      <c r="C372" s="5" t="str">
        <f>IFERROR(__xludf.DUMMYFUNCTION("GOOGLETRANSLATE(B372,""en"",""hi"")"),"इकाई के साथ qty")</f>
        <v>इकाई के साथ qty</v>
      </c>
      <c r="D372" s="6" t="str">
        <f>IFERROR(__xludf.DUMMYFUNCTION("GOOGLETRANSLATE(B372,""en"",""ar"")"),"كتي مع الوحدة")</f>
        <v>كتي مع الوحدة</v>
      </c>
      <c r="E372" s="6" t="str">
        <f>IFERROR(__xludf.DUMMYFUNCTION("GOOGLETRANSLATE(B372,""en"",""fr"")"),"Qté avec unité")</f>
        <v>Qté avec unité</v>
      </c>
      <c r="F372" s="6" t="str">
        <f>IFERROR(__xludf.DUMMYFUNCTION("GOOGLETRANSLATE(B372,""en"",""tr"")"),"Birimle Miktar")</f>
        <v>Birimle Miktar</v>
      </c>
      <c r="G372" s="6" t="str">
        <f>IFERROR(__xludf.DUMMYFUNCTION("GOOGLETRANSLATE(B372,""en"",""ru"")"),"QTY с устройством")</f>
        <v>QTY с устройством</v>
      </c>
      <c r="H372" s="6" t="str">
        <f>IFERROR(__xludf.DUMMYFUNCTION("GOOGLETRANSLATE(B372,""en"",""it"")"),"Qtà con unità")</f>
        <v>Qtà con unità</v>
      </c>
      <c r="I372" s="6" t="str">
        <f>IFERROR(__xludf.DUMMYFUNCTION("GOOGLETRANSLATE(B372,""en"",""de"")"),"Qty mit Einheit")</f>
        <v>Qty mit Einheit</v>
      </c>
      <c r="J372" s="6" t="str">
        <f>IFERROR(__xludf.DUMMYFUNCTION("GOOGLETRANSLATE(B372,""en"",""ko"")"),"단위로 수량")</f>
        <v>단위로 수량</v>
      </c>
      <c r="K372" s="6" t="str">
        <f>IFERROR(__xludf.DUMMYFUNCTION("GOOGLETRANSLATE(B372,""en"",""zh"")"),"与单位的数量")</f>
        <v>与单位的数量</v>
      </c>
      <c r="L372" s="6" t="str">
        <f>IFERROR(__xludf.DUMMYFUNCTION("GOOGLETRANSLATE(B372,""en"",""es"")"),"Cantidad con unidad")</f>
        <v>Cantidad con unidad</v>
      </c>
      <c r="M372" s="7" t="str">
        <f>IFERROR(__xludf.DUMMYFUNCTION("GOOGLETRANSLATE(B372,""en"",""iw"")"),"כמות עם יחידה")</f>
        <v>כמות עם יחידה</v>
      </c>
      <c r="N372" s="6" t="str">
        <f>IFERROR(__xludf.DUMMYFUNCTION("GOOGLETRANSLATE(B372,""en"",""bn"")"),"ইউনিট সহ কিটি")</f>
        <v>ইউনিট সহ কিটি</v>
      </c>
      <c r="O372" s="29"/>
      <c r="P372" s="29"/>
    </row>
    <row r="373">
      <c r="A373" s="27" t="s">
        <v>738</v>
      </c>
      <c r="B373" s="28" t="s">
        <v>739</v>
      </c>
      <c r="C373" s="5" t="str">
        <f>IFERROR(__xludf.DUMMYFUNCTION("GOOGLETRANSLATE(B373,""en"",""hi"")"),"माल का प्रकार")</f>
        <v>माल का प्रकार</v>
      </c>
      <c r="D373" s="6" t="str">
        <f>IFERROR(__xludf.DUMMYFUNCTION("GOOGLETRANSLATE(B373,""en"",""ar"")"),"نوع البضائع")</f>
        <v>نوع البضائع</v>
      </c>
      <c r="E373" s="6" t="str">
        <f>IFERROR(__xludf.DUMMYFUNCTION("GOOGLETRANSLATE(B373,""en"",""fr"")"),"Type de marchandises")</f>
        <v>Type de marchandises</v>
      </c>
      <c r="F373" s="6" t="str">
        <f>IFERROR(__xludf.DUMMYFUNCTION("GOOGLETRANSLATE(B373,""en"",""tr"")"),"Mal tipi")</f>
        <v>Mal tipi</v>
      </c>
      <c r="G373" s="6" t="str">
        <f>IFERROR(__xludf.DUMMYFUNCTION("GOOGLETRANSLATE(B373,""en"",""ru"")"),"Товар тип")</f>
        <v>Товар тип</v>
      </c>
      <c r="H373" s="6" t="str">
        <f>IFERROR(__xludf.DUMMYFUNCTION("GOOGLETRANSLATE(B373,""en"",""it"")"),"Tipo di merce")</f>
        <v>Tipo di merce</v>
      </c>
      <c r="I373" s="6" t="str">
        <f>IFERROR(__xludf.DUMMYFUNCTION("GOOGLETRANSLATE(B373,""en"",""de"")"),"Warenart")</f>
        <v>Warenart</v>
      </c>
      <c r="J373" s="6" t="str">
        <f>IFERROR(__xludf.DUMMYFUNCTION("GOOGLETRANSLATE(B373,""en"",""ko"")"),"상품 유형")</f>
        <v>상품 유형</v>
      </c>
      <c r="K373" s="6" t="str">
        <f>IFERROR(__xludf.DUMMYFUNCTION("GOOGLETRANSLATE(B373,""en"",""zh"")"),"商品类型")</f>
        <v>商品类型</v>
      </c>
      <c r="L373" s="6" t="str">
        <f>IFERROR(__xludf.DUMMYFUNCTION("GOOGLETRANSLATE(B373,""en"",""es"")"),"Tipo de bienes")</f>
        <v>Tipo de bienes</v>
      </c>
      <c r="M373" s="7" t="str">
        <f>IFERROR(__xludf.DUMMYFUNCTION("GOOGLETRANSLATE(B373,""en"",""iw"")"),"סוג מוצרים")</f>
        <v>סוג מוצרים</v>
      </c>
      <c r="N373" s="6" t="str">
        <f>IFERROR(__xludf.DUMMYFUNCTION("GOOGLETRANSLATE(B373,""en"",""bn"")"),"পণ্য প্রকার")</f>
        <v>পণ্য প্রকার</v>
      </c>
      <c r="O373" s="29"/>
      <c r="P373" s="29"/>
    </row>
    <row r="374">
      <c r="A374" s="27" t="s">
        <v>740</v>
      </c>
      <c r="B374" s="31" t="s">
        <v>306</v>
      </c>
      <c r="C374" s="5" t="str">
        <f>IFERROR(__xludf.DUMMYFUNCTION("GOOGLETRANSLATE(B374,""en"",""hi"")"),"अभी चलो")</f>
        <v>अभी चलो</v>
      </c>
      <c r="D374" s="6" t="str">
        <f>IFERROR(__xludf.DUMMYFUNCTION("GOOGLETRANSLATE(B374,""en"",""ar"")"),"اركب الآن")</f>
        <v>اركب الآن</v>
      </c>
      <c r="E374" s="6" t="str">
        <f>IFERROR(__xludf.DUMMYFUNCTION("GOOGLETRANSLATE(B374,""en"",""fr"")"),"Rouler maintenant")</f>
        <v>Rouler maintenant</v>
      </c>
      <c r="F374" s="6" t="str">
        <f>IFERROR(__xludf.DUMMYFUNCTION("GOOGLETRANSLATE(B374,""en"",""tr"")"),"Şimdi sür")</f>
        <v>Şimdi sür</v>
      </c>
      <c r="G374" s="6" t="str">
        <f>IFERROR(__xludf.DUMMYFUNCTION("GOOGLETRANSLATE(B374,""en"",""ru"")"),"Ездить сейчас")</f>
        <v>Ездить сейчас</v>
      </c>
      <c r="H374" s="6" t="str">
        <f>IFERROR(__xludf.DUMMYFUNCTION("GOOGLETRANSLATE(B374,""en"",""it"")"),"Cavalca ora")</f>
        <v>Cavalca ora</v>
      </c>
      <c r="I374" s="6" t="str">
        <f>IFERROR(__xludf.DUMMYFUNCTION("GOOGLETRANSLATE(B374,""en"",""de"")"),"Fahren Sie jetzt")</f>
        <v>Fahren Sie jetzt</v>
      </c>
      <c r="J374" s="6" t="str">
        <f>IFERROR(__xludf.DUMMYFUNCTION("GOOGLETRANSLATE(B374,""en"",""ko"")"),"지금 타십시오")</f>
        <v>지금 타십시오</v>
      </c>
      <c r="K374" s="6" t="str">
        <f>IFERROR(__xludf.DUMMYFUNCTION("GOOGLETRANSLATE(B374,""en"",""zh"")"),"现在骑")</f>
        <v>现在骑</v>
      </c>
      <c r="L374" s="6" t="str">
        <f>IFERROR(__xludf.DUMMYFUNCTION("GOOGLETRANSLATE(B374,""en"",""es"")"),"Montar ahora")</f>
        <v>Montar ahora</v>
      </c>
      <c r="M374" s="7" t="str">
        <f>IFERROR(__xludf.DUMMYFUNCTION("GOOGLETRANSLATE(B374,""en"",""iw"")"),"תרכב עכשיו")</f>
        <v>תרכב עכשיו</v>
      </c>
      <c r="N374" s="6" t="str">
        <f>IFERROR(__xludf.DUMMYFUNCTION("GOOGLETRANSLATE(B374,""en"",""bn"")"),"চালাও এখন")</f>
        <v>চালাও এখন</v>
      </c>
      <c r="O374" s="29"/>
      <c r="P374" s="29"/>
    </row>
    <row r="375">
      <c r="A375" s="27" t="s">
        <v>741</v>
      </c>
      <c r="B375" s="31" t="s">
        <v>742</v>
      </c>
      <c r="C375" s="5" t="str">
        <f>IFERROR(__xludf.DUMMYFUNCTION("GOOGLETRANSLATE(B375,""en"",""hi"")"),"बाद में बुक करें")</f>
        <v>बाद में बुक करें</v>
      </c>
      <c r="D375" s="6" t="str">
        <f>IFERROR(__xludf.DUMMYFUNCTION("GOOGLETRANSLATE(B375,""en"",""ar"")"),"كتاب في وقت لاحق")</f>
        <v>كتاب في وقت لاحق</v>
      </c>
      <c r="E375" s="6" t="str">
        <f>IFERROR(__xludf.DUMMYFUNCTION("GOOGLETRANSLATE(B375,""en"",""fr"")"),"Réserver pour plus tard")</f>
        <v>Réserver pour plus tard</v>
      </c>
      <c r="F375" s="6" t="str">
        <f>IFERROR(__xludf.DUMMYFUNCTION("GOOGLETRANSLATE(B375,""en"",""tr"")"),"Daha sonra kitap")</f>
        <v>Daha sonra kitap</v>
      </c>
      <c r="G375" s="6" t="str">
        <f>IFERROR(__xludf.DUMMYFUNCTION("GOOGLETRANSLATE(B375,""en"",""ru"")"),"Книга на потом")</f>
        <v>Книга на потом</v>
      </c>
      <c r="H375" s="6" t="str">
        <f>IFERROR(__xludf.DUMMYFUNCTION("GOOGLETRANSLATE(B375,""en"",""it"")"),"Libro per dopo")</f>
        <v>Libro per dopo</v>
      </c>
      <c r="I375" s="6" t="str">
        <f>IFERROR(__xludf.DUMMYFUNCTION("GOOGLETRANSLATE(B375,""en"",""de"")"),"Buchen Sie später")</f>
        <v>Buchen Sie später</v>
      </c>
      <c r="J375" s="6" t="str">
        <f>IFERROR(__xludf.DUMMYFUNCTION("GOOGLETRANSLATE(B375,""en"",""ko"")"),"나중에 예약하십시오")</f>
        <v>나중에 예약하십시오</v>
      </c>
      <c r="K375" s="6" t="str">
        <f>IFERROR(__xludf.DUMMYFUNCTION("GOOGLETRANSLATE(B375,""en"",""zh"")"),"预订以后")</f>
        <v>预订以后</v>
      </c>
      <c r="L375" s="6" t="str">
        <f>IFERROR(__xludf.DUMMYFUNCTION("GOOGLETRANSLATE(B375,""en"",""es"")"),"Libro para más tarde")</f>
        <v>Libro para más tarde</v>
      </c>
      <c r="M375" s="7" t="str">
        <f>IFERROR(__xludf.DUMMYFUNCTION("GOOGLETRANSLATE(B375,""en"",""iw"")"),"ספר למועד מאוחר יותר")</f>
        <v>ספר למועד מאוחר יותר</v>
      </c>
      <c r="N375" s="6" t="str">
        <f>IFERROR(__xludf.DUMMYFUNCTION("GOOGLETRANSLATE(B375,""en"",""bn"")"),"পরে বই")</f>
        <v>পরে বই</v>
      </c>
      <c r="O375" s="29"/>
      <c r="P375" s="29"/>
    </row>
    <row r="376">
      <c r="A376" s="27" t="s">
        <v>743</v>
      </c>
      <c r="B376" s="30" t="s">
        <v>744</v>
      </c>
      <c r="C376" s="5" t="str">
        <f>IFERROR(__xludf.DUMMYFUNCTION("GOOGLETRANSLATE(B376,""en"",""hi"")"),"शिपमेंट छवि जोड़ने के लिए टैप करें")</f>
        <v>शिपमेंट छवि जोड़ने के लिए टैप करें</v>
      </c>
      <c r="D376" s="6" t="str">
        <f>IFERROR(__xludf.DUMMYFUNCTION("GOOGLETRANSLATE(B376,""en"",""ar"")"),"انقر لإضافة صورة الشحن")</f>
        <v>انقر لإضافة صورة الشحن</v>
      </c>
      <c r="E376" s="6" t="str">
        <f>IFERROR(__xludf.DUMMYFUNCTION("GOOGLETRANSLATE(B376,""en"",""fr"")"),"Appuyez pour ajouter l'image d'expédition")</f>
        <v>Appuyez pour ajouter l'image d'expédition</v>
      </c>
      <c r="F376" s="6" t="str">
        <f>IFERROR(__xludf.DUMMYFUNCTION("GOOGLETRANSLATE(B376,""en"",""tr"")"),"Gönderi resmi eklemek için dokunun")</f>
        <v>Gönderi resmi eklemek için dokunun</v>
      </c>
      <c r="G376" s="6" t="str">
        <f>IFERROR(__xludf.DUMMYFUNCTION("GOOGLETRANSLATE(B376,""en"",""ru"")"),"Нажмите, чтобы добавить изображение отгрузки")</f>
        <v>Нажмите, чтобы добавить изображение отгрузки</v>
      </c>
      <c r="H376" s="6" t="str">
        <f>IFERROR(__xludf.DUMMYFUNCTION("GOOGLETRANSLATE(B376,""en"",""it"")"),"Tocca per aggiungere l'immagine della spedizione")</f>
        <v>Tocca per aggiungere l'immagine della spedizione</v>
      </c>
      <c r="I376" s="6" t="str">
        <f>IFERROR(__xludf.DUMMYFUNCTION("GOOGLETRANSLATE(B376,""en"",""de"")"),"Tippen Sie auf, um das Sendungsbild hinzuzufügen")</f>
        <v>Tippen Sie auf, um das Sendungsbild hinzuzufügen</v>
      </c>
      <c r="J376" s="6" t="str">
        <f>IFERROR(__xludf.DUMMYFUNCTION("GOOGLETRANSLATE(B376,""en"",""ko"")"),"배송 이미지를 추가하려면 탭합니다")</f>
        <v>배송 이미지를 추가하려면 탭합니다</v>
      </c>
      <c r="K376" s="6" t="str">
        <f>IFERROR(__xludf.DUMMYFUNCTION("GOOGLETRANSLATE(B376,""en"",""zh"")"),"点击添加货物图像")</f>
        <v>点击添加货物图像</v>
      </c>
      <c r="L376" s="6" t="str">
        <f>IFERROR(__xludf.DUMMYFUNCTION("GOOGLETRANSLATE(B376,""en"",""es"")"),"Toque para agregar imagen de envío")</f>
        <v>Toque para agregar imagen de envío</v>
      </c>
      <c r="M376" s="7" t="str">
        <f>IFERROR(__xludf.DUMMYFUNCTION("GOOGLETRANSLATE(B376,""en"",""iw"")"),"הקש כדי להוסיף תמונת משלוח")</f>
        <v>הקש כדי להוסיף תמונת משלוח</v>
      </c>
      <c r="N376" s="6" t="str">
        <f>IFERROR(__xludf.DUMMYFUNCTION("GOOGLETRANSLATE(B376,""en"",""bn"")"),"চালানের চিত্র যুক্ত করতে আলতো চাপুন")</f>
        <v>চালানের চিত্র যুক্ত করতে আলতো চাপুন</v>
      </c>
      <c r="O376" s="29"/>
      <c r="P376" s="29"/>
    </row>
    <row r="377">
      <c r="A377" s="27" t="s">
        <v>745</v>
      </c>
      <c r="B377" s="30" t="s">
        <v>746</v>
      </c>
      <c r="C377" s="5" t="str">
        <f>IFERROR(__xludf.DUMMYFUNCTION("GOOGLETRANSLATE(B377,""en"",""hi"")"),"शिपमेंट छवि को संपादित करने के लिए टैप करें")</f>
        <v>शिपमेंट छवि को संपादित करने के लिए टैप करें</v>
      </c>
      <c r="D377" s="6" t="str">
        <f>IFERROR(__xludf.DUMMYFUNCTION("GOOGLETRANSLATE(B377,""en"",""ar"")"),"انقر لتحرير صورة الشحن")</f>
        <v>انقر لتحرير صورة الشحن</v>
      </c>
      <c r="E377" s="6" t="str">
        <f>IFERROR(__xludf.DUMMYFUNCTION("GOOGLETRANSLATE(B377,""en"",""fr"")"),"Appuyez pour modifier l'image d'expédition")</f>
        <v>Appuyez pour modifier l'image d'expédition</v>
      </c>
      <c r="F377" s="6" t="str">
        <f>IFERROR(__xludf.DUMMYFUNCTION("GOOGLETRANSLATE(B377,""en"",""tr"")"),"Gönderi Resimini Düzenlemek İçin Dokun")</f>
        <v>Gönderi Resimini Düzenlemek İçin Dokun</v>
      </c>
      <c r="G377" s="6" t="str">
        <f>IFERROR(__xludf.DUMMYFUNCTION("GOOGLETRANSLATE(B377,""en"",""ru"")"),"Нажмите, чтобы редактировать изображение отгрузки")</f>
        <v>Нажмите, чтобы редактировать изображение отгрузки</v>
      </c>
      <c r="H377" s="6" t="str">
        <f>IFERROR(__xludf.DUMMYFUNCTION("GOOGLETRANSLATE(B377,""en"",""it"")"),"Tocca per modificare l'immagine di spedizione")</f>
        <v>Tocca per modificare l'immagine di spedizione</v>
      </c>
      <c r="I377" s="6" t="str">
        <f>IFERROR(__xludf.DUMMYFUNCTION("GOOGLETRANSLATE(B377,""en"",""de"")"),"Tippen Sie auf, um das Versandbild zu bearbeiten")</f>
        <v>Tippen Sie auf, um das Versandbild zu bearbeiten</v>
      </c>
      <c r="J377" s="6" t="str">
        <f>IFERROR(__xludf.DUMMYFUNCTION("GOOGLETRANSLATE(B377,""en"",""ko"")"),"배송 이미지를 편집하려면 탭합니다")</f>
        <v>배송 이미지를 편집하려면 탭합니다</v>
      </c>
      <c r="K377" s="6" t="str">
        <f>IFERROR(__xludf.DUMMYFUNCTION("GOOGLETRANSLATE(B377,""en"",""zh"")"),"点击编辑装运图像")</f>
        <v>点击编辑装运图像</v>
      </c>
      <c r="L377" s="6" t="str">
        <f>IFERROR(__xludf.DUMMYFUNCTION("GOOGLETRANSLATE(B377,""en"",""es"")"),"Toque para editar la imagen de envío")</f>
        <v>Toque para editar la imagen de envío</v>
      </c>
      <c r="M377" s="7" t="str">
        <f>IFERROR(__xludf.DUMMYFUNCTION("GOOGLETRANSLATE(B377,""en"",""iw"")"),"הקש כדי לערוך תמונת משלוח")</f>
        <v>הקש כדי לערוך תמונת משלוח</v>
      </c>
      <c r="N377" s="6" t="str">
        <f>IFERROR(__xludf.DUMMYFUNCTION("GOOGLETRANSLATE(B377,""en"",""bn"")"),"চালানের চিত্র সম্পাদনা করতে আলতো চাপুন")</f>
        <v>চালানের চিত্র সম্পাদনা করতে আলতো চাপুন</v>
      </c>
      <c r="O377" s="29"/>
      <c r="P377" s="29"/>
    </row>
    <row r="378">
      <c r="A378" s="27" t="s">
        <v>747</v>
      </c>
      <c r="B378" s="28" t="s">
        <v>748</v>
      </c>
      <c r="C378" s="5" t="str">
        <f>IFERROR(__xludf.DUMMYFUNCTION("GOOGLETRANSLATE(B378,""en"",""hi"")"),"अनलोड छवि जोड़ने के लिए टैप करें")</f>
        <v>अनलोड छवि जोड़ने के लिए टैप करें</v>
      </c>
      <c r="D378" s="6" t="str">
        <f>IFERROR(__xludf.DUMMYFUNCTION("GOOGLETRANSLATE(B378,""en"",""ar"")"),"انقر لإضافة صورة التفريغ")</f>
        <v>انقر لإضافة صورة التفريغ</v>
      </c>
      <c r="E378" s="6" t="str">
        <f>IFERROR(__xludf.DUMMYFUNCTION("GOOGLETRANSLATE(B378,""en"",""fr"")"),"Appuyez pour ajouter l'image de déchargement")</f>
        <v>Appuyez pour ajouter l'image de déchargement</v>
      </c>
      <c r="F378" s="6" t="str">
        <f>IFERROR(__xludf.DUMMYFUNCTION("GOOGLETRANSLATE(B378,""en"",""tr"")"),"Boşaltma resmi eklemek için dokunun")</f>
        <v>Boşaltma resmi eklemek için dokunun</v>
      </c>
      <c r="G378" s="6" t="str">
        <f>IFERROR(__xludf.DUMMYFUNCTION("GOOGLETRANSLATE(B378,""en"",""ru"")"),"Нажмите, чтобы добавить изображение Unload")</f>
        <v>Нажмите, чтобы добавить изображение Unload</v>
      </c>
      <c r="H378" s="6" t="str">
        <f>IFERROR(__xludf.DUMMYFUNCTION("GOOGLETRANSLATE(B378,""en"",""it"")"),"Tocca per aggiungere l'immagine di scarico")</f>
        <v>Tocca per aggiungere l'immagine di scarico</v>
      </c>
      <c r="I378" s="6" t="str">
        <f>IFERROR(__xludf.DUMMYFUNCTION("GOOGLETRANSLATE(B378,""en"",""de"")"),"Tippen Sie auf, um das Entladen von Bild hinzuzufügen")</f>
        <v>Tippen Sie auf, um das Entladen von Bild hinzuzufügen</v>
      </c>
      <c r="J378" s="6" t="str">
        <f>IFERROR(__xludf.DUMMYFUNCTION("GOOGLETRANSLATE(B378,""en"",""ko"")"),"언로드 이미지를 추가하려면 탭합니다")</f>
        <v>언로드 이미지를 추가하려면 탭합니다</v>
      </c>
      <c r="K378" s="6" t="str">
        <f>IFERROR(__xludf.DUMMYFUNCTION("GOOGLETRANSLATE(B378,""en"",""zh"")"),"点击添加卸载图像")</f>
        <v>点击添加卸载图像</v>
      </c>
      <c r="L378" s="6" t="str">
        <f>IFERROR(__xludf.DUMMYFUNCTION("GOOGLETRANSLATE(B378,""en"",""es"")"),"Toque para agregar una imagen de descarga")</f>
        <v>Toque para agregar una imagen de descarga</v>
      </c>
      <c r="M378" s="7" t="str">
        <f>IFERROR(__xludf.DUMMYFUNCTION("GOOGLETRANSLATE(B378,""en"",""iw"")"),"הקש כדי להוסיף תמונה לפרוק")</f>
        <v>הקש כדי להוסיף תמונה לפרוק</v>
      </c>
      <c r="N378" s="6" t="str">
        <f>IFERROR(__xludf.DUMMYFUNCTION("GOOGLETRANSLATE(B378,""en"",""bn"")"),"আনলোড চিত্র যুক্ত করতে আলতো চাপুন")</f>
        <v>আনলোড চিত্র যুক্ত করতে আলতো চাপুন</v>
      </c>
      <c r="O378" s="29"/>
      <c r="P378" s="29"/>
    </row>
    <row r="379">
      <c r="A379" s="27" t="s">
        <v>749</v>
      </c>
      <c r="B379" s="28" t="s">
        <v>750</v>
      </c>
      <c r="C379" s="5" t="str">
        <f>IFERROR(__xludf.DUMMYFUNCTION("GOOGLETRANSLATE(B379,""en"",""hi"")"),"अनलोड छवि को संपादित करने के लिए टैप करें")</f>
        <v>अनलोड छवि को संपादित करने के लिए टैप करें</v>
      </c>
      <c r="D379" s="6" t="str">
        <f>IFERROR(__xludf.DUMMYFUNCTION("GOOGLETRANSLATE(B379,""en"",""ar"")"),"انقر لتحرير الصورة التفريغ")</f>
        <v>انقر لتحرير الصورة التفريغ</v>
      </c>
      <c r="E379" s="6" t="str">
        <f>IFERROR(__xludf.DUMMYFUNCTION("GOOGLETRANSLATE(B379,""en"",""fr"")"),"Appuyez pour modifier l'image de déchargement")</f>
        <v>Appuyez pour modifier l'image de déchargement</v>
      </c>
      <c r="F379" s="6" t="str">
        <f>IFERROR(__xludf.DUMMYFUNCTION("GOOGLETRANSLATE(B379,""en"",""tr"")"),"Boşaltmayı Düzenlemek İçin Dokunun Resmi Düzenle")</f>
        <v>Boşaltmayı Düzenlemek İçin Dokunun Resmi Düzenle</v>
      </c>
      <c r="G379" s="6" t="str">
        <f>IFERROR(__xludf.DUMMYFUNCTION("GOOGLETRANSLATE(B379,""en"",""ru"")"),"Нажмите, чтобы редактировать изображение Unload")</f>
        <v>Нажмите, чтобы редактировать изображение Unload</v>
      </c>
      <c r="H379" s="6" t="str">
        <f>IFERROR(__xludf.DUMMYFUNCTION("GOOGLETRANSLATE(B379,""en"",""it"")"),"Tocca per modificare l'immagine di scarico")</f>
        <v>Tocca per modificare l'immagine di scarico</v>
      </c>
      <c r="I379" s="6" t="str">
        <f>IFERROR(__xludf.DUMMYFUNCTION("GOOGLETRANSLATE(B379,""en"",""de"")"),"Tippen Sie auf, um das Entladen von Bild zu bearbeiten")</f>
        <v>Tippen Sie auf, um das Entladen von Bild zu bearbeiten</v>
      </c>
      <c r="J379" s="6" t="str">
        <f>IFERROR(__xludf.DUMMYFUNCTION("GOOGLETRANSLATE(B379,""en"",""ko"")"),"언로드 이미지를 편집하려면 탭합니다")</f>
        <v>언로드 이미지를 편집하려면 탭합니다</v>
      </c>
      <c r="K379" s="6" t="str">
        <f>IFERROR(__xludf.DUMMYFUNCTION("GOOGLETRANSLATE(B379,""en"",""zh"")"),"点击以编辑卸载图像")</f>
        <v>点击以编辑卸载图像</v>
      </c>
      <c r="L379" s="6" t="str">
        <f>IFERROR(__xludf.DUMMYFUNCTION("GOOGLETRANSLATE(B379,""en"",""es"")"),"Toque para editar la imagen de descarga")</f>
        <v>Toque para editar la imagen de descarga</v>
      </c>
      <c r="M379" s="7" t="str">
        <f>IFERROR(__xludf.DUMMYFUNCTION("GOOGLETRANSLATE(B379,""en"",""iw"")"),"הקש כדי לערוך תמונה לפרוק")</f>
        <v>הקש כדי לערוך תמונה לפרוק</v>
      </c>
      <c r="N379" s="6" t="str">
        <f>IFERROR(__xludf.DUMMYFUNCTION("GOOGLETRANSLATE(B379,""en"",""bn"")"),"আনলোড চিত্র সম্পাদনা করতে আলতো চাপুন")</f>
        <v>আনলোড চিত্র সম্পাদনা করতে আলতো চাপুন</v>
      </c>
      <c r="O379" s="29"/>
      <c r="P379" s="29"/>
    </row>
    <row r="380">
      <c r="A380" s="27" t="s">
        <v>751</v>
      </c>
      <c r="B380" s="28" t="s">
        <v>752</v>
      </c>
      <c r="C380" s="5" t="str">
        <f>IFERROR(__xludf.DUMMYFUNCTION("GOOGLETRANSLATE(B380,""en"",""hi"")"),"अनलोड प्रूफ अपलोड करें")</f>
        <v>अनलोड प्रूफ अपलोड करें</v>
      </c>
      <c r="D380" s="6" t="str">
        <f>IFERROR(__xludf.DUMMYFUNCTION("GOOGLETRANSLATE(B380,""en"",""ar"")"),"تحميل إثبات التفريغ")</f>
        <v>تحميل إثبات التفريغ</v>
      </c>
      <c r="E380" s="6" t="str">
        <f>IFERROR(__xludf.DUMMYFUNCTION("GOOGLETRANSLATE(B380,""en"",""fr"")"),"Télécharger la preuve de déchargement")</f>
        <v>Télécharger la preuve de déchargement</v>
      </c>
      <c r="F380" s="6" t="str">
        <f>IFERROR(__xludf.DUMMYFUNCTION("GOOGLETRANSLATE(B380,""en"",""tr"")"),"Boşaltma Kanıtı Yükle")</f>
        <v>Boşaltma Kanıtı Yükle</v>
      </c>
      <c r="G380" s="6" t="str">
        <f>IFERROR(__xludf.DUMMYFUNCTION("GOOGLETRANSLATE(B380,""en"",""ru"")"),"Загрузите Unload Pression")</f>
        <v>Загрузите Unload Pression</v>
      </c>
      <c r="H380" s="6" t="str">
        <f>IFERROR(__xludf.DUMMYFUNCTION("GOOGLETRANSLATE(B380,""en"",""it"")"),"Carica la prova di scarico")</f>
        <v>Carica la prova di scarico</v>
      </c>
      <c r="I380" s="6" t="str">
        <f>IFERROR(__xludf.DUMMYFUNCTION("GOOGLETRANSLATE(B380,""en"",""de"")"),"Entladen von Beweis hochladen")</f>
        <v>Entladen von Beweis hochladen</v>
      </c>
      <c r="J380" s="6" t="str">
        <f>IFERROR(__xludf.DUMMYFUNCTION("GOOGLETRANSLATE(B380,""en"",""ko"")"),"언로드 증거를 업로드하십시오")</f>
        <v>언로드 증거를 업로드하십시오</v>
      </c>
      <c r="K380" s="6" t="str">
        <f>IFERROR(__xludf.DUMMYFUNCTION("GOOGLETRANSLATE(B380,""en"",""zh"")"),"上传卸载证明")</f>
        <v>上传卸载证明</v>
      </c>
      <c r="L380" s="6" t="str">
        <f>IFERROR(__xludf.DUMMYFUNCTION("GOOGLETRANSLATE(B380,""en"",""es"")"),"Subir prueba de descarga")</f>
        <v>Subir prueba de descarga</v>
      </c>
      <c r="M380" s="7" t="str">
        <f>IFERROR(__xludf.DUMMYFUNCTION("GOOGLETRANSLATE(B380,""en"",""iw"")"),"העלה הוכחה לפרוק")</f>
        <v>העלה הוכחה לפרוק</v>
      </c>
      <c r="N380" s="6" t="str">
        <f>IFERROR(__xludf.DUMMYFUNCTION("GOOGLETRANSLATE(B380,""en"",""bn"")"),"আনলোড প্রুফ আপলোড করুন")</f>
        <v>আনলোড প্রুফ আপলোড করুন</v>
      </c>
      <c r="O380" s="29"/>
      <c r="P380" s="29"/>
    </row>
    <row r="381">
      <c r="A381" s="27" t="s">
        <v>753</v>
      </c>
      <c r="B381" s="28" t="s">
        <v>754</v>
      </c>
      <c r="C381" s="5" t="str">
        <f>IFERROR(__xludf.DUMMYFUNCTION("GOOGLETRANSLATE(B381,""en"",""hi"")"),"शिपमेंट प्रूफ अपलोड करें")</f>
        <v>शिपमेंट प्रूफ अपलोड करें</v>
      </c>
      <c r="D381" s="6" t="str">
        <f>IFERROR(__xludf.DUMMYFUNCTION("GOOGLETRANSLATE(B381,""en"",""ar"")"),"تحميل إثبات الشحن")</f>
        <v>تحميل إثبات الشحن</v>
      </c>
      <c r="E381" s="6" t="str">
        <f>IFERROR(__xludf.DUMMYFUNCTION("GOOGLETRANSLATE(B381,""en"",""fr"")"),"Télécharger la preuve des expéditions")</f>
        <v>Télécharger la preuve des expéditions</v>
      </c>
      <c r="F381" s="6" t="str">
        <f>IFERROR(__xludf.DUMMYFUNCTION("GOOGLETRANSLATE(B381,""en"",""tr"")"),"Gönderi Kanıtı Yükle")</f>
        <v>Gönderi Kanıtı Yükle</v>
      </c>
      <c r="G381" s="6" t="str">
        <f>IFERROR(__xludf.DUMMYFUNCTION("GOOGLETRANSLATE(B381,""en"",""ru"")"),"Загрузите доказательство отгрузки")</f>
        <v>Загрузите доказательство отгрузки</v>
      </c>
      <c r="H381" s="6" t="str">
        <f>IFERROR(__xludf.DUMMYFUNCTION("GOOGLETRANSLATE(B381,""en"",""it"")"),"Carica la prova di spedizione")</f>
        <v>Carica la prova di spedizione</v>
      </c>
      <c r="I381" s="6" t="str">
        <f>IFERROR(__xludf.DUMMYFUNCTION("GOOGLETRANSLATE(B381,""en"",""de"")"),"Versandnachweis hochladen")</f>
        <v>Versandnachweis hochladen</v>
      </c>
      <c r="J381" s="6" t="str">
        <f>IFERROR(__xludf.DUMMYFUNCTION("GOOGLETRANSLATE(B381,""en"",""ko"")"),"배송 증명을 업로드하십시오")</f>
        <v>배송 증명을 업로드하십시오</v>
      </c>
      <c r="K381" s="6" t="str">
        <f>IFERROR(__xludf.DUMMYFUNCTION("GOOGLETRANSLATE(B381,""en"",""zh"")"),"上传货运证明")</f>
        <v>上传货运证明</v>
      </c>
      <c r="L381" s="6" t="str">
        <f>IFERROR(__xludf.DUMMYFUNCTION("GOOGLETRANSLATE(B381,""en"",""es"")"),"Cargar prueba de envío")</f>
        <v>Cargar prueba de envío</v>
      </c>
      <c r="M381" s="7" t="str">
        <f>IFERROR(__xludf.DUMMYFUNCTION("GOOGLETRANSLATE(B381,""en"",""iw"")"),"העלה הוכחת משלוח")</f>
        <v>העלה הוכחת משלוח</v>
      </c>
      <c r="N381" s="6" t="str">
        <f>IFERROR(__xludf.DUMMYFUNCTION("GOOGLETRANSLATE(B381,""en"",""bn"")"),"চালানের প্রমাণ আপলোড করুন")</f>
        <v>চালানের প্রমাণ আপলোড করুন</v>
      </c>
      <c r="O381" s="29"/>
      <c r="P381" s="29"/>
    </row>
    <row r="382">
      <c r="A382" s="32" t="s">
        <v>755</v>
      </c>
      <c r="B382" s="33" t="s">
        <v>756</v>
      </c>
      <c r="C382" s="5" t="str">
        <f>IFERROR(__xludf.DUMMYFUNCTION("GOOGLETRANSLATE(B382,""en"",""hi"")"),"स्वामी")</f>
        <v>स्वामी</v>
      </c>
      <c r="D382" s="6" t="str">
        <f>IFERROR(__xludf.DUMMYFUNCTION("GOOGLETRANSLATE(B382,""en"",""ar"")"),"صاحب")</f>
        <v>صاحب</v>
      </c>
      <c r="E382" s="6" t="str">
        <f>IFERROR(__xludf.DUMMYFUNCTION("GOOGLETRANSLATE(B382,""en"",""fr"")"),"Propriétaire")</f>
        <v>Propriétaire</v>
      </c>
      <c r="F382" s="6" t="str">
        <f>IFERROR(__xludf.DUMMYFUNCTION("GOOGLETRANSLATE(B382,""en"",""tr"")"),"Sahip")</f>
        <v>Sahip</v>
      </c>
      <c r="G382" s="6" t="str">
        <f>IFERROR(__xludf.DUMMYFUNCTION("GOOGLETRANSLATE(B382,""en"",""ru"")"),"Владелец")</f>
        <v>Владелец</v>
      </c>
      <c r="H382" s="6" t="str">
        <f>IFERROR(__xludf.DUMMYFUNCTION("GOOGLETRANSLATE(B382,""en"",""it"")"),"Proprietario")</f>
        <v>Proprietario</v>
      </c>
      <c r="I382" s="6" t="str">
        <f>IFERROR(__xludf.DUMMYFUNCTION("GOOGLETRANSLATE(B382,""en"",""de"")"),"Eigentümer")</f>
        <v>Eigentümer</v>
      </c>
      <c r="J382" s="6" t="str">
        <f>IFERROR(__xludf.DUMMYFUNCTION("GOOGLETRANSLATE(B382,""en"",""ko"")"),"소유자")</f>
        <v>소유자</v>
      </c>
      <c r="K382" s="6" t="str">
        <f>IFERROR(__xludf.DUMMYFUNCTION("GOOGLETRANSLATE(B382,""en"",""zh"")"),"所有者")</f>
        <v>所有者</v>
      </c>
      <c r="L382" s="6" t="str">
        <f>IFERROR(__xludf.DUMMYFUNCTION("GOOGLETRANSLATE(B382,""en"",""es"")"),"Dueño")</f>
        <v>Dueño</v>
      </c>
      <c r="M382" s="7" t="str">
        <f>IFERROR(__xludf.DUMMYFUNCTION("GOOGLETRANSLATE(B382,""en"",""iw"")"),"בעלים")</f>
        <v>בעלים</v>
      </c>
      <c r="N382" s="6" t="str">
        <f>IFERROR(__xludf.DUMMYFUNCTION("GOOGLETRANSLATE(B382,""en"",""bn"")"),"মালিক")</f>
        <v>মালিক</v>
      </c>
      <c r="O382" s="29"/>
      <c r="P382" s="29"/>
    </row>
    <row r="383">
      <c r="A383" s="8" t="s">
        <v>757</v>
      </c>
      <c r="B383" s="33" t="s">
        <v>758</v>
      </c>
      <c r="C383" s="5" t="str">
        <f>IFERROR(__xludf.DUMMYFUNCTION("GOOGLETRANSLATE(B383,""en"",""hi"")"),"यातायात")</f>
        <v>यातायात</v>
      </c>
      <c r="D383" s="6" t="str">
        <f>IFERROR(__xludf.DUMMYFUNCTION("GOOGLETRANSLATE(B383,""en"",""ar"")"),"المواصلات")</f>
        <v>المواصلات</v>
      </c>
      <c r="E383" s="6" t="str">
        <f>IFERROR(__xludf.DUMMYFUNCTION("GOOGLETRANSLATE(B383,""en"",""fr"")"),"Le transport")</f>
        <v>Le transport</v>
      </c>
      <c r="F383" s="6" t="str">
        <f>IFERROR(__xludf.DUMMYFUNCTION("GOOGLETRANSLATE(B383,""en"",""tr"")"),"Ulaşım")</f>
        <v>Ulaşım</v>
      </c>
      <c r="G383" s="6" t="str">
        <f>IFERROR(__xludf.DUMMYFUNCTION("GOOGLETRANSLATE(B383,""en"",""ru"")"),"Транспорт")</f>
        <v>Транспорт</v>
      </c>
      <c r="H383" s="6" t="str">
        <f>IFERROR(__xludf.DUMMYFUNCTION("GOOGLETRANSLATE(B383,""en"",""it"")"),"Trasporto")</f>
        <v>Trasporto</v>
      </c>
      <c r="I383" s="6" t="str">
        <f>IFERROR(__xludf.DUMMYFUNCTION("GOOGLETRANSLATE(B383,""en"",""de"")"),"Transport")</f>
        <v>Transport</v>
      </c>
      <c r="J383" s="6" t="str">
        <f>IFERROR(__xludf.DUMMYFUNCTION("GOOGLETRANSLATE(B383,""en"",""ko"")"),"수송")</f>
        <v>수송</v>
      </c>
      <c r="K383" s="6" t="str">
        <f>IFERROR(__xludf.DUMMYFUNCTION("GOOGLETRANSLATE(B383,""en"",""zh"")"),"运输")</f>
        <v>运输</v>
      </c>
      <c r="L383" s="6" t="str">
        <f>IFERROR(__xludf.DUMMYFUNCTION("GOOGLETRANSLATE(B383,""en"",""es"")"),"Transporte")</f>
        <v>Transporte</v>
      </c>
      <c r="M383" s="7" t="str">
        <f>IFERROR(__xludf.DUMMYFUNCTION("GOOGLETRANSLATE(B383,""en"",""iw"")"),"תַחְבּוּרָה")</f>
        <v>תַחְבּוּרָה</v>
      </c>
      <c r="N383" s="6" t="str">
        <f>IFERROR(__xludf.DUMMYFUNCTION("GOOGLETRANSLATE(B383,""en"",""bn"")"),"পরিবহন")</f>
        <v>পরিবহন</v>
      </c>
      <c r="O383" s="29"/>
      <c r="P383" s="29"/>
    </row>
    <row r="384">
      <c r="A384" s="34" t="s">
        <v>759</v>
      </c>
      <c r="B384" s="33" t="s">
        <v>760</v>
      </c>
      <c r="C384" s="5" t="str">
        <f>IFERROR(__xludf.DUMMYFUNCTION("GOOGLETRANSLATE(B384,""en"",""hi"")"),"वितरण")</f>
        <v>वितरण</v>
      </c>
      <c r="D384" s="6" t="str">
        <f>IFERROR(__xludf.DUMMYFUNCTION("GOOGLETRANSLATE(B384,""en"",""ar"")"),"توصيل")</f>
        <v>توصيل</v>
      </c>
      <c r="E384" s="6" t="str">
        <f>IFERROR(__xludf.DUMMYFUNCTION("GOOGLETRANSLATE(B384,""en"",""fr"")"),"Livraison")</f>
        <v>Livraison</v>
      </c>
      <c r="F384" s="6" t="str">
        <f>IFERROR(__xludf.DUMMYFUNCTION("GOOGLETRANSLATE(B384,""en"",""tr"")"),"Teslimat")</f>
        <v>Teslimat</v>
      </c>
      <c r="G384" s="6" t="str">
        <f>IFERROR(__xludf.DUMMYFUNCTION("GOOGLETRANSLATE(B384,""en"",""ru"")"),"Доставка")</f>
        <v>Доставка</v>
      </c>
      <c r="H384" s="6" t="str">
        <f>IFERROR(__xludf.DUMMYFUNCTION("GOOGLETRANSLATE(B384,""en"",""it"")"),"Consegna")</f>
        <v>Consegna</v>
      </c>
      <c r="I384" s="6" t="str">
        <f>IFERROR(__xludf.DUMMYFUNCTION("GOOGLETRANSLATE(B384,""en"",""de"")"),"Lieferung")</f>
        <v>Lieferung</v>
      </c>
      <c r="J384" s="6" t="str">
        <f>IFERROR(__xludf.DUMMYFUNCTION("GOOGLETRANSLATE(B384,""en"",""ko"")"),"배달")</f>
        <v>배달</v>
      </c>
      <c r="K384" s="6" t="str">
        <f>IFERROR(__xludf.DUMMYFUNCTION("GOOGLETRANSLATE(B384,""en"",""zh"")"),"送货")</f>
        <v>送货</v>
      </c>
      <c r="L384" s="6" t="str">
        <f>IFERROR(__xludf.DUMMYFUNCTION("GOOGLETRANSLATE(B384,""en"",""es"")"),"Entrega")</f>
        <v>Entrega</v>
      </c>
      <c r="M384" s="7" t="str">
        <f>IFERROR(__xludf.DUMMYFUNCTION("GOOGLETRANSLATE(B384,""en"",""iw"")"),"מְסִירָה")</f>
        <v>מְסִירָה</v>
      </c>
      <c r="N384" s="6" t="str">
        <f>IFERROR(__xludf.DUMMYFUNCTION("GOOGLETRANSLATE(B384,""en"",""bn"")"),"বিতরণ")</f>
        <v>বিতরণ</v>
      </c>
      <c r="O384" s="29"/>
      <c r="P384" s="29"/>
    </row>
    <row r="385">
      <c r="A385" s="35" t="s">
        <v>761</v>
      </c>
      <c r="B385" s="33" t="s">
        <v>762</v>
      </c>
      <c r="C385" s="5" t="str">
        <f>IFERROR(__xludf.DUMMYFUNCTION("GOOGLETRANSLATE(B385,""en"",""hi"")"),"भुगतान की प्रतीक्षा करना")</f>
        <v>भुगतान की प्रतीक्षा करना</v>
      </c>
      <c r="D385" s="6" t="str">
        <f>IFERROR(__xludf.DUMMYFUNCTION("GOOGLETRANSLATE(B385,""en"",""ar"")"),"في انتظار الدفع")</f>
        <v>في انتظار الدفع</v>
      </c>
      <c r="E385" s="6" t="str">
        <f>IFERROR(__xludf.DUMMYFUNCTION("GOOGLETRANSLATE(B385,""en"",""fr"")"),"En attente de paiement")</f>
        <v>En attente de paiement</v>
      </c>
      <c r="F385" s="6" t="str">
        <f>IFERROR(__xludf.DUMMYFUNCTION("GOOGLETRANSLATE(B385,""en"",""tr"")"),"Ödeme için bekleniyor")</f>
        <v>Ödeme için bekleniyor</v>
      </c>
      <c r="G385" s="6" t="str">
        <f>IFERROR(__xludf.DUMMYFUNCTION("GOOGLETRANSLATE(B385,""en"",""ru"")"),"Ожидается платеж")</f>
        <v>Ожидается платеж</v>
      </c>
      <c r="H385" s="6" t="str">
        <f>IFERROR(__xludf.DUMMYFUNCTION("GOOGLETRANSLATE(B385,""en"",""it"")"),"In attesa del pagamento")</f>
        <v>In attesa del pagamento</v>
      </c>
      <c r="I385" s="6" t="str">
        <f>IFERROR(__xludf.DUMMYFUNCTION("GOOGLETRANSLATE(B385,""en"",""de"")"),"Warten auf Zahlung")</f>
        <v>Warten auf Zahlung</v>
      </c>
      <c r="J385" s="6" t="str">
        <f>IFERROR(__xludf.DUMMYFUNCTION("GOOGLETRANSLATE(B385,""en"",""ko"")"),"지불을 기다리고 있습니다")</f>
        <v>지불을 기다리고 있습니다</v>
      </c>
      <c r="K385" s="6" t="str">
        <f>IFERROR(__xludf.DUMMYFUNCTION("GOOGLETRANSLATE(B385,""en"",""zh"")"),"等待付款")</f>
        <v>等待付款</v>
      </c>
      <c r="L385" s="6" t="str">
        <f>IFERROR(__xludf.DUMMYFUNCTION("GOOGLETRANSLATE(B385,""en"",""es"")"),"A la espera del pago")</f>
        <v>A la espera del pago</v>
      </c>
      <c r="M385" s="7" t="str">
        <f>IFERROR(__xludf.DUMMYFUNCTION("GOOGLETRANSLATE(B385,""en"",""iw"")"),"מחכה לתשלום")</f>
        <v>מחכה לתשלום</v>
      </c>
      <c r="N385" s="6" t="str">
        <f>IFERROR(__xludf.DUMMYFUNCTION("GOOGLETRANSLATE(B385,""en"",""bn"")"),"টাকা প্রদানের জন্য অপেক্ষা করছি")</f>
        <v>টাকা প্রদানের জন্য অপেক্ষা করছি</v>
      </c>
      <c r="O385" s="29"/>
      <c r="P385" s="29"/>
    </row>
    <row r="386">
      <c r="A386" s="35"/>
      <c r="B386" s="33"/>
      <c r="C386" s="5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</row>
    <row r="387">
      <c r="A387" s="35"/>
      <c r="B387" s="36"/>
      <c r="C387" s="5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</row>
    <row r="388">
      <c r="A388" s="35"/>
      <c r="B388" s="36"/>
      <c r="C388" s="5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</row>
    <row r="389">
      <c r="A389" s="35"/>
      <c r="B389" s="36"/>
      <c r="C389" s="5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</row>
    <row r="390">
      <c r="A390" s="37"/>
      <c r="B390" s="36"/>
      <c r="C390" s="5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</row>
    <row r="391">
      <c r="A391" s="35"/>
      <c r="B391" s="36"/>
      <c r="C391" s="5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</row>
    <row r="392">
      <c r="A392" s="35"/>
      <c r="B392" s="36"/>
      <c r="C392" s="5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</row>
    <row r="393">
      <c r="A393" s="35"/>
      <c r="B393" s="36"/>
      <c r="C393" s="5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</row>
    <row r="394">
      <c r="A394" s="35"/>
      <c r="B394" s="36"/>
      <c r="C394" s="5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</row>
    <row r="395">
      <c r="A395" s="35"/>
      <c r="B395" s="36"/>
      <c r="C395" s="5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</row>
    <row r="396">
      <c r="A396" s="35"/>
      <c r="B396" s="36"/>
      <c r="C396" s="5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</row>
    <row r="397">
      <c r="A397" s="35"/>
      <c r="B397" s="36"/>
      <c r="C397" s="5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</row>
    <row r="398">
      <c r="A398" s="35"/>
      <c r="B398" s="36"/>
      <c r="C398" s="5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</row>
    <row r="399">
      <c r="A399" s="35"/>
      <c r="B399" s="36"/>
      <c r="C399" s="5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</row>
    <row r="400">
      <c r="A400" s="35"/>
      <c r="B400" s="36"/>
      <c r="C400" s="5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</row>
    <row r="401">
      <c r="A401" s="35"/>
      <c r="B401" s="36"/>
      <c r="C401" s="5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</row>
    <row r="402">
      <c r="A402" s="35"/>
      <c r="B402" s="36"/>
      <c r="C402" s="5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</row>
    <row r="403">
      <c r="A403" s="35"/>
      <c r="B403" s="36"/>
      <c r="C403" s="5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</row>
    <row r="404">
      <c r="A404" s="38"/>
      <c r="B404" s="39"/>
      <c r="C404" s="5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</row>
    <row r="405">
      <c r="A405" s="38"/>
      <c r="B405" s="39"/>
      <c r="C405" s="5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</row>
    <row r="406">
      <c r="A406" s="38"/>
      <c r="B406" s="25"/>
      <c r="C406" s="5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</row>
    <row r="407">
      <c r="A407" s="38"/>
      <c r="B407" s="39"/>
      <c r="C407" s="5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</row>
    <row r="408">
      <c r="A408" s="38"/>
      <c r="B408" s="39"/>
      <c r="C408" s="5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</row>
    <row r="409">
      <c r="A409" s="38"/>
      <c r="B409" s="39"/>
      <c r="C409" s="5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</row>
    <row r="410">
      <c r="A410" s="38"/>
      <c r="B410" s="39"/>
      <c r="C410" s="5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</row>
    <row r="411">
      <c r="A411" s="38"/>
      <c r="B411" s="39"/>
      <c r="C411" s="5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</row>
    <row r="412">
      <c r="A412" s="38"/>
      <c r="B412" s="39"/>
      <c r="C412" s="5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</row>
    <row r="413">
      <c r="A413" s="38"/>
      <c r="B413" s="39"/>
      <c r="C413" s="5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</row>
    <row r="414">
      <c r="A414" s="38"/>
      <c r="B414" s="39"/>
      <c r="C414" s="5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</row>
    <row r="415">
      <c r="A415" s="38"/>
      <c r="B415" s="40"/>
      <c r="C415" s="5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</row>
    <row r="416">
      <c r="A416" s="38"/>
      <c r="B416" s="40"/>
      <c r="C416" s="5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</row>
    <row r="417">
      <c r="A417" s="38"/>
      <c r="B417" s="41"/>
      <c r="C417" s="5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</row>
    <row r="418">
      <c r="A418" s="38"/>
      <c r="B418" s="40"/>
      <c r="C418" s="5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</row>
    <row r="419">
      <c r="A419" s="38"/>
      <c r="B419" s="40"/>
      <c r="C419" s="5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</row>
    <row r="420">
      <c r="A420" s="42"/>
      <c r="B420" s="43"/>
      <c r="C420" s="5"/>
      <c r="D420" s="44"/>
      <c r="E420" s="44"/>
      <c r="F420" s="44"/>
      <c r="G420" s="44"/>
      <c r="H420" s="44"/>
      <c r="I420" s="29"/>
      <c r="J420" s="29"/>
      <c r="K420" s="29"/>
      <c r="L420" s="29"/>
      <c r="M420" s="29"/>
      <c r="N420" s="29"/>
      <c r="O420" s="29"/>
      <c r="P420" s="29"/>
    </row>
    <row r="421">
      <c r="A421" s="42"/>
      <c r="B421" s="43"/>
      <c r="C421" s="5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</row>
    <row r="422">
      <c r="A422" s="45"/>
      <c r="B422" s="46"/>
      <c r="C422" s="5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</row>
    <row r="423">
      <c r="A423" s="42"/>
      <c r="B423" s="43"/>
      <c r="C423" s="5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</row>
    <row r="424">
      <c r="A424" s="47"/>
      <c r="B424" s="30"/>
      <c r="C424" s="5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</row>
    <row r="425">
      <c r="A425" s="42"/>
      <c r="B425" s="30"/>
      <c r="C425" s="5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</row>
    <row r="426">
      <c r="A426" s="42"/>
      <c r="B426" s="28"/>
      <c r="C426" s="5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</row>
    <row r="427">
      <c r="A427" s="42"/>
      <c r="B427" s="28"/>
      <c r="C427" s="5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</row>
    <row r="428">
      <c r="A428" s="42"/>
      <c r="B428" s="28"/>
      <c r="C428" s="5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</row>
    <row r="429">
      <c r="A429" s="42"/>
      <c r="B429" s="48"/>
      <c r="C429" s="5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</row>
    <row r="430">
      <c r="A430" s="42"/>
      <c r="B430" s="28"/>
      <c r="C430" s="5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</row>
    <row r="431">
      <c r="A431" s="42"/>
      <c r="B431" s="48"/>
      <c r="C431" s="5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</row>
    <row r="432">
      <c r="A432" s="42"/>
      <c r="B432" s="28"/>
      <c r="C432" s="5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</row>
    <row r="433">
      <c r="A433" s="42"/>
      <c r="B433" s="28"/>
      <c r="C433" s="5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</row>
    <row r="434">
      <c r="A434" s="42"/>
      <c r="B434" s="28"/>
      <c r="C434" s="5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</row>
    <row r="435">
      <c r="A435" s="42"/>
      <c r="B435" s="28"/>
      <c r="C435" s="5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</row>
    <row r="436">
      <c r="A436" s="42"/>
      <c r="B436" s="28"/>
      <c r="C436" s="5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</row>
    <row r="437">
      <c r="A437" s="42"/>
      <c r="B437" s="28"/>
      <c r="C437" s="5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</row>
    <row r="438">
      <c r="A438" s="49"/>
      <c r="B438" s="50"/>
      <c r="C438" s="5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</row>
    <row r="439">
      <c r="A439" s="49"/>
      <c r="B439" s="50"/>
      <c r="C439" s="5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</row>
    <row r="440">
      <c r="A440" s="49"/>
      <c r="B440" s="51"/>
      <c r="C440" s="5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</row>
    <row r="441">
      <c r="A441" s="52"/>
      <c r="B441" s="53"/>
      <c r="C441" s="5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</row>
    <row r="442">
      <c r="A442" s="52"/>
      <c r="B442" s="53"/>
      <c r="C442" s="5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</row>
    <row r="443">
      <c r="A443" s="54"/>
      <c r="B443" s="53"/>
      <c r="C443" s="5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</row>
    <row r="444">
      <c r="A444" s="54"/>
      <c r="B444" s="53"/>
      <c r="C444" s="5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</row>
    <row r="445">
      <c r="A445" s="55"/>
      <c r="B445" s="53"/>
      <c r="C445" s="5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</row>
    <row r="446">
      <c r="A446" s="55"/>
      <c r="B446" s="53"/>
      <c r="C446" s="5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</row>
    <row r="447">
      <c r="A447" s="55"/>
      <c r="B447" s="53"/>
      <c r="C447" s="5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</row>
    <row r="448">
      <c r="A448" s="55"/>
      <c r="B448" s="53"/>
      <c r="C448" s="5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</row>
    <row r="449">
      <c r="A449" s="55"/>
      <c r="B449" s="53"/>
      <c r="C449" s="5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</row>
    <row r="450">
      <c r="A450" s="55"/>
      <c r="B450" s="53"/>
      <c r="C450" s="5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</row>
    <row r="451">
      <c r="A451" s="55"/>
      <c r="B451" s="53"/>
      <c r="C451" s="5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</row>
    <row r="452">
      <c r="A452" s="55"/>
      <c r="B452" s="53"/>
      <c r="C452" s="5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</row>
    <row r="453">
      <c r="A453" s="56"/>
      <c r="B453" s="40"/>
      <c r="C453" s="5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</row>
    <row r="454">
      <c r="A454" s="56"/>
      <c r="B454" s="40"/>
      <c r="C454" s="5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</row>
    <row r="455">
      <c r="A455" s="56"/>
      <c r="B455" s="57"/>
      <c r="C455" s="5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</row>
    <row r="456">
      <c r="A456" s="56"/>
      <c r="B456" s="40"/>
      <c r="C456" s="5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</row>
    <row r="457">
      <c r="A457" s="56"/>
      <c r="B457" s="40"/>
      <c r="C457" s="5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</row>
    <row r="458">
      <c r="A458" s="56"/>
      <c r="B458" s="40"/>
      <c r="C458" s="5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</row>
    <row r="459">
      <c r="A459" s="58"/>
      <c r="B459" s="40"/>
      <c r="C459" s="5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</row>
    <row r="460">
      <c r="A460" s="56"/>
      <c r="B460" s="40"/>
      <c r="C460" s="5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</row>
    <row r="461">
      <c r="A461" s="56"/>
      <c r="B461" s="59"/>
      <c r="C461" s="5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</row>
    <row r="462">
      <c r="A462" s="56"/>
      <c r="B462" s="60"/>
      <c r="C462" s="5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</row>
    <row r="463">
      <c r="A463" s="56"/>
      <c r="B463" s="60"/>
      <c r="C463" s="5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</row>
    <row r="464">
      <c r="A464" s="56"/>
      <c r="B464" s="60"/>
      <c r="C464" s="5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</row>
    <row r="465">
      <c r="A465" s="56"/>
      <c r="B465" s="60"/>
      <c r="C465" s="5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</row>
    <row r="466">
      <c r="A466" s="56"/>
      <c r="B466" s="60"/>
      <c r="C466" s="5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</row>
    <row r="467">
      <c r="A467" s="56"/>
      <c r="B467" s="60"/>
      <c r="C467" s="5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</row>
    <row r="468">
      <c r="A468" s="56"/>
      <c r="B468" s="60"/>
      <c r="C468" s="5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</row>
    <row r="469">
      <c r="A469" s="56"/>
      <c r="B469" s="60"/>
      <c r="C469" s="5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</row>
    <row r="470">
      <c r="A470" s="56"/>
      <c r="B470" s="60"/>
      <c r="C470" s="5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</row>
    <row r="471">
      <c r="A471" s="61"/>
      <c r="B471" s="25"/>
      <c r="C471" s="5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</row>
    <row r="472">
      <c r="A472" s="61"/>
      <c r="B472" s="25"/>
      <c r="C472" s="5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</row>
    <row r="473">
      <c r="A473" s="61"/>
      <c r="B473" s="32"/>
      <c r="C473" s="5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</row>
    <row r="474">
      <c r="A474" s="62"/>
      <c r="B474" s="32"/>
      <c r="C474" s="5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</row>
    <row r="475">
      <c r="A475" s="63"/>
      <c r="B475" s="64"/>
      <c r="C475" s="5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</row>
    <row r="476">
      <c r="A476" s="65"/>
      <c r="B476" s="66"/>
      <c r="C476" s="5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</row>
    <row r="477">
      <c r="A477" s="63"/>
      <c r="B477" s="67"/>
      <c r="C477" s="5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</row>
    <row r="478">
      <c r="A478" s="68"/>
      <c r="B478" s="69"/>
      <c r="C478" s="5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</row>
    <row r="479">
      <c r="A479" s="70"/>
      <c r="B479" s="64"/>
      <c r="C479" s="5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</row>
    <row r="480">
      <c r="A480" s="70"/>
      <c r="B480" s="67"/>
      <c r="C480" s="5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</row>
    <row r="481">
      <c r="A481" s="61"/>
      <c r="B481" s="71"/>
      <c r="C481" s="5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</row>
    <row r="482">
      <c r="A482" s="70"/>
      <c r="B482" s="67"/>
      <c r="C482" s="5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</row>
    <row r="483">
      <c r="A483" s="72"/>
      <c r="B483" s="69"/>
      <c r="C483" s="5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</row>
    <row r="484">
      <c r="A484" s="72"/>
      <c r="B484" s="69"/>
      <c r="C484" s="5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</row>
    <row r="485">
      <c r="A485" s="61"/>
      <c r="B485" s="71"/>
      <c r="C485" s="5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</row>
    <row r="486">
      <c r="A486" s="73"/>
      <c r="B486" s="69"/>
      <c r="C486" s="5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</row>
    <row r="487">
      <c r="A487" s="73"/>
      <c r="B487" s="69"/>
      <c r="C487" s="5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</row>
    <row r="488">
      <c r="A488" s="73"/>
      <c r="B488" s="69"/>
      <c r="C488" s="5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</row>
    <row r="489">
      <c r="A489" s="73"/>
      <c r="B489" s="69"/>
      <c r="C489" s="5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</row>
    <row r="490">
      <c r="A490" s="73"/>
      <c r="B490" s="69"/>
      <c r="C490" s="5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</row>
    <row r="491">
      <c r="A491" s="74"/>
      <c r="B491" s="25"/>
      <c r="C491" s="5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</row>
    <row r="492">
      <c r="A492" s="75"/>
      <c r="B492" s="76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</row>
    <row r="493">
      <c r="A493" s="75"/>
      <c r="B493" s="76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</row>
    <row r="494">
      <c r="A494" s="77"/>
      <c r="B494" s="76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</row>
    <row r="495">
      <c r="A495" s="78"/>
      <c r="B495" s="76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</row>
    <row r="496">
      <c r="A496" s="79"/>
      <c r="B496" s="76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</row>
    <row r="497">
      <c r="A497" s="78"/>
      <c r="B497" s="76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</row>
    <row r="498">
      <c r="A498" s="79"/>
      <c r="B498" s="76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</row>
    <row r="499">
      <c r="A499" s="78"/>
      <c r="B499" s="76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</row>
    <row r="500">
      <c r="A500" s="79"/>
      <c r="B500" s="76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</row>
    <row r="501">
      <c r="A501" s="81"/>
      <c r="B501" s="82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</row>
    <row r="502">
      <c r="A502" s="83"/>
      <c r="B502" s="82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</row>
    <row r="503">
      <c r="A503" s="84"/>
      <c r="B503" s="82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</row>
    <row r="504">
      <c r="A504" s="83"/>
      <c r="B504" s="82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</row>
    <row r="505">
      <c r="A505" s="84"/>
      <c r="B505" s="82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</row>
    <row r="506">
      <c r="A506" s="83"/>
      <c r="B506" s="82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</row>
    <row r="507">
      <c r="A507" s="84"/>
      <c r="B507" s="82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</row>
    <row r="508">
      <c r="A508" s="83"/>
      <c r="B508" s="82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</row>
    <row r="509">
      <c r="A509" s="84"/>
      <c r="B509" s="85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</row>
    <row r="510">
      <c r="A510" s="83"/>
      <c r="B510" s="85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</row>
    <row r="511">
      <c r="A511" s="84"/>
      <c r="B511" s="85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</row>
    <row r="512">
      <c r="A512" s="83"/>
      <c r="B512" s="82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</row>
    <row r="513">
      <c r="A513" s="84"/>
      <c r="B513" s="82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</row>
    <row r="514">
      <c r="A514" s="83"/>
      <c r="B514" s="82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</row>
    <row r="515">
      <c r="A515" s="84"/>
      <c r="B515" s="82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</row>
    <row r="516">
      <c r="A516" s="83"/>
      <c r="B516" s="82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</row>
    <row r="517">
      <c r="A517" s="84"/>
      <c r="B517" s="82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</row>
    <row r="518">
      <c r="A518" s="83"/>
      <c r="B518" s="82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</row>
    <row r="519">
      <c r="A519" s="84"/>
      <c r="B519" s="82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</row>
    <row r="520">
      <c r="A520" s="83"/>
      <c r="B520" s="82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</row>
    <row r="521">
      <c r="A521" s="84"/>
      <c r="B521" s="82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</row>
    <row r="522">
      <c r="A522" s="83"/>
      <c r="B522" s="82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</row>
    <row r="523">
      <c r="A523" s="84"/>
      <c r="B523" s="82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</row>
    <row r="524">
      <c r="A524" s="83"/>
      <c r="B524" s="82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</row>
    <row r="525">
      <c r="A525" s="84"/>
      <c r="B525" s="82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</row>
    <row r="526">
      <c r="A526" s="83"/>
      <c r="B526" s="86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</row>
    <row r="527">
      <c r="A527" s="84"/>
      <c r="B527" s="86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</row>
    <row r="528">
      <c r="A528" s="83"/>
      <c r="B528" s="86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</row>
    <row r="529">
      <c r="A529" s="84"/>
      <c r="B529" s="86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</row>
    <row r="530">
      <c r="A530" s="83"/>
      <c r="B530" s="86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</row>
    <row r="531">
      <c r="A531" s="84"/>
      <c r="B531" s="86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</row>
    <row r="532">
      <c r="A532" s="83"/>
      <c r="B532" s="86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</row>
    <row r="533">
      <c r="A533" s="87"/>
      <c r="B533" s="86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</row>
    <row r="534">
      <c r="A534" s="81"/>
      <c r="B534" s="86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</row>
    <row r="535">
      <c r="A535" s="84"/>
      <c r="B535" s="86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</row>
    <row r="536">
      <c r="A536" s="83"/>
      <c r="B536" s="86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</row>
    <row r="537">
      <c r="A537" s="84"/>
      <c r="B537" s="86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</row>
    <row r="538">
      <c r="A538" s="83"/>
      <c r="B538" s="88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</row>
    <row r="539">
      <c r="A539" s="84"/>
      <c r="B539" s="88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</row>
    <row r="540">
      <c r="A540" s="83"/>
      <c r="B540" s="88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</row>
    <row r="541">
      <c r="A541" s="84"/>
      <c r="B541" s="88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</row>
    <row r="542">
      <c r="A542" s="83"/>
      <c r="B542" s="88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</row>
    <row r="543">
      <c r="A543" s="84"/>
      <c r="B543" s="88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</row>
    <row r="544">
      <c r="A544" s="83"/>
      <c r="B544" s="88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</row>
    <row r="545">
      <c r="A545" s="89"/>
      <c r="B545" s="88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</row>
    <row r="546">
      <c r="A546" s="90"/>
      <c r="B546" s="88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</row>
    <row r="547">
      <c r="A547" s="91"/>
      <c r="B547" s="82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</row>
    <row r="548">
      <c r="A548" s="92"/>
      <c r="B548" s="82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</row>
    <row r="549">
      <c r="A549" s="93"/>
      <c r="B549" s="82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</row>
    <row r="550">
      <c r="A550" s="92"/>
      <c r="B550" s="82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</row>
    <row r="551">
      <c r="A551" s="93"/>
      <c r="B551" s="82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</row>
    <row r="552">
      <c r="A552" s="92"/>
      <c r="B552" s="82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</row>
    <row r="553">
      <c r="A553" s="93"/>
      <c r="B553" s="82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</row>
    <row r="554">
      <c r="A554" s="92"/>
      <c r="B554" s="82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</row>
    <row r="555">
      <c r="A555" s="93"/>
      <c r="B555" s="82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</row>
    <row r="556">
      <c r="A556" s="94"/>
      <c r="B556" s="82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</row>
    <row r="557">
      <c r="A557" s="93"/>
      <c r="B557" s="82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</row>
    <row r="558">
      <c r="A558" s="92"/>
      <c r="B558" s="82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</row>
    <row r="559">
      <c r="A559" s="95"/>
      <c r="B559" s="82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</row>
    <row r="560">
      <c r="A560" s="92"/>
      <c r="B560" s="82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</row>
    <row r="561">
      <c r="A561" s="92"/>
      <c r="B561" s="82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</row>
    <row r="562">
      <c r="A562" s="96"/>
      <c r="B562" s="82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</row>
    <row r="563">
      <c r="A563" s="87"/>
      <c r="B563" s="82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</row>
    <row r="564">
      <c r="A564" s="10"/>
      <c r="B564" s="82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</row>
    <row r="565">
      <c r="A565" s="10"/>
      <c r="B565" s="82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</row>
    <row r="566">
      <c r="A566" s="97"/>
      <c r="B566" s="82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</row>
    <row r="567">
      <c r="A567" s="97"/>
      <c r="B567" s="82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</row>
    <row r="568">
      <c r="A568" s="97"/>
      <c r="B568" s="82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</row>
    <row r="569">
      <c r="A569" s="97"/>
      <c r="B569" s="82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</row>
    <row r="570">
      <c r="A570" s="98"/>
      <c r="B570" s="82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</row>
    <row r="571">
      <c r="A571" s="97"/>
      <c r="B571" s="82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</row>
    <row r="572">
      <c r="A572" s="97"/>
      <c r="B572" s="82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</row>
    <row r="573">
      <c r="A573" s="97"/>
      <c r="B573" s="82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</row>
    <row r="574">
      <c r="A574" s="97"/>
      <c r="B574" s="82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</row>
    <row r="575">
      <c r="A575" s="97"/>
      <c r="B575" s="82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</row>
    <row r="576">
      <c r="A576" s="97"/>
      <c r="B576" s="82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</row>
    <row r="577">
      <c r="A577" s="97"/>
      <c r="B577" s="82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</row>
    <row r="578">
      <c r="A578" s="97"/>
      <c r="B578" s="82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</row>
    <row r="579">
      <c r="A579" s="97"/>
      <c r="B579" s="82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</row>
    <row r="580">
      <c r="A580" s="97"/>
      <c r="B580" s="88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</row>
    <row r="581">
      <c r="A581" s="97"/>
      <c r="B581" s="82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</row>
    <row r="582">
      <c r="A582" s="97"/>
      <c r="B582" s="82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</row>
    <row r="583">
      <c r="A583" s="97"/>
      <c r="B583" s="82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</row>
    <row r="584">
      <c r="A584" s="97"/>
      <c r="B584" s="82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</row>
    <row r="585">
      <c r="A585" s="97"/>
      <c r="B585" s="82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</row>
    <row r="586">
      <c r="A586" s="97"/>
      <c r="B586" s="82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</row>
    <row r="587">
      <c r="A587" s="97"/>
      <c r="B587" s="82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</row>
    <row r="588">
      <c r="A588" s="97"/>
      <c r="B588" s="82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</row>
    <row r="589">
      <c r="A589" s="97"/>
      <c r="B589" s="82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</row>
    <row r="590">
      <c r="A590" s="97"/>
      <c r="B590" s="82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</row>
    <row r="591">
      <c r="A591" s="97"/>
      <c r="B591" s="82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</row>
    <row r="592">
      <c r="A592" s="97"/>
      <c r="B592" s="82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</row>
    <row r="593">
      <c r="A593" s="97"/>
      <c r="B593" s="82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</row>
    <row r="594">
      <c r="A594" s="97"/>
      <c r="B594" s="82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</row>
    <row r="595">
      <c r="A595" s="97"/>
      <c r="B595" s="82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</row>
    <row r="596">
      <c r="A596" s="97"/>
      <c r="B596" s="82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</row>
    <row r="597">
      <c r="A597" s="97"/>
      <c r="B597" s="82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</row>
    <row r="598">
      <c r="A598" s="97"/>
      <c r="B598" s="82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</row>
    <row r="599">
      <c r="A599" s="97"/>
      <c r="B599" s="82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</row>
    <row r="600">
      <c r="A600" s="97"/>
      <c r="B600" s="82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</row>
    <row r="601">
      <c r="A601" s="97"/>
      <c r="B601" s="82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</row>
    <row r="602">
      <c r="A602" s="97"/>
      <c r="B602" s="82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</row>
    <row r="603">
      <c r="A603" s="97"/>
      <c r="B603" s="82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</row>
    <row r="604">
      <c r="A604" s="97"/>
      <c r="B604" s="82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</row>
    <row r="605">
      <c r="A605" s="97"/>
      <c r="B605" s="82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</row>
    <row r="606">
      <c r="A606" s="97"/>
      <c r="B606" s="82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</row>
    <row r="607">
      <c r="A607" s="97"/>
      <c r="B607" s="9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</row>
    <row r="608">
      <c r="A608" s="97"/>
      <c r="B608" s="9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</row>
    <row r="609">
      <c r="A609" s="97"/>
      <c r="B609" s="9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</row>
    <row r="610">
      <c r="A610" s="97"/>
      <c r="B610" s="82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</row>
    <row r="611">
      <c r="A611" s="97"/>
      <c r="B611" s="82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</row>
    <row r="612">
      <c r="A612" s="97"/>
      <c r="B612" s="82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</row>
    <row r="613">
      <c r="A613" s="97"/>
      <c r="B613" s="82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</row>
    <row r="614">
      <c r="A614" s="97"/>
      <c r="B614" s="82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</row>
    <row r="615">
      <c r="A615" s="97"/>
      <c r="B615" s="82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</row>
    <row r="616">
      <c r="A616" s="97"/>
      <c r="B616" s="82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</row>
    <row r="617">
      <c r="A617" s="97"/>
      <c r="B617" s="82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</row>
    <row r="618">
      <c r="A618" s="97"/>
      <c r="B618" s="82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</row>
    <row r="619">
      <c r="A619" s="97"/>
      <c r="B619" s="82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</row>
    <row r="620">
      <c r="A620" s="97"/>
      <c r="B620" s="82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</row>
    <row r="621">
      <c r="A621" s="97"/>
      <c r="B621" s="82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</row>
    <row r="622">
      <c r="A622" s="97"/>
      <c r="B622" s="82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</row>
    <row r="623">
      <c r="A623" s="97"/>
      <c r="B623" s="82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</row>
    <row r="624">
      <c r="A624" s="97"/>
      <c r="B624" s="82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</row>
    <row r="625">
      <c r="A625" s="97"/>
      <c r="B625" s="82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</row>
    <row r="626">
      <c r="A626" s="97"/>
      <c r="B626" s="82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</row>
    <row r="627">
      <c r="A627" s="97"/>
      <c r="B627" s="82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</row>
    <row r="628">
      <c r="A628" s="97"/>
      <c r="B628" s="82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</row>
    <row r="629">
      <c r="A629" s="97"/>
      <c r="B629" s="82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</row>
    <row r="630">
      <c r="A630" s="97"/>
      <c r="B630" s="82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</row>
    <row r="631">
      <c r="A631" s="97"/>
      <c r="B631" s="82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</row>
    <row r="632">
      <c r="A632" s="97"/>
      <c r="B632" s="82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</row>
    <row r="633">
      <c r="A633" s="97"/>
      <c r="B633" s="82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</row>
    <row r="634">
      <c r="A634" s="97"/>
      <c r="B634" s="82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</row>
    <row r="635">
      <c r="A635" s="97"/>
      <c r="B635" s="100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</row>
    <row r="636">
      <c r="A636" s="97"/>
      <c r="B636" s="82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</row>
    <row r="637">
      <c r="A637" s="97"/>
      <c r="B637" s="82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</row>
    <row r="638">
      <c r="A638" s="97"/>
      <c r="B638" s="82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</row>
    <row r="639">
      <c r="A639" s="97"/>
      <c r="B639" s="82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</row>
    <row r="640">
      <c r="A640" s="97"/>
      <c r="B640" s="82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</row>
    <row r="641">
      <c r="A641" s="97"/>
      <c r="B641" s="82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</row>
    <row r="642">
      <c r="A642" s="97"/>
      <c r="B642" s="82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</row>
    <row r="643">
      <c r="A643" s="97"/>
      <c r="B643" s="82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</row>
    <row r="644">
      <c r="A644" s="97"/>
      <c r="B644" s="82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</row>
    <row r="645">
      <c r="A645" s="97"/>
      <c r="B645" s="82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</row>
    <row r="646">
      <c r="A646" s="97"/>
      <c r="B646" s="82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</row>
    <row r="647">
      <c r="A647" s="97"/>
      <c r="B647" s="82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</row>
    <row r="648">
      <c r="A648" s="97"/>
      <c r="B648" s="82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</row>
    <row r="649">
      <c r="A649" s="97"/>
      <c r="B649" s="82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</row>
    <row r="650">
      <c r="A650" s="97"/>
      <c r="B650" s="82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</row>
    <row r="651">
      <c r="A651" s="97"/>
      <c r="B651" s="82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</row>
    <row r="652">
      <c r="A652" s="97"/>
      <c r="B652" s="82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</row>
    <row r="653">
      <c r="A653" s="97"/>
      <c r="B653" s="82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</row>
    <row r="654">
      <c r="A654" s="97"/>
      <c r="B654" s="82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</row>
    <row r="655">
      <c r="A655" s="97"/>
      <c r="B655" s="82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</row>
    <row r="656">
      <c r="A656" s="97"/>
      <c r="B656" s="82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</row>
    <row r="657">
      <c r="A657" s="97"/>
      <c r="B657" s="82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</row>
    <row r="658">
      <c r="A658" s="97"/>
      <c r="B658" s="82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</row>
    <row r="659">
      <c r="A659" s="97"/>
      <c r="B659" s="82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</row>
    <row r="660">
      <c r="A660" s="97"/>
      <c r="B660" s="82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</row>
    <row r="661">
      <c r="A661" s="97"/>
      <c r="B661" s="82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</row>
    <row r="662">
      <c r="A662" s="97"/>
      <c r="B662" s="82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</row>
    <row r="663">
      <c r="A663" s="97"/>
      <c r="B663" s="82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</row>
    <row r="664">
      <c r="A664" s="97"/>
      <c r="B664" s="82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</row>
    <row r="665">
      <c r="A665" s="97"/>
      <c r="B665" s="82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</row>
    <row r="666">
      <c r="A666" s="97"/>
      <c r="B666" s="88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</row>
    <row r="667">
      <c r="A667" s="97"/>
      <c r="B667" s="88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</row>
    <row r="668">
      <c r="A668" s="97"/>
      <c r="B668" s="82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</row>
    <row r="669">
      <c r="A669" s="97"/>
      <c r="B669" s="82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</row>
    <row r="670">
      <c r="A670" s="97"/>
      <c r="B670" s="82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</row>
    <row r="671">
      <c r="A671" s="97"/>
      <c r="B671" s="82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</row>
    <row r="672">
      <c r="A672" s="97"/>
      <c r="B672" s="82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</row>
    <row r="673">
      <c r="A673" s="97"/>
      <c r="B673" s="82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</row>
    <row r="674">
      <c r="A674" s="97"/>
      <c r="B674" s="82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</row>
    <row r="675">
      <c r="A675" s="97"/>
      <c r="B675" s="82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</row>
    <row r="676">
      <c r="A676" s="97"/>
      <c r="B676" s="82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</row>
    <row r="677">
      <c r="A677" s="97"/>
      <c r="B677" s="82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</row>
    <row r="678">
      <c r="A678" s="97"/>
      <c r="B678" s="82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</row>
    <row r="679">
      <c r="A679" s="97"/>
      <c r="B679" s="82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</row>
    <row r="680">
      <c r="A680" s="97"/>
      <c r="B680" s="82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</row>
    <row r="681">
      <c r="A681" s="97"/>
      <c r="B681" s="82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</row>
    <row r="682">
      <c r="A682" s="97"/>
      <c r="B682" s="82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</row>
    <row r="683">
      <c r="A683" s="97"/>
      <c r="B683" s="82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</row>
    <row r="684">
      <c r="A684" s="97"/>
      <c r="B684" s="82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</row>
    <row r="685">
      <c r="A685" s="97"/>
      <c r="B685" s="82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</row>
    <row r="686">
      <c r="A686" s="97"/>
      <c r="B686" s="82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</row>
    <row r="687">
      <c r="A687" s="97"/>
      <c r="B687" s="82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</row>
    <row r="688">
      <c r="A688" s="97"/>
      <c r="B688" s="82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</row>
    <row r="689">
      <c r="A689" s="97"/>
      <c r="B689" s="82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</row>
    <row r="690">
      <c r="A690" s="101"/>
      <c r="B690" s="82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</row>
    <row r="691">
      <c r="A691" s="97"/>
      <c r="B691" s="82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</row>
    <row r="692">
      <c r="A692" s="97"/>
      <c r="B692" s="82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</row>
    <row r="693">
      <c r="A693" s="97"/>
      <c r="B693" s="82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</row>
    <row r="694">
      <c r="A694" s="97"/>
      <c r="B694" s="102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</row>
    <row r="695">
      <c r="A695" s="97"/>
      <c r="B695" s="102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</row>
    <row r="696">
      <c r="A696" s="97"/>
      <c r="B696" s="102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</row>
    <row r="697">
      <c r="A697" s="103"/>
      <c r="B697" s="82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</row>
    <row r="698">
      <c r="A698" s="97"/>
      <c r="B698" s="82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</row>
    <row r="699">
      <c r="A699" s="87"/>
      <c r="B699" s="82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</row>
    <row r="700">
      <c r="A700" s="97"/>
      <c r="B700" s="82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</row>
    <row r="701">
      <c r="A701" s="97"/>
      <c r="B701" s="82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</row>
    <row r="702">
      <c r="A702" s="97"/>
      <c r="B702" s="82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</row>
    <row r="703">
      <c r="A703" s="97"/>
      <c r="B703" s="82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</row>
    <row r="704">
      <c r="A704" s="104"/>
      <c r="B704" s="82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</row>
    <row r="705">
      <c r="A705" s="104"/>
      <c r="B705" s="76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</row>
    <row r="706">
      <c r="A706" s="104"/>
      <c r="B706" s="105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</row>
    <row r="707" ht="24.75" customHeight="1">
      <c r="A707" s="10"/>
      <c r="B707" s="76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</row>
    <row r="708">
      <c r="A708" s="97"/>
      <c r="B708" s="76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</row>
    <row r="709">
      <c r="A709" s="106"/>
      <c r="B709" s="107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</row>
    <row r="710">
      <c r="A710" s="10"/>
      <c r="B710" s="76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</row>
    <row r="711">
      <c r="A711" s="106"/>
      <c r="B711" s="107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</row>
    <row r="712">
      <c r="A712" s="106"/>
      <c r="B712" s="107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</row>
    <row r="713">
      <c r="A713" s="106"/>
      <c r="B713" s="107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</row>
    <row r="714">
      <c r="A714" s="106"/>
      <c r="B714" s="107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</row>
    <row r="715">
      <c r="A715" s="106"/>
      <c r="B715" s="107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</row>
    <row r="716">
      <c r="A716" s="106"/>
      <c r="B716" s="107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</row>
    <row r="717">
      <c r="A717" s="106"/>
      <c r="B717" s="107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</row>
    <row r="718">
      <c r="A718" s="106"/>
      <c r="B718" s="107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</row>
    <row r="719">
      <c r="A719" s="106"/>
      <c r="B719" s="107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</row>
    <row r="720">
      <c r="A720" s="106"/>
      <c r="B720" s="107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</row>
    <row r="721">
      <c r="A721" s="106"/>
      <c r="B721" s="107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</row>
    <row r="722">
      <c r="A722" s="106"/>
      <c r="B722" s="107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</row>
    <row r="723">
      <c r="A723" s="106"/>
      <c r="B723" s="107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</row>
    <row r="724">
      <c r="A724" s="106"/>
      <c r="B724" s="107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</row>
    <row r="725">
      <c r="A725" s="106"/>
      <c r="B725" s="107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</row>
    <row r="726">
      <c r="A726" s="106"/>
      <c r="B726" s="107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</row>
    <row r="727">
      <c r="A727" s="106"/>
      <c r="B727" s="107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</row>
    <row r="728">
      <c r="A728" s="106"/>
      <c r="B728" s="107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</row>
    <row r="729">
      <c r="A729" s="106"/>
      <c r="B729" s="107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</row>
    <row r="730">
      <c r="A730" s="106"/>
      <c r="B730" s="107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</row>
    <row r="731">
      <c r="A731" s="106"/>
      <c r="B731" s="107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</row>
    <row r="732">
      <c r="A732" s="106"/>
      <c r="B732" s="107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</row>
    <row r="733">
      <c r="A733" s="106"/>
      <c r="B733" s="107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</row>
    <row r="734">
      <c r="A734" s="106"/>
      <c r="B734" s="107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</row>
    <row r="735">
      <c r="A735" s="106"/>
      <c r="B735" s="107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</row>
    <row r="736">
      <c r="A736" s="106"/>
      <c r="B736" s="107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</row>
    <row r="737">
      <c r="A737" s="106"/>
      <c r="B737" s="107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</row>
    <row r="738">
      <c r="A738" s="106"/>
      <c r="B738" s="107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</row>
    <row r="739">
      <c r="A739" s="106"/>
      <c r="B739" s="107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</row>
    <row r="740">
      <c r="A740" s="106"/>
      <c r="B740" s="107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</row>
    <row r="741">
      <c r="A741" s="106"/>
      <c r="B741" s="107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</row>
    <row r="742">
      <c r="A742" s="106"/>
      <c r="B742" s="107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</row>
    <row r="743">
      <c r="A743" s="106"/>
      <c r="B743" s="107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</row>
    <row r="744">
      <c r="A744" s="106"/>
      <c r="B744" s="107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</row>
    <row r="745">
      <c r="A745" s="106"/>
      <c r="B745" s="107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</row>
    <row r="746">
      <c r="A746" s="106"/>
      <c r="B746" s="107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</row>
    <row r="747">
      <c r="A747" s="106"/>
      <c r="B747" s="107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</row>
    <row r="748">
      <c r="A748" s="106"/>
      <c r="B748" s="107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</row>
    <row r="749">
      <c r="A749" s="106"/>
      <c r="B749" s="107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</row>
    <row r="750">
      <c r="A750" s="106"/>
      <c r="B750" s="107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</row>
    <row r="751">
      <c r="A751" s="106"/>
      <c r="B751" s="107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</row>
    <row r="752">
      <c r="A752" s="106"/>
      <c r="B752" s="107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</row>
    <row r="753">
      <c r="A753" s="106"/>
      <c r="B753" s="107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</row>
    <row r="754">
      <c r="A754" s="106"/>
      <c r="B754" s="107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</row>
    <row r="755">
      <c r="A755" s="106"/>
      <c r="B755" s="107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</row>
    <row r="756">
      <c r="A756" s="106"/>
      <c r="B756" s="107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</row>
    <row r="757">
      <c r="A757" s="106"/>
      <c r="B757" s="107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</row>
    <row r="758">
      <c r="A758" s="106"/>
      <c r="B758" s="107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</row>
    <row r="759">
      <c r="A759" s="106"/>
      <c r="B759" s="107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</row>
    <row r="760">
      <c r="A760" s="106"/>
      <c r="B760" s="107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</row>
    <row r="761">
      <c r="A761" s="106"/>
      <c r="B761" s="107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</row>
    <row r="762">
      <c r="A762" s="106"/>
      <c r="B762" s="107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</row>
    <row r="763">
      <c r="A763" s="106"/>
      <c r="B763" s="107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</row>
    <row r="764">
      <c r="A764" s="106"/>
      <c r="B764" s="107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</row>
    <row r="765">
      <c r="A765" s="106"/>
      <c r="B765" s="107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</row>
    <row r="766">
      <c r="A766" s="106"/>
      <c r="B766" s="107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</row>
    <row r="767">
      <c r="A767" s="106"/>
      <c r="B767" s="107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</row>
    <row r="768">
      <c r="A768" s="106"/>
      <c r="B768" s="107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</row>
    <row r="769">
      <c r="A769" s="106"/>
      <c r="B769" s="107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</row>
    <row r="770">
      <c r="A770" s="106"/>
      <c r="B770" s="107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</row>
    <row r="771">
      <c r="A771" s="106"/>
      <c r="B771" s="107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</row>
    <row r="772">
      <c r="A772" s="106"/>
      <c r="B772" s="107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</row>
    <row r="773">
      <c r="A773" s="106"/>
      <c r="B773" s="107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</row>
    <row r="774">
      <c r="A774" s="106"/>
      <c r="B774" s="107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</row>
    <row r="775">
      <c r="A775" s="106"/>
      <c r="B775" s="107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</row>
    <row r="776">
      <c r="A776" s="106"/>
      <c r="B776" s="107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</row>
    <row r="777">
      <c r="A777" s="106"/>
      <c r="B777" s="107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</row>
    <row r="778">
      <c r="A778" s="106"/>
      <c r="B778" s="107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</row>
    <row r="779">
      <c r="A779" s="106"/>
      <c r="B779" s="107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</row>
    <row r="780">
      <c r="A780" s="106"/>
      <c r="B780" s="107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</row>
    <row r="781">
      <c r="A781" s="106"/>
      <c r="B781" s="107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</row>
    <row r="782">
      <c r="A782" s="106"/>
      <c r="B782" s="107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</row>
    <row r="783">
      <c r="A783" s="106"/>
      <c r="B783" s="107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</row>
    <row r="784">
      <c r="A784" s="106"/>
      <c r="B784" s="107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</row>
    <row r="785">
      <c r="A785" s="106"/>
      <c r="B785" s="107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</row>
    <row r="786">
      <c r="A786" s="106"/>
      <c r="B786" s="107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</row>
    <row r="787">
      <c r="A787" s="106"/>
      <c r="B787" s="107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</row>
    <row r="788">
      <c r="A788" s="106"/>
      <c r="B788" s="107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</row>
    <row r="789">
      <c r="A789" s="106"/>
      <c r="B789" s="107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</row>
    <row r="790">
      <c r="A790" s="106"/>
      <c r="B790" s="107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</row>
    <row r="791">
      <c r="A791" s="106"/>
      <c r="B791" s="107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</row>
    <row r="792">
      <c r="A792" s="106"/>
      <c r="B792" s="107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</row>
    <row r="793">
      <c r="A793" s="106"/>
      <c r="B793" s="107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</row>
    <row r="794">
      <c r="A794" s="106"/>
      <c r="B794" s="107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</row>
    <row r="795">
      <c r="A795" s="106"/>
      <c r="B795" s="107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</row>
    <row r="796">
      <c r="A796" s="106"/>
      <c r="B796" s="107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</row>
    <row r="797">
      <c r="A797" s="106"/>
      <c r="B797" s="107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</row>
    <row r="798">
      <c r="A798" s="106"/>
      <c r="B798" s="107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</row>
    <row r="799">
      <c r="A799" s="106"/>
      <c r="B799" s="107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</row>
    <row r="800">
      <c r="A800" s="106"/>
      <c r="B800" s="107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</row>
    <row r="801">
      <c r="A801" s="106"/>
      <c r="B801" s="107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</row>
    <row r="802">
      <c r="A802" s="106"/>
      <c r="B802" s="107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</row>
    <row r="803">
      <c r="A803" s="106"/>
      <c r="B803" s="107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</row>
    <row r="804">
      <c r="A804" s="106"/>
      <c r="B804" s="107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</row>
    <row r="805">
      <c r="A805" s="106"/>
      <c r="B805" s="107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</row>
    <row r="806">
      <c r="A806" s="106"/>
      <c r="B806" s="107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</row>
    <row r="807">
      <c r="A807" s="106"/>
      <c r="B807" s="107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</row>
    <row r="808">
      <c r="A808" s="106"/>
      <c r="B808" s="107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</row>
    <row r="809">
      <c r="A809" s="106"/>
      <c r="B809" s="107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</row>
    <row r="810">
      <c r="A810" s="106"/>
      <c r="B810" s="107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</row>
    <row r="811">
      <c r="A811" s="106"/>
      <c r="B811" s="107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</row>
    <row r="812">
      <c r="A812" s="106"/>
      <c r="B812" s="107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</row>
    <row r="813">
      <c r="A813" s="106"/>
      <c r="B813" s="107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</row>
    <row r="814">
      <c r="A814" s="106"/>
      <c r="B814" s="107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</row>
    <row r="815">
      <c r="A815" s="106"/>
      <c r="B815" s="107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</row>
    <row r="816">
      <c r="A816" s="106"/>
      <c r="B816" s="107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</row>
    <row r="817">
      <c r="A817" s="106"/>
      <c r="B817" s="107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</row>
    <row r="818">
      <c r="A818" s="106"/>
      <c r="B818" s="107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</row>
    <row r="819">
      <c r="A819" s="106"/>
      <c r="B819" s="107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</row>
    <row r="820">
      <c r="A820" s="106"/>
      <c r="B820" s="107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</row>
    <row r="821">
      <c r="A821" s="106"/>
      <c r="B821" s="107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</row>
    <row r="822">
      <c r="A822" s="106"/>
      <c r="B822" s="107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</row>
    <row r="823">
      <c r="A823" s="106"/>
      <c r="B823" s="107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</row>
    <row r="824">
      <c r="A824" s="106"/>
      <c r="B824" s="107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</row>
    <row r="825">
      <c r="A825" s="106"/>
      <c r="B825" s="107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</row>
    <row r="826">
      <c r="A826" s="106"/>
      <c r="B826" s="107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</row>
    <row r="827">
      <c r="A827" s="106"/>
      <c r="B827" s="107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</row>
    <row r="828">
      <c r="A828" s="106"/>
      <c r="B828" s="107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</row>
    <row r="829">
      <c r="A829" s="106"/>
      <c r="B829" s="107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</row>
    <row r="830">
      <c r="A830" s="106"/>
      <c r="B830" s="107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</row>
    <row r="831">
      <c r="A831" s="106"/>
      <c r="B831" s="107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</row>
    <row r="832">
      <c r="A832" s="106"/>
      <c r="B832" s="107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</row>
    <row r="833">
      <c r="A833" s="106"/>
      <c r="B833" s="107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</row>
    <row r="834">
      <c r="A834" s="106"/>
      <c r="B834" s="107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</row>
    <row r="835">
      <c r="A835" s="106"/>
      <c r="B835" s="107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</row>
    <row r="836">
      <c r="A836" s="106"/>
      <c r="B836" s="107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</row>
    <row r="837">
      <c r="A837" s="106"/>
      <c r="B837" s="107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</row>
    <row r="838">
      <c r="A838" s="106"/>
      <c r="B838" s="107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</row>
    <row r="839">
      <c r="A839" s="106"/>
      <c r="B839" s="107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</row>
    <row r="840">
      <c r="A840" s="106"/>
      <c r="B840" s="107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</row>
    <row r="841">
      <c r="A841" s="106"/>
      <c r="B841" s="107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</row>
    <row r="842">
      <c r="A842" s="106"/>
      <c r="B842" s="107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</row>
    <row r="843">
      <c r="A843" s="106"/>
      <c r="B843" s="107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</row>
    <row r="844">
      <c r="A844" s="106"/>
      <c r="B844" s="107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</row>
    <row r="845">
      <c r="A845" s="106"/>
      <c r="B845" s="107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</row>
    <row r="846">
      <c r="A846" s="106"/>
      <c r="B846" s="107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</row>
    <row r="847">
      <c r="A847" s="106"/>
      <c r="B847" s="107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</row>
    <row r="848">
      <c r="A848" s="106"/>
      <c r="B848" s="107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</row>
    <row r="849">
      <c r="A849" s="106"/>
      <c r="B849" s="107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</row>
    <row r="850">
      <c r="A850" s="106"/>
      <c r="B850" s="107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</row>
    <row r="851">
      <c r="A851" s="106"/>
      <c r="B851" s="108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</row>
    <row r="852">
      <c r="A852" s="106"/>
      <c r="B852" s="108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</row>
    <row r="853">
      <c r="A853" s="106"/>
      <c r="B853" s="108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</row>
    <row r="854">
      <c r="A854" s="106"/>
      <c r="B854" s="108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</row>
    <row r="855">
      <c r="A855" s="106"/>
      <c r="B855" s="108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</row>
    <row r="856">
      <c r="A856" s="106"/>
      <c r="B856" s="108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</row>
    <row r="857">
      <c r="A857" s="106"/>
      <c r="B857" s="108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</row>
    <row r="858">
      <c r="A858" s="106"/>
      <c r="B858" s="108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</row>
    <row r="859">
      <c r="A859" s="106"/>
      <c r="B859" s="108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</row>
    <row r="860">
      <c r="A860" s="106"/>
      <c r="B860" s="108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</row>
    <row r="861">
      <c r="A861" s="106"/>
      <c r="B861" s="108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</row>
    <row r="862">
      <c r="A862" s="106"/>
      <c r="B862" s="108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</row>
    <row r="863">
      <c r="A863" s="106"/>
      <c r="B863" s="108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</row>
    <row r="864">
      <c r="A864" s="106"/>
      <c r="B864" s="108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</row>
    <row r="865">
      <c r="A865" s="106"/>
      <c r="B865" s="10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</row>
    <row r="866">
      <c r="A866" s="1"/>
      <c r="B866" s="110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</row>
    <row r="867">
      <c r="A867" s="1"/>
      <c r="B867" s="110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</row>
    <row r="868">
      <c r="A868" s="111"/>
      <c r="B868" s="112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</row>
    <row r="869">
      <c r="A869" s="111"/>
      <c r="B869" s="112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</row>
    <row r="870">
      <c r="A870" s="111"/>
      <c r="B870" s="112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</row>
    <row r="871">
      <c r="A871" s="111"/>
      <c r="B871" s="112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</row>
    <row r="872">
      <c r="A872" s="111"/>
      <c r="B872" s="112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</row>
    <row r="873">
      <c r="A873" s="111"/>
      <c r="B873" s="112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</row>
    <row r="874">
      <c r="A874" s="111"/>
      <c r="B874" s="112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</row>
    <row r="875">
      <c r="A875" s="111"/>
      <c r="B875" s="112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</row>
    <row r="876">
      <c r="A876" s="111"/>
      <c r="B876" s="112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</row>
    <row r="877">
      <c r="A877" s="111"/>
      <c r="B877" s="112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</row>
    <row r="878">
      <c r="A878" s="111"/>
      <c r="B878" s="112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</row>
    <row r="879">
      <c r="A879" s="111"/>
      <c r="B879" s="112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</row>
    <row r="880">
      <c r="A880" s="111"/>
      <c r="B880" s="112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</row>
    <row r="881">
      <c r="A881" s="111"/>
      <c r="B881" s="112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</row>
    <row r="882">
      <c r="A882" s="111"/>
      <c r="B882" s="112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</row>
    <row r="883">
      <c r="A883" s="111"/>
      <c r="B883" s="112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</row>
    <row r="884">
      <c r="A884" s="111"/>
      <c r="B884" s="112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</row>
    <row r="885">
      <c r="A885" s="111"/>
      <c r="B885" s="112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</row>
    <row r="886">
      <c r="A886" s="111"/>
      <c r="B886" s="112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</row>
    <row r="887">
      <c r="A887" s="111"/>
      <c r="B887" s="112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</row>
    <row r="888">
      <c r="A888" s="111"/>
      <c r="B888" s="112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</row>
    <row r="889">
      <c r="A889" s="111"/>
      <c r="B889" s="112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</row>
    <row r="890">
      <c r="A890" s="111"/>
      <c r="B890" s="112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</row>
    <row r="891">
      <c r="A891" s="111"/>
      <c r="B891" s="112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</row>
    <row r="892">
      <c r="A892" s="111"/>
      <c r="B892" s="112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</row>
    <row r="893">
      <c r="A893" s="111"/>
      <c r="B893" s="112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</row>
    <row r="894">
      <c r="A894" s="111"/>
      <c r="B894" s="112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</row>
    <row r="895">
      <c r="A895" s="111"/>
      <c r="B895" s="112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</row>
    <row r="896">
      <c r="A896" s="111"/>
      <c r="B896" s="112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</row>
    <row r="897">
      <c r="A897" s="111"/>
      <c r="B897" s="112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</row>
    <row r="898">
      <c r="A898" s="111"/>
      <c r="B898" s="112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</row>
    <row r="899">
      <c r="A899" s="111"/>
      <c r="B899" s="112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</row>
    <row r="900">
      <c r="A900" s="111"/>
      <c r="B900" s="112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</row>
    <row r="901">
      <c r="A901" s="111"/>
      <c r="B901" s="112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</row>
    <row r="902">
      <c r="A902" s="111"/>
      <c r="B902" s="112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</row>
    <row r="903">
      <c r="A903" s="111"/>
      <c r="B903" s="112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</row>
    <row r="904">
      <c r="A904" s="111"/>
      <c r="B904" s="112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</row>
    <row r="905">
      <c r="A905" s="111"/>
      <c r="B905" s="112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</row>
    <row r="906">
      <c r="A906" s="111"/>
      <c r="B906" s="112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</row>
    <row r="907">
      <c r="A907" s="111"/>
      <c r="B907" s="112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</row>
    <row r="908">
      <c r="A908" s="111"/>
      <c r="B908" s="112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</row>
    <row r="909">
      <c r="A909" s="111"/>
      <c r="B909" s="112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</row>
    <row r="910">
      <c r="A910" s="111"/>
      <c r="B910" s="112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</row>
    <row r="911">
      <c r="A911" s="111"/>
      <c r="B911" s="112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</row>
    <row r="912">
      <c r="A912" s="111"/>
      <c r="B912" s="112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</row>
    <row r="913">
      <c r="A913" s="111"/>
      <c r="B913" s="112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</row>
    <row r="914">
      <c r="A914" s="111"/>
      <c r="B914" s="112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</row>
    <row r="915">
      <c r="A915" s="111"/>
      <c r="B915" s="112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</row>
    <row r="916">
      <c r="A916" s="111"/>
      <c r="B916" s="112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</row>
    <row r="917">
      <c r="A917" s="111"/>
      <c r="B917" s="112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</row>
    <row r="918">
      <c r="A918" s="111"/>
      <c r="B918" s="112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</row>
    <row r="919">
      <c r="A919" s="111"/>
      <c r="B919" s="112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</row>
    <row r="920">
      <c r="A920" s="111"/>
      <c r="B920" s="112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</row>
    <row r="921">
      <c r="A921" s="111"/>
      <c r="B921" s="112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</row>
    <row r="922">
      <c r="A922" s="111"/>
      <c r="B922" s="112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</row>
    <row r="923">
      <c r="A923" s="111"/>
      <c r="B923" s="112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</row>
    <row r="924">
      <c r="A924" s="111"/>
      <c r="B924" s="112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</row>
    <row r="925">
      <c r="A925" s="111"/>
      <c r="B925" s="112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</row>
    <row r="926">
      <c r="A926" s="111"/>
      <c r="B926" s="112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</row>
    <row r="927">
      <c r="A927" s="111"/>
      <c r="B927" s="112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</row>
    <row r="928">
      <c r="A928" s="111"/>
      <c r="B928" s="112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</row>
    <row r="929">
      <c r="A929" s="111"/>
      <c r="B929" s="112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</row>
    <row r="930">
      <c r="A930" s="111"/>
      <c r="B930" s="112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</row>
    <row r="931">
      <c r="A931" s="111"/>
      <c r="B931" s="112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</row>
    <row r="932">
      <c r="A932" s="111"/>
      <c r="B932" s="112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</row>
    <row r="933">
      <c r="A933" s="111"/>
      <c r="B933" s="112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</row>
    <row r="934">
      <c r="A934" s="111"/>
      <c r="B934" s="112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</row>
    <row r="935">
      <c r="A935" s="111"/>
      <c r="B935" s="112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</row>
    <row r="936">
      <c r="A936" s="111"/>
      <c r="B936" s="112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</row>
    <row r="937">
      <c r="A937" s="111"/>
      <c r="B937" s="112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</row>
    <row r="938">
      <c r="A938" s="111"/>
      <c r="B938" s="112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</row>
    <row r="939">
      <c r="A939" s="111"/>
      <c r="B939" s="112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</row>
    <row r="940">
      <c r="A940" s="111"/>
      <c r="B940" s="112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</row>
    <row r="941">
      <c r="A941" s="111"/>
      <c r="B941" s="112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</row>
    <row r="942">
      <c r="A942" s="111"/>
      <c r="B942" s="112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</row>
    <row r="943">
      <c r="A943" s="111"/>
      <c r="B943" s="112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</row>
    <row r="944">
      <c r="A944" s="111"/>
      <c r="B944" s="112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</row>
    <row r="945">
      <c r="A945" s="111"/>
      <c r="B945" s="112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</row>
    <row r="946">
      <c r="A946" s="111"/>
      <c r="B946" s="112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</row>
    <row r="947">
      <c r="A947" s="111"/>
      <c r="B947" s="112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</row>
    <row r="948">
      <c r="A948" s="111"/>
      <c r="B948" s="112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</row>
    <row r="949">
      <c r="A949" s="111"/>
      <c r="B949" s="112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</row>
    <row r="950">
      <c r="A950" s="111"/>
      <c r="B950" s="112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</row>
    <row r="951">
      <c r="A951" s="111"/>
      <c r="B951" s="112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</row>
    <row r="952">
      <c r="A952" s="111"/>
      <c r="B952" s="112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</row>
    <row r="953">
      <c r="A953" s="111"/>
      <c r="B953" s="112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</row>
    <row r="954">
      <c r="A954" s="111"/>
      <c r="B954" s="112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</row>
    <row r="955">
      <c r="A955" s="111"/>
      <c r="B955" s="112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</row>
    <row r="956">
      <c r="A956" s="111"/>
      <c r="B956" s="112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</row>
    <row r="957">
      <c r="A957" s="111"/>
      <c r="B957" s="112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</row>
    <row r="958">
      <c r="A958" s="111"/>
      <c r="B958" s="112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</row>
    <row r="959">
      <c r="A959" s="111"/>
      <c r="B959" s="112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</row>
    <row r="960">
      <c r="A960" s="111"/>
      <c r="B960" s="112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</row>
    <row r="961">
      <c r="A961" s="111"/>
      <c r="B961" s="112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</row>
    <row r="962">
      <c r="A962" s="111"/>
      <c r="B962" s="112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</row>
    <row r="963">
      <c r="A963" s="111"/>
      <c r="B963" s="112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</row>
    <row r="964">
      <c r="A964" s="111"/>
      <c r="B964" s="112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</row>
    <row r="965">
      <c r="A965" s="111"/>
      <c r="B965" s="112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</row>
    <row r="966">
      <c r="A966" s="111"/>
      <c r="B966" s="112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</row>
    <row r="967">
      <c r="A967" s="111"/>
      <c r="B967" s="112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</row>
    <row r="968">
      <c r="A968" s="111"/>
      <c r="B968" s="112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</row>
    <row r="969">
      <c r="A969" s="111"/>
      <c r="B969" s="112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</row>
    <row r="970">
      <c r="A970" s="111"/>
      <c r="B970" s="112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</row>
    <row r="971">
      <c r="A971" s="111"/>
      <c r="B971" s="112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</row>
    <row r="972">
      <c r="A972" s="111"/>
      <c r="B972" s="112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</row>
    <row r="973">
      <c r="A973" s="111"/>
      <c r="B973" s="112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</row>
    <row r="974">
      <c r="A974" s="111"/>
      <c r="B974" s="112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</row>
    <row r="975">
      <c r="A975" s="111"/>
      <c r="B975" s="112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</row>
    <row r="976">
      <c r="A976" s="111"/>
      <c r="B976" s="112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</row>
    <row r="977">
      <c r="A977" s="111"/>
      <c r="B977" s="112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</row>
    <row r="978">
      <c r="A978" s="111"/>
      <c r="B978" s="112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</row>
    <row r="979">
      <c r="A979" s="111"/>
      <c r="B979" s="112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</row>
    <row r="980">
      <c r="A980" s="111"/>
      <c r="B980" s="112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</row>
    <row r="981">
      <c r="A981" s="111"/>
      <c r="B981" s="112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</row>
    <row r="982">
      <c r="A982" s="111"/>
      <c r="B982" s="112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</row>
    <row r="983">
      <c r="A983" s="111"/>
      <c r="B983" s="112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</row>
    <row r="984">
      <c r="A984" s="111"/>
      <c r="B984" s="112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</row>
    <row r="985">
      <c r="A985" s="111"/>
      <c r="B985" s="112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</row>
    <row r="986">
      <c r="A986" s="111"/>
      <c r="B986" s="112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</row>
    <row r="987">
      <c r="A987" s="111"/>
      <c r="B987" s="112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</row>
    <row r="988">
      <c r="A988" s="111"/>
      <c r="B988" s="112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</row>
    <row r="989">
      <c r="A989" s="111"/>
      <c r="B989" s="112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</row>
    <row r="990">
      <c r="A990" s="111"/>
      <c r="B990" s="112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</row>
    <row r="991">
      <c r="A991" s="111"/>
      <c r="B991" s="112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</row>
    <row r="992">
      <c r="A992" s="111"/>
      <c r="B992" s="112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</row>
    <row r="993">
      <c r="A993" s="111"/>
      <c r="B993" s="112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</row>
    <row r="994">
      <c r="A994" s="111"/>
      <c r="B994" s="112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</row>
    <row r="995">
      <c r="A995" s="111"/>
      <c r="B995" s="112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</row>
    <row r="996">
      <c r="A996" s="111"/>
      <c r="B996" s="112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</row>
    <row r="997">
      <c r="A997" s="111"/>
      <c r="B997" s="112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</row>
    <row r="998">
      <c r="A998" s="111"/>
      <c r="B998" s="112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</row>
    <row r="999">
      <c r="A999" s="111"/>
      <c r="B999" s="112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</row>
    <row r="1000">
      <c r="A1000" s="111"/>
      <c r="B1000" s="112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</row>
    <row r="1001">
      <c r="A1001" s="111"/>
      <c r="B1001" s="112"/>
      <c r="C1001" s="29"/>
      <c r="D1001" s="29"/>
      <c r="E1001" s="29"/>
      <c r="F1001" s="29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</row>
    <row r="1002">
      <c r="A1002" s="111"/>
      <c r="B1002" s="112"/>
      <c r="C1002" s="29"/>
      <c r="D1002" s="29"/>
      <c r="E1002" s="29"/>
      <c r="F1002" s="29"/>
      <c r="G1002" s="29"/>
      <c r="H1002" s="29"/>
      <c r="I1002" s="29"/>
      <c r="J1002" s="29"/>
      <c r="K1002" s="29"/>
      <c r="L1002" s="29"/>
      <c r="M1002" s="29"/>
      <c r="N1002" s="29"/>
      <c r="O1002" s="29"/>
      <c r="P1002" s="29"/>
    </row>
    <row r="1003">
      <c r="A1003" s="111"/>
      <c r="B1003" s="112"/>
      <c r="C1003" s="29"/>
      <c r="D1003" s="29"/>
      <c r="E1003" s="29"/>
      <c r="F1003" s="29"/>
      <c r="G1003" s="29"/>
      <c r="H1003" s="29"/>
      <c r="I1003" s="29"/>
      <c r="J1003" s="29"/>
      <c r="K1003" s="29"/>
      <c r="L1003" s="29"/>
      <c r="M1003" s="29"/>
      <c r="N1003" s="29"/>
      <c r="O1003" s="29"/>
      <c r="P1003" s="29"/>
    </row>
    <row r="1004">
      <c r="A1004" s="111"/>
      <c r="B1004" s="112"/>
      <c r="C1004" s="29"/>
      <c r="D1004" s="29"/>
      <c r="E1004" s="29"/>
      <c r="F1004" s="29"/>
      <c r="G1004" s="29"/>
      <c r="H1004" s="29"/>
      <c r="I1004" s="29"/>
      <c r="J1004" s="29"/>
      <c r="K1004" s="29"/>
      <c r="L1004" s="29"/>
      <c r="M1004" s="29"/>
      <c r="N1004" s="29"/>
      <c r="O1004" s="29"/>
      <c r="P1004" s="29"/>
    </row>
    <row r="1005">
      <c r="A1005" s="111"/>
      <c r="B1005" s="112"/>
      <c r="C1005" s="29"/>
      <c r="D1005" s="29"/>
      <c r="E1005" s="29"/>
      <c r="F1005" s="29"/>
      <c r="G1005" s="29"/>
      <c r="H1005" s="29"/>
      <c r="I1005" s="29"/>
      <c r="J1005" s="29"/>
      <c r="K1005" s="29"/>
      <c r="L1005" s="29"/>
      <c r="M1005" s="29"/>
      <c r="N1005" s="29"/>
      <c r="O1005" s="29"/>
      <c r="P1005" s="29"/>
    </row>
    <row r="1006">
      <c r="A1006" s="111"/>
      <c r="B1006" s="112"/>
      <c r="C1006" s="29"/>
      <c r="D1006" s="29"/>
      <c r="E1006" s="29"/>
      <c r="F1006" s="29"/>
      <c r="G1006" s="29"/>
      <c r="H1006" s="29"/>
      <c r="I1006" s="29"/>
      <c r="J1006" s="29"/>
      <c r="K1006" s="29"/>
      <c r="L1006" s="29"/>
      <c r="M1006" s="29"/>
      <c r="N1006" s="29"/>
      <c r="O1006" s="29"/>
      <c r="P1006" s="29"/>
    </row>
    <row r="1007">
      <c r="A1007" s="111"/>
      <c r="B1007" s="112"/>
      <c r="C1007" s="29"/>
      <c r="D1007" s="29"/>
      <c r="E1007" s="29"/>
      <c r="F1007" s="29"/>
      <c r="G1007" s="29"/>
      <c r="H1007" s="29"/>
      <c r="I1007" s="29"/>
      <c r="J1007" s="29"/>
      <c r="K1007" s="29"/>
      <c r="L1007" s="29"/>
      <c r="M1007" s="29"/>
      <c r="N1007" s="29"/>
      <c r="O1007" s="29"/>
      <c r="P1007" s="29"/>
    </row>
    <row r="1008">
      <c r="A1008" s="111"/>
      <c r="B1008" s="112"/>
      <c r="C1008" s="29"/>
      <c r="D1008" s="29"/>
      <c r="E1008" s="29"/>
      <c r="F1008" s="29"/>
      <c r="G1008" s="29"/>
      <c r="H1008" s="29"/>
      <c r="I1008" s="29"/>
      <c r="J1008" s="29"/>
      <c r="K1008" s="29"/>
      <c r="L1008" s="29"/>
      <c r="M1008" s="29"/>
      <c r="N1008" s="29"/>
      <c r="O1008" s="29"/>
      <c r="P1008" s="29"/>
    </row>
    <row r="1009">
      <c r="A1009" s="111"/>
      <c r="B1009" s="112"/>
      <c r="C1009" s="29"/>
      <c r="D1009" s="29"/>
      <c r="E1009" s="29"/>
      <c r="F1009" s="29"/>
      <c r="G1009" s="29"/>
      <c r="H1009" s="29"/>
      <c r="I1009" s="29"/>
      <c r="J1009" s="29"/>
      <c r="K1009" s="29"/>
      <c r="L1009" s="29"/>
      <c r="M1009" s="29"/>
      <c r="N1009" s="29"/>
      <c r="O1009" s="29"/>
      <c r="P1009" s="29"/>
    </row>
    <row r="1010">
      <c r="A1010" s="111"/>
      <c r="B1010" s="112"/>
      <c r="C1010" s="29"/>
      <c r="D1010" s="29"/>
      <c r="E1010" s="29"/>
      <c r="F1010" s="29"/>
      <c r="G1010" s="29"/>
      <c r="H1010" s="29"/>
      <c r="I1010" s="29"/>
      <c r="J1010" s="29"/>
      <c r="K1010" s="29"/>
      <c r="L1010" s="29"/>
      <c r="M1010" s="29"/>
      <c r="N1010" s="29"/>
      <c r="O1010" s="29"/>
      <c r="P1010" s="29"/>
    </row>
    <row r="1011">
      <c r="A1011" s="111"/>
      <c r="B1011" s="112"/>
      <c r="C1011" s="29"/>
      <c r="D1011" s="29"/>
      <c r="E1011" s="29"/>
      <c r="F1011" s="29"/>
      <c r="G1011" s="29"/>
      <c r="H1011" s="29"/>
      <c r="I1011" s="29"/>
      <c r="J1011" s="29"/>
      <c r="K1011" s="29"/>
      <c r="L1011" s="29"/>
      <c r="M1011" s="29"/>
      <c r="N1011" s="29"/>
      <c r="O1011" s="29"/>
      <c r="P1011" s="29"/>
    </row>
    <row r="1012">
      <c r="A1012" s="111"/>
      <c r="B1012" s="112"/>
      <c r="C1012" s="29"/>
      <c r="D1012" s="29"/>
      <c r="E1012" s="29"/>
      <c r="F1012" s="29"/>
      <c r="G1012" s="29"/>
      <c r="H1012" s="29"/>
      <c r="I1012" s="29"/>
      <c r="J1012" s="29"/>
      <c r="K1012" s="29"/>
      <c r="L1012" s="29"/>
      <c r="M1012" s="29"/>
      <c r="N1012" s="29"/>
      <c r="O1012" s="29"/>
      <c r="P1012" s="29"/>
    </row>
    <row r="1013">
      <c r="A1013" s="111"/>
      <c r="B1013" s="112"/>
      <c r="C1013" s="29"/>
      <c r="D1013" s="29"/>
      <c r="E1013" s="29"/>
      <c r="F1013" s="29"/>
      <c r="G1013" s="29"/>
      <c r="H1013" s="29"/>
      <c r="I1013" s="29"/>
      <c r="J1013" s="29"/>
      <c r="K1013" s="29"/>
      <c r="L1013" s="29"/>
      <c r="M1013" s="29"/>
      <c r="N1013" s="29"/>
      <c r="O1013" s="29"/>
      <c r="P1013" s="29"/>
    </row>
    <row r="1014">
      <c r="A1014" s="111"/>
      <c r="B1014" s="112"/>
      <c r="C1014" s="29"/>
      <c r="D1014" s="29"/>
      <c r="E1014" s="29"/>
      <c r="F1014" s="29"/>
      <c r="G1014" s="29"/>
      <c r="H1014" s="29"/>
      <c r="I1014" s="29"/>
      <c r="J1014" s="29"/>
      <c r="K1014" s="29"/>
      <c r="L1014" s="29"/>
      <c r="M1014" s="29"/>
      <c r="N1014" s="29"/>
      <c r="O1014" s="29"/>
      <c r="P1014" s="29"/>
    </row>
    <row r="1015">
      <c r="A1015" s="111"/>
      <c r="B1015" s="112"/>
      <c r="C1015" s="29"/>
      <c r="D1015" s="29"/>
      <c r="E1015" s="29"/>
      <c r="F1015" s="29"/>
      <c r="G1015" s="29"/>
      <c r="H1015" s="29"/>
      <c r="I1015" s="29"/>
      <c r="J1015" s="29"/>
      <c r="K1015" s="29"/>
      <c r="L1015" s="29"/>
      <c r="M1015" s="29"/>
      <c r="N1015" s="29"/>
      <c r="O1015" s="29"/>
      <c r="P1015" s="29"/>
    </row>
    <row r="1016">
      <c r="A1016" s="111"/>
      <c r="B1016" s="112"/>
      <c r="C1016" s="29"/>
      <c r="D1016" s="29"/>
      <c r="E1016" s="29"/>
      <c r="F1016" s="29"/>
      <c r="G1016" s="29"/>
      <c r="H1016" s="29"/>
      <c r="I1016" s="29"/>
      <c r="J1016" s="29"/>
      <c r="K1016" s="29"/>
      <c r="L1016" s="29"/>
      <c r="M1016" s="29"/>
      <c r="N1016" s="29"/>
      <c r="O1016" s="29"/>
      <c r="P1016" s="29"/>
    </row>
    <row r="1017">
      <c r="A1017" s="111"/>
      <c r="B1017" s="112"/>
      <c r="C1017" s="29"/>
      <c r="D1017" s="29"/>
      <c r="E1017" s="29"/>
      <c r="F1017" s="29"/>
      <c r="G1017" s="29"/>
      <c r="H1017" s="29"/>
      <c r="I1017" s="29"/>
      <c r="J1017" s="29"/>
      <c r="K1017" s="29"/>
      <c r="L1017" s="29"/>
      <c r="M1017" s="29"/>
      <c r="N1017" s="29"/>
      <c r="O1017" s="29"/>
      <c r="P1017" s="29"/>
    </row>
    <row r="1018">
      <c r="A1018" s="111"/>
      <c r="B1018" s="112"/>
      <c r="C1018" s="29"/>
      <c r="D1018" s="29"/>
      <c r="E1018" s="29"/>
      <c r="F1018" s="29"/>
      <c r="G1018" s="29"/>
      <c r="H1018" s="29"/>
      <c r="I1018" s="29"/>
      <c r="J1018" s="29"/>
      <c r="K1018" s="29"/>
      <c r="L1018" s="29"/>
      <c r="M1018" s="29"/>
      <c r="N1018" s="29"/>
      <c r="O1018" s="29"/>
      <c r="P1018" s="29"/>
    </row>
    <row r="1019">
      <c r="A1019" s="111"/>
      <c r="B1019" s="112"/>
      <c r="C1019" s="29"/>
      <c r="D1019" s="29"/>
      <c r="E1019" s="29"/>
      <c r="F1019" s="29"/>
      <c r="G1019" s="29"/>
      <c r="H1019" s="29"/>
      <c r="I1019" s="29"/>
      <c r="J1019" s="29"/>
      <c r="K1019" s="29"/>
      <c r="L1019" s="29"/>
      <c r="M1019" s="29"/>
      <c r="N1019" s="29"/>
      <c r="O1019" s="29"/>
      <c r="P1019" s="29"/>
    </row>
    <row r="1020">
      <c r="A1020" s="111"/>
      <c r="B1020" s="112"/>
      <c r="C1020" s="29"/>
      <c r="D1020" s="29"/>
      <c r="E1020" s="29"/>
      <c r="F1020" s="29"/>
      <c r="G1020" s="29"/>
      <c r="H1020" s="29"/>
      <c r="I1020" s="29"/>
      <c r="J1020" s="29"/>
      <c r="K1020" s="29"/>
      <c r="L1020" s="29"/>
      <c r="M1020" s="29"/>
      <c r="N1020" s="29"/>
      <c r="O1020" s="29"/>
      <c r="P1020" s="29"/>
    </row>
    <row r="1021">
      <c r="A1021" s="111"/>
      <c r="B1021" s="112"/>
      <c r="C1021" s="29"/>
      <c r="D1021" s="29"/>
      <c r="E1021" s="29"/>
      <c r="F1021" s="29"/>
      <c r="G1021" s="29"/>
      <c r="H1021" s="29"/>
      <c r="I1021" s="29"/>
      <c r="J1021" s="29"/>
      <c r="K1021" s="29"/>
      <c r="L1021" s="29"/>
      <c r="M1021" s="29"/>
      <c r="N1021" s="29"/>
      <c r="O1021" s="29"/>
      <c r="P1021" s="29"/>
    </row>
    <row r="1022">
      <c r="A1022" s="111"/>
      <c r="B1022" s="112"/>
      <c r="C1022" s="29"/>
      <c r="D1022" s="29"/>
      <c r="E1022" s="29"/>
      <c r="F1022" s="29"/>
      <c r="G1022" s="29"/>
      <c r="H1022" s="29"/>
      <c r="I1022" s="29"/>
      <c r="J1022" s="29"/>
      <c r="K1022" s="29"/>
      <c r="L1022" s="29"/>
      <c r="M1022" s="29"/>
      <c r="N1022" s="29"/>
      <c r="O1022" s="29"/>
      <c r="P1022" s="29"/>
    </row>
    <row r="1023">
      <c r="A1023" s="111"/>
      <c r="B1023" s="112"/>
      <c r="C1023" s="29"/>
      <c r="D1023" s="29"/>
      <c r="E1023" s="29"/>
      <c r="F1023" s="29"/>
      <c r="G1023" s="29"/>
      <c r="H1023" s="29"/>
      <c r="I1023" s="29"/>
      <c r="J1023" s="29"/>
      <c r="K1023" s="29"/>
      <c r="L1023" s="29"/>
      <c r="M1023" s="29"/>
      <c r="N1023" s="29"/>
      <c r="O1023" s="29"/>
      <c r="P1023" s="29"/>
    </row>
    <row r="1024">
      <c r="A1024" s="111"/>
      <c r="B1024" s="112"/>
      <c r="C1024" s="29"/>
      <c r="D1024" s="29"/>
      <c r="E1024" s="29"/>
      <c r="F1024" s="29"/>
      <c r="G1024" s="29"/>
      <c r="H1024" s="29"/>
      <c r="I1024" s="29"/>
      <c r="J1024" s="29"/>
      <c r="K1024" s="29"/>
      <c r="L1024" s="29"/>
      <c r="M1024" s="29"/>
      <c r="N1024" s="29"/>
      <c r="O1024" s="29"/>
      <c r="P1024" s="29"/>
    </row>
    <row r="1025">
      <c r="A1025" s="111"/>
      <c r="B1025" s="112"/>
      <c r="C1025" s="29"/>
      <c r="D1025" s="29"/>
      <c r="E1025" s="29"/>
      <c r="F1025" s="29"/>
      <c r="G1025" s="29"/>
      <c r="H1025" s="29"/>
      <c r="I1025" s="29"/>
      <c r="J1025" s="29"/>
      <c r="K1025" s="29"/>
      <c r="L1025" s="29"/>
      <c r="M1025" s="29"/>
      <c r="N1025" s="29"/>
      <c r="O1025" s="29"/>
      <c r="P1025" s="29"/>
    </row>
    <row r="1026">
      <c r="A1026" s="111"/>
      <c r="B1026" s="112"/>
      <c r="C1026" s="29"/>
      <c r="D1026" s="29"/>
      <c r="E1026" s="29"/>
      <c r="F1026" s="29"/>
      <c r="G1026" s="29"/>
      <c r="H1026" s="29"/>
      <c r="I1026" s="29"/>
      <c r="J1026" s="29"/>
      <c r="K1026" s="29"/>
      <c r="L1026" s="29"/>
      <c r="M1026" s="29"/>
      <c r="N1026" s="29"/>
      <c r="O1026" s="29"/>
      <c r="P1026" s="29"/>
    </row>
    <row r="1027">
      <c r="A1027" s="111"/>
      <c r="B1027" s="112"/>
      <c r="C1027" s="29"/>
      <c r="D1027" s="29"/>
      <c r="E1027" s="29"/>
      <c r="F1027" s="29"/>
      <c r="G1027" s="29"/>
      <c r="H1027" s="29"/>
      <c r="I1027" s="29"/>
      <c r="J1027" s="29"/>
      <c r="K1027" s="29"/>
      <c r="L1027" s="29"/>
      <c r="M1027" s="29"/>
      <c r="N1027" s="29"/>
      <c r="O1027" s="29"/>
      <c r="P1027" s="29"/>
    </row>
    <row r="1028">
      <c r="A1028" s="111"/>
      <c r="B1028" s="112"/>
      <c r="C1028" s="29"/>
      <c r="D1028" s="29"/>
      <c r="E1028" s="29"/>
      <c r="F1028" s="29"/>
      <c r="G1028" s="29"/>
      <c r="H1028" s="29"/>
      <c r="I1028" s="29"/>
      <c r="J1028" s="29"/>
      <c r="K1028" s="29"/>
      <c r="L1028" s="29"/>
      <c r="M1028" s="29"/>
      <c r="N1028" s="29"/>
      <c r="O1028" s="29"/>
      <c r="P1028" s="29"/>
    </row>
    <row r="1029">
      <c r="A1029" s="111"/>
      <c r="B1029" s="112"/>
      <c r="C1029" s="29"/>
      <c r="D1029" s="29"/>
      <c r="E1029" s="29"/>
      <c r="F1029" s="29"/>
      <c r="G1029" s="29"/>
      <c r="H1029" s="29"/>
      <c r="I1029" s="29"/>
      <c r="J1029" s="29"/>
      <c r="K1029" s="29"/>
      <c r="L1029" s="29"/>
      <c r="M1029" s="29"/>
      <c r="N1029" s="29"/>
      <c r="O1029" s="29"/>
      <c r="P1029" s="29"/>
    </row>
    <row r="1030">
      <c r="A1030" s="111"/>
      <c r="B1030" s="112"/>
      <c r="C1030" s="29"/>
      <c r="D1030" s="29"/>
      <c r="E1030" s="29"/>
      <c r="F1030" s="29"/>
      <c r="G1030" s="29"/>
      <c r="H1030" s="29"/>
      <c r="I1030" s="29"/>
      <c r="J1030" s="29"/>
      <c r="K1030" s="29"/>
      <c r="L1030" s="29"/>
      <c r="M1030" s="29"/>
      <c r="N1030" s="29"/>
      <c r="O1030" s="29"/>
      <c r="P1030" s="29"/>
    </row>
    <row r="1031">
      <c r="A1031" s="111"/>
      <c r="B1031" s="112"/>
      <c r="C1031" s="29"/>
      <c r="D1031" s="29"/>
      <c r="E1031" s="29"/>
      <c r="F1031" s="29"/>
      <c r="G1031" s="29"/>
      <c r="H1031" s="29"/>
      <c r="I1031" s="29"/>
      <c r="J1031" s="29"/>
      <c r="K1031" s="29"/>
      <c r="L1031" s="29"/>
      <c r="M1031" s="29"/>
      <c r="N1031" s="29"/>
      <c r="O1031" s="29"/>
      <c r="P1031" s="29"/>
    </row>
    <row r="1032">
      <c r="A1032" s="111"/>
      <c r="B1032" s="112"/>
      <c r="C1032" s="29"/>
      <c r="D1032" s="29"/>
      <c r="E1032" s="29"/>
      <c r="F1032" s="29"/>
      <c r="G1032" s="29"/>
      <c r="H1032" s="29"/>
      <c r="I1032" s="29"/>
      <c r="J1032" s="29"/>
      <c r="K1032" s="29"/>
      <c r="L1032" s="29"/>
      <c r="M1032" s="29"/>
      <c r="N1032" s="29"/>
      <c r="O1032" s="29"/>
      <c r="P1032" s="29"/>
    </row>
    <row r="1033">
      <c r="A1033" s="111"/>
      <c r="B1033" s="112"/>
      <c r="C1033" s="29"/>
      <c r="D1033" s="29"/>
      <c r="E1033" s="29"/>
      <c r="F1033" s="29"/>
      <c r="G1033" s="29"/>
      <c r="H1033" s="29"/>
      <c r="I1033" s="29"/>
      <c r="J1033" s="29"/>
      <c r="K1033" s="29"/>
      <c r="L1033" s="29"/>
      <c r="M1033" s="29"/>
      <c r="N1033" s="29"/>
      <c r="O1033" s="29"/>
      <c r="P1033" s="29"/>
    </row>
    <row r="1034">
      <c r="A1034" s="111"/>
      <c r="B1034" s="112"/>
      <c r="C1034" s="29"/>
      <c r="D1034" s="29"/>
      <c r="E1034" s="29"/>
      <c r="F1034" s="29"/>
      <c r="G1034" s="29"/>
      <c r="H1034" s="29"/>
      <c r="I1034" s="29"/>
      <c r="J1034" s="29"/>
      <c r="K1034" s="29"/>
      <c r="L1034" s="29"/>
      <c r="M1034" s="29"/>
      <c r="N1034" s="29"/>
      <c r="O1034" s="29"/>
      <c r="P1034" s="29"/>
    </row>
    <row r="1035">
      <c r="A1035" s="111"/>
      <c r="B1035" s="112"/>
      <c r="C1035" s="29"/>
      <c r="D1035" s="29"/>
      <c r="E1035" s="29"/>
      <c r="F1035" s="29"/>
      <c r="G1035" s="29"/>
      <c r="H1035" s="29"/>
      <c r="I1035" s="29"/>
      <c r="J1035" s="29"/>
      <c r="K1035" s="29"/>
      <c r="L1035" s="29"/>
      <c r="M1035" s="29"/>
      <c r="N1035" s="29"/>
      <c r="O1035" s="29"/>
      <c r="P1035" s="29"/>
    </row>
    <row r="1036">
      <c r="A1036" s="111"/>
      <c r="B1036" s="112"/>
      <c r="C1036" s="29"/>
      <c r="D1036" s="29"/>
      <c r="E1036" s="29"/>
      <c r="F1036" s="29"/>
      <c r="G1036" s="29"/>
      <c r="H1036" s="29"/>
      <c r="I1036" s="29"/>
      <c r="J1036" s="29"/>
      <c r="K1036" s="29"/>
      <c r="L1036" s="29"/>
      <c r="M1036" s="29"/>
      <c r="N1036" s="29"/>
      <c r="O1036" s="29"/>
      <c r="P1036" s="29"/>
    </row>
    <row r="1037">
      <c r="A1037" s="111"/>
      <c r="B1037" s="112"/>
      <c r="C1037" s="29"/>
      <c r="D1037" s="29"/>
      <c r="E1037" s="29"/>
      <c r="F1037" s="29"/>
      <c r="G1037" s="29"/>
      <c r="H1037" s="29"/>
      <c r="I1037" s="29"/>
      <c r="J1037" s="29"/>
      <c r="K1037" s="29"/>
      <c r="L1037" s="29"/>
      <c r="M1037" s="29"/>
      <c r="N1037" s="29"/>
      <c r="O1037" s="29"/>
      <c r="P1037" s="29"/>
    </row>
    <row r="1038">
      <c r="A1038" s="111"/>
      <c r="B1038" s="112"/>
      <c r="C1038" s="29"/>
      <c r="D1038" s="29"/>
      <c r="E1038" s="29"/>
      <c r="F1038" s="29"/>
      <c r="G1038" s="29"/>
      <c r="H1038" s="29"/>
      <c r="I1038" s="29"/>
      <c r="J1038" s="29"/>
      <c r="K1038" s="29"/>
      <c r="L1038" s="29"/>
      <c r="M1038" s="29"/>
      <c r="N1038" s="29"/>
      <c r="O1038" s="29"/>
      <c r="P1038" s="29"/>
    </row>
    <row r="1039">
      <c r="A1039" s="111"/>
      <c r="B1039" s="112"/>
      <c r="C1039" s="29"/>
      <c r="D1039" s="29"/>
      <c r="E1039" s="29"/>
      <c r="F1039" s="29"/>
      <c r="G1039" s="29"/>
      <c r="H1039" s="29"/>
      <c r="I1039" s="29"/>
      <c r="J1039" s="29"/>
      <c r="K1039" s="29"/>
      <c r="L1039" s="29"/>
      <c r="M1039" s="29"/>
      <c r="N1039" s="29"/>
      <c r="O1039" s="29"/>
      <c r="P1039" s="29"/>
    </row>
    <row r="1040">
      <c r="A1040" s="111"/>
      <c r="B1040" s="112"/>
      <c r="C1040" s="29"/>
      <c r="D1040" s="29"/>
      <c r="E1040" s="29"/>
      <c r="F1040" s="29"/>
      <c r="G1040" s="29"/>
      <c r="H1040" s="29"/>
      <c r="I1040" s="29"/>
      <c r="J1040" s="29"/>
      <c r="K1040" s="29"/>
      <c r="L1040" s="29"/>
      <c r="M1040" s="29"/>
      <c r="N1040" s="29"/>
      <c r="O1040" s="29"/>
      <c r="P1040" s="29"/>
    </row>
    <row r="1041">
      <c r="A1041" s="111"/>
      <c r="B1041" s="112"/>
      <c r="C1041" s="29"/>
      <c r="D1041" s="29"/>
      <c r="E1041" s="29"/>
      <c r="F1041" s="29"/>
      <c r="G1041" s="29"/>
      <c r="H1041" s="29"/>
      <c r="I1041" s="29"/>
      <c r="J1041" s="29"/>
      <c r="K1041" s="29"/>
      <c r="L1041" s="29"/>
      <c r="M1041" s="29"/>
      <c r="N1041" s="29"/>
      <c r="O1041" s="29"/>
      <c r="P1041" s="29"/>
    </row>
    <row r="1042">
      <c r="A1042" s="111"/>
      <c r="B1042" s="112"/>
      <c r="C1042" s="29"/>
      <c r="D1042" s="29"/>
      <c r="E1042" s="29"/>
      <c r="F1042" s="29"/>
      <c r="G1042" s="29"/>
      <c r="H1042" s="29"/>
      <c r="I1042" s="29"/>
      <c r="J1042" s="29"/>
      <c r="K1042" s="29"/>
      <c r="L1042" s="29"/>
      <c r="M1042" s="29"/>
      <c r="N1042" s="29"/>
      <c r="O1042" s="29"/>
      <c r="P1042" s="29"/>
    </row>
    <row r="1043">
      <c r="A1043" s="111"/>
      <c r="B1043" s="112"/>
      <c r="C1043" s="29"/>
      <c r="D1043" s="29"/>
      <c r="E1043" s="29"/>
      <c r="F1043" s="29"/>
      <c r="G1043" s="29"/>
      <c r="H1043" s="29"/>
      <c r="I1043" s="29"/>
      <c r="J1043" s="29"/>
      <c r="K1043" s="29"/>
      <c r="L1043" s="29"/>
      <c r="M1043" s="29"/>
      <c r="N1043" s="29"/>
      <c r="O1043" s="29"/>
      <c r="P1043" s="29"/>
    </row>
    <row r="1044">
      <c r="A1044" s="111"/>
      <c r="B1044" s="112"/>
      <c r="C1044" s="29"/>
      <c r="D1044" s="29"/>
      <c r="E1044" s="29"/>
      <c r="F1044" s="29"/>
      <c r="G1044" s="29"/>
      <c r="H1044" s="29"/>
      <c r="I1044" s="29"/>
      <c r="J1044" s="29"/>
      <c r="K1044" s="29"/>
      <c r="L1044" s="29"/>
      <c r="M1044" s="29"/>
      <c r="N1044" s="29"/>
      <c r="O1044" s="29"/>
      <c r="P1044" s="29"/>
    </row>
    <row r="1045">
      <c r="A1045" s="111"/>
      <c r="B1045" s="112"/>
      <c r="C1045" s="29"/>
      <c r="D1045" s="29"/>
      <c r="E1045" s="29"/>
      <c r="F1045" s="29"/>
      <c r="G1045" s="29"/>
      <c r="H1045" s="29"/>
      <c r="I1045" s="29"/>
      <c r="J1045" s="29"/>
      <c r="K1045" s="29"/>
      <c r="L1045" s="29"/>
      <c r="M1045" s="29"/>
      <c r="N1045" s="29"/>
      <c r="O1045" s="29"/>
      <c r="P1045" s="29"/>
    </row>
    <row r="1046">
      <c r="A1046" s="111"/>
      <c r="B1046" s="112"/>
      <c r="C1046" s="29"/>
      <c r="D1046" s="29"/>
      <c r="E1046" s="29"/>
      <c r="F1046" s="29"/>
      <c r="G1046" s="29"/>
      <c r="H1046" s="29"/>
      <c r="I1046" s="29"/>
      <c r="J1046" s="29"/>
      <c r="K1046" s="29"/>
      <c r="L1046" s="29"/>
      <c r="M1046" s="29"/>
      <c r="N1046" s="29"/>
      <c r="O1046" s="29"/>
      <c r="P1046" s="29"/>
    </row>
    <row r="1047">
      <c r="A1047" s="111"/>
      <c r="B1047" s="112"/>
      <c r="C1047" s="29"/>
      <c r="D1047" s="29"/>
      <c r="E1047" s="29"/>
      <c r="F1047" s="29"/>
      <c r="G1047" s="29"/>
      <c r="H1047" s="29"/>
      <c r="I1047" s="29"/>
      <c r="J1047" s="29"/>
      <c r="K1047" s="29"/>
      <c r="L1047" s="29"/>
      <c r="M1047" s="29"/>
      <c r="N1047" s="29"/>
      <c r="O1047" s="29"/>
      <c r="P1047" s="29"/>
    </row>
    <row r="1048">
      <c r="A1048" s="111"/>
      <c r="B1048" s="112"/>
      <c r="C1048" s="29"/>
      <c r="D1048" s="29"/>
      <c r="E1048" s="29"/>
      <c r="F1048" s="29"/>
      <c r="G1048" s="29"/>
      <c r="H1048" s="29"/>
      <c r="I1048" s="29"/>
      <c r="J1048" s="29"/>
      <c r="K1048" s="29"/>
      <c r="L1048" s="29"/>
      <c r="M1048" s="29"/>
      <c r="N1048" s="29"/>
      <c r="O1048" s="29"/>
      <c r="P1048" s="29"/>
    </row>
    <row r="1049">
      <c r="A1049" s="111"/>
      <c r="B1049" s="112"/>
      <c r="C1049" s="29"/>
      <c r="D1049" s="29"/>
      <c r="E1049" s="29"/>
      <c r="F1049" s="29"/>
      <c r="G1049" s="29"/>
      <c r="H1049" s="29"/>
      <c r="I1049" s="29"/>
      <c r="J1049" s="29"/>
      <c r="K1049" s="29"/>
      <c r="L1049" s="29"/>
      <c r="M1049" s="29"/>
      <c r="N1049" s="29"/>
      <c r="O1049" s="29"/>
      <c r="P1049" s="29"/>
    </row>
    <row r="1050">
      <c r="A1050" s="111"/>
      <c r="B1050" s="112"/>
      <c r="C1050" s="29"/>
      <c r="D1050" s="29"/>
      <c r="E1050" s="29"/>
      <c r="F1050" s="29"/>
      <c r="G1050" s="29"/>
      <c r="H1050" s="29"/>
      <c r="I1050" s="29"/>
      <c r="J1050" s="29"/>
      <c r="K1050" s="29"/>
      <c r="L1050" s="29"/>
      <c r="M1050" s="29"/>
      <c r="N1050" s="29"/>
      <c r="O1050" s="29"/>
      <c r="P1050" s="29"/>
    </row>
    <row r="1051">
      <c r="A1051" s="111"/>
      <c r="B1051" s="112"/>
      <c r="C1051" s="29"/>
      <c r="D1051" s="29"/>
      <c r="E1051" s="29"/>
      <c r="F1051" s="29"/>
      <c r="G1051" s="29"/>
      <c r="H1051" s="29"/>
      <c r="I1051" s="29"/>
      <c r="J1051" s="29"/>
      <c r="K1051" s="29"/>
      <c r="L1051" s="29"/>
      <c r="M1051" s="29"/>
      <c r="N1051" s="29"/>
      <c r="O1051" s="29"/>
      <c r="P1051" s="29"/>
    </row>
    <row r="1052">
      <c r="A1052" s="111"/>
      <c r="B1052" s="112"/>
      <c r="C1052" s="29"/>
      <c r="D1052" s="29"/>
      <c r="E1052" s="29"/>
      <c r="F1052" s="29"/>
      <c r="G1052" s="29"/>
      <c r="H1052" s="29"/>
      <c r="I1052" s="29"/>
      <c r="J1052" s="29"/>
      <c r="K1052" s="29"/>
      <c r="L1052" s="29"/>
      <c r="M1052" s="29"/>
      <c r="N1052" s="29"/>
      <c r="O1052" s="29"/>
      <c r="P1052" s="29"/>
    </row>
    <row r="1053">
      <c r="A1053" s="111"/>
      <c r="B1053" s="112"/>
      <c r="C1053" s="29"/>
      <c r="D1053" s="29"/>
      <c r="E1053" s="29"/>
      <c r="F1053" s="29"/>
      <c r="G1053" s="29"/>
      <c r="H1053" s="29"/>
      <c r="I1053" s="29"/>
      <c r="J1053" s="29"/>
      <c r="K1053" s="29"/>
      <c r="L1053" s="29"/>
      <c r="M1053" s="29"/>
      <c r="N1053" s="29"/>
      <c r="O1053" s="29"/>
      <c r="P1053" s="29"/>
    </row>
    <row r="1054">
      <c r="A1054" s="111"/>
      <c r="B1054" s="112"/>
      <c r="C1054" s="29"/>
      <c r="D1054" s="29"/>
      <c r="E1054" s="29"/>
      <c r="F1054" s="29"/>
      <c r="G1054" s="29"/>
      <c r="H1054" s="29"/>
      <c r="I1054" s="29"/>
      <c r="J1054" s="29"/>
      <c r="K1054" s="29"/>
      <c r="L1054" s="29"/>
      <c r="M1054" s="29"/>
      <c r="N1054" s="29"/>
      <c r="O1054" s="29"/>
      <c r="P1054" s="29"/>
    </row>
    <row r="1055">
      <c r="A1055" s="111"/>
      <c r="B1055" s="112"/>
      <c r="C1055" s="29"/>
      <c r="D1055" s="29"/>
      <c r="E1055" s="29"/>
      <c r="F1055" s="29"/>
      <c r="G1055" s="29"/>
      <c r="H1055" s="29"/>
      <c r="I1055" s="29"/>
      <c r="J1055" s="29"/>
      <c r="K1055" s="29"/>
      <c r="L1055" s="29"/>
      <c r="M1055" s="29"/>
      <c r="N1055" s="29"/>
      <c r="O1055" s="29"/>
      <c r="P1055" s="29"/>
    </row>
    <row r="1056">
      <c r="A1056" s="111"/>
      <c r="B1056" s="112"/>
      <c r="C1056" s="29"/>
      <c r="D1056" s="29"/>
      <c r="E1056" s="29"/>
      <c r="F1056" s="29"/>
      <c r="G1056" s="29"/>
      <c r="H1056" s="29"/>
      <c r="I1056" s="29"/>
      <c r="J1056" s="29"/>
      <c r="K1056" s="29"/>
      <c r="L1056" s="29"/>
      <c r="M1056" s="29"/>
      <c r="N1056" s="29"/>
      <c r="O1056" s="29"/>
      <c r="P1056" s="29"/>
    </row>
    <row r="1057">
      <c r="A1057" s="111"/>
      <c r="B1057" s="112"/>
      <c r="C1057" s="29"/>
      <c r="D1057" s="29"/>
      <c r="E1057" s="29"/>
      <c r="F1057" s="29"/>
      <c r="G1057" s="29"/>
      <c r="H1057" s="29"/>
      <c r="I1057" s="29"/>
      <c r="J1057" s="29"/>
      <c r="K1057" s="29"/>
      <c r="L1057" s="29"/>
      <c r="M1057" s="29"/>
      <c r="N1057" s="29"/>
      <c r="O1057" s="29"/>
      <c r="P1057" s="29"/>
    </row>
    <row r="1058">
      <c r="A1058" s="111"/>
      <c r="B1058" s="112"/>
      <c r="C1058" s="29"/>
      <c r="D1058" s="29"/>
      <c r="E1058" s="29"/>
      <c r="F1058" s="29"/>
      <c r="G1058" s="29"/>
      <c r="H1058" s="29"/>
      <c r="I1058" s="29"/>
      <c r="J1058" s="29"/>
      <c r="K1058" s="29"/>
      <c r="L1058" s="29"/>
      <c r="M1058" s="29"/>
      <c r="N1058" s="29"/>
      <c r="O1058" s="29"/>
      <c r="P1058" s="29"/>
    </row>
    <row r="1059">
      <c r="A1059" s="111"/>
      <c r="B1059" s="112"/>
      <c r="C1059" s="29"/>
      <c r="D1059" s="29"/>
      <c r="E1059" s="29"/>
      <c r="F1059" s="29"/>
      <c r="G1059" s="29"/>
      <c r="H1059" s="29"/>
      <c r="I1059" s="29"/>
      <c r="J1059" s="29"/>
      <c r="K1059" s="29"/>
      <c r="L1059" s="29"/>
      <c r="M1059" s="29"/>
      <c r="N1059" s="29"/>
      <c r="O1059" s="29"/>
      <c r="P1059" s="29"/>
    </row>
    <row r="1060">
      <c r="A1060" s="111"/>
      <c r="B1060" s="112"/>
      <c r="C1060" s="29"/>
      <c r="D1060" s="29"/>
      <c r="E1060" s="29"/>
      <c r="F1060" s="29"/>
      <c r="G1060" s="29"/>
      <c r="H1060" s="29"/>
      <c r="I1060" s="29"/>
      <c r="J1060" s="29"/>
      <c r="K1060" s="29"/>
      <c r="L1060" s="29"/>
      <c r="M1060" s="29"/>
      <c r="N1060" s="29"/>
      <c r="O1060" s="29"/>
      <c r="P1060" s="29"/>
    </row>
    <row r="1061">
      <c r="A1061" s="111"/>
      <c r="B1061" s="112"/>
      <c r="C1061" s="29"/>
      <c r="D1061" s="29"/>
      <c r="E1061" s="29"/>
      <c r="F1061" s="29"/>
      <c r="G1061" s="29"/>
      <c r="H1061" s="29"/>
      <c r="I1061" s="29"/>
      <c r="J1061" s="29"/>
      <c r="K1061" s="29"/>
      <c r="L1061" s="29"/>
      <c r="M1061" s="29"/>
      <c r="N1061" s="29"/>
      <c r="O1061" s="29"/>
      <c r="P1061" s="29"/>
    </row>
    <row r="1062">
      <c r="A1062" s="111"/>
      <c r="B1062" s="112"/>
      <c r="C1062" s="29"/>
      <c r="D1062" s="29"/>
      <c r="E1062" s="29"/>
      <c r="F1062" s="29"/>
      <c r="G1062" s="29"/>
      <c r="H1062" s="29"/>
      <c r="I1062" s="29"/>
      <c r="J1062" s="29"/>
      <c r="K1062" s="29"/>
      <c r="L1062" s="29"/>
      <c r="M1062" s="29"/>
      <c r="N1062" s="29"/>
      <c r="O1062" s="29"/>
      <c r="P1062" s="29"/>
    </row>
    <row r="1063">
      <c r="A1063" s="111"/>
      <c r="B1063" s="112"/>
      <c r="C1063" s="29"/>
      <c r="D1063" s="29"/>
      <c r="E1063" s="29"/>
      <c r="F1063" s="29"/>
      <c r="G1063" s="29"/>
      <c r="H1063" s="29"/>
      <c r="I1063" s="29"/>
      <c r="J1063" s="29"/>
      <c r="K1063" s="29"/>
      <c r="L1063" s="29"/>
      <c r="M1063" s="29"/>
      <c r="N1063" s="29"/>
      <c r="O1063" s="29"/>
      <c r="P1063" s="29"/>
    </row>
    <row r="1064">
      <c r="A1064" s="111"/>
      <c r="B1064" s="112"/>
      <c r="C1064" s="29"/>
      <c r="D1064" s="29"/>
      <c r="E1064" s="29"/>
      <c r="F1064" s="29"/>
      <c r="G1064" s="29"/>
      <c r="H1064" s="29"/>
      <c r="I1064" s="29"/>
      <c r="J1064" s="29"/>
      <c r="K1064" s="29"/>
      <c r="L1064" s="29"/>
      <c r="M1064" s="29"/>
      <c r="N1064" s="29"/>
      <c r="O1064" s="29"/>
      <c r="P1064" s="29"/>
    </row>
    <row r="1065">
      <c r="A1065" s="111"/>
      <c r="B1065" s="112"/>
      <c r="C1065" s="29"/>
      <c r="D1065" s="29"/>
      <c r="E1065" s="29"/>
      <c r="F1065" s="29"/>
      <c r="G1065" s="29"/>
      <c r="H1065" s="29"/>
      <c r="I1065" s="29"/>
      <c r="J1065" s="29"/>
      <c r="K1065" s="29"/>
      <c r="L1065" s="29"/>
      <c r="M1065" s="29"/>
      <c r="N1065" s="29"/>
      <c r="O1065" s="29"/>
      <c r="P1065" s="29"/>
    </row>
    <row r="1066">
      <c r="A1066" s="111"/>
      <c r="B1066" s="112"/>
      <c r="C1066" s="29"/>
      <c r="D1066" s="29"/>
      <c r="E1066" s="29"/>
      <c r="F1066" s="29"/>
      <c r="G1066" s="29"/>
      <c r="H1066" s="29"/>
      <c r="I1066" s="29"/>
      <c r="J1066" s="29"/>
      <c r="K1066" s="29"/>
      <c r="L1066" s="29"/>
      <c r="M1066" s="29"/>
      <c r="N1066" s="29"/>
      <c r="O1066" s="29"/>
      <c r="P1066" s="29"/>
    </row>
    <row r="1067">
      <c r="A1067" s="111"/>
      <c r="B1067" s="112"/>
      <c r="C1067" s="29"/>
      <c r="D1067" s="29"/>
      <c r="E1067" s="29"/>
      <c r="F1067" s="29"/>
      <c r="G1067" s="29"/>
      <c r="H1067" s="29"/>
      <c r="I1067" s="29"/>
      <c r="J1067" s="29"/>
      <c r="K1067" s="29"/>
      <c r="L1067" s="29"/>
      <c r="M1067" s="29"/>
      <c r="N1067" s="29"/>
      <c r="O1067" s="29"/>
      <c r="P1067" s="29"/>
    </row>
    <row r="1068">
      <c r="A1068" s="111"/>
      <c r="B1068" s="112"/>
      <c r="C1068" s="29"/>
      <c r="D1068" s="29"/>
      <c r="E1068" s="29"/>
      <c r="F1068" s="29"/>
      <c r="G1068" s="29"/>
      <c r="H1068" s="29"/>
      <c r="I1068" s="29"/>
      <c r="J1068" s="29"/>
      <c r="K1068" s="29"/>
      <c r="L1068" s="29"/>
      <c r="M1068" s="29"/>
      <c r="N1068" s="29"/>
      <c r="O1068" s="29"/>
      <c r="P1068" s="29"/>
    </row>
    <row r="1069">
      <c r="A1069" s="111"/>
      <c r="B1069" s="112"/>
      <c r="C1069" s="29"/>
      <c r="D1069" s="29"/>
      <c r="E1069" s="29"/>
      <c r="F1069" s="29"/>
      <c r="G1069" s="29"/>
      <c r="H1069" s="29"/>
      <c r="I1069" s="29"/>
      <c r="J1069" s="29"/>
      <c r="K1069" s="29"/>
      <c r="L1069" s="29"/>
      <c r="M1069" s="29"/>
      <c r="N1069" s="29"/>
      <c r="O1069" s="29"/>
      <c r="P1069" s="29"/>
    </row>
    <row r="1070">
      <c r="A1070" s="111"/>
      <c r="B1070" s="112"/>
      <c r="C1070" s="29"/>
      <c r="D1070" s="29"/>
      <c r="E1070" s="29"/>
      <c r="F1070" s="29"/>
      <c r="G1070" s="29"/>
      <c r="H1070" s="29"/>
      <c r="I1070" s="29"/>
      <c r="J1070" s="29"/>
      <c r="K1070" s="29"/>
      <c r="L1070" s="29"/>
      <c r="M1070" s="29"/>
      <c r="N1070" s="29"/>
      <c r="O1070" s="29"/>
      <c r="P1070" s="29"/>
    </row>
    <row r="1071">
      <c r="A1071" s="111"/>
      <c r="B1071" s="112"/>
      <c r="C1071" s="29"/>
      <c r="D1071" s="29"/>
      <c r="E1071" s="29"/>
      <c r="F1071" s="29"/>
      <c r="G1071" s="29"/>
      <c r="H1071" s="29"/>
      <c r="I1071" s="29"/>
      <c r="J1071" s="29"/>
      <c r="K1071" s="29"/>
      <c r="L1071" s="29"/>
      <c r="M1071" s="29"/>
      <c r="N1071" s="29"/>
      <c r="O1071" s="29"/>
      <c r="P1071" s="29"/>
    </row>
    <row r="1072">
      <c r="A1072" s="111"/>
      <c r="B1072" s="112"/>
      <c r="C1072" s="29"/>
      <c r="D1072" s="29"/>
      <c r="E1072" s="29"/>
      <c r="F1072" s="29"/>
      <c r="G1072" s="29"/>
      <c r="H1072" s="29"/>
      <c r="I1072" s="29"/>
      <c r="J1072" s="29"/>
      <c r="K1072" s="29"/>
      <c r="L1072" s="29"/>
      <c r="M1072" s="29"/>
      <c r="N1072" s="29"/>
      <c r="O1072" s="29"/>
      <c r="P1072" s="29"/>
    </row>
    <row r="1073">
      <c r="A1073" s="111"/>
      <c r="B1073" s="112"/>
      <c r="C1073" s="29"/>
      <c r="D1073" s="29"/>
      <c r="E1073" s="29"/>
      <c r="F1073" s="29"/>
      <c r="G1073" s="29"/>
      <c r="H1073" s="29"/>
      <c r="I1073" s="29"/>
      <c r="J1073" s="29"/>
      <c r="K1073" s="29"/>
      <c r="L1073" s="29"/>
      <c r="M1073" s="29"/>
      <c r="N1073" s="29"/>
      <c r="O1073" s="29"/>
      <c r="P1073" s="29"/>
    </row>
    <row r="1074">
      <c r="A1074" s="111"/>
      <c r="B1074" s="112"/>
      <c r="C1074" s="29"/>
      <c r="D1074" s="29"/>
      <c r="E1074" s="29"/>
      <c r="F1074" s="29"/>
      <c r="G1074" s="29"/>
      <c r="H1074" s="29"/>
      <c r="I1074" s="29"/>
      <c r="J1074" s="29"/>
      <c r="K1074" s="29"/>
      <c r="L1074" s="29"/>
      <c r="M1074" s="29"/>
      <c r="N1074" s="29"/>
      <c r="O1074" s="29"/>
      <c r="P1074" s="29"/>
    </row>
    <row r="1075">
      <c r="A1075" s="111"/>
      <c r="B1075" s="112"/>
      <c r="C1075" s="29"/>
      <c r="D1075" s="29"/>
      <c r="E1075" s="29"/>
      <c r="F1075" s="29"/>
      <c r="G1075" s="29"/>
      <c r="H1075" s="29"/>
      <c r="I1075" s="29"/>
      <c r="J1075" s="29"/>
      <c r="K1075" s="29"/>
      <c r="L1075" s="29"/>
      <c r="M1075" s="29"/>
      <c r="N1075" s="29"/>
      <c r="O1075" s="29"/>
      <c r="P1075" s="29"/>
    </row>
    <row r="1076">
      <c r="A1076" s="111"/>
      <c r="B1076" s="112"/>
      <c r="C1076" s="29"/>
      <c r="D1076" s="29"/>
      <c r="E1076" s="29"/>
      <c r="F1076" s="29"/>
      <c r="G1076" s="29"/>
      <c r="H1076" s="29"/>
      <c r="I1076" s="29"/>
      <c r="J1076" s="29"/>
      <c r="K1076" s="29"/>
      <c r="L1076" s="29"/>
      <c r="M1076" s="29"/>
      <c r="N1076" s="29"/>
      <c r="O1076" s="29"/>
      <c r="P1076" s="29"/>
    </row>
    <row r="1077">
      <c r="A1077" s="111"/>
      <c r="B1077" s="112"/>
      <c r="C1077" s="29"/>
      <c r="D1077" s="29"/>
      <c r="E1077" s="29"/>
      <c r="F1077" s="29"/>
      <c r="G1077" s="29"/>
      <c r="H1077" s="29"/>
      <c r="I1077" s="29"/>
      <c r="J1077" s="29"/>
      <c r="K1077" s="29"/>
      <c r="L1077" s="29"/>
      <c r="M1077" s="29"/>
      <c r="N1077" s="29"/>
      <c r="O1077" s="29"/>
      <c r="P1077" s="29"/>
    </row>
    <row r="1078">
      <c r="A1078" s="111"/>
      <c r="B1078" s="112"/>
      <c r="C1078" s="29"/>
      <c r="D1078" s="29"/>
      <c r="E1078" s="29"/>
      <c r="F1078" s="29"/>
      <c r="G1078" s="29"/>
      <c r="H1078" s="29"/>
      <c r="I1078" s="29"/>
      <c r="J1078" s="29"/>
      <c r="K1078" s="29"/>
      <c r="L1078" s="29"/>
      <c r="M1078" s="29"/>
      <c r="N1078" s="29"/>
      <c r="O1078" s="29"/>
      <c r="P1078" s="29"/>
    </row>
    <row r="1079">
      <c r="A1079" s="111"/>
      <c r="B1079" s="112"/>
      <c r="C1079" s="29"/>
      <c r="D1079" s="29"/>
      <c r="E1079" s="29"/>
      <c r="F1079" s="29"/>
      <c r="G1079" s="29"/>
      <c r="H1079" s="29"/>
      <c r="I1079" s="29"/>
      <c r="J1079" s="29"/>
      <c r="K1079" s="29"/>
      <c r="L1079" s="29"/>
      <c r="M1079" s="29"/>
      <c r="N1079" s="29"/>
      <c r="O1079" s="29"/>
      <c r="P1079" s="29"/>
    </row>
    <row r="1080">
      <c r="A1080" s="111"/>
      <c r="B1080" s="112"/>
      <c r="C1080" s="29"/>
      <c r="D1080" s="29"/>
      <c r="E1080" s="29"/>
      <c r="F1080" s="29"/>
      <c r="G1080" s="29"/>
      <c r="H1080" s="29"/>
      <c r="I1080" s="29"/>
      <c r="J1080" s="29"/>
      <c r="K1080" s="29"/>
      <c r="L1080" s="29"/>
      <c r="M1080" s="29"/>
      <c r="N1080" s="29"/>
      <c r="O1080" s="29"/>
      <c r="P1080" s="29"/>
    </row>
    <row r="1081">
      <c r="A1081" s="111"/>
      <c r="B1081" s="112"/>
      <c r="C1081" s="29"/>
      <c r="D1081" s="29"/>
      <c r="E1081" s="29"/>
      <c r="F1081" s="29"/>
      <c r="G1081" s="29"/>
      <c r="H1081" s="29"/>
      <c r="I1081" s="29"/>
      <c r="J1081" s="29"/>
      <c r="K1081" s="29"/>
      <c r="L1081" s="29"/>
      <c r="M1081" s="29"/>
      <c r="N1081" s="29"/>
      <c r="O1081" s="29"/>
      <c r="P1081" s="29"/>
    </row>
    <row r="1082">
      <c r="A1082" s="111"/>
      <c r="B1082" s="112"/>
      <c r="C1082" s="29"/>
      <c r="D1082" s="29"/>
      <c r="E1082" s="29"/>
      <c r="F1082" s="29"/>
      <c r="G1082" s="29"/>
      <c r="H1082" s="29"/>
      <c r="I1082" s="29"/>
      <c r="J1082" s="29"/>
      <c r="K1082" s="29"/>
      <c r="L1082" s="29"/>
      <c r="M1082" s="29"/>
      <c r="N1082" s="29"/>
      <c r="O1082" s="29"/>
      <c r="P1082" s="29"/>
    </row>
    <row r="1083">
      <c r="A1083" s="111"/>
      <c r="B1083" s="112"/>
      <c r="C1083" s="29"/>
      <c r="D1083" s="29"/>
      <c r="E1083" s="29"/>
      <c r="F1083" s="29"/>
      <c r="G1083" s="29"/>
      <c r="H1083" s="29"/>
      <c r="I1083" s="29"/>
      <c r="J1083" s="29"/>
      <c r="K1083" s="29"/>
      <c r="L1083" s="29"/>
      <c r="M1083" s="29"/>
      <c r="N1083" s="29"/>
      <c r="O1083" s="29"/>
      <c r="P1083" s="29"/>
    </row>
    <row r="1084">
      <c r="A1084" s="111"/>
      <c r="B1084" s="112"/>
      <c r="C1084" s="29"/>
      <c r="D1084" s="29"/>
      <c r="E1084" s="29"/>
      <c r="F1084" s="29"/>
      <c r="G1084" s="29"/>
      <c r="H1084" s="29"/>
      <c r="I1084" s="29"/>
      <c r="J1084" s="29"/>
      <c r="K1084" s="29"/>
      <c r="L1084" s="29"/>
      <c r="M1084" s="29"/>
      <c r="N1084" s="29"/>
      <c r="O1084" s="29"/>
      <c r="P1084" s="29"/>
    </row>
    <row r="1085">
      <c r="A1085" s="111"/>
      <c r="B1085" s="112"/>
      <c r="C1085" s="29"/>
      <c r="D1085" s="29"/>
      <c r="E1085" s="29"/>
      <c r="F1085" s="29"/>
      <c r="G1085" s="29"/>
      <c r="H1085" s="29"/>
      <c r="I1085" s="29"/>
      <c r="J1085" s="29"/>
      <c r="K1085" s="29"/>
      <c r="L1085" s="29"/>
      <c r="M1085" s="29"/>
      <c r="N1085" s="29"/>
      <c r="O1085" s="29"/>
      <c r="P1085" s="29"/>
    </row>
    <row r="1086">
      <c r="A1086" s="111"/>
      <c r="B1086" s="112"/>
      <c r="C1086" s="29"/>
      <c r="D1086" s="29"/>
      <c r="E1086" s="29"/>
      <c r="F1086" s="29"/>
      <c r="G1086" s="29"/>
      <c r="H1086" s="29"/>
      <c r="I1086" s="29"/>
      <c r="J1086" s="29"/>
      <c r="K1086" s="29"/>
      <c r="L1086" s="29"/>
      <c r="M1086" s="29"/>
      <c r="N1086" s="29"/>
      <c r="O1086" s="29"/>
      <c r="P1086" s="29"/>
    </row>
    <row r="1087">
      <c r="A1087" s="111"/>
      <c r="B1087" s="112"/>
      <c r="C1087" s="29"/>
      <c r="D1087" s="29"/>
      <c r="E1087" s="29"/>
      <c r="F1087" s="29"/>
      <c r="G1087" s="29"/>
      <c r="H1087" s="29"/>
      <c r="I1087" s="29"/>
      <c r="J1087" s="29"/>
      <c r="K1087" s="29"/>
      <c r="L1087" s="29"/>
      <c r="M1087" s="29"/>
      <c r="N1087" s="29"/>
      <c r="O1087" s="29"/>
      <c r="P1087" s="29"/>
    </row>
    <row r="1088">
      <c r="A1088" s="111"/>
      <c r="B1088" s="112"/>
      <c r="C1088" s="29"/>
      <c r="D1088" s="29"/>
      <c r="E1088" s="29"/>
      <c r="F1088" s="29"/>
      <c r="G1088" s="29"/>
      <c r="H1088" s="29"/>
      <c r="I1088" s="29"/>
      <c r="J1088" s="29"/>
      <c r="K1088" s="29"/>
      <c r="L1088" s="29"/>
      <c r="M1088" s="29"/>
      <c r="N1088" s="29"/>
      <c r="O1088" s="29"/>
      <c r="P1088" s="29"/>
    </row>
    <row r="1089">
      <c r="A1089" s="111"/>
      <c r="B1089" s="112"/>
      <c r="C1089" s="29"/>
      <c r="D1089" s="29"/>
      <c r="E1089" s="29"/>
      <c r="F1089" s="29"/>
      <c r="G1089" s="29"/>
      <c r="H1089" s="29"/>
      <c r="I1089" s="29"/>
      <c r="J1089" s="29"/>
      <c r="K1089" s="29"/>
      <c r="L1089" s="29"/>
      <c r="M1089" s="29"/>
      <c r="N1089" s="29"/>
      <c r="O1089" s="29"/>
      <c r="P1089" s="29"/>
    </row>
    <row r="1090">
      <c r="A1090" s="111"/>
      <c r="B1090" s="112"/>
      <c r="C1090" s="29"/>
      <c r="D1090" s="29"/>
      <c r="E1090" s="29"/>
      <c r="F1090" s="29"/>
      <c r="G1090" s="29"/>
      <c r="H1090" s="29"/>
      <c r="I1090" s="29"/>
      <c r="J1090" s="29"/>
      <c r="K1090" s="29"/>
      <c r="L1090" s="29"/>
      <c r="M1090" s="29"/>
      <c r="N1090" s="29"/>
      <c r="O1090" s="29"/>
      <c r="P1090" s="29"/>
    </row>
    <row r="1091">
      <c r="A1091" s="111"/>
      <c r="B1091" s="112"/>
      <c r="C1091" s="29"/>
      <c r="D1091" s="29"/>
      <c r="E1091" s="29"/>
      <c r="F1091" s="29"/>
      <c r="G1091" s="29"/>
      <c r="H1091" s="29"/>
      <c r="I1091" s="29"/>
      <c r="J1091" s="29"/>
      <c r="K1091" s="29"/>
      <c r="L1091" s="29"/>
      <c r="M1091" s="29"/>
      <c r="N1091" s="29"/>
      <c r="O1091" s="29"/>
      <c r="P1091" s="29"/>
    </row>
    <row r="1092">
      <c r="A1092" s="111"/>
      <c r="B1092" s="112"/>
      <c r="C1092" s="29"/>
      <c r="D1092" s="29"/>
      <c r="E1092" s="29"/>
      <c r="F1092" s="29"/>
      <c r="G1092" s="29"/>
      <c r="H1092" s="29"/>
      <c r="I1092" s="29"/>
      <c r="J1092" s="29"/>
      <c r="K1092" s="29"/>
      <c r="L1092" s="29"/>
      <c r="M1092" s="29"/>
      <c r="N1092" s="29"/>
      <c r="O1092" s="29"/>
      <c r="P1092" s="29"/>
    </row>
    <row r="1093">
      <c r="A1093" s="111"/>
      <c r="B1093" s="112"/>
      <c r="C1093" s="29"/>
      <c r="D1093" s="29"/>
      <c r="E1093" s="29"/>
      <c r="F1093" s="29"/>
      <c r="G1093" s="29"/>
      <c r="H1093" s="29"/>
      <c r="I1093" s="29"/>
      <c r="J1093" s="29"/>
      <c r="K1093" s="29"/>
      <c r="L1093" s="29"/>
      <c r="M1093" s="29"/>
      <c r="N1093" s="29"/>
      <c r="O1093" s="29"/>
      <c r="P1093" s="29"/>
    </row>
    <row r="1094">
      <c r="A1094" s="111"/>
      <c r="B1094" s="112"/>
      <c r="C1094" s="29"/>
      <c r="D1094" s="29"/>
      <c r="E1094" s="29"/>
      <c r="F1094" s="29"/>
      <c r="G1094" s="29"/>
      <c r="H1094" s="29"/>
      <c r="I1094" s="29"/>
      <c r="J1094" s="29"/>
      <c r="K1094" s="29"/>
      <c r="L1094" s="29"/>
      <c r="M1094" s="29"/>
      <c r="N1094" s="29"/>
      <c r="O1094" s="29"/>
      <c r="P1094" s="29"/>
    </row>
    <row r="1095">
      <c r="A1095" s="111"/>
      <c r="B1095" s="112"/>
      <c r="C1095" s="29"/>
      <c r="D1095" s="29"/>
      <c r="E1095" s="29"/>
      <c r="F1095" s="29"/>
      <c r="G1095" s="29"/>
      <c r="H1095" s="29"/>
      <c r="I1095" s="29"/>
      <c r="J1095" s="29"/>
      <c r="K1095" s="29"/>
      <c r="L1095" s="29"/>
      <c r="M1095" s="29"/>
      <c r="N1095" s="29"/>
      <c r="O1095" s="29"/>
      <c r="P1095" s="29"/>
    </row>
    <row r="1096">
      <c r="A1096" s="111"/>
      <c r="B1096" s="112"/>
      <c r="C1096" s="29"/>
      <c r="D1096" s="29"/>
      <c r="E1096" s="29"/>
      <c r="F1096" s="29"/>
      <c r="G1096" s="29"/>
      <c r="H1096" s="29"/>
      <c r="I1096" s="29"/>
      <c r="J1096" s="29"/>
      <c r="K1096" s="29"/>
      <c r="L1096" s="29"/>
      <c r="M1096" s="29"/>
      <c r="N1096" s="29"/>
      <c r="O1096" s="29"/>
      <c r="P1096" s="29"/>
    </row>
    <row r="1097">
      <c r="A1097" s="111"/>
      <c r="B1097" s="112"/>
      <c r="C1097" s="29"/>
      <c r="D1097" s="29"/>
      <c r="E1097" s="29"/>
      <c r="F1097" s="29"/>
      <c r="G1097" s="29"/>
      <c r="H1097" s="29"/>
      <c r="I1097" s="29"/>
      <c r="J1097" s="29"/>
      <c r="K1097" s="29"/>
      <c r="L1097" s="29"/>
      <c r="M1097" s="29"/>
      <c r="N1097" s="29"/>
      <c r="O1097" s="29"/>
      <c r="P1097" s="29"/>
    </row>
    <row r="1098">
      <c r="A1098" s="111"/>
      <c r="B1098" s="112"/>
      <c r="C1098" s="29"/>
      <c r="D1098" s="29"/>
      <c r="E1098" s="29"/>
      <c r="F1098" s="29"/>
      <c r="G1098" s="29"/>
      <c r="H1098" s="29"/>
      <c r="I1098" s="29"/>
      <c r="J1098" s="29"/>
      <c r="K1098" s="29"/>
      <c r="L1098" s="29"/>
      <c r="M1098" s="29"/>
      <c r="N1098" s="29"/>
      <c r="O1098" s="29"/>
      <c r="P1098" s="29"/>
    </row>
    <row r="1099">
      <c r="A1099" s="111"/>
      <c r="B1099" s="112"/>
      <c r="C1099" s="29"/>
      <c r="D1099" s="29"/>
      <c r="E1099" s="29"/>
      <c r="F1099" s="29"/>
      <c r="G1099" s="29"/>
      <c r="H1099" s="29"/>
      <c r="I1099" s="29"/>
      <c r="J1099" s="29"/>
      <c r="K1099" s="29"/>
      <c r="L1099" s="29"/>
      <c r="M1099" s="29"/>
      <c r="N1099" s="29"/>
      <c r="O1099" s="29"/>
      <c r="P1099" s="29"/>
    </row>
    <row r="1100">
      <c r="A1100" s="111"/>
      <c r="B1100" s="112"/>
      <c r="C1100" s="29"/>
      <c r="D1100" s="29"/>
      <c r="E1100" s="29"/>
      <c r="F1100" s="29"/>
      <c r="G1100" s="29"/>
      <c r="H1100" s="29"/>
      <c r="I1100" s="29"/>
      <c r="J1100" s="29"/>
      <c r="K1100" s="29"/>
      <c r="L1100" s="29"/>
      <c r="M1100" s="29"/>
      <c r="N1100" s="29"/>
      <c r="O1100" s="29"/>
      <c r="P1100" s="29"/>
    </row>
    <row r="1101">
      <c r="A1101" s="111"/>
      <c r="B1101" s="112"/>
      <c r="C1101" s="29"/>
      <c r="D1101" s="29"/>
      <c r="E1101" s="29"/>
      <c r="F1101" s="29"/>
      <c r="G1101" s="29"/>
      <c r="H1101" s="29"/>
      <c r="I1101" s="29"/>
      <c r="J1101" s="29"/>
      <c r="K1101" s="29"/>
      <c r="L1101" s="29"/>
      <c r="M1101" s="29"/>
      <c r="N1101" s="29"/>
      <c r="O1101" s="29"/>
      <c r="P1101" s="29"/>
    </row>
    <row r="1102">
      <c r="A1102" s="111"/>
      <c r="B1102" s="112"/>
      <c r="C1102" s="29"/>
      <c r="D1102" s="29"/>
      <c r="E1102" s="29"/>
      <c r="F1102" s="29"/>
      <c r="G1102" s="29"/>
      <c r="H1102" s="29"/>
      <c r="I1102" s="29"/>
      <c r="J1102" s="29"/>
      <c r="K1102" s="29"/>
      <c r="L1102" s="29"/>
      <c r="M1102" s="29"/>
      <c r="N1102" s="29"/>
      <c r="O1102" s="29"/>
      <c r="P1102" s="29"/>
    </row>
    <row r="1103">
      <c r="A1103" s="111"/>
      <c r="B1103" s="112"/>
      <c r="C1103" s="29"/>
      <c r="D1103" s="29"/>
      <c r="E1103" s="29"/>
      <c r="F1103" s="29"/>
      <c r="G1103" s="29"/>
      <c r="H1103" s="29"/>
      <c r="I1103" s="29"/>
      <c r="J1103" s="29"/>
      <c r="K1103" s="29"/>
      <c r="L1103" s="29"/>
      <c r="M1103" s="29"/>
      <c r="N1103" s="29"/>
      <c r="O1103" s="29"/>
      <c r="P1103" s="29"/>
    </row>
    <row r="1104">
      <c r="A1104" s="111"/>
      <c r="B1104" s="112"/>
      <c r="C1104" s="29"/>
      <c r="D1104" s="29"/>
      <c r="E1104" s="29"/>
      <c r="F1104" s="29"/>
      <c r="G1104" s="29"/>
      <c r="H1104" s="29"/>
      <c r="I1104" s="29"/>
      <c r="J1104" s="29"/>
      <c r="K1104" s="29"/>
      <c r="L1104" s="29"/>
      <c r="M1104" s="29"/>
      <c r="N1104" s="29"/>
      <c r="O1104" s="29"/>
      <c r="P1104" s="29"/>
    </row>
    <row r="1105">
      <c r="A1105" s="111"/>
      <c r="B1105" s="112"/>
      <c r="C1105" s="29"/>
      <c r="D1105" s="29"/>
      <c r="E1105" s="29"/>
      <c r="F1105" s="29"/>
      <c r="G1105" s="29"/>
      <c r="H1105" s="29"/>
      <c r="I1105" s="29"/>
      <c r="J1105" s="29"/>
      <c r="K1105" s="29"/>
      <c r="L1105" s="29"/>
      <c r="M1105" s="29"/>
      <c r="N1105" s="29"/>
      <c r="O1105" s="29"/>
      <c r="P1105" s="29"/>
    </row>
    <row r="1106">
      <c r="A1106" s="111"/>
      <c r="B1106" s="112"/>
      <c r="C1106" s="29"/>
      <c r="D1106" s="29"/>
      <c r="E1106" s="29"/>
      <c r="F1106" s="29"/>
      <c r="G1106" s="29"/>
      <c r="H1106" s="29"/>
      <c r="I1106" s="29"/>
      <c r="J1106" s="29"/>
      <c r="K1106" s="29"/>
      <c r="L1106" s="29"/>
      <c r="M1106" s="29"/>
      <c r="N1106" s="29"/>
      <c r="O1106" s="29"/>
      <c r="P1106" s="29"/>
    </row>
    <row r="1107">
      <c r="A1107" s="111"/>
      <c r="B1107" s="112"/>
      <c r="C1107" s="29"/>
      <c r="D1107" s="29"/>
      <c r="E1107" s="29"/>
      <c r="F1107" s="29"/>
      <c r="G1107" s="29"/>
      <c r="H1107" s="29"/>
      <c r="I1107" s="29"/>
      <c r="J1107" s="29"/>
      <c r="K1107" s="29"/>
      <c r="L1107" s="29"/>
      <c r="M1107" s="29"/>
      <c r="N1107" s="29"/>
      <c r="O1107" s="29"/>
      <c r="P1107" s="29"/>
    </row>
    <row r="1108">
      <c r="A1108" s="111"/>
      <c r="B1108" s="112"/>
      <c r="C1108" s="29"/>
      <c r="D1108" s="29"/>
      <c r="E1108" s="29"/>
      <c r="F1108" s="29"/>
      <c r="G1108" s="29"/>
      <c r="H1108" s="29"/>
      <c r="I1108" s="29"/>
      <c r="J1108" s="29"/>
      <c r="K1108" s="29"/>
      <c r="L1108" s="29"/>
      <c r="M1108" s="29"/>
      <c r="N1108" s="29"/>
      <c r="O1108" s="29"/>
      <c r="P1108" s="29"/>
    </row>
    <row r="1109">
      <c r="A1109" s="111"/>
      <c r="B1109" s="112"/>
      <c r="C1109" s="29"/>
      <c r="D1109" s="29"/>
      <c r="E1109" s="29"/>
      <c r="F1109" s="29"/>
      <c r="G1109" s="29"/>
      <c r="H1109" s="29"/>
      <c r="I1109" s="29"/>
      <c r="J1109" s="29"/>
      <c r="K1109" s="29"/>
      <c r="L1109" s="29"/>
      <c r="M1109" s="29"/>
      <c r="N1109" s="29"/>
      <c r="O1109" s="29"/>
      <c r="P1109" s="29"/>
    </row>
    <row r="1110">
      <c r="A1110" s="111"/>
      <c r="B1110" s="112"/>
      <c r="C1110" s="29"/>
      <c r="D1110" s="29"/>
      <c r="E1110" s="29"/>
      <c r="F1110" s="29"/>
      <c r="G1110" s="29"/>
      <c r="H1110" s="29"/>
      <c r="I1110" s="29"/>
      <c r="J1110" s="29"/>
      <c r="K1110" s="29"/>
      <c r="L1110" s="29"/>
      <c r="M1110" s="29"/>
      <c r="N1110" s="29"/>
      <c r="O1110" s="29"/>
      <c r="P1110" s="29"/>
    </row>
    <row r="1111">
      <c r="A1111" s="111"/>
      <c r="B1111" s="112"/>
      <c r="C1111" s="29"/>
      <c r="D1111" s="29"/>
      <c r="E1111" s="29"/>
      <c r="F1111" s="29"/>
      <c r="G1111" s="29"/>
      <c r="H1111" s="29"/>
      <c r="I1111" s="29"/>
      <c r="J1111" s="29"/>
      <c r="K1111" s="29"/>
      <c r="L1111" s="29"/>
      <c r="M1111" s="29"/>
      <c r="N1111" s="29"/>
      <c r="O1111" s="29"/>
      <c r="P1111" s="29"/>
    </row>
    <row r="1112">
      <c r="A1112" s="111"/>
      <c r="B1112" s="112"/>
      <c r="C1112" s="29"/>
      <c r="D1112" s="29"/>
      <c r="E1112" s="29"/>
      <c r="F1112" s="29"/>
      <c r="G1112" s="29"/>
      <c r="H1112" s="29"/>
      <c r="I1112" s="29"/>
      <c r="J1112" s="29"/>
      <c r="K1112" s="29"/>
      <c r="L1112" s="29"/>
      <c r="M1112" s="29"/>
      <c r="N1112" s="29"/>
      <c r="O1112" s="29"/>
      <c r="P1112" s="29"/>
    </row>
    <row r="1113">
      <c r="A1113" s="111"/>
      <c r="B1113" s="112"/>
      <c r="C1113" s="29"/>
      <c r="D1113" s="29"/>
      <c r="E1113" s="29"/>
      <c r="F1113" s="29"/>
      <c r="G1113" s="29"/>
      <c r="H1113" s="29"/>
      <c r="I1113" s="29"/>
      <c r="J1113" s="29"/>
      <c r="K1113" s="29"/>
      <c r="L1113" s="29"/>
      <c r="M1113" s="29"/>
      <c r="N1113" s="29"/>
      <c r="O1113" s="29"/>
      <c r="P1113" s="29"/>
    </row>
    <row r="1114">
      <c r="A1114" s="111"/>
      <c r="B1114" s="112"/>
      <c r="C1114" s="29"/>
      <c r="D1114" s="29"/>
      <c r="E1114" s="29"/>
      <c r="F1114" s="29"/>
      <c r="G1114" s="29"/>
      <c r="H1114" s="29"/>
      <c r="I1114" s="29"/>
      <c r="J1114" s="29"/>
      <c r="K1114" s="29"/>
      <c r="L1114" s="29"/>
      <c r="M1114" s="29"/>
      <c r="N1114" s="29"/>
      <c r="O1114" s="29"/>
      <c r="P1114" s="29"/>
    </row>
    <row r="1115">
      <c r="A1115" s="111"/>
      <c r="B1115" s="112"/>
      <c r="C1115" s="29"/>
      <c r="D1115" s="29"/>
      <c r="E1115" s="29"/>
      <c r="F1115" s="29"/>
      <c r="G1115" s="29"/>
      <c r="H1115" s="29"/>
      <c r="I1115" s="29"/>
      <c r="J1115" s="29"/>
      <c r="K1115" s="29"/>
      <c r="L1115" s="29"/>
      <c r="M1115" s="29"/>
      <c r="N1115" s="29"/>
      <c r="O1115" s="29"/>
      <c r="P1115" s="29"/>
    </row>
    <row r="1116">
      <c r="A1116" s="111"/>
      <c r="B1116" s="112"/>
      <c r="C1116" s="29"/>
      <c r="D1116" s="29"/>
      <c r="E1116" s="29"/>
      <c r="F1116" s="29"/>
      <c r="G1116" s="29"/>
      <c r="H1116" s="29"/>
      <c r="I1116" s="29"/>
      <c r="J1116" s="29"/>
      <c r="K1116" s="29"/>
      <c r="L1116" s="29"/>
      <c r="M1116" s="29"/>
      <c r="N1116" s="29"/>
      <c r="O1116" s="29"/>
      <c r="P1116" s="29"/>
    </row>
    <row r="1117">
      <c r="A1117" s="111"/>
      <c r="B1117" s="112"/>
      <c r="C1117" s="29"/>
      <c r="D1117" s="29"/>
      <c r="E1117" s="29"/>
      <c r="F1117" s="29"/>
      <c r="G1117" s="29"/>
      <c r="H1117" s="29"/>
      <c r="I1117" s="29"/>
      <c r="J1117" s="29"/>
      <c r="K1117" s="29"/>
      <c r="L1117" s="29"/>
      <c r="M1117" s="29"/>
      <c r="N1117" s="29"/>
      <c r="O1117" s="29"/>
      <c r="P1117" s="29"/>
    </row>
    <row r="1118">
      <c r="A1118" s="111"/>
      <c r="B1118" s="112"/>
      <c r="C1118" s="29"/>
      <c r="D1118" s="29"/>
      <c r="E1118" s="29"/>
      <c r="F1118" s="29"/>
      <c r="G1118" s="29"/>
      <c r="H1118" s="29"/>
      <c r="I1118" s="29"/>
      <c r="J1118" s="29"/>
      <c r="K1118" s="29"/>
      <c r="L1118" s="29"/>
      <c r="M1118" s="29"/>
      <c r="N1118" s="29"/>
      <c r="O1118" s="29"/>
      <c r="P1118" s="29"/>
    </row>
    <row r="1119">
      <c r="A1119" s="111"/>
      <c r="B1119" s="112"/>
      <c r="C1119" s="29"/>
      <c r="D1119" s="29"/>
      <c r="E1119" s="29"/>
      <c r="F1119" s="29"/>
      <c r="G1119" s="29"/>
      <c r="H1119" s="29"/>
      <c r="I1119" s="29"/>
      <c r="J1119" s="29"/>
      <c r="K1119" s="29"/>
      <c r="L1119" s="29"/>
      <c r="M1119" s="29"/>
      <c r="N1119" s="29"/>
      <c r="O1119" s="29"/>
      <c r="P1119" s="29"/>
    </row>
    <row r="1120">
      <c r="A1120" s="111"/>
      <c r="B1120" s="112"/>
      <c r="C1120" s="29"/>
      <c r="D1120" s="29"/>
      <c r="E1120" s="29"/>
      <c r="F1120" s="29"/>
      <c r="G1120" s="29"/>
      <c r="H1120" s="29"/>
      <c r="I1120" s="29"/>
      <c r="J1120" s="29"/>
      <c r="K1120" s="29"/>
      <c r="L1120" s="29"/>
      <c r="M1120" s="29"/>
      <c r="N1120" s="29"/>
      <c r="O1120" s="29"/>
      <c r="P1120" s="29"/>
    </row>
    <row r="1121">
      <c r="A1121" s="111"/>
      <c r="B1121" s="112"/>
      <c r="C1121" s="29"/>
      <c r="D1121" s="29"/>
      <c r="E1121" s="29"/>
      <c r="F1121" s="29"/>
      <c r="G1121" s="29"/>
      <c r="H1121" s="29"/>
      <c r="I1121" s="29"/>
      <c r="J1121" s="29"/>
      <c r="K1121" s="29"/>
      <c r="L1121" s="29"/>
      <c r="M1121" s="29"/>
      <c r="N1121" s="29"/>
      <c r="O1121" s="29"/>
      <c r="P1121" s="29"/>
    </row>
    <row r="1122">
      <c r="A1122" s="111"/>
      <c r="B1122" s="112"/>
      <c r="C1122" s="29"/>
      <c r="D1122" s="29"/>
      <c r="E1122" s="29"/>
      <c r="F1122" s="29"/>
      <c r="G1122" s="29"/>
      <c r="H1122" s="29"/>
      <c r="I1122" s="29"/>
      <c r="J1122" s="29"/>
      <c r="K1122" s="29"/>
      <c r="L1122" s="29"/>
      <c r="M1122" s="29"/>
      <c r="N1122" s="29"/>
      <c r="O1122" s="29"/>
      <c r="P1122" s="29"/>
    </row>
    <row r="1123">
      <c r="A1123" s="111"/>
      <c r="B1123" s="112"/>
      <c r="C1123" s="29"/>
      <c r="D1123" s="29"/>
      <c r="E1123" s="29"/>
      <c r="F1123" s="29"/>
      <c r="G1123" s="29"/>
      <c r="H1123" s="29"/>
      <c r="I1123" s="29"/>
      <c r="J1123" s="29"/>
      <c r="K1123" s="29"/>
      <c r="L1123" s="29"/>
      <c r="M1123" s="29"/>
      <c r="N1123" s="29"/>
      <c r="O1123" s="29"/>
      <c r="P1123" s="29"/>
    </row>
    <row r="1124">
      <c r="A1124" s="111"/>
      <c r="B1124" s="112"/>
      <c r="C1124" s="29"/>
      <c r="D1124" s="29"/>
      <c r="E1124" s="29"/>
      <c r="F1124" s="29"/>
      <c r="G1124" s="29"/>
      <c r="H1124" s="29"/>
      <c r="I1124" s="29"/>
      <c r="J1124" s="29"/>
      <c r="K1124" s="29"/>
      <c r="L1124" s="29"/>
      <c r="M1124" s="29"/>
      <c r="N1124" s="29"/>
      <c r="O1124" s="29"/>
      <c r="P1124" s="29"/>
    </row>
    <row r="1125">
      <c r="A1125" s="111"/>
      <c r="B1125" s="112"/>
      <c r="C1125" s="29"/>
      <c r="D1125" s="29"/>
      <c r="E1125" s="29"/>
      <c r="F1125" s="29"/>
      <c r="G1125" s="29"/>
      <c r="H1125" s="29"/>
      <c r="I1125" s="29"/>
      <c r="J1125" s="29"/>
      <c r="K1125" s="29"/>
      <c r="L1125" s="29"/>
      <c r="M1125" s="29"/>
      <c r="N1125" s="29"/>
      <c r="O1125" s="29"/>
      <c r="P1125" s="29"/>
    </row>
    <row r="1126">
      <c r="A1126" s="111"/>
      <c r="B1126" s="112"/>
      <c r="C1126" s="29"/>
      <c r="D1126" s="29"/>
      <c r="E1126" s="29"/>
      <c r="F1126" s="29"/>
      <c r="G1126" s="29"/>
      <c r="H1126" s="29"/>
      <c r="I1126" s="29"/>
      <c r="J1126" s="29"/>
      <c r="K1126" s="29"/>
      <c r="L1126" s="29"/>
      <c r="M1126" s="29"/>
      <c r="N1126" s="29"/>
      <c r="O1126" s="29"/>
      <c r="P1126" s="29"/>
    </row>
    <row r="1127">
      <c r="A1127" s="111"/>
      <c r="B1127" s="112"/>
      <c r="C1127" s="29"/>
      <c r="D1127" s="29"/>
      <c r="E1127" s="29"/>
      <c r="F1127" s="29"/>
      <c r="G1127" s="29"/>
      <c r="H1127" s="29"/>
      <c r="I1127" s="29"/>
      <c r="J1127" s="29"/>
      <c r="K1127" s="29"/>
      <c r="L1127" s="29"/>
      <c r="M1127" s="29"/>
      <c r="N1127" s="29"/>
      <c r="O1127" s="29"/>
      <c r="P1127" s="29"/>
    </row>
    <row r="1128">
      <c r="A1128" s="111"/>
      <c r="B1128" s="112"/>
      <c r="C1128" s="29"/>
      <c r="D1128" s="29"/>
      <c r="E1128" s="29"/>
      <c r="F1128" s="29"/>
      <c r="G1128" s="29"/>
      <c r="H1128" s="29"/>
      <c r="I1128" s="29"/>
      <c r="J1128" s="29"/>
      <c r="K1128" s="29"/>
      <c r="L1128" s="29"/>
      <c r="M1128" s="29"/>
      <c r="N1128" s="29"/>
      <c r="O1128" s="29"/>
      <c r="P1128" s="29"/>
    </row>
    <row r="1129">
      <c r="A1129" s="111"/>
      <c r="B1129" s="112"/>
      <c r="C1129" s="29"/>
      <c r="D1129" s="29"/>
      <c r="E1129" s="29"/>
      <c r="F1129" s="29"/>
      <c r="G1129" s="29"/>
      <c r="H1129" s="29"/>
      <c r="I1129" s="29"/>
      <c r="J1129" s="29"/>
      <c r="K1129" s="29"/>
      <c r="L1129" s="29"/>
      <c r="M1129" s="29"/>
      <c r="N1129" s="29"/>
      <c r="O1129" s="29"/>
      <c r="P1129" s="29"/>
    </row>
    <row r="1130">
      <c r="A1130" s="111"/>
      <c r="B1130" s="112"/>
      <c r="C1130" s="29"/>
      <c r="D1130" s="29"/>
      <c r="E1130" s="29"/>
      <c r="F1130" s="29"/>
      <c r="G1130" s="29"/>
      <c r="H1130" s="29"/>
      <c r="I1130" s="29"/>
      <c r="J1130" s="29"/>
      <c r="K1130" s="29"/>
      <c r="L1130" s="29"/>
      <c r="M1130" s="29"/>
      <c r="N1130" s="29"/>
      <c r="O1130" s="29"/>
      <c r="P1130" s="29"/>
    </row>
    <row r="1131">
      <c r="A1131" s="111"/>
      <c r="B1131" s="112"/>
      <c r="C1131" s="29"/>
      <c r="D1131" s="29"/>
      <c r="E1131" s="29"/>
      <c r="F1131" s="29"/>
      <c r="G1131" s="29"/>
      <c r="H1131" s="29"/>
      <c r="I1131" s="29"/>
      <c r="J1131" s="29"/>
      <c r="K1131" s="29"/>
      <c r="L1131" s="29"/>
      <c r="M1131" s="29"/>
      <c r="N1131" s="29"/>
      <c r="O1131" s="29"/>
      <c r="P1131" s="29"/>
    </row>
    <row r="1132">
      <c r="A1132" s="111"/>
      <c r="B1132" s="112"/>
      <c r="C1132" s="29"/>
      <c r="D1132" s="29"/>
      <c r="E1132" s="29"/>
      <c r="F1132" s="29"/>
      <c r="G1132" s="29"/>
      <c r="H1132" s="29"/>
      <c r="I1132" s="29"/>
      <c r="J1132" s="29"/>
      <c r="K1132" s="29"/>
      <c r="L1132" s="29"/>
      <c r="M1132" s="29"/>
      <c r="N1132" s="29"/>
      <c r="O1132" s="29"/>
      <c r="P1132" s="29"/>
    </row>
    <row r="1133">
      <c r="A1133" s="111"/>
      <c r="B1133" s="112"/>
      <c r="C1133" s="29"/>
      <c r="D1133" s="29"/>
      <c r="E1133" s="29"/>
      <c r="F1133" s="29"/>
      <c r="G1133" s="29"/>
      <c r="H1133" s="29"/>
      <c r="I1133" s="29"/>
      <c r="J1133" s="29"/>
      <c r="K1133" s="29"/>
      <c r="L1133" s="29"/>
      <c r="M1133" s="29"/>
      <c r="N1133" s="29"/>
      <c r="O1133" s="29"/>
      <c r="P1133" s="29"/>
    </row>
    <row r="1134">
      <c r="A1134" s="111"/>
      <c r="B1134" s="112"/>
      <c r="C1134" s="29"/>
      <c r="D1134" s="29"/>
      <c r="E1134" s="29"/>
      <c r="F1134" s="29"/>
      <c r="G1134" s="29"/>
      <c r="H1134" s="29"/>
      <c r="I1134" s="29"/>
      <c r="J1134" s="29"/>
      <c r="K1134" s="29"/>
      <c r="L1134" s="29"/>
      <c r="M1134" s="29"/>
      <c r="N1134" s="29"/>
      <c r="O1134" s="29"/>
      <c r="P1134" s="29"/>
    </row>
    <row r="1135">
      <c r="A1135" s="111"/>
      <c r="B1135" s="112"/>
      <c r="C1135" s="29"/>
      <c r="D1135" s="29"/>
      <c r="E1135" s="29"/>
      <c r="F1135" s="29"/>
      <c r="G1135" s="29"/>
      <c r="H1135" s="29"/>
      <c r="I1135" s="29"/>
      <c r="J1135" s="29"/>
      <c r="K1135" s="29"/>
      <c r="L1135" s="29"/>
      <c r="M1135" s="29"/>
      <c r="N1135" s="29"/>
      <c r="O1135" s="29"/>
      <c r="P1135" s="29"/>
    </row>
    <row r="1136">
      <c r="A1136" s="111"/>
      <c r="B1136" s="112"/>
      <c r="C1136" s="29"/>
      <c r="D1136" s="29"/>
      <c r="E1136" s="29"/>
      <c r="F1136" s="29"/>
      <c r="G1136" s="29"/>
      <c r="H1136" s="29"/>
      <c r="I1136" s="29"/>
      <c r="J1136" s="29"/>
      <c r="K1136" s="29"/>
      <c r="L1136" s="29"/>
      <c r="M1136" s="29"/>
      <c r="N1136" s="29"/>
      <c r="O1136" s="29"/>
      <c r="P1136" s="29"/>
    </row>
    <row r="1137">
      <c r="A1137" s="111"/>
      <c r="B1137" s="112"/>
      <c r="C1137" s="29"/>
      <c r="D1137" s="29"/>
      <c r="E1137" s="29"/>
      <c r="F1137" s="29"/>
      <c r="G1137" s="29"/>
      <c r="H1137" s="29"/>
      <c r="I1137" s="29"/>
      <c r="J1137" s="29"/>
      <c r="K1137" s="29"/>
      <c r="L1137" s="29"/>
      <c r="M1137" s="29"/>
      <c r="N1137" s="29"/>
      <c r="O1137" s="29"/>
      <c r="P1137" s="29"/>
    </row>
    <row r="1138">
      <c r="A1138" s="111"/>
      <c r="B1138" s="112"/>
      <c r="C1138" s="29"/>
      <c r="D1138" s="29"/>
      <c r="E1138" s="29"/>
      <c r="F1138" s="29"/>
      <c r="G1138" s="29"/>
      <c r="H1138" s="29"/>
      <c r="I1138" s="29"/>
      <c r="J1138" s="29"/>
      <c r="K1138" s="29"/>
      <c r="L1138" s="29"/>
      <c r="M1138" s="29"/>
      <c r="N1138" s="29"/>
      <c r="O1138" s="29"/>
      <c r="P1138" s="29"/>
    </row>
    <row r="1139">
      <c r="A1139" s="111"/>
      <c r="B1139" s="112"/>
      <c r="C1139" s="29"/>
      <c r="D1139" s="29"/>
      <c r="E1139" s="29"/>
      <c r="F1139" s="29"/>
      <c r="G1139" s="29"/>
      <c r="H1139" s="29"/>
      <c r="I1139" s="29"/>
      <c r="J1139" s="29"/>
      <c r="K1139" s="29"/>
      <c r="L1139" s="29"/>
      <c r="M1139" s="29"/>
      <c r="N1139" s="29"/>
      <c r="O1139" s="29"/>
      <c r="P1139" s="29"/>
    </row>
    <row r="1140">
      <c r="A1140" s="111"/>
      <c r="B1140" s="112"/>
      <c r="C1140" s="29"/>
      <c r="D1140" s="29"/>
      <c r="E1140" s="29"/>
      <c r="F1140" s="29"/>
      <c r="G1140" s="29"/>
      <c r="H1140" s="29"/>
      <c r="I1140" s="29"/>
      <c r="J1140" s="29"/>
      <c r="K1140" s="29"/>
      <c r="L1140" s="29"/>
      <c r="M1140" s="29"/>
      <c r="N1140" s="29"/>
      <c r="O1140" s="29"/>
      <c r="P1140" s="29"/>
    </row>
    <row r="1141">
      <c r="A1141" s="111"/>
      <c r="B1141" s="112"/>
      <c r="C1141" s="29"/>
      <c r="D1141" s="29"/>
      <c r="E1141" s="29"/>
      <c r="F1141" s="29"/>
      <c r="G1141" s="29"/>
      <c r="H1141" s="29"/>
      <c r="I1141" s="29"/>
      <c r="J1141" s="29"/>
      <c r="K1141" s="29"/>
      <c r="L1141" s="29"/>
      <c r="M1141" s="29"/>
      <c r="N1141" s="29"/>
      <c r="O1141" s="29"/>
      <c r="P1141" s="29"/>
    </row>
    <row r="1142">
      <c r="A1142" s="111"/>
      <c r="B1142" s="112"/>
      <c r="C1142" s="29"/>
      <c r="D1142" s="29"/>
      <c r="E1142" s="29"/>
      <c r="F1142" s="29"/>
      <c r="G1142" s="29"/>
      <c r="H1142" s="29"/>
      <c r="I1142" s="29"/>
      <c r="J1142" s="29"/>
      <c r="K1142" s="29"/>
      <c r="L1142" s="29"/>
      <c r="M1142" s="29"/>
      <c r="N1142" s="29"/>
      <c r="O1142" s="29"/>
      <c r="P1142" s="29"/>
    </row>
    <row r="1143">
      <c r="A1143" s="111"/>
      <c r="B1143" s="112"/>
      <c r="C1143" s="29"/>
      <c r="D1143" s="29"/>
      <c r="E1143" s="29"/>
      <c r="F1143" s="29"/>
      <c r="G1143" s="29"/>
      <c r="H1143" s="29"/>
      <c r="I1143" s="29"/>
      <c r="J1143" s="29"/>
      <c r="K1143" s="29"/>
      <c r="L1143" s="29"/>
      <c r="M1143" s="29"/>
      <c r="N1143" s="29"/>
      <c r="O1143" s="29"/>
      <c r="P1143" s="29"/>
    </row>
    <row r="1144">
      <c r="A1144" s="111"/>
      <c r="B1144" s="112"/>
      <c r="C1144" s="29"/>
      <c r="D1144" s="29"/>
      <c r="E1144" s="29"/>
      <c r="F1144" s="29"/>
      <c r="G1144" s="29"/>
      <c r="H1144" s="29"/>
      <c r="I1144" s="29"/>
      <c r="J1144" s="29"/>
      <c r="K1144" s="29"/>
      <c r="L1144" s="29"/>
      <c r="M1144" s="29"/>
      <c r="N1144" s="29"/>
      <c r="O1144" s="29"/>
      <c r="P1144" s="29"/>
    </row>
    <row r="1145">
      <c r="A1145" s="111"/>
      <c r="B1145" s="112"/>
      <c r="C1145" s="29"/>
      <c r="D1145" s="29"/>
      <c r="E1145" s="29"/>
      <c r="F1145" s="29"/>
      <c r="G1145" s="29"/>
      <c r="H1145" s="29"/>
      <c r="I1145" s="29"/>
      <c r="J1145" s="29"/>
      <c r="K1145" s="29"/>
      <c r="L1145" s="29"/>
      <c r="M1145" s="29"/>
      <c r="N1145" s="29"/>
      <c r="O1145" s="29"/>
      <c r="P1145" s="29"/>
    </row>
    <row r="1146">
      <c r="A1146" s="111"/>
      <c r="B1146" s="112"/>
      <c r="C1146" s="29"/>
      <c r="D1146" s="29"/>
      <c r="E1146" s="29"/>
      <c r="F1146" s="29"/>
      <c r="G1146" s="29"/>
      <c r="H1146" s="29"/>
      <c r="I1146" s="29"/>
      <c r="J1146" s="29"/>
      <c r="K1146" s="29"/>
      <c r="L1146" s="29"/>
      <c r="M1146" s="29"/>
      <c r="N1146" s="29"/>
      <c r="O1146" s="29"/>
      <c r="P1146" s="29"/>
    </row>
    <row r="1147">
      <c r="A1147" s="111"/>
      <c r="B1147" s="112"/>
      <c r="C1147" s="29"/>
      <c r="D1147" s="29"/>
      <c r="E1147" s="29"/>
      <c r="F1147" s="29"/>
      <c r="G1147" s="29"/>
      <c r="H1147" s="29"/>
      <c r="I1147" s="29"/>
      <c r="J1147" s="29"/>
      <c r="K1147" s="29"/>
      <c r="L1147" s="29"/>
      <c r="M1147" s="29"/>
      <c r="N1147" s="29"/>
      <c r="O1147" s="29"/>
      <c r="P1147" s="29"/>
    </row>
    <row r="1148">
      <c r="A1148" s="111"/>
      <c r="B1148" s="112"/>
      <c r="C1148" s="29"/>
      <c r="D1148" s="29"/>
      <c r="E1148" s="29"/>
      <c r="F1148" s="29"/>
      <c r="G1148" s="29"/>
      <c r="H1148" s="29"/>
      <c r="I1148" s="29"/>
      <c r="J1148" s="29"/>
      <c r="K1148" s="29"/>
      <c r="L1148" s="29"/>
      <c r="M1148" s="29"/>
      <c r="N1148" s="29"/>
      <c r="O1148" s="29"/>
      <c r="P1148" s="29"/>
    </row>
    <row r="1149">
      <c r="A1149" s="111"/>
      <c r="B1149" s="112"/>
      <c r="C1149" s="29"/>
      <c r="D1149" s="29"/>
      <c r="E1149" s="29"/>
      <c r="F1149" s="29"/>
      <c r="G1149" s="29"/>
      <c r="H1149" s="29"/>
      <c r="I1149" s="29"/>
      <c r="J1149" s="29"/>
      <c r="K1149" s="29"/>
      <c r="L1149" s="29"/>
      <c r="M1149" s="29"/>
      <c r="N1149" s="29"/>
      <c r="O1149" s="29"/>
      <c r="P1149" s="29"/>
    </row>
    <row r="1150">
      <c r="A1150" s="111"/>
      <c r="B1150" s="112"/>
      <c r="C1150" s="29"/>
      <c r="D1150" s="29"/>
      <c r="E1150" s="29"/>
      <c r="F1150" s="29"/>
      <c r="G1150" s="29"/>
      <c r="H1150" s="29"/>
      <c r="I1150" s="29"/>
      <c r="J1150" s="29"/>
      <c r="K1150" s="29"/>
      <c r="L1150" s="29"/>
      <c r="M1150" s="29"/>
      <c r="N1150" s="29"/>
      <c r="O1150" s="29"/>
      <c r="P1150" s="29"/>
    </row>
    <row r="1151">
      <c r="A1151" s="111"/>
      <c r="B1151" s="112"/>
      <c r="C1151" s="29"/>
      <c r="D1151" s="29"/>
      <c r="E1151" s="29"/>
      <c r="F1151" s="29"/>
      <c r="G1151" s="29"/>
      <c r="H1151" s="29"/>
      <c r="I1151" s="29"/>
      <c r="J1151" s="29"/>
      <c r="K1151" s="29"/>
      <c r="L1151" s="29"/>
      <c r="M1151" s="29"/>
      <c r="N1151" s="29"/>
      <c r="O1151" s="29"/>
      <c r="P1151" s="29"/>
    </row>
    <row r="1152">
      <c r="A1152" s="111"/>
      <c r="B1152" s="112"/>
      <c r="C1152" s="29"/>
      <c r="D1152" s="29"/>
      <c r="E1152" s="29"/>
      <c r="F1152" s="29"/>
      <c r="G1152" s="29"/>
      <c r="H1152" s="29"/>
      <c r="I1152" s="29"/>
      <c r="J1152" s="29"/>
      <c r="K1152" s="29"/>
      <c r="L1152" s="29"/>
      <c r="M1152" s="29"/>
      <c r="N1152" s="29"/>
      <c r="O1152" s="29"/>
      <c r="P1152" s="29"/>
    </row>
    <row r="1153">
      <c r="A1153" s="111"/>
      <c r="B1153" s="112"/>
      <c r="C1153" s="29"/>
      <c r="D1153" s="29"/>
      <c r="E1153" s="29"/>
      <c r="F1153" s="29"/>
      <c r="G1153" s="29"/>
      <c r="H1153" s="29"/>
      <c r="I1153" s="29"/>
      <c r="J1153" s="29"/>
      <c r="K1153" s="29"/>
      <c r="L1153" s="29"/>
      <c r="M1153" s="29"/>
      <c r="N1153" s="29"/>
      <c r="O1153" s="29"/>
      <c r="P1153" s="29"/>
    </row>
    <row r="1154">
      <c r="A1154" s="111"/>
      <c r="B1154" s="112"/>
      <c r="C1154" s="29"/>
      <c r="D1154" s="29"/>
      <c r="E1154" s="29"/>
      <c r="F1154" s="29"/>
      <c r="G1154" s="29"/>
      <c r="H1154" s="29"/>
      <c r="I1154" s="29"/>
      <c r="J1154" s="29"/>
      <c r="K1154" s="29"/>
      <c r="L1154" s="29"/>
      <c r="M1154" s="29"/>
      <c r="N1154" s="29"/>
      <c r="O1154" s="29"/>
      <c r="P1154" s="29"/>
    </row>
    <row r="1155">
      <c r="A1155" s="111"/>
      <c r="B1155" s="112"/>
      <c r="C1155" s="29"/>
      <c r="D1155" s="29"/>
      <c r="E1155" s="29"/>
      <c r="F1155" s="29"/>
      <c r="G1155" s="29"/>
      <c r="H1155" s="29"/>
      <c r="I1155" s="29"/>
      <c r="J1155" s="29"/>
      <c r="K1155" s="29"/>
      <c r="L1155" s="29"/>
      <c r="M1155" s="29"/>
      <c r="N1155" s="29"/>
      <c r="O1155" s="29"/>
      <c r="P1155" s="29"/>
    </row>
    <row r="1156">
      <c r="A1156" s="111"/>
      <c r="B1156" s="112"/>
      <c r="C1156" s="29"/>
      <c r="D1156" s="29"/>
      <c r="E1156" s="29"/>
      <c r="F1156" s="29"/>
      <c r="G1156" s="29"/>
      <c r="H1156" s="29"/>
      <c r="I1156" s="29"/>
      <c r="J1156" s="29"/>
      <c r="K1156" s="29"/>
      <c r="L1156" s="29"/>
      <c r="M1156" s="29"/>
      <c r="N1156" s="29"/>
      <c r="O1156" s="29"/>
      <c r="P1156" s="29"/>
    </row>
    <row r="1157">
      <c r="A1157" s="111"/>
      <c r="B1157" s="112"/>
      <c r="C1157" s="29"/>
      <c r="D1157" s="29"/>
      <c r="E1157" s="29"/>
      <c r="F1157" s="29"/>
      <c r="G1157" s="29"/>
      <c r="H1157" s="29"/>
      <c r="I1157" s="29"/>
      <c r="J1157" s="29"/>
      <c r="K1157" s="29"/>
      <c r="L1157" s="29"/>
      <c r="M1157" s="29"/>
      <c r="N1157" s="29"/>
      <c r="O1157" s="29"/>
      <c r="P1157" s="29"/>
    </row>
    <row r="1158">
      <c r="A1158" s="111"/>
      <c r="B1158" s="112"/>
      <c r="C1158" s="29"/>
      <c r="D1158" s="29"/>
      <c r="E1158" s="29"/>
      <c r="F1158" s="29"/>
      <c r="G1158" s="29"/>
      <c r="H1158" s="29"/>
      <c r="I1158" s="29"/>
      <c r="J1158" s="29"/>
      <c r="K1158" s="29"/>
      <c r="L1158" s="29"/>
      <c r="M1158" s="29"/>
      <c r="N1158" s="29"/>
      <c r="O1158" s="29"/>
      <c r="P1158" s="29"/>
    </row>
    <row r="1159">
      <c r="A1159" s="111"/>
      <c r="B1159" s="112"/>
      <c r="C1159" s="29"/>
      <c r="D1159" s="29"/>
      <c r="E1159" s="29"/>
      <c r="F1159" s="29"/>
      <c r="G1159" s="29"/>
      <c r="H1159" s="29"/>
      <c r="I1159" s="29"/>
      <c r="J1159" s="29"/>
      <c r="K1159" s="29"/>
      <c r="L1159" s="29"/>
      <c r="M1159" s="29"/>
      <c r="N1159" s="29"/>
      <c r="O1159" s="29"/>
      <c r="P1159" s="29"/>
    </row>
    <row r="1160">
      <c r="A1160" s="111"/>
      <c r="B1160" s="112"/>
      <c r="C1160" s="29"/>
      <c r="D1160" s="29"/>
      <c r="E1160" s="29"/>
      <c r="F1160" s="29"/>
      <c r="G1160" s="29"/>
      <c r="H1160" s="29"/>
      <c r="I1160" s="29"/>
      <c r="J1160" s="29"/>
      <c r="K1160" s="29"/>
      <c r="L1160" s="29"/>
      <c r="M1160" s="29"/>
      <c r="N1160" s="29"/>
      <c r="O1160" s="29"/>
      <c r="P1160" s="29"/>
    </row>
    <row r="1161">
      <c r="A1161" s="111"/>
      <c r="B1161" s="112"/>
      <c r="C1161" s="29"/>
      <c r="D1161" s="29"/>
      <c r="E1161" s="29"/>
      <c r="F1161" s="29"/>
      <c r="G1161" s="29"/>
      <c r="H1161" s="29"/>
      <c r="I1161" s="29"/>
      <c r="J1161" s="29"/>
      <c r="K1161" s="29"/>
      <c r="L1161" s="29"/>
      <c r="M1161" s="29"/>
      <c r="N1161" s="29"/>
      <c r="O1161" s="29"/>
      <c r="P1161" s="29"/>
    </row>
    <row r="1162">
      <c r="A1162" s="111"/>
      <c r="B1162" s="112"/>
      <c r="C1162" s="29"/>
      <c r="D1162" s="29"/>
      <c r="E1162" s="29"/>
      <c r="F1162" s="29"/>
      <c r="G1162" s="29"/>
      <c r="H1162" s="29"/>
      <c r="I1162" s="29"/>
      <c r="J1162" s="29"/>
      <c r="K1162" s="29"/>
      <c r="L1162" s="29"/>
      <c r="M1162" s="29"/>
      <c r="N1162" s="29"/>
      <c r="O1162" s="29"/>
      <c r="P1162" s="29"/>
    </row>
    <row r="1163">
      <c r="A1163" s="111"/>
      <c r="B1163" s="112"/>
      <c r="C1163" s="29"/>
      <c r="D1163" s="29"/>
      <c r="E1163" s="29"/>
      <c r="F1163" s="29"/>
      <c r="G1163" s="29"/>
      <c r="H1163" s="29"/>
      <c r="I1163" s="29"/>
      <c r="J1163" s="29"/>
      <c r="K1163" s="29"/>
      <c r="L1163" s="29"/>
      <c r="M1163" s="29"/>
      <c r="N1163" s="29"/>
      <c r="O1163" s="29"/>
      <c r="P1163" s="29"/>
    </row>
    <row r="1164">
      <c r="A1164" s="111"/>
      <c r="B1164" s="112"/>
      <c r="C1164" s="29"/>
      <c r="D1164" s="29"/>
      <c r="E1164" s="29"/>
      <c r="F1164" s="29"/>
      <c r="G1164" s="29"/>
      <c r="H1164" s="29"/>
      <c r="I1164" s="29"/>
      <c r="J1164" s="29"/>
      <c r="K1164" s="29"/>
      <c r="L1164" s="29"/>
      <c r="M1164" s="29"/>
      <c r="N1164" s="29"/>
      <c r="O1164" s="29"/>
      <c r="P1164" s="29"/>
    </row>
    <row r="1165">
      <c r="A1165" s="111"/>
      <c r="B1165" s="112"/>
      <c r="C1165" s="29"/>
      <c r="D1165" s="29"/>
      <c r="E1165" s="29"/>
      <c r="F1165" s="29"/>
      <c r="G1165" s="29"/>
      <c r="H1165" s="29"/>
      <c r="I1165" s="29"/>
      <c r="J1165" s="29"/>
      <c r="K1165" s="29"/>
      <c r="L1165" s="29"/>
      <c r="M1165" s="29"/>
      <c r="N1165" s="29"/>
      <c r="O1165" s="29"/>
      <c r="P1165" s="29"/>
    </row>
    <row r="1166">
      <c r="A1166" s="111"/>
      <c r="B1166" s="112"/>
      <c r="C1166" s="29"/>
      <c r="D1166" s="29"/>
      <c r="E1166" s="29"/>
      <c r="F1166" s="29"/>
      <c r="G1166" s="29"/>
      <c r="H1166" s="29"/>
      <c r="I1166" s="29"/>
      <c r="J1166" s="29"/>
      <c r="K1166" s="29"/>
      <c r="L1166" s="29"/>
      <c r="M1166" s="29"/>
      <c r="N1166" s="29"/>
      <c r="O1166" s="29"/>
      <c r="P1166" s="29"/>
    </row>
    <row r="1167">
      <c r="A1167" s="111"/>
      <c r="B1167" s="112"/>
      <c r="C1167" s="29"/>
      <c r="D1167" s="29"/>
      <c r="E1167" s="29"/>
      <c r="F1167" s="29"/>
      <c r="G1167" s="29"/>
      <c r="H1167" s="29"/>
      <c r="I1167" s="29"/>
      <c r="J1167" s="29"/>
      <c r="K1167" s="29"/>
      <c r="L1167" s="29"/>
      <c r="M1167" s="29"/>
      <c r="N1167" s="29"/>
      <c r="O1167" s="29"/>
      <c r="P1167" s="29"/>
    </row>
    <row r="1168">
      <c r="A1168" s="111"/>
      <c r="B1168" s="112"/>
      <c r="C1168" s="29"/>
      <c r="D1168" s="29"/>
      <c r="E1168" s="29"/>
      <c r="F1168" s="29"/>
      <c r="G1168" s="29"/>
      <c r="H1168" s="29"/>
      <c r="I1168" s="29"/>
      <c r="J1168" s="29"/>
      <c r="K1168" s="29"/>
      <c r="L1168" s="29"/>
      <c r="M1168" s="29"/>
      <c r="N1168" s="29"/>
      <c r="O1168" s="29"/>
      <c r="P1168" s="29"/>
    </row>
    <row r="1169">
      <c r="A1169" s="111"/>
      <c r="B1169" s="112"/>
      <c r="C1169" s="29"/>
      <c r="D1169" s="29"/>
      <c r="E1169" s="29"/>
      <c r="F1169" s="29"/>
      <c r="G1169" s="29"/>
      <c r="H1169" s="29"/>
      <c r="I1169" s="29"/>
      <c r="J1169" s="29"/>
      <c r="K1169" s="29"/>
      <c r="L1169" s="29"/>
      <c r="M1169" s="29"/>
      <c r="N1169" s="29"/>
      <c r="O1169" s="29"/>
      <c r="P1169" s="29"/>
    </row>
    <row r="1170">
      <c r="A1170" s="111"/>
      <c r="B1170" s="112"/>
      <c r="C1170" s="29"/>
      <c r="D1170" s="29"/>
      <c r="E1170" s="29"/>
      <c r="F1170" s="29"/>
      <c r="G1170" s="29"/>
      <c r="H1170" s="29"/>
      <c r="I1170" s="29"/>
      <c r="J1170" s="29"/>
      <c r="K1170" s="29"/>
      <c r="L1170" s="29"/>
      <c r="M1170" s="29"/>
      <c r="N1170" s="29"/>
      <c r="O1170" s="29"/>
      <c r="P1170" s="29"/>
    </row>
    <row r="1171">
      <c r="A1171" s="111"/>
      <c r="B1171" s="112"/>
      <c r="C1171" s="29"/>
      <c r="D1171" s="29"/>
      <c r="E1171" s="29"/>
      <c r="F1171" s="29"/>
      <c r="G1171" s="29"/>
      <c r="H1171" s="29"/>
      <c r="I1171" s="29"/>
      <c r="J1171" s="29"/>
      <c r="K1171" s="29"/>
      <c r="L1171" s="29"/>
      <c r="M1171" s="29"/>
      <c r="N1171" s="29"/>
      <c r="O1171" s="29"/>
      <c r="P1171" s="29"/>
    </row>
    <row r="1172">
      <c r="A1172" s="111"/>
      <c r="B1172" s="112"/>
      <c r="C1172" s="29"/>
      <c r="D1172" s="29"/>
      <c r="E1172" s="29"/>
      <c r="F1172" s="29"/>
      <c r="G1172" s="29"/>
      <c r="H1172" s="29"/>
      <c r="I1172" s="29"/>
      <c r="J1172" s="29"/>
      <c r="K1172" s="29"/>
      <c r="L1172" s="29"/>
      <c r="M1172" s="29"/>
      <c r="N1172" s="29"/>
      <c r="O1172" s="29"/>
      <c r="P1172" s="29"/>
    </row>
    <row r="1173">
      <c r="A1173" s="111"/>
      <c r="B1173" s="112"/>
      <c r="C1173" s="29"/>
      <c r="D1173" s="29"/>
      <c r="E1173" s="29"/>
      <c r="F1173" s="29"/>
      <c r="G1173" s="29"/>
      <c r="H1173" s="29"/>
      <c r="I1173" s="29"/>
      <c r="J1173" s="29"/>
      <c r="K1173" s="29"/>
      <c r="L1173" s="29"/>
      <c r="M1173" s="29"/>
      <c r="N1173" s="29"/>
      <c r="O1173" s="29"/>
      <c r="P1173" s="29"/>
    </row>
    <row r="1174">
      <c r="A1174" s="111"/>
      <c r="B1174" s="112"/>
      <c r="C1174" s="29"/>
      <c r="D1174" s="29"/>
      <c r="E1174" s="29"/>
      <c r="F1174" s="29"/>
      <c r="G1174" s="29"/>
      <c r="H1174" s="29"/>
      <c r="I1174" s="29"/>
      <c r="J1174" s="29"/>
      <c r="K1174" s="29"/>
      <c r="L1174" s="29"/>
      <c r="M1174" s="29"/>
      <c r="N1174" s="29"/>
      <c r="O1174" s="29"/>
      <c r="P1174" s="29"/>
    </row>
    <row r="1175">
      <c r="A1175" s="111"/>
      <c r="B1175" s="112"/>
      <c r="C1175" s="29"/>
      <c r="D1175" s="29"/>
      <c r="E1175" s="29"/>
      <c r="F1175" s="29"/>
      <c r="G1175" s="29"/>
      <c r="H1175" s="29"/>
      <c r="I1175" s="29"/>
      <c r="J1175" s="29"/>
      <c r="K1175" s="29"/>
      <c r="L1175" s="29"/>
      <c r="M1175" s="29"/>
      <c r="N1175" s="29"/>
      <c r="O1175" s="29"/>
      <c r="P1175" s="29"/>
    </row>
    <row r="1176">
      <c r="A1176" s="111"/>
      <c r="B1176" s="112"/>
      <c r="C1176" s="29"/>
      <c r="D1176" s="29"/>
      <c r="E1176" s="29"/>
      <c r="F1176" s="29"/>
      <c r="G1176" s="29"/>
      <c r="H1176" s="29"/>
      <c r="I1176" s="29"/>
      <c r="J1176" s="29"/>
      <c r="K1176" s="29"/>
      <c r="L1176" s="29"/>
      <c r="M1176" s="29"/>
      <c r="N1176" s="29"/>
      <c r="O1176" s="29"/>
      <c r="P1176" s="29"/>
    </row>
    <row r="1177">
      <c r="A1177" s="111"/>
      <c r="B1177" s="112"/>
      <c r="C1177" s="29"/>
      <c r="D1177" s="29"/>
      <c r="E1177" s="29"/>
      <c r="F1177" s="29"/>
      <c r="G1177" s="29"/>
      <c r="H1177" s="29"/>
      <c r="I1177" s="29"/>
      <c r="J1177" s="29"/>
      <c r="K1177" s="29"/>
      <c r="L1177" s="29"/>
      <c r="M1177" s="29"/>
      <c r="N1177" s="29"/>
      <c r="O1177" s="29"/>
      <c r="P1177" s="29"/>
    </row>
    <row r="1178">
      <c r="A1178" s="111"/>
      <c r="B1178" s="112"/>
      <c r="C1178" s="29"/>
      <c r="D1178" s="29"/>
      <c r="E1178" s="29"/>
      <c r="F1178" s="29"/>
      <c r="G1178" s="29"/>
      <c r="H1178" s="29"/>
      <c r="I1178" s="29"/>
      <c r="J1178" s="29"/>
      <c r="K1178" s="29"/>
      <c r="L1178" s="29"/>
      <c r="M1178" s="29"/>
      <c r="N1178" s="29"/>
      <c r="O1178" s="29"/>
      <c r="P1178" s="29"/>
    </row>
    <row r="1179">
      <c r="A1179" s="111"/>
      <c r="B1179" s="112"/>
      <c r="C1179" s="29"/>
      <c r="D1179" s="29"/>
      <c r="E1179" s="29"/>
      <c r="F1179" s="29"/>
      <c r="G1179" s="29"/>
      <c r="H1179" s="29"/>
      <c r="I1179" s="29"/>
      <c r="J1179" s="29"/>
      <c r="K1179" s="29"/>
      <c r="L1179" s="29"/>
      <c r="M1179" s="29"/>
      <c r="N1179" s="29"/>
      <c r="O1179" s="29"/>
      <c r="P1179" s="29"/>
    </row>
    <row r="1180">
      <c r="A1180" s="111"/>
      <c r="B1180" s="112"/>
      <c r="C1180" s="29"/>
      <c r="D1180" s="29"/>
      <c r="E1180" s="29"/>
      <c r="F1180" s="29"/>
      <c r="G1180" s="29"/>
      <c r="H1180" s="29"/>
      <c r="I1180" s="29"/>
      <c r="J1180" s="29"/>
      <c r="K1180" s="29"/>
      <c r="L1180" s="29"/>
      <c r="M1180" s="29"/>
      <c r="N1180" s="29"/>
      <c r="O1180" s="29"/>
      <c r="P1180" s="29"/>
    </row>
    <row r="1181">
      <c r="A1181" s="111"/>
      <c r="B1181" s="112"/>
      <c r="C1181" s="29"/>
      <c r="D1181" s="29"/>
      <c r="E1181" s="29"/>
      <c r="F1181" s="29"/>
      <c r="G1181" s="29"/>
      <c r="H1181" s="29"/>
      <c r="I1181" s="29"/>
      <c r="J1181" s="29"/>
      <c r="K1181" s="29"/>
      <c r="L1181" s="29"/>
      <c r="M1181" s="29"/>
      <c r="N1181" s="29"/>
      <c r="O1181" s="29"/>
      <c r="P1181" s="29"/>
    </row>
    <row r="1182">
      <c r="A1182" s="111"/>
      <c r="B1182" s="112"/>
      <c r="C1182" s="29"/>
      <c r="D1182" s="29"/>
      <c r="E1182" s="29"/>
      <c r="F1182" s="29"/>
      <c r="G1182" s="29"/>
      <c r="H1182" s="29"/>
      <c r="I1182" s="29"/>
      <c r="J1182" s="29"/>
      <c r="K1182" s="29"/>
      <c r="L1182" s="29"/>
      <c r="M1182" s="29"/>
      <c r="N1182" s="29"/>
      <c r="O1182" s="29"/>
      <c r="P1182" s="29"/>
    </row>
    <row r="1183">
      <c r="A1183" s="111"/>
      <c r="B1183" s="112"/>
      <c r="C1183" s="29"/>
      <c r="D1183" s="29"/>
      <c r="E1183" s="29"/>
      <c r="F1183" s="29"/>
      <c r="G1183" s="29"/>
      <c r="H1183" s="29"/>
      <c r="I1183" s="29"/>
      <c r="J1183" s="29"/>
      <c r="K1183" s="29"/>
      <c r="L1183" s="29"/>
      <c r="M1183" s="29"/>
      <c r="N1183" s="29"/>
      <c r="O1183" s="29"/>
      <c r="P1183" s="29"/>
    </row>
    <row r="1184">
      <c r="A1184" s="111"/>
      <c r="B1184" s="112"/>
      <c r="C1184" s="29"/>
      <c r="D1184" s="29"/>
      <c r="E1184" s="29"/>
      <c r="F1184" s="29"/>
      <c r="G1184" s="29"/>
      <c r="H1184" s="29"/>
      <c r="I1184" s="29"/>
      <c r="J1184" s="29"/>
      <c r="K1184" s="29"/>
      <c r="L1184" s="29"/>
      <c r="M1184" s="29"/>
      <c r="N1184" s="29"/>
      <c r="O1184" s="29"/>
      <c r="P1184" s="29"/>
    </row>
    <row r="1185">
      <c r="A1185" s="111"/>
      <c r="B1185" s="112"/>
      <c r="C1185" s="29"/>
      <c r="D1185" s="29"/>
      <c r="E1185" s="29"/>
      <c r="F1185" s="29"/>
      <c r="G1185" s="29"/>
      <c r="H1185" s="29"/>
      <c r="I1185" s="29"/>
      <c r="J1185" s="29"/>
      <c r="K1185" s="29"/>
      <c r="L1185" s="29"/>
      <c r="M1185" s="29"/>
      <c r="N1185" s="29"/>
      <c r="O1185" s="29"/>
      <c r="P1185" s="29"/>
    </row>
    <row r="1186">
      <c r="A1186" s="111"/>
      <c r="B1186" s="112"/>
      <c r="C1186" s="29"/>
      <c r="D1186" s="29"/>
      <c r="E1186" s="29"/>
      <c r="F1186" s="29"/>
      <c r="G1186" s="29"/>
      <c r="H1186" s="29"/>
      <c r="I1186" s="29"/>
      <c r="J1186" s="29"/>
      <c r="K1186" s="29"/>
      <c r="L1186" s="29"/>
      <c r="M1186" s="29"/>
      <c r="N1186" s="29"/>
      <c r="O1186" s="29"/>
      <c r="P1186" s="29"/>
    </row>
    <row r="1187">
      <c r="A1187" s="111"/>
      <c r="B1187" s="112"/>
      <c r="C1187" s="29"/>
      <c r="D1187" s="29"/>
      <c r="E1187" s="29"/>
      <c r="F1187" s="29"/>
      <c r="G1187" s="29"/>
      <c r="H1187" s="29"/>
      <c r="I1187" s="29"/>
      <c r="J1187" s="29"/>
      <c r="K1187" s="29"/>
      <c r="L1187" s="29"/>
      <c r="M1187" s="29"/>
      <c r="N1187" s="29"/>
      <c r="O1187" s="29"/>
      <c r="P1187" s="29"/>
    </row>
    <row r="1188">
      <c r="A1188" s="111"/>
      <c r="B1188" s="112"/>
      <c r="C1188" s="29"/>
      <c r="D1188" s="29"/>
      <c r="E1188" s="29"/>
      <c r="F1188" s="29"/>
      <c r="G1188" s="29"/>
      <c r="H1188" s="29"/>
      <c r="I1188" s="29"/>
      <c r="J1188" s="29"/>
      <c r="K1188" s="29"/>
      <c r="L1188" s="29"/>
      <c r="M1188" s="29"/>
      <c r="N1188" s="29"/>
      <c r="O1188" s="29"/>
      <c r="P1188" s="29"/>
    </row>
    <row r="1189">
      <c r="A1189" s="111"/>
      <c r="B1189" s="112"/>
      <c r="C1189" s="29"/>
      <c r="D1189" s="29"/>
      <c r="E1189" s="29"/>
      <c r="F1189" s="29"/>
      <c r="G1189" s="29"/>
      <c r="H1189" s="29"/>
      <c r="I1189" s="29"/>
      <c r="J1189" s="29"/>
      <c r="K1189" s="29"/>
      <c r="L1189" s="29"/>
      <c r="M1189" s="29"/>
      <c r="N1189" s="29"/>
      <c r="O1189" s="29"/>
      <c r="P1189" s="29"/>
    </row>
    <row r="1190">
      <c r="A1190" s="111"/>
      <c r="B1190" s="112"/>
      <c r="C1190" s="29"/>
      <c r="D1190" s="29"/>
      <c r="E1190" s="29"/>
      <c r="F1190" s="29"/>
      <c r="G1190" s="29"/>
      <c r="H1190" s="29"/>
      <c r="I1190" s="29"/>
      <c r="J1190" s="29"/>
      <c r="K1190" s="29"/>
      <c r="L1190" s="29"/>
      <c r="M1190" s="29"/>
      <c r="N1190" s="29"/>
      <c r="O1190" s="29"/>
      <c r="P1190" s="29"/>
    </row>
    <row r="1191">
      <c r="A1191" s="111"/>
      <c r="B1191" s="112"/>
      <c r="C1191" s="29"/>
      <c r="D1191" s="29"/>
      <c r="E1191" s="29"/>
      <c r="F1191" s="29"/>
      <c r="G1191" s="29"/>
      <c r="H1191" s="29"/>
      <c r="I1191" s="29"/>
      <c r="J1191" s="29"/>
      <c r="K1191" s="29"/>
      <c r="L1191" s="29"/>
      <c r="M1191" s="29"/>
      <c r="N1191" s="29"/>
      <c r="O1191" s="29"/>
      <c r="P1191" s="29"/>
    </row>
    <row r="1192">
      <c r="A1192" s="111"/>
      <c r="B1192" s="112"/>
      <c r="C1192" s="29"/>
      <c r="D1192" s="29"/>
      <c r="E1192" s="29"/>
      <c r="F1192" s="29"/>
      <c r="G1192" s="29"/>
      <c r="H1192" s="29"/>
      <c r="I1192" s="29"/>
      <c r="J1192" s="29"/>
      <c r="K1192" s="29"/>
      <c r="L1192" s="29"/>
      <c r="M1192" s="29"/>
      <c r="N1192" s="29"/>
      <c r="O1192" s="29"/>
      <c r="P1192" s="29"/>
    </row>
    <row r="1193">
      <c r="A1193" s="111"/>
      <c r="B1193" s="112"/>
      <c r="C1193" s="29"/>
      <c r="D1193" s="29"/>
      <c r="E1193" s="29"/>
      <c r="F1193" s="29"/>
      <c r="G1193" s="29"/>
      <c r="H1193" s="29"/>
      <c r="I1193" s="29"/>
      <c r="J1193" s="29"/>
      <c r="K1193" s="29"/>
      <c r="L1193" s="29"/>
      <c r="M1193" s="29"/>
      <c r="N1193" s="29"/>
      <c r="O1193" s="29"/>
      <c r="P1193" s="29"/>
    </row>
    <row r="1194">
      <c r="A1194" s="111"/>
      <c r="B1194" s="112"/>
      <c r="C1194" s="29"/>
      <c r="D1194" s="29"/>
      <c r="E1194" s="29"/>
      <c r="F1194" s="29"/>
      <c r="G1194" s="29"/>
      <c r="H1194" s="29"/>
      <c r="I1194" s="29"/>
      <c r="J1194" s="29"/>
      <c r="K1194" s="29"/>
      <c r="L1194" s="29"/>
      <c r="M1194" s="29"/>
      <c r="N1194" s="29"/>
      <c r="O1194" s="29"/>
      <c r="P1194" s="29"/>
    </row>
    <row r="1195">
      <c r="A1195" s="111"/>
      <c r="B1195" s="112"/>
      <c r="C1195" s="29"/>
      <c r="D1195" s="29"/>
      <c r="E1195" s="29"/>
      <c r="F1195" s="29"/>
      <c r="G1195" s="29"/>
      <c r="H1195" s="29"/>
      <c r="I1195" s="29"/>
      <c r="J1195" s="29"/>
      <c r="K1195" s="29"/>
      <c r="L1195" s="29"/>
      <c r="M1195" s="29"/>
      <c r="N1195" s="29"/>
      <c r="O1195" s="29"/>
      <c r="P1195" s="29"/>
    </row>
    <row r="1196">
      <c r="A1196" s="111"/>
      <c r="B1196" s="112"/>
      <c r="C1196" s="29"/>
      <c r="D1196" s="29"/>
      <c r="E1196" s="29"/>
      <c r="F1196" s="29"/>
      <c r="G1196" s="29"/>
      <c r="H1196" s="29"/>
      <c r="I1196" s="29"/>
      <c r="J1196" s="29"/>
      <c r="K1196" s="29"/>
      <c r="L1196" s="29"/>
      <c r="M1196" s="29"/>
      <c r="N1196" s="29"/>
      <c r="O1196" s="29"/>
      <c r="P1196" s="29"/>
    </row>
    <row r="1197">
      <c r="A1197" s="111"/>
      <c r="B1197" s="112"/>
      <c r="C1197" s="29"/>
      <c r="D1197" s="29"/>
      <c r="E1197" s="29"/>
      <c r="F1197" s="29"/>
      <c r="G1197" s="29"/>
      <c r="H1197" s="29"/>
      <c r="I1197" s="29"/>
      <c r="J1197" s="29"/>
      <c r="K1197" s="29"/>
      <c r="L1197" s="29"/>
      <c r="M1197" s="29"/>
      <c r="N1197" s="29"/>
      <c r="O1197" s="29"/>
      <c r="P1197" s="29"/>
    </row>
    <row r="1198">
      <c r="A1198" s="111"/>
      <c r="B1198" s="112"/>
      <c r="C1198" s="29"/>
      <c r="D1198" s="29"/>
      <c r="E1198" s="29"/>
      <c r="F1198" s="29"/>
      <c r="G1198" s="29"/>
      <c r="H1198" s="29"/>
      <c r="I1198" s="29"/>
      <c r="J1198" s="29"/>
      <c r="K1198" s="29"/>
      <c r="L1198" s="29"/>
      <c r="M1198" s="29"/>
      <c r="N1198" s="29"/>
      <c r="O1198" s="29"/>
      <c r="P1198" s="29"/>
    </row>
    <row r="1199">
      <c r="A1199" s="111"/>
      <c r="B1199" s="112"/>
      <c r="C1199" s="29"/>
      <c r="D1199" s="29"/>
      <c r="E1199" s="29"/>
      <c r="F1199" s="29"/>
      <c r="G1199" s="29"/>
      <c r="H1199" s="29"/>
      <c r="I1199" s="29"/>
      <c r="J1199" s="29"/>
      <c r="K1199" s="29"/>
      <c r="L1199" s="29"/>
      <c r="M1199" s="29"/>
      <c r="N1199" s="29"/>
      <c r="O1199" s="29"/>
      <c r="P1199" s="29"/>
    </row>
    <row r="1200">
      <c r="A1200" s="111"/>
      <c r="B1200" s="112"/>
      <c r="C1200" s="29"/>
      <c r="D1200" s="29"/>
      <c r="E1200" s="29"/>
      <c r="F1200" s="29"/>
      <c r="G1200" s="29"/>
      <c r="H1200" s="29"/>
      <c r="I1200" s="29"/>
      <c r="J1200" s="29"/>
      <c r="K1200" s="29"/>
      <c r="L1200" s="29"/>
      <c r="M1200" s="29"/>
      <c r="N1200" s="29"/>
      <c r="O1200" s="29"/>
      <c r="P1200" s="29"/>
    </row>
    <row r="1201">
      <c r="A1201" s="111"/>
      <c r="B1201" s="112"/>
      <c r="C1201" s="29"/>
      <c r="D1201" s="29"/>
      <c r="E1201" s="29"/>
      <c r="F1201" s="29"/>
      <c r="G1201" s="29"/>
      <c r="H1201" s="29"/>
      <c r="I1201" s="29"/>
      <c r="J1201" s="29"/>
      <c r="K1201" s="29"/>
      <c r="L1201" s="29"/>
      <c r="M1201" s="29"/>
      <c r="N1201" s="29"/>
      <c r="O1201" s="29"/>
      <c r="P1201" s="29"/>
    </row>
    <row r="1202">
      <c r="A1202" s="111"/>
      <c r="B1202" s="112"/>
      <c r="C1202" s="29"/>
      <c r="D1202" s="29"/>
      <c r="E1202" s="29"/>
      <c r="F1202" s="29"/>
      <c r="G1202" s="29"/>
      <c r="H1202" s="29"/>
      <c r="I1202" s="29"/>
      <c r="J1202" s="29"/>
      <c r="K1202" s="29"/>
      <c r="L1202" s="29"/>
      <c r="M1202" s="29"/>
      <c r="N1202" s="29"/>
      <c r="O1202" s="29"/>
      <c r="P1202" s="29"/>
    </row>
    <row r="1203">
      <c r="A1203" s="111"/>
      <c r="B1203" s="112"/>
      <c r="C1203" s="29"/>
      <c r="D1203" s="29"/>
      <c r="E1203" s="29"/>
      <c r="F1203" s="29"/>
      <c r="G1203" s="29"/>
      <c r="H1203" s="29"/>
      <c r="I1203" s="29"/>
      <c r="J1203" s="29"/>
      <c r="K1203" s="29"/>
      <c r="L1203" s="29"/>
      <c r="M1203" s="29"/>
      <c r="N1203" s="29"/>
      <c r="O1203" s="29"/>
      <c r="P1203" s="29"/>
    </row>
    <row r="1204">
      <c r="A1204" s="111"/>
      <c r="B1204" s="112"/>
      <c r="C1204" s="29"/>
      <c r="D1204" s="29"/>
      <c r="E1204" s="29"/>
      <c r="F1204" s="29"/>
      <c r="G1204" s="29"/>
      <c r="H1204" s="29"/>
      <c r="I1204" s="29"/>
      <c r="J1204" s="29"/>
      <c r="K1204" s="29"/>
      <c r="L1204" s="29"/>
      <c r="M1204" s="29"/>
      <c r="N1204" s="29"/>
      <c r="O1204" s="29"/>
      <c r="P1204" s="29"/>
    </row>
    <row r="1205">
      <c r="A1205" s="111"/>
      <c r="B1205" s="112"/>
      <c r="C1205" s="29"/>
      <c r="D1205" s="29"/>
      <c r="E1205" s="29"/>
      <c r="F1205" s="29"/>
      <c r="G1205" s="29"/>
      <c r="H1205" s="29"/>
      <c r="I1205" s="29"/>
      <c r="J1205" s="29"/>
      <c r="K1205" s="29"/>
      <c r="L1205" s="29"/>
      <c r="M1205" s="29"/>
      <c r="N1205" s="29"/>
      <c r="O1205" s="29"/>
      <c r="P1205" s="29"/>
    </row>
    <row r="1206">
      <c r="A1206" s="111"/>
      <c r="B1206" s="112"/>
      <c r="C1206" s="29"/>
      <c r="D1206" s="29"/>
      <c r="E1206" s="29"/>
      <c r="F1206" s="29"/>
      <c r="G1206" s="29"/>
      <c r="H1206" s="29"/>
      <c r="I1206" s="29"/>
      <c r="J1206" s="29"/>
      <c r="K1206" s="29"/>
      <c r="L1206" s="29"/>
      <c r="M1206" s="29"/>
      <c r="N1206" s="29"/>
      <c r="O1206" s="29"/>
      <c r="P1206" s="29"/>
    </row>
    <row r="1207">
      <c r="A1207" s="111"/>
      <c r="B1207" s="112"/>
      <c r="C1207" s="29"/>
      <c r="D1207" s="29"/>
      <c r="E1207" s="29"/>
      <c r="F1207" s="29"/>
      <c r="G1207" s="29"/>
      <c r="H1207" s="29"/>
      <c r="I1207" s="29"/>
      <c r="J1207" s="29"/>
      <c r="K1207" s="29"/>
      <c r="L1207" s="29"/>
      <c r="M1207" s="29"/>
      <c r="N1207" s="29"/>
      <c r="O1207" s="29"/>
      <c r="P1207" s="29"/>
    </row>
    <row r="1208">
      <c r="A1208" s="111"/>
      <c r="B1208" s="112"/>
      <c r="C1208" s="29"/>
      <c r="D1208" s="29"/>
      <c r="E1208" s="29"/>
      <c r="F1208" s="29"/>
      <c r="G1208" s="29"/>
      <c r="H1208" s="29"/>
      <c r="I1208" s="29"/>
      <c r="J1208" s="29"/>
      <c r="K1208" s="29"/>
      <c r="L1208" s="29"/>
      <c r="M1208" s="29"/>
      <c r="N1208" s="29"/>
      <c r="O1208" s="29"/>
      <c r="P1208" s="29"/>
    </row>
    <row r="1209">
      <c r="A1209" s="111"/>
      <c r="B1209" s="112"/>
      <c r="C1209" s="29"/>
      <c r="D1209" s="29"/>
      <c r="E1209" s="29"/>
      <c r="F1209" s="29"/>
      <c r="G1209" s="29"/>
      <c r="H1209" s="29"/>
      <c r="I1209" s="29"/>
      <c r="J1209" s="29"/>
      <c r="K1209" s="29"/>
      <c r="L1209" s="29"/>
      <c r="M1209" s="29"/>
      <c r="N1209" s="29"/>
      <c r="O1209" s="29"/>
      <c r="P1209" s="29"/>
    </row>
    <row r="1210">
      <c r="A1210" s="111"/>
      <c r="B1210" s="112"/>
      <c r="C1210" s="29"/>
      <c r="D1210" s="29"/>
      <c r="E1210" s="29"/>
      <c r="F1210" s="29"/>
      <c r="G1210" s="29"/>
      <c r="H1210" s="29"/>
      <c r="I1210" s="29"/>
      <c r="J1210" s="29"/>
      <c r="K1210" s="29"/>
      <c r="L1210" s="29"/>
      <c r="M1210" s="29"/>
      <c r="N1210" s="29"/>
      <c r="O1210" s="29"/>
      <c r="P1210" s="29"/>
    </row>
    <row r="1211">
      <c r="A1211" s="111"/>
      <c r="B1211" s="112"/>
      <c r="C1211" s="29"/>
      <c r="D1211" s="29"/>
      <c r="E1211" s="29"/>
      <c r="F1211" s="29"/>
      <c r="G1211" s="29"/>
      <c r="H1211" s="29"/>
      <c r="I1211" s="29"/>
      <c r="J1211" s="29"/>
      <c r="K1211" s="29"/>
      <c r="L1211" s="29"/>
      <c r="M1211" s="29"/>
      <c r="N1211" s="29"/>
      <c r="O1211" s="29"/>
      <c r="P1211" s="29"/>
    </row>
    <row r="1212">
      <c r="A1212" s="111"/>
      <c r="B1212" s="112"/>
      <c r="C1212" s="29"/>
      <c r="D1212" s="29"/>
      <c r="E1212" s="29"/>
      <c r="F1212" s="29"/>
      <c r="G1212" s="29"/>
      <c r="H1212" s="29"/>
      <c r="I1212" s="29"/>
      <c r="J1212" s="29"/>
      <c r="K1212" s="29"/>
      <c r="L1212" s="29"/>
      <c r="M1212" s="29"/>
      <c r="N1212" s="29"/>
      <c r="O1212" s="29"/>
      <c r="P1212" s="29"/>
    </row>
    <row r="1213">
      <c r="A1213" s="111"/>
      <c r="B1213" s="112"/>
      <c r="C1213" s="29"/>
      <c r="D1213" s="29"/>
      <c r="E1213" s="29"/>
      <c r="F1213" s="29"/>
      <c r="G1213" s="29"/>
      <c r="H1213" s="29"/>
      <c r="I1213" s="29"/>
      <c r="J1213" s="29"/>
      <c r="K1213" s="29"/>
      <c r="L1213" s="29"/>
      <c r="M1213" s="29"/>
      <c r="N1213" s="29"/>
      <c r="O1213" s="29"/>
      <c r="P1213" s="29"/>
    </row>
    <row r="1214">
      <c r="A1214" s="111"/>
      <c r="B1214" s="112"/>
      <c r="C1214" s="29"/>
      <c r="D1214" s="29"/>
      <c r="E1214" s="29"/>
      <c r="F1214" s="29"/>
      <c r="G1214" s="29"/>
      <c r="H1214" s="29"/>
      <c r="I1214" s="29"/>
      <c r="J1214" s="29"/>
      <c r="K1214" s="29"/>
      <c r="L1214" s="29"/>
      <c r="M1214" s="29"/>
      <c r="N1214" s="29"/>
      <c r="O1214" s="29"/>
      <c r="P1214" s="29"/>
    </row>
    <row r="1215">
      <c r="A1215" s="111"/>
      <c r="B1215" s="112"/>
      <c r="C1215" s="29"/>
      <c r="D1215" s="29"/>
      <c r="E1215" s="29"/>
      <c r="F1215" s="29"/>
      <c r="G1215" s="29"/>
      <c r="H1215" s="29"/>
      <c r="I1215" s="29"/>
      <c r="J1215" s="29"/>
      <c r="K1215" s="29"/>
      <c r="L1215" s="29"/>
      <c r="M1215" s="29"/>
      <c r="N1215" s="29"/>
      <c r="O1215" s="29"/>
      <c r="P1215" s="29"/>
    </row>
    <row r="1216">
      <c r="A1216" s="111"/>
      <c r="B1216" s="112"/>
      <c r="C1216" s="29"/>
      <c r="D1216" s="29"/>
      <c r="E1216" s="29"/>
      <c r="F1216" s="29"/>
      <c r="G1216" s="29"/>
      <c r="H1216" s="29"/>
      <c r="I1216" s="29"/>
      <c r="J1216" s="29"/>
      <c r="K1216" s="29"/>
      <c r="L1216" s="29"/>
      <c r="M1216" s="29"/>
      <c r="N1216" s="29"/>
      <c r="O1216" s="29"/>
      <c r="P1216" s="29"/>
    </row>
    <row r="1217">
      <c r="A1217" s="111"/>
      <c r="B1217" s="112"/>
      <c r="C1217" s="29"/>
      <c r="D1217" s="29"/>
      <c r="E1217" s="29"/>
      <c r="F1217" s="29"/>
      <c r="G1217" s="29"/>
      <c r="H1217" s="29"/>
      <c r="I1217" s="29"/>
      <c r="J1217" s="29"/>
      <c r="K1217" s="29"/>
      <c r="L1217" s="29"/>
      <c r="M1217" s="29"/>
      <c r="N1217" s="29"/>
      <c r="O1217" s="29"/>
      <c r="P1217" s="29"/>
    </row>
    <row r="1218">
      <c r="A1218" s="111"/>
      <c r="B1218" s="112"/>
      <c r="C1218" s="29"/>
      <c r="D1218" s="29"/>
      <c r="E1218" s="29"/>
      <c r="F1218" s="29"/>
      <c r="G1218" s="29"/>
      <c r="H1218" s="29"/>
      <c r="I1218" s="29"/>
      <c r="J1218" s="29"/>
      <c r="K1218" s="29"/>
      <c r="L1218" s="29"/>
      <c r="M1218" s="29"/>
      <c r="N1218" s="29"/>
      <c r="O1218" s="29"/>
      <c r="P1218" s="29"/>
    </row>
    <row r="1219">
      <c r="A1219" s="111"/>
      <c r="B1219" s="112"/>
      <c r="C1219" s="29"/>
      <c r="D1219" s="29"/>
      <c r="E1219" s="29"/>
      <c r="F1219" s="29"/>
      <c r="G1219" s="29"/>
      <c r="H1219" s="29"/>
      <c r="I1219" s="29"/>
      <c r="J1219" s="29"/>
      <c r="K1219" s="29"/>
      <c r="L1219" s="29"/>
      <c r="M1219" s="29"/>
      <c r="N1219" s="29"/>
      <c r="O1219" s="29"/>
      <c r="P1219" s="29"/>
    </row>
    <row r="1220">
      <c r="A1220" s="111"/>
      <c r="B1220" s="112"/>
      <c r="C1220" s="29"/>
      <c r="D1220" s="29"/>
      <c r="E1220" s="29"/>
      <c r="F1220" s="29"/>
      <c r="G1220" s="29"/>
      <c r="H1220" s="29"/>
      <c r="I1220" s="29"/>
      <c r="J1220" s="29"/>
      <c r="K1220" s="29"/>
      <c r="L1220" s="29"/>
      <c r="M1220" s="29"/>
      <c r="N1220" s="29"/>
      <c r="O1220" s="29"/>
      <c r="P1220" s="29"/>
    </row>
    <row r="1221">
      <c r="A1221" s="111"/>
      <c r="B1221" s="112"/>
      <c r="C1221" s="29"/>
      <c r="D1221" s="29"/>
      <c r="E1221" s="29"/>
      <c r="F1221" s="29"/>
      <c r="G1221" s="29"/>
      <c r="H1221" s="29"/>
      <c r="I1221" s="29"/>
      <c r="J1221" s="29"/>
      <c r="K1221" s="29"/>
      <c r="L1221" s="29"/>
      <c r="M1221" s="29"/>
      <c r="N1221" s="29"/>
      <c r="O1221" s="29"/>
      <c r="P1221" s="29"/>
    </row>
    <row r="1222">
      <c r="A1222" s="111"/>
      <c r="B1222" s="112"/>
      <c r="C1222" s="29"/>
      <c r="D1222" s="29"/>
      <c r="E1222" s="29"/>
      <c r="F1222" s="29"/>
      <c r="G1222" s="29"/>
      <c r="H1222" s="29"/>
      <c r="I1222" s="29"/>
      <c r="J1222" s="29"/>
      <c r="K1222" s="29"/>
      <c r="L1222" s="29"/>
      <c r="M1222" s="29"/>
      <c r="N1222" s="29"/>
      <c r="O1222" s="29"/>
      <c r="P1222" s="29"/>
    </row>
    <row r="1223">
      <c r="A1223" s="111"/>
      <c r="B1223" s="112"/>
      <c r="C1223" s="29"/>
      <c r="D1223" s="29"/>
      <c r="E1223" s="29"/>
      <c r="F1223" s="29"/>
      <c r="G1223" s="29"/>
      <c r="H1223" s="29"/>
      <c r="I1223" s="29"/>
      <c r="J1223" s="29"/>
      <c r="K1223" s="29"/>
      <c r="L1223" s="29"/>
      <c r="M1223" s="29"/>
      <c r="N1223" s="29"/>
      <c r="O1223" s="29"/>
      <c r="P1223" s="29"/>
    </row>
    <row r="1224">
      <c r="A1224" s="111"/>
      <c r="B1224" s="112"/>
      <c r="C1224" s="29"/>
      <c r="D1224" s="29"/>
      <c r="E1224" s="29"/>
      <c r="F1224" s="29"/>
      <c r="G1224" s="29"/>
      <c r="H1224" s="29"/>
      <c r="I1224" s="29"/>
      <c r="J1224" s="29"/>
      <c r="K1224" s="29"/>
      <c r="L1224" s="29"/>
      <c r="M1224" s="29"/>
      <c r="N1224" s="29"/>
      <c r="O1224" s="29"/>
      <c r="P1224" s="29"/>
    </row>
    <row r="1225">
      <c r="A1225" s="111"/>
      <c r="B1225" s="112"/>
      <c r="C1225" s="29"/>
      <c r="D1225" s="29"/>
      <c r="E1225" s="29"/>
      <c r="F1225" s="29"/>
      <c r="G1225" s="29"/>
      <c r="H1225" s="29"/>
      <c r="I1225" s="29"/>
      <c r="J1225" s="29"/>
      <c r="K1225" s="29"/>
      <c r="L1225" s="29"/>
      <c r="M1225" s="29"/>
      <c r="N1225" s="29"/>
      <c r="O1225" s="29"/>
      <c r="P1225" s="29"/>
    </row>
    <row r="1226">
      <c r="A1226" s="111"/>
      <c r="B1226" s="112"/>
      <c r="C1226" s="29"/>
      <c r="D1226" s="29"/>
      <c r="E1226" s="29"/>
      <c r="F1226" s="29"/>
      <c r="G1226" s="29"/>
      <c r="H1226" s="29"/>
      <c r="I1226" s="29"/>
      <c r="J1226" s="29"/>
      <c r="K1226" s="29"/>
      <c r="L1226" s="29"/>
      <c r="M1226" s="29"/>
      <c r="N1226" s="29"/>
      <c r="O1226" s="29"/>
      <c r="P1226" s="29"/>
    </row>
    <row r="1227">
      <c r="A1227" s="111"/>
      <c r="B1227" s="112"/>
      <c r="C1227" s="29"/>
      <c r="D1227" s="29"/>
      <c r="E1227" s="29"/>
      <c r="F1227" s="29"/>
      <c r="G1227" s="29"/>
      <c r="H1227" s="29"/>
      <c r="I1227" s="29"/>
      <c r="J1227" s="29"/>
      <c r="K1227" s="29"/>
      <c r="L1227" s="29"/>
      <c r="M1227" s="29"/>
      <c r="N1227" s="29"/>
      <c r="O1227" s="29"/>
      <c r="P1227" s="29"/>
    </row>
    <row r="1228">
      <c r="A1228" s="111"/>
      <c r="B1228" s="112"/>
      <c r="C1228" s="29"/>
      <c r="D1228" s="29"/>
      <c r="E1228" s="29"/>
      <c r="F1228" s="29"/>
      <c r="G1228" s="29"/>
      <c r="H1228" s="29"/>
      <c r="I1228" s="29"/>
      <c r="J1228" s="29"/>
      <c r="K1228" s="29"/>
      <c r="L1228" s="29"/>
      <c r="M1228" s="29"/>
      <c r="N1228" s="29"/>
      <c r="O1228" s="29"/>
      <c r="P1228" s="29"/>
    </row>
    <row r="1229">
      <c r="A1229" s="111"/>
      <c r="B1229" s="112"/>
      <c r="C1229" s="29"/>
      <c r="D1229" s="29"/>
      <c r="E1229" s="29"/>
      <c r="F1229" s="29"/>
      <c r="G1229" s="29"/>
      <c r="H1229" s="29"/>
      <c r="I1229" s="29"/>
      <c r="J1229" s="29"/>
      <c r="K1229" s="29"/>
      <c r="L1229" s="29"/>
      <c r="M1229" s="29"/>
      <c r="N1229" s="29"/>
      <c r="O1229" s="29"/>
      <c r="P1229" s="29"/>
    </row>
    <row r="1230">
      <c r="A1230" s="111"/>
      <c r="B1230" s="112"/>
      <c r="C1230" s="29"/>
      <c r="D1230" s="29"/>
      <c r="E1230" s="29"/>
      <c r="F1230" s="29"/>
      <c r="G1230" s="29"/>
      <c r="H1230" s="29"/>
      <c r="I1230" s="29"/>
      <c r="J1230" s="29"/>
      <c r="K1230" s="29"/>
      <c r="L1230" s="29"/>
      <c r="M1230" s="29"/>
      <c r="N1230" s="29"/>
      <c r="O1230" s="29"/>
      <c r="P1230" s="29"/>
    </row>
    <row r="1231">
      <c r="A1231" s="111"/>
      <c r="B1231" s="112"/>
      <c r="C1231" s="29"/>
      <c r="D1231" s="29"/>
      <c r="E1231" s="29"/>
      <c r="F1231" s="29"/>
      <c r="G1231" s="29"/>
      <c r="H1231" s="29"/>
      <c r="I1231" s="29"/>
      <c r="J1231" s="29"/>
      <c r="K1231" s="29"/>
      <c r="L1231" s="29"/>
      <c r="M1231" s="29"/>
      <c r="N1231" s="29"/>
      <c r="O1231" s="29"/>
      <c r="P1231" s="29"/>
    </row>
    <row r="1232">
      <c r="A1232" s="111"/>
      <c r="B1232" s="112"/>
      <c r="C1232" s="29"/>
      <c r="D1232" s="29"/>
      <c r="E1232" s="29"/>
      <c r="F1232" s="29"/>
      <c r="G1232" s="29"/>
      <c r="H1232" s="29"/>
      <c r="I1232" s="29"/>
      <c r="J1232" s="29"/>
      <c r="K1232" s="29"/>
      <c r="L1232" s="29"/>
      <c r="M1232" s="29"/>
      <c r="N1232" s="29"/>
      <c r="O1232" s="29"/>
      <c r="P1232" s="29"/>
    </row>
    <row r="1233">
      <c r="A1233" s="111"/>
      <c r="B1233" s="112"/>
      <c r="C1233" s="29"/>
      <c r="D1233" s="29"/>
      <c r="E1233" s="29"/>
      <c r="F1233" s="29"/>
      <c r="G1233" s="29"/>
      <c r="H1233" s="29"/>
      <c r="I1233" s="29"/>
      <c r="J1233" s="29"/>
      <c r="K1233" s="29"/>
      <c r="L1233" s="29"/>
      <c r="M1233" s="29"/>
      <c r="N1233" s="29"/>
      <c r="O1233" s="29"/>
      <c r="P1233" s="29"/>
    </row>
    <row r="1234">
      <c r="A1234" s="111"/>
      <c r="B1234" s="112"/>
      <c r="C1234" s="29"/>
      <c r="D1234" s="29"/>
      <c r="E1234" s="29"/>
      <c r="F1234" s="29"/>
      <c r="G1234" s="29"/>
      <c r="H1234" s="29"/>
      <c r="I1234" s="29"/>
      <c r="J1234" s="29"/>
      <c r="K1234" s="29"/>
      <c r="L1234" s="29"/>
      <c r="M1234" s="29"/>
      <c r="N1234" s="29"/>
      <c r="O1234" s="29"/>
      <c r="P1234" s="29"/>
    </row>
    <row r="1235">
      <c r="A1235" s="111"/>
      <c r="B1235" s="112"/>
      <c r="C1235" s="29"/>
      <c r="D1235" s="29"/>
      <c r="E1235" s="29"/>
      <c r="F1235" s="29"/>
      <c r="G1235" s="29"/>
      <c r="H1235" s="29"/>
      <c r="I1235" s="29"/>
      <c r="J1235" s="29"/>
      <c r="K1235" s="29"/>
      <c r="L1235" s="29"/>
      <c r="M1235" s="29"/>
      <c r="N1235" s="29"/>
      <c r="O1235" s="29"/>
      <c r="P1235" s="29"/>
    </row>
    <row r="1236">
      <c r="A1236" s="111"/>
      <c r="B1236" s="112"/>
      <c r="C1236" s="29"/>
      <c r="D1236" s="29"/>
      <c r="E1236" s="29"/>
      <c r="F1236" s="29"/>
      <c r="G1236" s="29"/>
      <c r="H1236" s="29"/>
      <c r="I1236" s="29"/>
      <c r="J1236" s="29"/>
      <c r="K1236" s="29"/>
      <c r="L1236" s="29"/>
      <c r="M1236" s="29"/>
      <c r="N1236" s="29"/>
      <c r="O1236" s="29"/>
      <c r="P1236" s="29"/>
    </row>
    <row r="1237">
      <c r="A1237" s="111"/>
      <c r="B1237" s="112"/>
      <c r="C1237" s="29"/>
      <c r="D1237" s="29"/>
      <c r="E1237" s="29"/>
      <c r="F1237" s="29"/>
      <c r="G1237" s="29"/>
      <c r="H1237" s="29"/>
      <c r="I1237" s="29"/>
      <c r="J1237" s="29"/>
      <c r="K1237" s="29"/>
      <c r="L1237" s="29"/>
      <c r="M1237" s="29"/>
      <c r="N1237" s="29"/>
      <c r="O1237" s="29"/>
      <c r="P1237" s="29"/>
    </row>
    <row r="1238">
      <c r="A1238" s="111"/>
      <c r="B1238" s="112"/>
      <c r="C1238" s="29"/>
      <c r="D1238" s="29"/>
      <c r="E1238" s="29"/>
      <c r="F1238" s="29"/>
      <c r="G1238" s="29"/>
      <c r="H1238" s="29"/>
      <c r="I1238" s="29"/>
      <c r="J1238" s="29"/>
      <c r="K1238" s="29"/>
      <c r="L1238" s="29"/>
      <c r="M1238" s="29"/>
      <c r="N1238" s="29"/>
      <c r="O1238" s="29"/>
      <c r="P1238" s="29"/>
    </row>
    <row r="1239">
      <c r="A1239" s="111"/>
      <c r="B1239" s="112"/>
      <c r="C1239" s="29"/>
      <c r="D1239" s="29"/>
      <c r="E1239" s="29"/>
      <c r="F1239" s="29"/>
      <c r="G1239" s="29"/>
      <c r="H1239" s="29"/>
      <c r="I1239" s="29"/>
      <c r="J1239" s="29"/>
      <c r="K1239" s="29"/>
      <c r="L1239" s="29"/>
      <c r="M1239" s="29"/>
      <c r="N1239" s="29"/>
      <c r="O1239" s="29"/>
      <c r="P1239" s="29"/>
    </row>
    <row r="1240">
      <c r="A1240" s="111"/>
      <c r="B1240" s="112"/>
      <c r="C1240" s="29"/>
      <c r="D1240" s="29"/>
      <c r="E1240" s="29"/>
      <c r="F1240" s="29"/>
      <c r="G1240" s="29"/>
      <c r="H1240" s="29"/>
      <c r="I1240" s="29"/>
      <c r="J1240" s="29"/>
      <c r="K1240" s="29"/>
      <c r="L1240" s="29"/>
      <c r="M1240" s="29"/>
      <c r="N1240" s="29"/>
      <c r="O1240" s="29"/>
      <c r="P1240" s="29"/>
    </row>
    <row r="1241">
      <c r="A1241" s="111"/>
      <c r="B1241" s="112"/>
      <c r="C1241" s="29"/>
      <c r="D1241" s="29"/>
      <c r="E1241" s="29"/>
      <c r="F1241" s="29"/>
      <c r="G1241" s="29"/>
      <c r="H1241" s="29"/>
      <c r="I1241" s="29"/>
      <c r="J1241" s="29"/>
      <c r="K1241" s="29"/>
      <c r="L1241" s="29"/>
      <c r="M1241" s="29"/>
      <c r="N1241" s="29"/>
      <c r="O1241" s="29"/>
      <c r="P1241" s="29"/>
    </row>
    <row r="1242">
      <c r="A1242" s="111"/>
      <c r="B1242" s="112"/>
      <c r="C1242" s="29"/>
      <c r="D1242" s="29"/>
      <c r="E1242" s="29"/>
      <c r="F1242" s="29"/>
      <c r="G1242" s="29"/>
      <c r="H1242" s="29"/>
      <c r="I1242" s="29"/>
      <c r="J1242" s="29"/>
      <c r="K1242" s="29"/>
      <c r="L1242" s="29"/>
      <c r="M1242" s="29"/>
      <c r="N1242" s="29"/>
      <c r="O1242" s="29"/>
      <c r="P1242" s="29"/>
    </row>
    <row r="1243">
      <c r="A1243" s="111"/>
      <c r="B1243" s="112"/>
      <c r="C1243" s="29"/>
      <c r="D1243" s="29"/>
      <c r="E1243" s="29"/>
      <c r="F1243" s="29"/>
      <c r="G1243" s="29"/>
      <c r="H1243" s="29"/>
      <c r="I1243" s="29"/>
      <c r="J1243" s="29"/>
      <c r="K1243" s="29"/>
      <c r="L1243" s="29"/>
      <c r="M1243" s="29"/>
      <c r="N1243" s="29"/>
      <c r="O1243" s="29"/>
      <c r="P1243" s="29"/>
    </row>
    <row r="1244">
      <c r="A1244" s="111"/>
      <c r="B1244" s="112"/>
      <c r="C1244" s="29"/>
      <c r="D1244" s="29"/>
      <c r="E1244" s="29"/>
      <c r="F1244" s="29"/>
      <c r="G1244" s="29"/>
      <c r="H1244" s="29"/>
      <c r="I1244" s="29"/>
      <c r="J1244" s="29"/>
      <c r="K1244" s="29"/>
      <c r="L1244" s="29"/>
      <c r="M1244" s="29"/>
      <c r="N1244" s="29"/>
      <c r="O1244" s="29"/>
      <c r="P1244" s="29"/>
    </row>
    <row r="1245">
      <c r="A1245" s="111"/>
      <c r="B1245" s="112"/>
      <c r="C1245" s="29"/>
      <c r="D1245" s="29"/>
      <c r="E1245" s="29"/>
      <c r="F1245" s="29"/>
      <c r="G1245" s="29"/>
      <c r="H1245" s="29"/>
      <c r="I1245" s="29"/>
      <c r="J1245" s="29"/>
      <c r="K1245" s="29"/>
      <c r="L1245" s="29"/>
      <c r="M1245" s="29"/>
      <c r="N1245" s="29"/>
      <c r="O1245" s="29"/>
      <c r="P1245" s="29"/>
    </row>
    <row r="1246">
      <c r="A1246" s="111"/>
      <c r="B1246" s="112"/>
      <c r="C1246" s="29"/>
      <c r="D1246" s="29"/>
      <c r="E1246" s="29"/>
      <c r="F1246" s="29"/>
      <c r="G1246" s="29"/>
      <c r="H1246" s="29"/>
      <c r="I1246" s="29"/>
      <c r="J1246" s="29"/>
      <c r="K1246" s="29"/>
      <c r="L1246" s="29"/>
      <c r="M1246" s="29"/>
      <c r="N1246" s="29"/>
      <c r="O1246" s="29"/>
      <c r="P1246" s="29"/>
    </row>
    <row r="1247">
      <c r="A1247" s="111"/>
      <c r="B1247" s="112"/>
      <c r="C1247" s="29"/>
      <c r="D1247" s="29"/>
      <c r="E1247" s="29"/>
      <c r="F1247" s="29"/>
      <c r="G1247" s="29"/>
      <c r="H1247" s="29"/>
      <c r="I1247" s="29"/>
      <c r="J1247" s="29"/>
      <c r="K1247" s="29"/>
      <c r="L1247" s="29"/>
      <c r="M1247" s="29"/>
      <c r="N1247" s="29"/>
      <c r="O1247" s="29"/>
      <c r="P1247" s="29"/>
    </row>
    <row r="1248">
      <c r="A1248" s="111"/>
      <c r="B1248" s="112"/>
      <c r="C1248" s="29"/>
      <c r="D1248" s="29"/>
      <c r="E1248" s="29"/>
      <c r="F1248" s="29"/>
      <c r="G1248" s="29"/>
      <c r="H1248" s="29"/>
      <c r="I1248" s="29"/>
      <c r="J1248" s="29"/>
      <c r="K1248" s="29"/>
      <c r="L1248" s="29"/>
      <c r="M1248" s="29"/>
      <c r="N1248" s="29"/>
      <c r="O1248" s="29"/>
      <c r="P1248" s="29"/>
    </row>
    <row r="1249">
      <c r="A1249" s="111"/>
      <c r="B1249" s="112"/>
      <c r="C1249" s="29"/>
      <c r="D1249" s="29"/>
      <c r="E1249" s="29"/>
      <c r="F1249" s="29"/>
      <c r="G1249" s="29"/>
      <c r="H1249" s="29"/>
      <c r="I1249" s="29"/>
      <c r="J1249" s="29"/>
      <c r="K1249" s="29"/>
      <c r="L1249" s="29"/>
      <c r="M1249" s="29"/>
      <c r="N1249" s="29"/>
      <c r="O1249" s="29"/>
      <c r="P1249" s="29"/>
    </row>
    <row r="1250">
      <c r="A1250" s="111"/>
      <c r="B1250" s="112"/>
      <c r="C1250" s="29"/>
      <c r="D1250" s="29"/>
      <c r="E1250" s="29"/>
      <c r="F1250" s="29"/>
      <c r="G1250" s="29"/>
      <c r="H1250" s="29"/>
      <c r="I1250" s="29"/>
      <c r="J1250" s="29"/>
      <c r="K1250" s="29"/>
      <c r="L1250" s="29"/>
      <c r="M1250" s="29"/>
      <c r="N1250" s="29"/>
      <c r="O1250" s="29"/>
      <c r="P1250" s="29"/>
    </row>
    <row r="1251">
      <c r="A1251" s="111"/>
      <c r="B1251" s="112"/>
      <c r="C1251" s="29"/>
      <c r="D1251" s="29"/>
      <c r="E1251" s="29"/>
      <c r="F1251" s="29"/>
      <c r="G1251" s="29"/>
      <c r="H1251" s="29"/>
      <c r="I1251" s="29"/>
      <c r="J1251" s="29"/>
      <c r="K1251" s="29"/>
      <c r="L1251" s="29"/>
      <c r="M1251" s="29"/>
      <c r="N1251" s="29"/>
      <c r="O1251" s="29"/>
      <c r="P1251" s="29"/>
    </row>
    <row r="1252">
      <c r="A1252" s="111"/>
      <c r="B1252" s="112"/>
      <c r="C1252" s="29"/>
      <c r="D1252" s="29"/>
      <c r="E1252" s="29"/>
      <c r="F1252" s="29"/>
      <c r="G1252" s="29"/>
      <c r="H1252" s="29"/>
      <c r="I1252" s="29"/>
      <c r="J1252" s="29"/>
      <c r="K1252" s="29"/>
      <c r="L1252" s="29"/>
      <c r="M1252" s="29"/>
      <c r="N1252" s="29"/>
      <c r="O1252" s="29"/>
      <c r="P1252" s="29"/>
    </row>
    <row r="1253">
      <c r="A1253" s="111"/>
      <c r="B1253" s="112"/>
      <c r="C1253" s="29"/>
      <c r="D1253" s="29"/>
      <c r="E1253" s="29"/>
      <c r="F1253" s="29"/>
      <c r="G1253" s="29"/>
      <c r="H1253" s="29"/>
      <c r="I1253" s="29"/>
      <c r="J1253" s="29"/>
      <c r="K1253" s="29"/>
      <c r="L1253" s="29"/>
      <c r="M1253" s="29"/>
      <c r="N1253" s="29"/>
      <c r="O1253" s="29"/>
      <c r="P1253" s="29"/>
    </row>
    <row r="1254">
      <c r="A1254" s="111"/>
      <c r="B1254" s="112"/>
      <c r="C1254" s="29"/>
      <c r="D1254" s="29"/>
      <c r="E1254" s="29"/>
      <c r="F1254" s="29"/>
      <c r="G1254" s="29"/>
      <c r="H1254" s="29"/>
      <c r="I1254" s="29"/>
      <c r="J1254" s="29"/>
      <c r="K1254" s="29"/>
      <c r="L1254" s="29"/>
      <c r="M1254" s="29"/>
      <c r="N1254" s="29"/>
      <c r="O1254" s="29"/>
      <c r="P1254" s="29"/>
    </row>
    <row r="1255">
      <c r="A1255" s="111"/>
      <c r="B1255" s="112"/>
      <c r="C1255" s="29"/>
      <c r="D1255" s="29"/>
      <c r="E1255" s="29"/>
      <c r="F1255" s="29"/>
      <c r="G1255" s="29"/>
      <c r="H1255" s="29"/>
      <c r="I1255" s="29"/>
      <c r="J1255" s="29"/>
      <c r="K1255" s="29"/>
      <c r="L1255" s="29"/>
      <c r="M1255" s="29"/>
      <c r="N1255" s="29"/>
      <c r="O1255" s="29"/>
      <c r="P1255" s="29"/>
    </row>
    <row r="1256">
      <c r="A1256" s="111"/>
      <c r="B1256" s="112"/>
      <c r="C1256" s="29"/>
      <c r="D1256" s="29"/>
      <c r="E1256" s="29"/>
      <c r="F1256" s="29"/>
      <c r="G1256" s="29"/>
      <c r="H1256" s="29"/>
      <c r="I1256" s="29"/>
      <c r="J1256" s="29"/>
      <c r="K1256" s="29"/>
      <c r="L1256" s="29"/>
      <c r="M1256" s="29"/>
      <c r="N1256" s="29"/>
      <c r="O1256" s="29"/>
      <c r="P1256" s="29"/>
    </row>
    <row r="1257">
      <c r="A1257" s="111"/>
      <c r="B1257" s="112"/>
      <c r="C1257" s="29"/>
      <c r="D1257" s="29"/>
      <c r="E1257" s="29"/>
      <c r="F1257" s="29"/>
      <c r="G1257" s="29"/>
      <c r="H1257" s="29"/>
      <c r="I1257" s="29"/>
      <c r="J1257" s="29"/>
      <c r="K1257" s="29"/>
      <c r="L1257" s="29"/>
      <c r="M1257" s="29"/>
      <c r="N1257" s="29"/>
      <c r="O1257" s="29"/>
      <c r="P1257" s="29"/>
    </row>
    <row r="1258">
      <c r="A1258" s="111"/>
      <c r="B1258" s="112"/>
      <c r="C1258" s="29"/>
      <c r="D1258" s="29"/>
      <c r="E1258" s="29"/>
      <c r="F1258" s="29"/>
      <c r="G1258" s="29"/>
      <c r="H1258" s="29"/>
      <c r="I1258" s="29"/>
      <c r="J1258" s="29"/>
      <c r="K1258" s="29"/>
      <c r="L1258" s="29"/>
      <c r="M1258" s="29"/>
      <c r="N1258" s="29"/>
      <c r="O1258" s="29"/>
      <c r="P1258" s="29"/>
    </row>
    <row r="1259">
      <c r="A1259" s="111"/>
      <c r="B1259" s="112"/>
      <c r="C1259" s="29"/>
      <c r="D1259" s="29"/>
      <c r="E1259" s="29"/>
      <c r="F1259" s="29"/>
      <c r="G1259" s="29"/>
      <c r="H1259" s="29"/>
      <c r="I1259" s="29"/>
      <c r="J1259" s="29"/>
      <c r="K1259" s="29"/>
      <c r="L1259" s="29"/>
      <c r="M1259" s="29"/>
      <c r="N1259" s="29"/>
      <c r="O1259" s="29"/>
      <c r="P1259" s="29"/>
    </row>
    <row r="1260">
      <c r="A1260" s="111"/>
      <c r="B1260" s="112"/>
      <c r="C1260" s="29"/>
      <c r="D1260" s="29"/>
      <c r="E1260" s="29"/>
      <c r="F1260" s="29"/>
      <c r="G1260" s="29"/>
      <c r="H1260" s="29"/>
      <c r="I1260" s="29"/>
      <c r="J1260" s="29"/>
      <c r="K1260" s="29"/>
      <c r="L1260" s="29"/>
      <c r="M1260" s="29"/>
      <c r="N1260" s="29"/>
      <c r="O1260" s="29"/>
      <c r="P1260" s="29"/>
    </row>
    <row r="1261">
      <c r="A1261" s="111"/>
      <c r="B1261" s="112"/>
      <c r="C1261" s="29"/>
      <c r="D1261" s="29"/>
      <c r="E1261" s="29"/>
      <c r="F1261" s="29"/>
      <c r="G1261" s="29"/>
      <c r="H1261" s="29"/>
      <c r="I1261" s="29"/>
      <c r="J1261" s="29"/>
      <c r="K1261" s="29"/>
      <c r="L1261" s="29"/>
      <c r="M1261" s="29"/>
      <c r="N1261" s="29"/>
      <c r="O1261" s="29"/>
      <c r="P1261" s="29"/>
    </row>
    <row r="1262">
      <c r="A1262" s="111"/>
      <c r="B1262" s="112"/>
      <c r="C1262" s="29"/>
      <c r="D1262" s="29"/>
      <c r="E1262" s="29"/>
      <c r="F1262" s="29"/>
      <c r="G1262" s="29"/>
      <c r="H1262" s="29"/>
      <c r="I1262" s="29"/>
      <c r="J1262" s="29"/>
      <c r="K1262" s="29"/>
      <c r="L1262" s="29"/>
      <c r="M1262" s="29"/>
      <c r="N1262" s="29"/>
      <c r="O1262" s="29"/>
      <c r="P1262" s="29"/>
    </row>
    <row r="1263">
      <c r="A1263" s="111"/>
      <c r="B1263" s="112"/>
      <c r="C1263" s="29"/>
      <c r="D1263" s="29"/>
      <c r="E1263" s="29"/>
      <c r="F1263" s="29"/>
      <c r="G1263" s="29"/>
      <c r="H1263" s="29"/>
      <c r="I1263" s="29"/>
      <c r="J1263" s="29"/>
      <c r="K1263" s="29"/>
      <c r="L1263" s="29"/>
      <c r="M1263" s="29"/>
      <c r="N1263" s="29"/>
      <c r="O1263" s="29"/>
      <c r="P1263" s="29"/>
    </row>
    <row r="1264">
      <c r="A1264" s="111"/>
      <c r="B1264" s="112"/>
      <c r="C1264" s="29"/>
      <c r="D1264" s="29"/>
      <c r="E1264" s="29"/>
      <c r="F1264" s="29"/>
      <c r="G1264" s="29"/>
      <c r="H1264" s="29"/>
      <c r="I1264" s="29"/>
      <c r="J1264" s="29"/>
      <c r="K1264" s="29"/>
      <c r="L1264" s="29"/>
      <c r="M1264" s="29"/>
      <c r="N1264" s="29"/>
      <c r="O1264" s="29"/>
      <c r="P1264" s="29"/>
    </row>
    <row r="1265">
      <c r="A1265" s="111"/>
      <c r="B1265" s="112"/>
      <c r="C1265" s="29"/>
      <c r="D1265" s="29"/>
      <c r="E1265" s="29"/>
      <c r="F1265" s="29"/>
      <c r="G1265" s="29"/>
      <c r="H1265" s="29"/>
      <c r="I1265" s="29"/>
      <c r="J1265" s="29"/>
      <c r="K1265" s="29"/>
      <c r="L1265" s="29"/>
      <c r="M1265" s="29"/>
      <c r="N1265" s="29"/>
      <c r="O1265" s="29"/>
      <c r="P1265" s="29"/>
    </row>
    <row r="1266">
      <c r="A1266" s="111"/>
      <c r="B1266" s="112"/>
      <c r="C1266" s="29"/>
      <c r="D1266" s="29"/>
      <c r="E1266" s="29"/>
      <c r="F1266" s="29"/>
      <c r="G1266" s="29"/>
      <c r="H1266" s="29"/>
      <c r="I1266" s="29"/>
      <c r="J1266" s="29"/>
      <c r="K1266" s="29"/>
      <c r="L1266" s="29"/>
      <c r="M1266" s="29"/>
      <c r="N1266" s="29"/>
      <c r="O1266" s="29"/>
      <c r="P1266" s="29"/>
    </row>
    <row r="1267">
      <c r="A1267" s="111"/>
      <c r="B1267" s="112"/>
      <c r="C1267" s="29"/>
      <c r="D1267" s="29"/>
      <c r="E1267" s="29"/>
      <c r="F1267" s="29"/>
      <c r="G1267" s="29"/>
      <c r="H1267" s="29"/>
      <c r="I1267" s="29"/>
      <c r="J1267" s="29"/>
      <c r="K1267" s="29"/>
      <c r="L1267" s="29"/>
      <c r="M1267" s="29"/>
      <c r="N1267" s="29"/>
      <c r="O1267" s="29"/>
      <c r="P1267" s="29"/>
    </row>
    <row r="1268">
      <c r="A1268" s="111"/>
      <c r="B1268" s="112"/>
      <c r="C1268" s="29"/>
      <c r="D1268" s="29"/>
      <c r="E1268" s="29"/>
      <c r="F1268" s="29"/>
      <c r="G1268" s="29"/>
      <c r="H1268" s="29"/>
      <c r="I1268" s="29"/>
      <c r="J1268" s="29"/>
      <c r="K1268" s="29"/>
      <c r="L1268" s="29"/>
      <c r="M1268" s="29"/>
      <c r="N1268" s="29"/>
      <c r="O1268" s="29"/>
      <c r="P1268" s="29"/>
    </row>
    <row r="1269">
      <c r="A1269" s="111"/>
      <c r="B1269" s="112"/>
      <c r="C1269" s="29"/>
      <c r="D1269" s="29"/>
      <c r="E1269" s="29"/>
      <c r="F1269" s="29"/>
      <c r="G1269" s="29"/>
      <c r="H1269" s="29"/>
      <c r="I1269" s="29"/>
      <c r="J1269" s="29"/>
      <c r="K1269" s="29"/>
      <c r="L1269" s="29"/>
      <c r="M1269" s="29"/>
      <c r="N1269" s="29"/>
      <c r="O1269" s="29"/>
      <c r="P1269" s="29"/>
    </row>
    <row r="1270">
      <c r="A1270" s="111"/>
      <c r="B1270" s="112"/>
      <c r="C1270" s="29"/>
      <c r="D1270" s="29"/>
      <c r="E1270" s="29"/>
      <c r="F1270" s="29"/>
      <c r="G1270" s="29"/>
      <c r="H1270" s="29"/>
      <c r="I1270" s="29"/>
      <c r="J1270" s="29"/>
      <c r="K1270" s="29"/>
      <c r="L1270" s="29"/>
      <c r="M1270" s="29"/>
      <c r="N1270" s="29"/>
      <c r="O1270" s="29"/>
      <c r="P1270" s="29"/>
    </row>
    <row r="1271">
      <c r="A1271" s="111"/>
      <c r="B1271" s="112"/>
      <c r="C1271" s="29"/>
      <c r="D1271" s="29"/>
      <c r="E1271" s="29"/>
      <c r="F1271" s="29"/>
      <c r="G1271" s="29"/>
      <c r="H1271" s="29"/>
      <c r="I1271" s="29"/>
      <c r="J1271" s="29"/>
      <c r="K1271" s="29"/>
      <c r="L1271" s="29"/>
      <c r="M1271" s="29"/>
      <c r="N1271" s="29"/>
      <c r="O1271" s="29"/>
      <c r="P1271" s="29"/>
    </row>
    <row r="1272">
      <c r="A1272" s="111"/>
      <c r="B1272" s="112"/>
      <c r="C1272" s="29"/>
      <c r="D1272" s="29"/>
      <c r="E1272" s="29"/>
      <c r="F1272" s="29"/>
      <c r="G1272" s="29"/>
      <c r="H1272" s="29"/>
      <c r="I1272" s="29"/>
      <c r="J1272" s="29"/>
      <c r="K1272" s="29"/>
      <c r="L1272" s="29"/>
      <c r="M1272" s="29"/>
      <c r="N1272" s="29"/>
      <c r="O1272" s="29"/>
      <c r="P1272" s="29"/>
    </row>
    <row r="1273">
      <c r="A1273" s="111"/>
      <c r="B1273" s="112"/>
      <c r="C1273" s="29"/>
      <c r="D1273" s="29"/>
      <c r="E1273" s="29"/>
      <c r="F1273" s="29"/>
      <c r="G1273" s="29"/>
      <c r="H1273" s="29"/>
      <c r="I1273" s="29"/>
      <c r="J1273" s="29"/>
      <c r="K1273" s="29"/>
      <c r="L1273" s="29"/>
      <c r="M1273" s="29"/>
      <c r="N1273" s="29"/>
      <c r="O1273" s="29"/>
      <c r="P1273" s="29"/>
    </row>
    <row r="1274">
      <c r="A1274" s="111"/>
      <c r="B1274" s="112"/>
      <c r="C1274" s="29"/>
      <c r="D1274" s="29"/>
      <c r="E1274" s="29"/>
      <c r="F1274" s="29"/>
      <c r="G1274" s="29"/>
      <c r="H1274" s="29"/>
      <c r="I1274" s="29"/>
      <c r="J1274" s="29"/>
      <c r="K1274" s="29"/>
      <c r="L1274" s="29"/>
      <c r="M1274" s="29"/>
      <c r="N1274" s="29"/>
      <c r="O1274" s="29"/>
      <c r="P1274" s="29"/>
    </row>
    <row r="1275">
      <c r="A1275" s="111"/>
      <c r="B1275" s="112"/>
      <c r="C1275" s="29"/>
      <c r="D1275" s="29"/>
      <c r="E1275" s="29"/>
      <c r="F1275" s="29"/>
      <c r="G1275" s="29"/>
      <c r="H1275" s="29"/>
      <c r="I1275" s="29"/>
      <c r="J1275" s="29"/>
      <c r="K1275" s="29"/>
      <c r="L1275" s="29"/>
      <c r="M1275" s="29"/>
      <c r="N1275" s="29"/>
      <c r="O1275" s="29"/>
      <c r="P1275" s="29"/>
    </row>
    <row r="1276">
      <c r="A1276" s="111"/>
      <c r="B1276" s="112"/>
      <c r="C1276" s="29"/>
      <c r="D1276" s="29"/>
      <c r="E1276" s="29"/>
      <c r="F1276" s="29"/>
      <c r="G1276" s="29"/>
      <c r="H1276" s="29"/>
      <c r="I1276" s="29"/>
      <c r="J1276" s="29"/>
      <c r="K1276" s="29"/>
      <c r="L1276" s="29"/>
      <c r="M1276" s="29"/>
      <c r="N1276" s="29"/>
      <c r="O1276" s="29"/>
      <c r="P1276" s="29"/>
    </row>
    <row r="1277">
      <c r="A1277" s="111"/>
      <c r="B1277" s="112"/>
      <c r="C1277" s="29"/>
      <c r="D1277" s="29"/>
      <c r="E1277" s="29"/>
      <c r="F1277" s="29"/>
      <c r="G1277" s="29"/>
      <c r="H1277" s="29"/>
      <c r="I1277" s="29"/>
      <c r="J1277" s="29"/>
      <c r="K1277" s="29"/>
      <c r="L1277" s="29"/>
      <c r="M1277" s="29"/>
      <c r="N1277" s="29"/>
      <c r="O1277" s="29"/>
      <c r="P1277" s="29"/>
    </row>
    <row r="1278">
      <c r="A1278" s="111"/>
      <c r="B1278" s="112"/>
      <c r="C1278" s="29"/>
      <c r="D1278" s="29"/>
      <c r="E1278" s="29"/>
      <c r="F1278" s="29"/>
      <c r="G1278" s="29"/>
      <c r="H1278" s="29"/>
      <c r="I1278" s="29"/>
      <c r="J1278" s="29"/>
      <c r="K1278" s="29"/>
      <c r="L1278" s="29"/>
      <c r="M1278" s="29"/>
      <c r="N1278" s="29"/>
      <c r="O1278" s="29"/>
      <c r="P1278" s="29"/>
    </row>
    <row r="1279">
      <c r="A1279" s="111"/>
      <c r="B1279" s="112"/>
      <c r="C1279" s="29"/>
      <c r="D1279" s="29"/>
      <c r="E1279" s="29"/>
      <c r="F1279" s="29"/>
      <c r="G1279" s="29"/>
      <c r="H1279" s="29"/>
      <c r="I1279" s="29"/>
      <c r="J1279" s="29"/>
      <c r="K1279" s="29"/>
      <c r="L1279" s="29"/>
      <c r="M1279" s="29"/>
      <c r="N1279" s="29"/>
      <c r="O1279" s="29"/>
      <c r="P1279" s="29"/>
    </row>
    <row r="1280">
      <c r="A1280" s="111"/>
      <c r="B1280" s="112"/>
      <c r="C1280" s="29"/>
      <c r="D1280" s="29"/>
      <c r="E1280" s="29"/>
      <c r="F1280" s="29"/>
      <c r="G1280" s="29"/>
      <c r="H1280" s="29"/>
      <c r="I1280" s="29"/>
      <c r="J1280" s="29"/>
      <c r="K1280" s="29"/>
      <c r="L1280" s="29"/>
      <c r="M1280" s="29"/>
      <c r="N1280" s="29"/>
      <c r="O1280" s="29"/>
      <c r="P1280" s="29"/>
    </row>
    <row r="1281">
      <c r="A1281" s="111"/>
      <c r="B1281" s="112"/>
      <c r="C1281" s="29"/>
      <c r="D1281" s="29"/>
      <c r="E1281" s="29"/>
      <c r="F1281" s="29"/>
      <c r="G1281" s="29"/>
      <c r="H1281" s="29"/>
      <c r="I1281" s="29"/>
      <c r="J1281" s="29"/>
      <c r="K1281" s="29"/>
      <c r="L1281" s="29"/>
      <c r="M1281" s="29"/>
      <c r="N1281" s="29"/>
      <c r="O1281" s="29"/>
      <c r="P1281" s="29"/>
    </row>
    <row r="1282">
      <c r="A1282" s="111"/>
      <c r="B1282" s="112"/>
      <c r="C1282" s="29"/>
      <c r="D1282" s="29"/>
      <c r="E1282" s="29"/>
      <c r="F1282" s="29"/>
      <c r="G1282" s="29"/>
      <c r="H1282" s="29"/>
      <c r="I1282" s="29"/>
      <c r="J1282" s="29"/>
      <c r="K1282" s="29"/>
      <c r="L1282" s="29"/>
      <c r="M1282" s="29"/>
      <c r="N1282" s="29"/>
      <c r="O1282" s="29"/>
      <c r="P1282" s="29"/>
    </row>
    <row r="1283">
      <c r="A1283" s="111"/>
      <c r="B1283" s="112"/>
      <c r="C1283" s="29"/>
      <c r="D1283" s="29"/>
      <c r="E1283" s="29"/>
      <c r="F1283" s="29"/>
      <c r="G1283" s="29"/>
      <c r="H1283" s="29"/>
      <c r="I1283" s="29"/>
      <c r="J1283" s="29"/>
      <c r="K1283" s="29"/>
      <c r="L1283" s="29"/>
      <c r="M1283" s="29"/>
      <c r="N1283" s="29"/>
      <c r="O1283" s="29"/>
      <c r="P1283" s="29"/>
    </row>
    <row r="1284">
      <c r="A1284" s="111"/>
      <c r="B1284" s="112"/>
      <c r="C1284" s="29"/>
      <c r="D1284" s="29"/>
      <c r="E1284" s="29"/>
      <c r="F1284" s="29"/>
      <c r="G1284" s="29"/>
      <c r="H1284" s="29"/>
      <c r="I1284" s="29"/>
      <c r="J1284" s="29"/>
      <c r="K1284" s="29"/>
      <c r="L1284" s="29"/>
      <c r="M1284" s="29"/>
      <c r="N1284" s="29"/>
      <c r="O1284" s="29"/>
      <c r="P1284" s="29"/>
    </row>
    <row r="1285">
      <c r="A1285" s="111"/>
      <c r="B1285" s="112"/>
      <c r="C1285" s="29"/>
      <c r="D1285" s="29"/>
      <c r="E1285" s="29"/>
      <c r="F1285" s="29"/>
      <c r="G1285" s="29"/>
      <c r="H1285" s="29"/>
      <c r="I1285" s="29"/>
      <c r="J1285" s="29"/>
      <c r="K1285" s="29"/>
      <c r="L1285" s="29"/>
      <c r="M1285" s="29"/>
      <c r="N1285" s="29"/>
      <c r="O1285" s="29"/>
      <c r="P1285" s="29"/>
    </row>
    <row r="1286">
      <c r="A1286" s="111"/>
      <c r="B1286" s="112"/>
      <c r="C1286" s="29"/>
      <c r="D1286" s="29"/>
      <c r="E1286" s="29"/>
      <c r="F1286" s="29"/>
      <c r="G1286" s="29"/>
      <c r="H1286" s="29"/>
      <c r="I1286" s="29"/>
      <c r="J1286" s="29"/>
      <c r="K1286" s="29"/>
      <c r="L1286" s="29"/>
      <c r="M1286" s="29"/>
      <c r="N1286" s="29"/>
      <c r="O1286" s="29"/>
      <c r="P1286" s="29"/>
    </row>
    <row r="1287">
      <c r="A1287" s="111"/>
      <c r="B1287" s="112"/>
      <c r="C1287" s="29"/>
      <c r="D1287" s="29"/>
      <c r="E1287" s="29"/>
      <c r="F1287" s="29"/>
      <c r="G1287" s="29"/>
      <c r="H1287" s="29"/>
      <c r="I1287" s="29"/>
      <c r="J1287" s="29"/>
      <c r="K1287" s="29"/>
      <c r="L1287" s="29"/>
      <c r="M1287" s="29"/>
      <c r="N1287" s="29"/>
      <c r="O1287" s="29"/>
      <c r="P1287" s="29"/>
    </row>
    <row r="1288">
      <c r="A1288" s="111"/>
      <c r="B1288" s="112"/>
      <c r="C1288" s="29"/>
      <c r="D1288" s="29"/>
      <c r="E1288" s="29"/>
      <c r="F1288" s="29"/>
      <c r="G1288" s="29"/>
      <c r="H1288" s="29"/>
      <c r="I1288" s="29"/>
      <c r="J1288" s="29"/>
      <c r="K1288" s="29"/>
      <c r="L1288" s="29"/>
      <c r="M1288" s="29"/>
      <c r="N1288" s="29"/>
      <c r="O1288" s="29"/>
      <c r="P1288" s="29"/>
    </row>
    <row r="1289">
      <c r="A1289" s="111"/>
      <c r="B1289" s="112"/>
      <c r="C1289" s="29"/>
      <c r="D1289" s="29"/>
      <c r="E1289" s="29"/>
      <c r="F1289" s="29"/>
      <c r="G1289" s="29"/>
      <c r="H1289" s="29"/>
      <c r="I1289" s="29"/>
      <c r="J1289" s="29"/>
      <c r="K1289" s="29"/>
      <c r="L1289" s="29"/>
      <c r="M1289" s="29"/>
      <c r="N1289" s="29"/>
      <c r="O1289" s="29"/>
      <c r="P1289" s="29"/>
    </row>
    <row r="1290">
      <c r="A1290" s="111"/>
      <c r="B1290" s="112"/>
      <c r="C1290" s="29"/>
      <c r="D1290" s="29"/>
      <c r="E1290" s="29"/>
      <c r="F1290" s="29"/>
      <c r="G1290" s="29"/>
      <c r="H1290" s="29"/>
      <c r="I1290" s="29"/>
      <c r="J1290" s="29"/>
      <c r="K1290" s="29"/>
      <c r="L1290" s="29"/>
      <c r="M1290" s="29"/>
      <c r="N1290" s="29"/>
      <c r="O1290" s="29"/>
      <c r="P1290" s="29"/>
    </row>
    <row r="1291">
      <c r="A1291" s="111"/>
      <c r="B1291" s="112"/>
      <c r="C1291" s="29"/>
      <c r="D1291" s="29"/>
      <c r="E1291" s="29"/>
      <c r="F1291" s="29"/>
      <c r="G1291" s="29"/>
      <c r="H1291" s="29"/>
      <c r="I1291" s="29"/>
      <c r="J1291" s="29"/>
      <c r="K1291" s="29"/>
      <c r="L1291" s="29"/>
      <c r="M1291" s="29"/>
      <c r="N1291" s="29"/>
      <c r="O1291" s="29"/>
      <c r="P1291" s="29"/>
    </row>
    <row r="1292">
      <c r="A1292" s="111"/>
      <c r="B1292" s="112"/>
      <c r="C1292" s="29"/>
      <c r="D1292" s="29"/>
      <c r="E1292" s="29"/>
      <c r="F1292" s="29"/>
      <c r="G1292" s="29"/>
      <c r="H1292" s="29"/>
      <c r="I1292" s="29"/>
      <c r="J1292" s="29"/>
      <c r="K1292" s="29"/>
      <c r="L1292" s="29"/>
      <c r="M1292" s="29"/>
      <c r="N1292" s="29"/>
      <c r="O1292" s="29"/>
      <c r="P1292" s="29"/>
    </row>
    <row r="1293">
      <c r="A1293" s="111"/>
      <c r="B1293" s="112"/>
      <c r="C1293" s="29"/>
      <c r="D1293" s="29"/>
      <c r="E1293" s="29"/>
      <c r="F1293" s="29"/>
      <c r="G1293" s="29"/>
      <c r="H1293" s="29"/>
      <c r="I1293" s="29"/>
      <c r="J1293" s="29"/>
      <c r="K1293" s="29"/>
      <c r="L1293" s="29"/>
      <c r="M1293" s="29"/>
      <c r="N1293" s="29"/>
      <c r="O1293" s="29"/>
      <c r="P1293" s="29"/>
    </row>
    <row r="1294">
      <c r="A1294" s="111"/>
      <c r="B1294" s="112"/>
      <c r="C1294" s="29"/>
      <c r="D1294" s="29"/>
      <c r="E1294" s="29"/>
      <c r="F1294" s="29"/>
      <c r="G1294" s="29"/>
      <c r="H1294" s="29"/>
      <c r="I1294" s="29"/>
      <c r="J1294" s="29"/>
      <c r="K1294" s="29"/>
      <c r="L1294" s="29"/>
      <c r="M1294" s="29"/>
      <c r="N1294" s="29"/>
      <c r="O1294" s="29"/>
      <c r="P1294" s="29"/>
    </row>
    <row r="1295">
      <c r="A1295" s="111"/>
      <c r="B1295" s="112"/>
      <c r="C1295" s="29"/>
      <c r="D1295" s="29"/>
      <c r="E1295" s="29"/>
      <c r="F1295" s="29"/>
      <c r="G1295" s="29"/>
      <c r="H1295" s="29"/>
      <c r="I1295" s="29"/>
      <c r="J1295" s="29"/>
      <c r="K1295" s="29"/>
      <c r="L1295" s="29"/>
      <c r="M1295" s="29"/>
      <c r="N1295" s="29"/>
      <c r="O1295" s="29"/>
      <c r="P1295" s="29"/>
    </row>
    <row r="1296">
      <c r="A1296" s="111"/>
      <c r="B1296" s="112"/>
      <c r="C1296" s="29"/>
      <c r="D1296" s="29"/>
      <c r="E1296" s="29"/>
      <c r="F1296" s="29"/>
      <c r="G1296" s="29"/>
      <c r="H1296" s="29"/>
      <c r="I1296" s="29"/>
      <c r="J1296" s="29"/>
      <c r="K1296" s="29"/>
      <c r="L1296" s="29"/>
      <c r="M1296" s="29"/>
      <c r="N1296" s="29"/>
      <c r="O1296" s="29"/>
      <c r="P1296" s="29"/>
    </row>
    <row r="1297">
      <c r="A1297" s="111"/>
      <c r="B1297" s="112"/>
      <c r="C1297" s="29"/>
      <c r="D1297" s="29"/>
      <c r="E1297" s="29"/>
      <c r="F1297" s="29"/>
      <c r="G1297" s="29"/>
      <c r="H1297" s="29"/>
      <c r="I1297" s="29"/>
      <c r="J1297" s="29"/>
      <c r="K1297" s="29"/>
      <c r="L1297" s="29"/>
      <c r="M1297" s="29"/>
      <c r="N1297" s="29"/>
      <c r="O1297" s="29"/>
      <c r="P1297" s="29"/>
    </row>
    <row r="1298">
      <c r="A1298" s="111"/>
      <c r="B1298" s="112"/>
      <c r="C1298" s="29"/>
      <c r="D1298" s="29"/>
      <c r="E1298" s="29"/>
      <c r="F1298" s="29"/>
      <c r="G1298" s="29"/>
      <c r="H1298" s="29"/>
      <c r="I1298" s="29"/>
      <c r="J1298" s="29"/>
      <c r="K1298" s="29"/>
      <c r="L1298" s="29"/>
      <c r="M1298" s="29"/>
      <c r="N1298" s="29"/>
      <c r="O1298" s="29"/>
      <c r="P1298" s="29"/>
    </row>
    <row r="1299">
      <c r="A1299" s="111"/>
      <c r="B1299" s="112"/>
      <c r="C1299" s="29"/>
      <c r="D1299" s="29"/>
      <c r="E1299" s="29"/>
      <c r="F1299" s="29"/>
      <c r="G1299" s="29"/>
      <c r="H1299" s="29"/>
      <c r="I1299" s="29"/>
      <c r="J1299" s="29"/>
      <c r="K1299" s="29"/>
      <c r="L1299" s="29"/>
      <c r="M1299" s="29"/>
      <c r="N1299" s="29"/>
      <c r="O1299" s="29"/>
      <c r="P1299" s="29"/>
    </row>
    <row r="1300">
      <c r="A1300" s="111"/>
      <c r="B1300" s="112"/>
      <c r="C1300" s="29"/>
      <c r="D1300" s="29"/>
      <c r="E1300" s="29"/>
      <c r="F1300" s="29"/>
      <c r="G1300" s="29"/>
      <c r="H1300" s="29"/>
      <c r="I1300" s="29"/>
      <c r="J1300" s="29"/>
      <c r="K1300" s="29"/>
      <c r="L1300" s="29"/>
      <c r="M1300" s="29"/>
      <c r="N1300" s="29"/>
      <c r="O1300" s="29"/>
      <c r="P1300" s="29"/>
    </row>
    <row r="1301">
      <c r="A1301" s="111"/>
      <c r="B1301" s="112"/>
      <c r="C1301" s="29"/>
      <c r="D1301" s="29"/>
      <c r="E1301" s="29"/>
      <c r="F1301" s="29"/>
      <c r="G1301" s="29"/>
      <c r="H1301" s="29"/>
      <c r="I1301" s="29"/>
      <c r="J1301" s="29"/>
      <c r="K1301" s="29"/>
      <c r="L1301" s="29"/>
      <c r="M1301" s="29"/>
      <c r="N1301" s="29"/>
      <c r="O1301" s="29"/>
      <c r="P1301" s="29"/>
    </row>
    <row r="1302">
      <c r="A1302" s="111"/>
      <c r="B1302" s="112"/>
      <c r="C1302" s="29"/>
      <c r="D1302" s="29"/>
      <c r="E1302" s="29"/>
      <c r="F1302" s="29"/>
      <c r="G1302" s="29"/>
      <c r="H1302" s="29"/>
      <c r="I1302" s="29"/>
      <c r="J1302" s="29"/>
      <c r="K1302" s="29"/>
      <c r="L1302" s="29"/>
      <c r="M1302" s="29"/>
      <c r="N1302" s="29"/>
      <c r="O1302" s="29"/>
      <c r="P1302" s="29"/>
    </row>
    <row r="1303">
      <c r="A1303" s="111"/>
      <c r="B1303" s="112"/>
      <c r="C1303" s="29"/>
      <c r="D1303" s="29"/>
      <c r="E1303" s="29"/>
      <c r="F1303" s="29"/>
      <c r="G1303" s="29"/>
      <c r="H1303" s="29"/>
      <c r="I1303" s="29"/>
      <c r="J1303" s="29"/>
      <c r="K1303" s="29"/>
      <c r="L1303" s="29"/>
      <c r="M1303" s="29"/>
      <c r="N1303" s="29"/>
      <c r="O1303" s="29"/>
      <c r="P1303" s="29"/>
    </row>
    <row r="1304">
      <c r="A1304" s="111"/>
      <c r="B1304" s="112"/>
      <c r="C1304" s="29"/>
      <c r="D1304" s="29"/>
      <c r="E1304" s="29"/>
      <c r="F1304" s="29"/>
      <c r="G1304" s="29"/>
      <c r="H1304" s="29"/>
      <c r="I1304" s="29"/>
      <c r="J1304" s="29"/>
      <c r="K1304" s="29"/>
      <c r="L1304" s="29"/>
      <c r="M1304" s="29"/>
      <c r="N1304" s="29"/>
      <c r="O1304" s="29"/>
      <c r="P1304" s="29"/>
    </row>
    <row r="1305">
      <c r="A1305" s="111"/>
      <c r="B1305" s="112"/>
      <c r="C1305" s="29"/>
      <c r="D1305" s="29"/>
      <c r="E1305" s="29"/>
      <c r="F1305" s="29"/>
      <c r="G1305" s="29"/>
      <c r="H1305" s="29"/>
      <c r="I1305" s="29"/>
      <c r="J1305" s="29"/>
      <c r="K1305" s="29"/>
      <c r="L1305" s="29"/>
      <c r="M1305" s="29"/>
      <c r="N1305" s="29"/>
      <c r="O1305" s="29"/>
      <c r="P1305" s="29"/>
    </row>
    <row r="1306">
      <c r="A1306" s="111"/>
      <c r="B1306" s="112"/>
      <c r="C1306" s="29"/>
      <c r="D1306" s="29"/>
      <c r="E1306" s="29"/>
      <c r="F1306" s="29"/>
      <c r="G1306" s="29"/>
      <c r="H1306" s="29"/>
      <c r="I1306" s="29"/>
      <c r="J1306" s="29"/>
      <c r="K1306" s="29"/>
      <c r="L1306" s="29"/>
      <c r="M1306" s="29"/>
      <c r="N1306" s="29"/>
      <c r="O1306" s="29"/>
      <c r="P1306" s="29"/>
    </row>
    <row r="1307">
      <c r="A1307" s="111"/>
      <c r="B1307" s="112"/>
      <c r="C1307" s="29"/>
      <c r="D1307" s="29"/>
      <c r="E1307" s="29"/>
      <c r="F1307" s="29"/>
      <c r="G1307" s="29"/>
      <c r="H1307" s="29"/>
      <c r="I1307" s="29"/>
      <c r="J1307" s="29"/>
      <c r="K1307" s="29"/>
      <c r="L1307" s="29"/>
      <c r="M1307" s="29"/>
      <c r="N1307" s="29"/>
      <c r="O1307" s="29"/>
      <c r="P1307" s="29"/>
    </row>
    <row r="1308">
      <c r="A1308" s="111"/>
      <c r="B1308" s="112"/>
      <c r="C1308" s="29"/>
      <c r="D1308" s="29"/>
      <c r="E1308" s="29"/>
      <c r="F1308" s="29"/>
      <c r="G1308" s="29"/>
      <c r="H1308" s="29"/>
      <c r="I1308" s="29"/>
      <c r="J1308" s="29"/>
      <c r="K1308" s="29"/>
      <c r="L1308" s="29"/>
      <c r="M1308" s="29"/>
      <c r="N1308" s="29"/>
      <c r="O1308" s="29"/>
      <c r="P1308" s="29"/>
    </row>
    <row r="1309">
      <c r="A1309" s="111"/>
      <c r="B1309" s="112"/>
      <c r="C1309" s="29"/>
      <c r="D1309" s="29"/>
      <c r="E1309" s="29"/>
      <c r="F1309" s="29"/>
      <c r="G1309" s="29"/>
      <c r="H1309" s="29"/>
      <c r="I1309" s="29"/>
      <c r="J1309" s="29"/>
      <c r="K1309" s="29"/>
      <c r="L1309" s="29"/>
      <c r="M1309" s="29"/>
      <c r="N1309" s="29"/>
      <c r="O1309" s="29"/>
      <c r="P1309" s="29"/>
    </row>
    <row r="1310">
      <c r="A1310" s="111"/>
      <c r="B1310" s="112"/>
      <c r="C1310" s="29"/>
      <c r="D1310" s="29"/>
      <c r="E1310" s="29"/>
      <c r="F1310" s="29"/>
      <c r="G1310" s="29"/>
      <c r="H1310" s="29"/>
      <c r="I1310" s="29"/>
      <c r="J1310" s="29"/>
      <c r="K1310" s="29"/>
      <c r="L1310" s="29"/>
      <c r="M1310" s="29"/>
      <c r="N1310" s="29"/>
      <c r="O1310" s="29"/>
      <c r="P1310" s="29"/>
    </row>
    <row r="1311">
      <c r="A1311" s="111"/>
      <c r="B1311" s="112"/>
      <c r="C1311" s="29"/>
      <c r="D1311" s="29"/>
      <c r="E1311" s="29"/>
      <c r="F1311" s="29"/>
      <c r="G1311" s="29"/>
      <c r="H1311" s="29"/>
      <c r="I1311" s="29"/>
      <c r="J1311" s="29"/>
      <c r="K1311" s="29"/>
      <c r="L1311" s="29"/>
      <c r="M1311" s="29"/>
      <c r="N1311" s="29"/>
      <c r="O1311" s="29"/>
      <c r="P1311" s="29"/>
    </row>
    <row r="1312">
      <c r="A1312" s="111"/>
      <c r="B1312" s="112"/>
      <c r="C1312" s="29"/>
      <c r="D1312" s="29"/>
      <c r="E1312" s="29"/>
      <c r="F1312" s="29"/>
      <c r="G1312" s="29"/>
      <c r="H1312" s="29"/>
      <c r="I1312" s="29"/>
      <c r="J1312" s="29"/>
      <c r="K1312" s="29"/>
      <c r="L1312" s="29"/>
      <c r="M1312" s="29"/>
      <c r="N1312" s="29"/>
      <c r="O1312" s="29"/>
      <c r="P1312" s="29"/>
    </row>
    <row r="1313">
      <c r="A1313" s="111"/>
      <c r="B1313" s="112"/>
      <c r="C1313" s="29"/>
      <c r="D1313" s="29"/>
      <c r="E1313" s="29"/>
      <c r="F1313" s="29"/>
      <c r="G1313" s="29"/>
      <c r="H1313" s="29"/>
      <c r="I1313" s="29"/>
      <c r="J1313" s="29"/>
      <c r="K1313" s="29"/>
      <c r="L1313" s="29"/>
      <c r="M1313" s="29"/>
      <c r="N1313" s="29"/>
      <c r="O1313" s="29"/>
      <c r="P1313" s="29"/>
    </row>
    <row r="1314">
      <c r="A1314" s="111"/>
      <c r="B1314" s="112"/>
      <c r="C1314" s="29"/>
      <c r="D1314" s="29"/>
      <c r="E1314" s="29"/>
      <c r="F1314" s="29"/>
      <c r="G1314" s="29"/>
      <c r="H1314" s="29"/>
      <c r="I1314" s="29"/>
      <c r="J1314" s="29"/>
      <c r="K1314" s="29"/>
      <c r="L1314" s="29"/>
      <c r="M1314" s="29"/>
      <c r="N1314" s="29"/>
      <c r="O1314" s="29"/>
      <c r="P1314" s="29"/>
    </row>
    <row r="1315">
      <c r="A1315" s="111"/>
      <c r="B1315" s="112"/>
      <c r="C1315" s="29"/>
      <c r="D1315" s="29"/>
      <c r="E1315" s="29"/>
      <c r="F1315" s="29"/>
      <c r="G1315" s="29"/>
      <c r="H1315" s="29"/>
      <c r="I1315" s="29"/>
      <c r="J1315" s="29"/>
      <c r="K1315" s="29"/>
      <c r="L1315" s="29"/>
      <c r="M1315" s="29"/>
      <c r="N1315" s="29"/>
      <c r="O1315" s="29"/>
      <c r="P1315" s="29"/>
    </row>
    <row r="1316">
      <c r="A1316" s="111"/>
      <c r="B1316" s="112"/>
      <c r="C1316" s="29"/>
      <c r="D1316" s="29"/>
      <c r="E1316" s="29"/>
      <c r="F1316" s="29"/>
      <c r="G1316" s="29"/>
      <c r="H1316" s="29"/>
      <c r="I1316" s="29"/>
      <c r="J1316" s="29"/>
      <c r="K1316" s="29"/>
      <c r="L1316" s="29"/>
      <c r="M1316" s="29"/>
      <c r="N1316" s="29"/>
      <c r="O1316" s="29"/>
      <c r="P1316" s="29"/>
    </row>
    <row r="1317">
      <c r="A1317" s="111"/>
      <c r="B1317" s="112"/>
      <c r="C1317" s="29"/>
      <c r="D1317" s="29"/>
      <c r="E1317" s="29"/>
      <c r="F1317" s="29"/>
      <c r="G1317" s="29"/>
      <c r="H1317" s="29"/>
      <c r="I1317" s="29"/>
      <c r="J1317" s="29"/>
      <c r="K1317" s="29"/>
      <c r="L1317" s="29"/>
      <c r="M1317" s="29"/>
      <c r="N1317" s="29"/>
      <c r="O1317" s="29"/>
      <c r="P1317" s="29"/>
    </row>
    <row r="1318">
      <c r="A1318" s="111"/>
      <c r="B1318" s="112"/>
      <c r="C1318" s="29"/>
      <c r="D1318" s="29"/>
      <c r="E1318" s="29"/>
      <c r="F1318" s="29"/>
      <c r="G1318" s="29"/>
      <c r="H1318" s="29"/>
      <c r="I1318" s="29"/>
      <c r="J1318" s="29"/>
      <c r="K1318" s="29"/>
      <c r="L1318" s="29"/>
      <c r="M1318" s="29"/>
      <c r="N1318" s="29"/>
      <c r="O1318" s="29"/>
      <c r="P1318" s="29"/>
    </row>
    <row r="1319">
      <c r="A1319" s="111"/>
      <c r="B1319" s="112"/>
      <c r="C1319" s="29"/>
      <c r="D1319" s="29"/>
      <c r="E1319" s="29"/>
      <c r="F1319" s="29"/>
      <c r="G1319" s="29"/>
      <c r="H1319" s="29"/>
      <c r="I1319" s="29"/>
      <c r="J1319" s="29"/>
      <c r="K1319" s="29"/>
      <c r="L1319" s="29"/>
      <c r="M1319" s="29"/>
      <c r="N1319" s="29"/>
      <c r="O1319" s="29"/>
      <c r="P1319" s="29"/>
    </row>
    <row r="1320">
      <c r="A1320" s="111"/>
      <c r="B1320" s="112"/>
      <c r="C1320" s="29"/>
      <c r="D1320" s="29"/>
      <c r="E1320" s="29"/>
      <c r="F1320" s="29"/>
      <c r="G1320" s="29"/>
      <c r="H1320" s="29"/>
      <c r="I1320" s="29"/>
      <c r="J1320" s="29"/>
      <c r="K1320" s="29"/>
      <c r="L1320" s="29"/>
      <c r="M1320" s="29"/>
      <c r="N1320" s="29"/>
      <c r="O1320" s="29"/>
      <c r="P1320" s="29"/>
    </row>
    <row r="1321">
      <c r="A1321" s="111"/>
      <c r="B1321" s="112"/>
      <c r="C1321" s="29"/>
      <c r="D1321" s="29"/>
      <c r="E1321" s="29"/>
      <c r="F1321" s="29"/>
      <c r="G1321" s="29"/>
      <c r="H1321" s="29"/>
      <c r="I1321" s="29"/>
      <c r="J1321" s="29"/>
      <c r="K1321" s="29"/>
      <c r="L1321" s="29"/>
      <c r="M1321" s="29"/>
      <c r="N1321" s="29"/>
      <c r="O1321" s="29"/>
      <c r="P1321" s="29"/>
    </row>
    <row r="1322">
      <c r="A1322" s="111"/>
      <c r="B1322" s="112"/>
      <c r="C1322" s="29"/>
      <c r="D1322" s="29"/>
      <c r="E1322" s="29"/>
      <c r="F1322" s="29"/>
      <c r="G1322" s="29"/>
      <c r="H1322" s="29"/>
      <c r="I1322" s="29"/>
      <c r="J1322" s="29"/>
      <c r="K1322" s="29"/>
      <c r="L1322" s="29"/>
      <c r="M1322" s="29"/>
      <c r="N1322" s="29"/>
      <c r="O1322" s="29"/>
      <c r="P1322" s="29"/>
    </row>
    <row r="1323">
      <c r="A1323" s="111"/>
      <c r="B1323" s="112"/>
      <c r="C1323" s="29"/>
      <c r="D1323" s="29"/>
      <c r="E1323" s="29"/>
      <c r="F1323" s="29"/>
      <c r="G1323" s="29"/>
      <c r="H1323" s="29"/>
      <c r="I1323" s="29"/>
      <c r="J1323" s="29"/>
      <c r="K1323" s="29"/>
      <c r="L1323" s="29"/>
      <c r="M1323" s="29"/>
      <c r="N1323" s="29"/>
      <c r="O1323" s="29"/>
      <c r="P1323" s="29"/>
    </row>
    <row r="1324">
      <c r="A1324" s="111"/>
      <c r="B1324" s="112"/>
      <c r="C1324" s="29"/>
      <c r="D1324" s="29"/>
      <c r="E1324" s="29"/>
      <c r="F1324" s="29"/>
      <c r="G1324" s="29"/>
      <c r="H1324" s="29"/>
      <c r="I1324" s="29"/>
      <c r="J1324" s="29"/>
      <c r="K1324" s="29"/>
      <c r="L1324" s="29"/>
      <c r="M1324" s="29"/>
      <c r="N1324" s="29"/>
      <c r="O1324" s="29"/>
      <c r="P1324" s="29"/>
    </row>
    <row r="1325">
      <c r="A1325" s="111"/>
      <c r="B1325" s="112"/>
      <c r="C1325" s="29"/>
      <c r="D1325" s="29"/>
      <c r="E1325" s="29"/>
      <c r="F1325" s="29"/>
      <c r="G1325" s="29"/>
      <c r="H1325" s="29"/>
      <c r="I1325" s="29"/>
      <c r="J1325" s="29"/>
      <c r="K1325" s="29"/>
      <c r="L1325" s="29"/>
      <c r="M1325" s="29"/>
      <c r="N1325" s="29"/>
      <c r="O1325" s="29"/>
      <c r="P1325" s="29"/>
    </row>
    <row r="1326">
      <c r="A1326" s="111"/>
      <c r="B1326" s="112"/>
      <c r="C1326" s="29"/>
      <c r="D1326" s="29"/>
      <c r="E1326" s="29"/>
      <c r="F1326" s="29"/>
      <c r="G1326" s="29"/>
      <c r="H1326" s="29"/>
      <c r="I1326" s="29"/>
      <c r="J1326" s="29"/>
      <c r="K1326" s="29"/>
      <c r="L1326" s="29"/>
      <c r="M1326" s="29"/>
      <c r="N1326" s="29"/>
      <c r="O1326" s="29"/>
      <c r="P1326" s="29"/>
    </row>
    <row r="1327">
      <c r="A1327" s="111"/>
      <c r="B1327" s="112"/>
      <c r="C1327" s="29"/>
      <c r="D1327" s="29"/>
      <c r="E1327" s="29"/>
      <c r="F1327" s="29"/>
      <c r="G1327" s="29"/>
      <c r="H1327" s="29"/>
      <c r="I1327" s="29"/>
      <c r="J1327" s="29"/>
      <c r="K1327" s="29"/>
      <c r="L1327" s="29"/>
      <c r="M1327" s="29"/>
      <c r="N1327" s="29"/>
      <c r="O1327" s="29"/>
      <c r="P1327" s="29"/>
    </row>
    <row r="1328">
      <c r="A1328" s="111"/>
      <c r="B1328" s="112"/>
      <c r="C1328" s="29"/>
      <c r="D1328" s="29"/>
      <c r="E1328" s="29"/>
      <c r="F1328" s="29"/>
      <c r="G1328" s="29"/>
      <c r="H1328" s="29"/>
      <c r="I1328" s="29"/>
      <c r="J1328" s="29"/>
      <c r="K1328" s="29"/>
      <c r="L1328" s="29"/>
      <c r="M1328" s="29"/>
      <c r="N1328" s="29"/>
      <c r="O1328" s="29"/>
      <c r="P1328" s="29"/>
    </row>
    <row r="1329">
      <c r="A1329" s="111"/>
      <c r="B1329" s="112"/>
      <c r="C1329" s="29"/>
      <c r="D1329" s="29"/>
      <c r="E1329" s="29"/>
      <c r="F1329" s="29"/>
      <c r="G1329" s="29"/>
      <c r="H1329" s="29"/>
      <c r="I1329" s="29"/>
      <c r="J1329" s="29"/>
      <c r="K1329" s="29"/>
      <c r="L1329" s="29"/>
      <c r="M1329" s="29"/>
      <c r="N1329" s="29"/>
      <c r="O1329" s="29"/>
      <c r="P1329" s="29"/>
    </row>
    <row r="1330">
      <c r="A1330" s="111"/>
      <c r="B1330" s="112"/>
      <c r="C1330" s="29"/>
      <c r="D1330" s="29"/>
      <c r="E1330" s="29"/>
      <c r="F1330" s="29"/>
      <c r="G1330" s="29"/>
      <c r="H1330" s="29"/>
      <c r="I1330" s="29"/>
      <c r="J1330" s="29"/>
      <c r="K1330" s="29"/>
      <c r="L1330" s="29"/>
      <c r="M1330" s="29"/>
      <c r="N1330" s="29"/>
      <c r="O1330" s="29"/>
      <c r="P1330" s="29"/>
    </row>
    <row r="1331">
      <c r="A1331" s="111"/>
      <c r="B1331" s="112"/>
      <c r="C1331" s="29"/>
      <c r="D1331" s="29"/>
      <c r="E1331" s="29"/>
      <c r="F1331" s="29"/>
      <c r="G1331" s="29"/>
      <c r="H1331" s="29"/>
      <c r="I1331" s="29"/>
      <c r="J1331" s="29"/>
      <c r="K1331" s="29"/>
      <c r="L1331" s="29"/>
      <c r="M1331" s="29"/>
      <c r="N1331" s="29"/>
      <c r="O1331" s="29"/>
      <c r="P1331" s="29"/>
    </row>
    <row r="1332">
      <c r="A1332" s="111"/>
      <c r="B1332" s="112"/>
      <c r="C1332" s="29"/>
      <c r="D1332" s="29"/>
      <c r="E1332" s="29"/>
      <c r="F1332" s="29"/>
      <c r="G1332" s="29"/>
      <c r="H1332" s="29"/>
      <c r="I1332" s="29"/>
      <c r="J1332" s="29"/>
      <c r="K1332" s="29"/>
      <c r="L1332" s="29"/>
      <c r="M1332" s="29"/>
      <c r="N1332" s="29"/>
      <c r="O1332" s="29"/>
      <c r="P1332" s="29"/>
    </row>
    <row r="1333">
      <c r="A1333" s="111"/>
      <c r="B1333" s="112"/>
      <c r="C1333" s="29"/>
      <c r="D1333" s="29"/>
      <c r="E1333" s="29"/>
      <c r="F1333" s="29"/>
      <c r="G1333" s="29"/>
      <c r="H1333" s="29"/>
      <c r="I1333" s="29"/>
      <c r="J1333" s="29"/>
      <c r="K1333" s="29"/>
      <c r="L1333" s="29"/>
      <c r="M1333" s="29"/>
      <c r="N1333" s="29"/>
      <c r="O1333" s="29"/>
      <c r="P1333" s="29"/>
    </row>
    <row r="1334">
      <c r="A1334" s="111"/>
      <c r="B1334" s="112"/>
      <c r="C1334" s="29"/>
      <c r="D1334" s="29"/>
      <c r="E1334" s="29"/>
      <c r="F1334" s="29"/>
      <c r="G1334" s="29"/>
      <c r="H1334" s="29"/>
      <c r="I1334" s="29"/>
      <c r="J1334" s="29"/>
      <c r="K1334" s="29"/>
      <c r="L1334" s="29"/>
      <c r="M1334" s="29"/>
      <c r="N1334" s="29"/>
      <c r="O1334" s="29"/>
      <c r="P1334" s="29"/>
    </row>
    <row r="1335">
      <c r="A1335" s="111"/>
      <c r="B1335" s="112"/>
      <c r="C1335" s="29"/>
      <c r="D1335" s="29"/>
      <c r="E1335" s="29"/>
      <c r="F1335" s="29"/>
      <c r="G1335" s="29"/>
      <c r="H1335" s="29"/>
      <c r="I1335" s="29"/>
      <c r="J1335" s="29"/>
      <c r="K1335" s="29"/>
      <c r="L1335" s="29"/>
      <c r="M1335" s="29"/>
      <c r="N1335" s="29"/>
      <c r="O1335" s="29"/>
      <c r="P1335" s="29"/>
    </row>
    <row r="1336">
      <c r="A1336" s="111"/>
      <c r="B1336" s="112"/>
      <c r="C1336" s="29"/>
      <c r="D1336" s="29"/>
      <c r="E1336" s="29"/>
      <c r="F1336" s="29"/>
      <c r="G1336" s="29"/>
      <c r="H1336" s="29"/>
      <c r="I1336" s="29"/>
      <c r="J1336" s="29"/>
      <c r="K1336" s="29"/>
      <c r="L1336" s="29"/>
      <c r="M1336" s="29"/>
      <c r="N1336" s="29"/>
      <c r="O1336" s="29"/>
      <c r="P1336" s="29"/>
    </row>
    <row r="1337">
      <c r="A1337" s="111"/>
      <c r="B1337" s="112"/>
      <c r="C1337" s="29"/>
      <c r="D1337" s="29"/>
      <c r="E1337" s="29"/>
      <c r="F1337" s="29"/>
      <c r="G1337" s="29"/>
      <c r="H1337" s="29"/>
      <c r="I1337" s="29"/>
      <c r="J1337" s="29"/>
      <c r="K1337" s="29"/>
      <c r="L1337" s="29"/>
      <c r="M1337" s="29"/>
      <c r="N1337" s="29"/>
      <c r="O1337" s="29"/>
      <c r="P1337" s="29"/>
    </row>
    <row r="1338">
      <c r="A1338" s="111"/>
      <c r="B1338" s="112"/>
      <c r="C1338" s="29"/>
      <c r="D1338" s="29"/>
      <c r="E1338" s="29"/>
      <c r="F1338" s="29"/>
      <c r="G1338" s="29"/>
      <c r="H1338" s="29"/>
      <c r="I1338" s="29"/>
      <c r="J1338" s="29"/>
      <c r="K1338" s="29"/>
      <c r="L1338" s="29"/>
      <c r="M1338" s="29"/>
      <c r="N1338" s="29"/>
      <c r="O1338" s="29"/>
      <c r="P1338" s="29"/>
    </row>
    <row r="1339">
      <c r="A1339" s="111"/>
      <c r="B1339" s="112"/>
      <c r="C1339" s="29"/>
      <c r="D1339" s="29"/>
      <c r="E1339" s="29"/>
      <c r="F1339" s="29"/>
      <c r="G1339" s="29"/>
      <c r="H1339" s="29"/>
      <c r="I1339" s="29"/>
      <c r="J1339" s="29"/>
      <c r="K1339" s="29"/>
      <c r="L1339" s="29"/>
      <c r="M1339" s="29"/>
      <c r="N1339" s="29"/>
      <c r="O1339" s="29"/>
      <c r="P1339" s="29"/>
    </row>
    <row r="1340">
      <c r="A1340" s="111"/>
      <c r="B1340" s="112"/>
      <c r="C1340" s="29"/>
      <c r="D1340" s="29"/>
      <c r="E1340" s="29"/>
      <c r="F1340" s="29"/>
      <c r="G1340" s="29"/>
      <c r="H1340" s="29"/>
      <c r="I1340" s="29"/>
      <c r="J1340" s="29"/>
      <c r="K1340" s="29"/>
      <c r="L1340" s="29"/>
      <c r="M1340" s="29"/>
      <c r="N1340" s="29"/>
      <c r="O1340" s="29"/>
      <c r="P1340" s="29"/>
    </row>
    <row r="1341">
      <c r="A1341" s="111"/>
      <c r="B1341" s="112"/>
      <c r="C1341" s="29"/>
      <c r="D1341" s="29"/>
      <c r="E1341" s="29"/>
      <c r="F1341" s="29"/>
      <c r="G1341" s="29"/>
      <c r="H1341" s="29"/>
      <c r="I1341" s="29"/>
      <c r="J1341" s="29"/>
      <c r="K1341" s="29"/>
      <c r="L1341" s="29"/>
      <c r="M1341" s="29"/>
      <c r="N1341" s="29"/>
      <c r="O1341" s="29"/>
      <c r="P1341" s="29"/>
    </row>
    <row r="1342">
      <c r="A1342" s="111"/>
      <c r="B1342" s="112"/>
      <c r="C1342" s="29"/>
      <c r="D1342" s="29"/>
      <c r="E1342" s="29"/>
      <c r="F1342" s="29"/>
      <c r="G1342" s="29"/>
      <c r="H1342" s="29"/>
      <c r="I1342" s="29"/>
      <c r="J1342" s="29"/>
      <c r="K1342" s="29"/>
      <c r="L1342" s="29"/>
      <c r="M1342" s="29"/>
      <c r="N1342" s="29"/>
      <c r="O1342" s="29"/>
      <c r="P1342" s="29"/>
    </row>
    <row r="1343">
      <c r="A1343" s="111"/>
      <c r="B1343" s="112"/>
      <c r="C1343" s="29"/>
      <c r="D1343" s="29"/>
      <c r="E1343" s="29"/>
      <c r="F1343" s="29"/>
      <c r="G1343" s="29"/>
      <c r="H1343" s="29"/>
      <c r="I1343" s="29"/>
      <c r="J1343" s="29"/>
      <c r="K1343" s="29"/>
      <c r="L1343" s="29"/>
      <c r="M1343" s="29"/>
      <c r="N1343" s="29"/>
      <c r="O1343" s="29"/>
      <c r="P1343" s="29"/>
    </row>
    <row r="1344">
      <c r="A1344" s="111"/>
      <c r="B1344" s="112"/>
      <c r="C1344" s="29"/>
      <c r="D1344" s="29"/>
      <c r="E1344" s="29"/>
      <c r="F1344" s="29"/>
      <c r="G1344" s="29"/>
      <c r="H1344" s="29"/>
      <c r="I1344" s="29"/>
      <c r="J1344" s="29"/>
      <c r="K1344" s="29"/>
      <c r="L1344" s="29"/>
      <c r="M1344" s="29"/>
      <c r="N1344" s="29"/>
      <c r="O1344" s="29"/>
      <c r="P1344" s="29"/>
    </row>
    <row r="1345">
      <c r="A1345" s="111"/>
      <c r="B1345" s="112"/>
      <c r="C1345" s="29"/>
      <c r="D1345" s="29"/>
      <c r="E1345" s="29"/>
      <c r="F1345" s="29"/>
      <c r="G1345" s="29"/>
      <c r="H1345" s="29"/>
      <c r="I1345" s="29"/>
      <c r="J1345" s="29"/>
      <c r="K1345" s="29"/>
      <c r="L1345" s="29"/>
      <c r="M1345" s="29"/>
      <c r="N1345" s="29"/>
      <c r="O1345" s="29"/>
      <c r="P1345" s="29"/>
    </row>
    <row r="1346">
      <c r="A1346" s="111"/>
      <c r="B1346" s="112"/>
      <c r="C1346" s="29"/>
      <c r="D1346" s="29"/>
      <c r="E1346" s="29"/>
      <c r="F1346" s="29"/>
      <c r="G1346" s="29"/>
      <c r="H1346" s="29"/>
      <c r="I1346" s="29"/>
      <c r="J1346" s="29"/>
      <c r="K1346" s="29"/>
      <c r="L1346" s="29"/>
      <c r="M1346" s="29"/>
      <c r="N1346" s="29"/>
      <c r="O1346" s="29"/>
      <c r="P1346" s="29"/>
    </row>
    <row r="1347">
      <c r="A1347" s="111"/>
      <c r="B1347" s="112"/>
      <c r="C1347" s="29"/>
      <c r="D1347" s="29"/>
      <c r="E1347" s="29"/>
      <c r="F1347" s="29"/>
      <c r="G1347" s="29"/>
      <c r="H1347" s="29"/>
      <c r="I1347" s="29"/>
      <c r="J1347" s="29"/>
      <c r="K1347" s="29"/>
      <c r="L1347" s="29"/>
      <c r="M1347" s="29"/>
      <c r="N1347" s="29"/>
      <c r="O1347" s="29"/>
      <c r="P1347" s="29"/>
    </row>
    <row r="1348">
      <c r="A1348" s="111"/>
      <c r="B1348" s="112"/>
      <c r="C1348" s="29"/>
      <c r="D1348" s="29"/>
      <c r="E1348" s="29"/>
      <c r="F1348" s="29"/>
      <c r="G1348" s="29"/>
      <c r="H1348" s="29"/>
      <c r="I1348" s="29"/>
      <c r="J1348" s="29"/>
      <c r="K1348" s="29"/>
      <c r="L1348" s="29"/>
      <c r="M1348" s="29"/>
      <c r="N1348" s="29"/>
      <c r="O1348" s="29"/>
      <c r="P1348" s="29"/>
    </row>
    <row r="1349">
      <c r="A1349" s="111"/>
      <c r="B1349" s="112"/>
      <c r="C1349" s="29"/>
      <c r="D1349" s="29"/>
      <c r="E1349" s="29"/>
      <c r="F1349" s="29"/>
      <c r="G1349" s="29"/>
      <c r="H1349" s="29"/>
      <c r="I1349" s="29"/>
      <c r="J1349" s="29"/>
      <c r="K1349" s="29"/>
      <c r="L1349" s="29"/>
      <c r="M1349" s="29"/>
      <c r="N1349" s="29"/>
      <c r="O1349" s="29"/>
      <c r="P1349" s="29"/>
    </row>
    <row r="1350">
      <c r="A1350" s="111"/>
      <c r="B1350" s="112"/>
      <c r="C1350" s="29"/>
      <c r="D1350" s="29"/>
      <c r="E1350" s="29"/>
      <c r="F1350" s="29"/>
      <c r="G1350" s="29"/>
      <c r="H1350" s="29"/>
      <c r="I1350" s="29"/>
      <c r="J1350" s="29"/>
      <c r="K1350" s="29"/>
      <c r="L1350" s="29"/>
      <c r="M1350" s="29"/>
      <c r="N1350" s="29"/>
      <c r="O1350" s="29"/>
      <c r="P1350" s="29"/>
    </row>
    <row r="1351">
      <c r="A1351" s="111"/>
      <c r="B1351" s="112"/>
      <c r="C1351" s="29"/>
      <c r="D1351" s="29"/>
      <c r="E1351" s="29"/>
      <c r="F1351" s="29"/>
      <c r="G1351" s="29"/>
      <c r="H1351" s="29"/>
      <c r="I1351" s="29"/>
      <c r="J1351" s="29"/>
      <c r="K1351" s="29"/>
      <c r="L1351" s="29"/>
      <c r="M1351" s="29"/>
      <c r="N1351" s="29"/>
      <c r="O1351" s="29"/>
      <c r="P1351" s="29"/>
    </row>
    <row r="1352">
      <c r="A1352" s="111"/>
      <c r="B1352" s="112"/>
      <c r="C1352" s="29"/>
      <c r="D1352" s="29"/>
      <c r="E1352" s="29"/>
      <c r="F1352" s="29"/>
      <c r="G1352" s="29"/>
      <c r="H1352" s="29"/>
      <c r="I1352" s="29"/>
      <c r="J1352" s="29"/>
      <c r="K1352" s="29"/>
      <c r="L1352" s="29"/>
      <c r="M1352" s="29"/>
      <c r="N1352" s="29"/>
      <c r="O1352" s="29"/>
      <c r="P1352" s="29"/>
    </row>
    <row r="1353">
      <c r="A1353" s="111"/>
      <c r="B1353" s="112"/>
      <c r="C1353" s="29"/>
      <c r="D1353" s="29"/>
      <c r="E1353" s="29"/>
      <c r="F1353" s="29"/>
      <c r="G1353" s="29"/>
      <c r="H1353" s="29"/>
      <c r="I1353" s="29"/>
      <c r="J1353" s="29"/>
      <c r="K1353" s="29"/>
      <c r="L1353" s="29"/>
      <c r="M1353" s="29"/>
      <c r="N1353" s="29"/>
      <c r="O1353" s="29"/>
      <c r="P1353" s="29"/>
    </row>
    <row r="1354">
      <c r="A1354" s="111"/>
      <c r="B1354" s="112"/>
      <c r="C1354" s="29"/>
      <c r="D1354" s="29"/>
      <c r="E1354" s="29"/>
      <c r="F1354" s="29"/>
      <c r="G1354" s="29"/>
      <c r="H1354" s="29"/>
      <c r="I1354" s="29"/>
      <c r="J1354" s="29"/>
      <c r="K1354" s="29"/>
      <c r="L1354" s="29"/>
      <c r="M1354" s="29"/>
      <c r="N1354" s="29"/>
      <c r="O1354" s="29"/>
      <c r="P1354" s="29"/>
    </row>
    <row r="1355">
      <c r="A1355" s="111"/>
      <c r="B1355" s="112"/>
      <c r="C1355" s="29"/>
      <c r="D1355" s="29"/>
      <c r="E1355" s="29"/>
      <c r="F1355" s="29"/>
      <c r="G1355" s="29"/>
      <c r="H1355" s="29"/>
      <c r="I1355" s="29"/>
      <c r="J1355" s="29"/>
      <c r="K1355" s="29"/>
      <c r="L1355" s="29"/>
      <c r="M1355" s="29"/>
      <c r="N1355" s="29"/>
      <c r="O1355" s="29"/>
      <c r="P1355" s="29"/>
    </row>
    <row r="1356">
      <c r="A1356" s="111"/>
      <c r="B1356" s="112"/>
      <c r="C1356" s="29"/>
      <c r="D1356" s="29"/>
      <c r="E1356" s="29"/>
      <c r="F1356" s="29"/>
      <c r="G1356" s="29"/>
      <c r="H1356" s="29"/>
      <c r="I1356" s="29"/>
      <c r="J1356" s="29"/>
      <c r="K1356" s="29"/>
      <c r="L1356" s="29"/>
      <c r="M1356" s="29"/>
      <c r="N1356" s="29"/>
      <c r="O1356" s="29"/>
      <c r="P1356" s="29"/>
    </row>
    <row r="1357">
      <c r="A1357" s="111"/>
      <c r="B1357" s="112"/>
      <c r="C1357" s="29"/>
      <c r="D1357" s="29"/>
      <c r="E1357" s="29"/>
      <c r="F1357" s="29"/>
      <c r="G1357" s="29"/>
      <c r="H1357" s="29"/>
      <c r="I1357" s="29"/>
      <c r="J1357" s="29"/>
      <c r="K1357" s="29"/>
      <c r="L1357" s="29"/>
      <c r="M1357" s="29"/>
      <c r="N1357" s="29"/>
      <c r="O1357" s="29"/>
      <c r="P1357" s="29"/>
    </row>
    <row r="1358">
      <c r="A1358" s="111"/>
      <c r="B1358" s="112"/>
      <c r="C1358" s="29"/>
      <c r="D1358" s="29"/>
      <c r="E1358" s="29"/>
      <c r="F1358" s="29"/>
      <c r="G1358" s="29"/>
      <c r="H1358" s="29"/>
      <c r="I1358" s="29"/>
      <c r="J1358" s="29"/>
      <c r="K1358" s="29"/>
      <c r="L1358" s="29"/>
      <c r="M1358" s="29"/>
      <c r="N1358" s="29"/>
      <c r="O1358" s="29"/>
      <c r="P1358" s="29"/>
    </row>
    <row r="1359">
      <c r="A1359" s="111"/>
      <c r="B1359" s="112"/>
      <c r="C1359" s="29"/>
      <c r="D1359" s="29"/>
      <c r="E1359" s="29"/>
      <c r="F1359" s="29"/>
      <c r="G1359" s="29"/>
      <c r="H1359" s="29"/>
      <c r="I1359" s="29"/>
      <c r="J1359" s="29"/>
      <c r="K1359" s="29"/>
      <c r="L1359" s="29"/>
      <c r="M1359" s="29"/>
      <c r="N1359" s="29"/>
      <c r="O1359" s="29"/>
      <c r="P1359" s="29"/>
    </row>
    <row r="1360">
      <c r="A1360" s="111"/>
      <c r="B1360" s="112"/>
      <c r="C1360" s="29"/>
      <c r="D1360" s="29"/>
      <c r="E1360" s="29"/>
      <c r="F1360" s="29"/>
      <c r="G1360" s="29"/>
      <c r="H1360" s="29"/>
      <c r="I1360" s="29"/>
      <c r="J1360" s="29"/>
      <c r="K1360" s="29"/>
      <c r="L1360" s="29"/>
      <c r="M1360" s="29"/>
      <c r="N1360" s="29"/>
      <c r="O1360" s="29"/>
      <c r="P1360" s="29"/>
    </row>
    <row r="1361">
      <c r="A1361" s="111"/>
      <c r="B1361" s="112"/>
      <c r="C1361" s="29"/>
      <c r="D1361" s="29"/>
      <c r="E1361" s="29"/>
      <c r="F1361" s="29"/>
      <c r="G1361" s="29"/>
      <c r="H1361" s="29"/>
      <c r="I1361" s="29"/>
      <c r="J1361" s="29"/>
      <c r="K1361" s="29"/>
      <c r="L1361" s="29"/>
      <c r="M1361" s="29"/>
      <c r="N1361" s="29"/>
      <c r="O1361" s="29"/>
      <c r="P1361" s="29"/>
    </row>
    <row r="1362">
      <c r="A1362" s="111"/>
      <c r="B1362" s="112"/>
      <c r="C1362" s="29"/>
      <c r="D1362" s="29"/>
      <c r="E1362" s="29"/>
      <c r="F1362" s="29"/>
      <c r="G1362" s="29"/>
      <c r="H1362" s="29"/>
      <c r="I1362" s="29"/>
      <c r="J1362" s="29"/>
      <c r="K1362" s="29"/>
      <c r="L1362" s="29"/>
      <c r="M1362" s="29"/>
      <c r="N1362" s="29"/>
      <c r="O1362" s="29"/>
      <c r="P1362" s="29"/>
    </row>
    <row r="1363">
      <c r="A1363" s="111"/>
      <c r="B1363" s="112"/>
      <c r="C1363" s="29"/>
      <c r="D1363" s="29"/>
      <c r="E1363" s="29"/>
      <c r="F1363" s="29"/>
      <c r="G1363" s="29"/>
      <c r="H1363" s="29"/>
      <c r="I1363" s="29"/>
      <c r="J1363" s="29"/>
      <c r="K1363" s="29"/>
      <c r="L1363" s="29"/>
      <c r="M1363" s="29"/>
      <c r="N1363" s="29"/>
      <c r="O1363" s="29"/>
      <c r="P1363" s="29"/>
    </row>
    <row r="1364">
      <c r="A1364" s="111"/>
      <c r="B1364" s="112"/>
      <c r="C1364" s="29"/>
      <c r="D1364" s="29"/>
      <c r="E1364" s="29"/>
      <c r="F1364" s="29"/>
      <c r="G1364" s="29"/>
      <c r="H1364" s="29"/>
      <c r="I1364" s="29"/>
      <c r="J1364" s="29"/>
      <c r="K1364" s="29"/>
      <c r="L1364" s="29"/>
      <c r="M1364" s="29"/>
      <c r="N1364" s="29"/>
      <c r="O1364" s="29"/>
      <c r="P1364" s="29"/>
    </row>
    <row r="1365">
      <c r="A1365" s="111"/>
      <c r="B1365" s="112"/>
      <c r="C1365" s="29"/>
      <c r="D1365" s="29"/>
      <c r="E1365" s="29"/>
      <c r="F1365" s="29"/>
      <c r="G1365" s="29"/>
      <c r="H1365" s="29"/>
      <c r="I1365" s="29"/>
      <c r="J1365" s="29"/>
      <c r="K1365" s="29"/>
      <c r="L1365" s="29"/>
      <c r="M1365" s="29"/>
      <c r="N1365" s="29"/>
      <c r="O1365" s="29"/>
      <c r="P1365" s="29"/>
    </row>
    <row r="1366">
      <c r="A1366" s="111"/>
      <c r="B1366" s="112"/>
      <c r="C1366" s="29"/>
      <c r="D1366" s="29"/>
      <c r="E1366" s="29"/>
      <c r="F1366" s="29"/>
      <c r="G1366" s="29"/>
      <c r="H1366" s="29"/>
      <c r="I1366" s="29"/>
      <c r="J1366" s="29"/>
      <c r="K1366" s="29"/>
      <c r="L1366" s="29"/>
      <c r="M1366" s="29"/>
      <c r="N1366" s="29"/>
      <c r="O1366" s="29"/>
      <c r="P1366" s="29"/>
    </row>
    <row r="1367">
      <c r="A1367" s="111"/>
      <c r="B1367" s="112"/>
      <c r="C1367" s="29"/>
      <c r="D1367" s="29"/>
      <c r="E1367" s="29"/>
      <c r="F1367" s="29"/>
      <c r="G1367" s="29"/>
      <c r="H1367" s="29"/>
      <c r="I1367" s="29"/>
      <c r="J1367" s="29"/>
      <c r="K1367" s="29"/>
      <c r="L1367" s="29"/>
      <c r="M1367" s="29"/>
      <c r="N1367" s="29"/>
      <c r="O1367" s="29"/>
      <c r="P1367" s="29"/>
    </row>
    <row r="1368">
      <c r="A1368" s="111"/>
      <c r="B1368" s="112"/>
      <c r="C1368" s="29"/>
      <c r="D1368" s="29"/>
      <c r="E1368" s="29"/>
      <c r="F1368" s="29"/>
      <c r="G1368" s="29"/>
      <c r="H1368" s="29"/>
      <c r="I1368" s="29"/>
      <c r="J1368" s="29"/>
      <c r="K1368" s="29"/>
      <c r="L1368" s="29"/>
      <c r="M1368" s="29"/>
      <c r="N1368" s="29"/>
      <c r="O1368" s="29"/>
      <c r="P1368" s="29"/>
    </row>
    <row r="1369">
      <c r="A1369" s="111"/>
      <c r="B1369" s="112"/>
      <c r="C1369" s="29"/>
      <c r="D1369" s="29"/>
      <c r="E1369" s="29"/>
      <c r="F1369" s="29"/>
      <c r="G1369" s="29"/>
      <c r="H1369" s="29"/>
      <c r="I1369" s="29"/>
      <c r="J1369" s="29"/>
      <c r="K1369" s="29"/>
      <c r="L1369" s="29"/>
      <c r="M1369" s="29"/>
      <c r="N1369" s="29"/>
      <c r="O1369" s="29"/>
      <c r="P1369" s="29"/>
    </row>
    <row r="1370">
      <c r="A1370" s="111"/>
      <c r="B1370" s="112"/>
      <c r="C1370" s="29"/>
      <c r="D1370" s="29"/>
      <c r="E1370" s="29"/>
      <c r="F1370" s="29"/>
      <c r="G1370" s="29"/>
      <c r="H1370" s="29"/>
      <c r="I1370" s="29"/>
      <c r="J1370" s="29"/>
      <c r="K1370" s="29"/>
      <c r="L1370" s="29"/>
      <c r="M1370" s="29"/>
      <c r="N1370" s="29"/>
      <c r="O1370" s="29"/>
      <c r="P1370" s="29"/>
    </row>
    <row r="1371">
      <c r="A1371" s="111"/>
      <c r="B1371" s="112"/>
      <c r="C1371" s="29"/>
      <c r="D1371" s="29"/>
      <c r="E1371" s="29"/>
      <c r="F1371" s="29"/>
      <c r="G1371" s="29"/>
      <c r="H1371" s="29"/>
      <c r="I1371" s="29"/>
      <c r="J1371" s="29"/>
      <c r="K1371" s="29"/>
      <c r="L1371" s="29"/>
      <c r="M1371" s="29"/>
      <c r="N1371" s="29"/>
      <c r="O1371" s="29"/>
      <c r="P1371" s="29"/>
    </row>
    <row r="1372">
      <c r="A1372" s="111"/>
      <c r="B1372" s="112"/>
      <c r="C1372" s="29"/>
      <c r="D1372" s="29"/>
      <c r="E1372" s="29"/>
      <c r="F1372" s="29"/>
      <c r="G1372" s="29"/>
      <c r="H1372" s="29"/>
      <c r="I1372" s="29"/>
      <c r="J1372" s="29"/>
      <c r="K1372" s="29"/>
      <c r="L1372" s="29"/>
      <c r="M1372" s="29"/>
      <c r="N1372" s="29"/>
      <c r="O1372" s="29"/>
      <c r="P1372" s="29"/>
    </row>
    <row r="1373">
      <c r="A1373" s="111"/>
      <c r="B1373" s="112"/>
      <c r="C1373" s="29"/>
      <c r="D1373" s="29"/>
      <c r="E1373" s="29"/>
      <c r="F1373" s="29"/>
      <c r="G1373" s="29"/>
      <c r="H1373" s="29"/>
      <c r="I1373" s="29"/>
      <c r="J1373" s="29"/>
      <c r="K1373" s="29"/>
      <c r="L1373" s="29"/>
      <c r="M1373" s="29"/>
      <c r="N1373" s="29"/>
      <c r="O1373" s="29"/>
      <c r="P1373" s="29"/>
    </row>
    <row r="1374">
      <c r="A1374" s="111"/>
      <c r="B1374" s="112"/>
      <c r="C1374" s="29"/>
      <c r="D1374" s="29"/>
      <c r="E1374" s="29"/>
      <c r="F1374" s="29"/>
      <c r="G1374" s="29"/>
      <c r="H1374" s="29"/>
      <c r="I1374" s="29"/>
      <c r="J1374" s="29"/>
      <c r="K1374" s="29"/>
      <c r="L1374" s="29"/>
      <c r="M1374" s="29"/>
      <c r="N1374" s="29"/>
      <c r="O1374" s="29"/>
      <c r="P1374" s="29"/>
    </row>
    <row r="1375">
      <c r="A1375" s="111"/>
      <c r="B1375" s="112"/>
      <c r="C1375" s="29"/>
      <c r="D1375" s="29"/>
      <c r="E1375" s="29"/>
      <c r="F1375" s="29"/>
      <c r="G1375" s="29"/>
      <c r="H1375" s="29"/>
      <c r="I1375" s="29"/>
      <c r="J1375" s="29"/>
      <c r="K1375" s="29"/>
      <c r="L1375" s="29"/>
      <c r="M1375" s="29"/>
      <c r="N1375" s="29"/>
      <c r="O1375" s="29"/>
      <c r="P1375" s="29"/>
    </row>
    <row r="1376">
      <c r="A1376" s="111"/>
      <c r="B1376" s="112"/>
      <c r="C1376" s="29"/>
      <c r="D1376" s="29"/>
      <c r="E1376" s="29"/>
      <c r="F1376" s="29"/>
      <c r="G1376" s="29"/>
      <c r="H1376" s="29"/>
      <c r="I1376" s="29"/>
      <c r="J1376" s="29"/>
      <c r="K1376" s="29"/>
      <c r="L1376" s="29"/>
      <c r="M1376" s="29"/>
      <c r="N1376" s="29"/>
      <c r="O1376" s="29"/>
      <c r="P1376" s="29"/>
    </row>
    <row r="1377">
      <c r="A1377" s="111"/>
      <c r="B1377" s="112"/>
      <c r="C1377" s="29"/>
      <c r="D1377" s="29"/>
      <c r="E1377" s="29"/>
      <c r="F1377" s="29"/>
      <c r="G1377" s="29"/>
      <c r="H1377" s="29"/>
      <c r="I1377" s="29"/>
      <c r="J1377" s="29"/>
      <c r="K1377" s="29"/>
      <c r="L1377" s="29"/>
      <c r="M1377" s="29"/>
      <c r="N1377" s="29"/>
      <c r="O1377" s="29"/>
      <c r="P1377" s="29"/>
    </row>
    <row r="1378">
      <c r="A1378" s="111"/>
      <c r="B1378" s="112"/>
      <c r="C1378" s="29"/>
      <c r="D1378" s="29"/>
      <c r="E1378" s="29"/>
      <c r="F1378" s="29"/>
      <c r="G1378" s="29"/>
      <c r="H1378" s="29"/>
      <c r="I1378" s="29"/>
      <c r="J1378" s="29"/>
      <c r="K1378" s="29"/>
      <c r="L1378" s="29"/>
      <c r="M1378" s="29"/>
      <c r="N1378" s="29"/>
      <c r="O1378" s="29"/>
      <c r="P1378" s="29"/>
    </row>
    <row r="1379">
      <c r="A1379" s="111"/>
      <c r="B1379" s="112"/>
      <c r="C1379" s="29"/>
      <c r="D1379" s="29"/>
      <c r="E1379" s="29"/>
      <c r="F1379" s="29"/>
      <c r="G1379" s="29"/>
      <c r="H1379" s="29"/>
      <c r="I1379" s="29"/>
      <c r="J1379" s="29"/>
      <c r="K1379" s="29"/>
      <c r="L1379" s="29"/>
      <c r="M1379" s="29"/>
      <c r="N1379" s="29"/>
      <c r="O1379" s="29"/>
      <c r="P1379" s="29"/>
    </row>
    <row r="1380">
      <c r="A1380" s="111"/>
      <c r="B1380" s="112"/>
      <c r="C1380" s="29"/>
      <c r="D1380" s="29"/>
      <c r="E1380" s="29"/>
      <c r="F1380" s="29"/>
      <c r="G1380" s="29"/>
      <c r="H1380" s="29"/>
      <c r="I1380" s="29"/>
      <c r="J1380" s="29"/>
      <c r="K1380" s="29"/>
      <c r="L1380" s="29"/>
      <c r="M1380" s="29"/>
      <c r="N1380" s="29"/>
      <c r="O1380" s="29"/>
      <c r="P1380" s="29"/>
    </row>
    <row r="1381">
      <c r="A1381" s="111"/>
      <c r="B1381" s="112"/>
      <c r="C1381" s="29"/>
      <c r="D1381" s="29"/>
      <c r="E1381" s="29"/>
      <c r="F1381" s="29"/>
      <c r="G1381" s="29"/>
      <c r="H1381" s="29"/>
      <c r="I1381" s="29"/>
      <c r="J1381" s="29"/>
      <c r="K1381" s="29"/>
      <c r="L1381" s="29"/>
      <c r="M1381" s="29"/>
      <c r="N1381" s="29"/>
      <c r="O1381" s="29"/>
      <c r="P1381" s="29"/>
    </row>
    <row r="1382">
      <c r="A1382" s="111"/>
      <c r="B1382" s="112"/>
      <c r="C1382" s="29"/>
      <c r="D1382" s="29"/>
      <c r="E1382" s="29"/>
      <c r="F1382" s="29"/>
      <c r="G1382" s="29"/>
      <c r="H1382" s="29"/>
      <c r="I1382" s="29"/>
      <c r="J1382" s="29"/>
      <c r="K1382" s="29"/>
      <c r="L1382" s="29"/>
      <c r="M1382" s="29"/>
      <c r="N1382" s="29"/>
      <c r="O1382" s="29"/>
      <c r="P1382" s="29"/>
    </row>
    <row r="1383">
      <c r="A1383" s="111"/>
      <c r="B1383" s="112"/>
      <c r="C1383" s="29"/>
      <c r="D1383" s="29"/>
      <c r="E1383" s="29"/>
      <c r="F1383" s="29"/>
      <c r="G1383" s="29"/>
      <c r="H1383" s="29"/>
      <c r="I1383" s="29"/>
      <c r="J1383" s="29"/>
      <c r="K1383" s="29"/>
      <c r="L1383" s="29"/>
      <c r="M1383" s="29"/>
      <c r="N1383" s="29"/>
      <c r="O1383" s="29"/>
      <c r="P1383" s="29"/>
    </row>
    <row r="1384">
      <c r="A1384" s="111"/>
      <c r="B1384" s="112"/>
      <c r="C1384" s="29"/>
      <c r="D1384" s="29"/>
      <c r="E1384" s="29"/>
      <c r="F1384" s="29"/>
      <c r="G1384" s="29"/>
      <c r="H1384" s="29"/>
      <c r="I1384" s="29"/>
      <c r="J1384" s="29"/>
      <c r="K1384" s="29"/>
      <c r="L1384" s="29"/>
      <c r="M1384" s="29"/>
      <c r="N1384" s="29"/>
      <c r="O1384" s="29"/>
      <c r="P1384" s="29"/>
    </row>
    <row r="1385">
      <c r="A1385" s="111"/>
      <c r="B1385" s="112"/>
      <c r="C1385" s="29"/>
      <c r="D1385" s="29"/>
      <c r="E1385" s="29"/>
      <c r="F1385" s="29"/>
      <c r="G1385" s="29"/>
      <c r="H1385" s="29"/>
      <c r="I1385" s="29"/>
      <c r="J1385" s="29"/>
      <c r="K1385" s="29"/>
      <c r="L1385" s="29"/>
      <c r="M1385" s="29"/>
      <c r="N1385" s="29"/>
      <c r="O1385" s="29"/>
      <c r="P1385" s="29"/>
    </row>
    <row r="1386">
      <c r="A1386" s="111"/>
      <c r="B1386" s="112"/>
      <c r="C1386" s="29"/>
      <c r="D1386" s="29"/>
      <c r="E1386" s="29"/>
      <c r="F1386" s="29"/>
      <c r="G1386" s="29"/>
      <c r="H1386" s="29"/>
      <c r="I1386" s="29"/>
      <c r="J1386" s="29"/>
      <c r="K1386" s="29"/>
      <c r="L1386" s="29"/>
      <c r="M1386" s="29"/>
      <c r="N1386" s="29"/>
      <c r="O1386" s="29"/>
      <c r="P1386" s="29"/>
    </row>
    <row r="1387">
      <c r="A1387" s="111"/>
      <c r="B1387" s="112"/>
      <c r="C1387" s="29"/>
      <c r="D1387" s="29"/>
      <c r="E1387" s="29"/>
      <c r="F1387" s="29"/>
      <c r="G1387" s="29"/>
      <c r="H1387" s="29"/>
      <c r="I1387" s="29"/>
      <c r="J1387" s="29"/>
      <c r="K1387" s="29"/>
      <c r="L1387" s="29"/>
      <c r="M1387" s="29"/>
      <c r="N1387" s="29"/>
      <c r="O1387" s="29"/>
      <c r="P1387" s="29"/>
    </row>
    <row r="1388">
      <c r="A1388" s="111"/>
      <c r="B1388" s="112"/>
      <c r="C1388" s="29"/>
      <c r="D1388" s="29"/>
      <c r="E1388" s="29"/>
      <c r="F1388" s="29"/>
      <c r="G1388" s="29"/>
      <c r="H1388" s="29"/>
      <c r="I1388" s="29"/>
      <c r="J1388" s="29"/>
      <c r="K1388" s="29"/>
      <c r="L1388" s="29"/>
      <c r="M1388" s="29"/>
      <c r="N1388" s="29"/>
      <c r="O1388" s="29"/>
      <c r="P1388" s="29"/>
    </row>
    <row r="1389">
      <c r="A1389" s="111"/>
      <c r="B1389" s="112"/>
      <c r="C1389" s="29"/>
      <c r="D1389" s="29"/>
      <c r="E1389" s="29"/>
      <c r="F1389" s="29"/>
      <c r="G1389" s="29"/>
      <c r="H1389" s="29"/>
      <c r="I1389" s="29"/>
      <c r="J1389" s="29"/>
      <c r="K1389" s="29"/>
      <c r="L1389" s="29"/>
      <c r="M1389" s="29"/>
      <c r="N1389" s="29"/>
      <c r="O1389" s="29"/>
      <c r="P1389" s="29"/>
    </row>
    <row r="1390">
      <c r="A1390" s="111"/>
      <c r="B1390" s="112"/>
      <c r="C1390" s="29"/>
      <c r="D1390" s="29"/>
      <c r="E1390" s="29"/>
      <c r="F1390" s="29"/>
      <c r="G1390" s="29"/>
      <c r="H1390" s="29"/>
      <c r="I1390" s="29"/>
      <c r="J1390" s="29"/>
      <c r="K1390" s="29"/>
      <c r="L1390" s="29"/>
      <c r="M1390" s="29"/>
      <c r="N1390" s="29"/>
      <c r="O1390" s="29"/>
      <c r="P1390" s="29"/>
    </row>
    <row r="1391">
      <c r="A1391" s="111"/>
      <c r="B1391" s="112"/>
      <c r="C1391" s="29"/>
      <c r="D1391" s="29"/>
      <c r="E1391" s="29"/>
      <c r="F1391" s="29"/>
      <c r="G1391" s="29"/>
      <c r="H1391" s="29"/>
      <c r="I1391" s="29"/>
      <c r="J1391" s="29"/>
      <c r="K1391" s="29"/>
      <c r="L1391" s="29"/>
      <c r="M1391" s="29"/>
      <c r="N1391" s="29"/>
      <c r="O1391" s="29"/>
      <c r="P1391" s="29"/>
    </row>
    <row r="1392">
      <c r="A1392" s="111"/>
      <c r="B1392" s="112"/>
      <c r="C1392" s="29"/>
      <c r="D1392" s="29"/>
      <c r="E1392" s="29"/>
      <c r="F1392" s="29"/>
      <c r="G1392" s="29"/>
      <c r="H1392" s="29"/>
      <c r="I1392" s="29"/>
      <c r="J1392" s="29"/>
      <c r="K1392" s="29"/>
      <c r="L1392" s="29"/>
      <c r="M1392" s="29"/>
      <c r="N1392" s="29"/>
      <c r="O1392" s="29"/>
      <c r="P1392" s="29"/>
    </row>
    <row r="1393">
      <c r="A1393" s="111"/>
      <c r="B1393" s="112"/>
      <c r="C1393" s="29"/>
      <c r="D1393" s="29"/>
      <c r="E1393" s="29"/>
      <c r="F1393" s="29"/>
      <c r="G1393" s="29"/>
      <c r="H1393" s="29"/>
      <c r="I1393" s="29"/>
      <c r="J1393" s="29"/>
      <c r="K1393" s="29"/>
      <c r="L1393" s="29"/>
      <c r="M1393" s="29"/>
      <c r="N1393" s="29"/>
      <c r="O1393" s="29"/>
      <c r="P1393" s="29"/>
    </row>
    <row r="1394">
      <c r="A1394" s="111"/>
      <c r="B1394" s="112"/>
      <c r="C1394" s="29"/>
      <c r="D1394" s="29"/>
      <c r="E1394" s="29"/>
      <c r="F1394" s="29"/>
      <c r="G1394" s="29"/>
      <c r="H1394" s="29"/>
      <c r="I1394" s="29"/>
      <c r="J1394" s="29"/>
      <c r="K1394" s="29"/>
      <c r="L1394" s="29"/>
      <c r="M1394" s="29"/>
      <c r="N1394" s="29"/>
      <c r="O1394" s="29"/>
      <c r="P1394" s="29"/>
    </row>
    <row r="1395">
      <c r="A1395" s="111"/>
      <c r="B1395" s="112"/>
      <c r="C1395" s="29"/>
      <c r="D1395" s="29"/>
      <c r="E1395" s="29"/>
      <c r="F1395" s="29"/>
      <c r="G1395" s="29"/>
      <c r="H1395" s="29"/>
      <c r="I1395" s="29"/>
      <c r="J1395" s="29"/>
      <c r="K1395" s="29"/>
      <c r="L1395" s="29"/>
      <c r="M1395" s="29"/>
      <c r="N1395" s="29"/>
      <c r="O1395" s="29"/>
      <c r="P1395" s="29"/>
    </row>
    <row r="1396">
      <c r="A1396" s="111"/>
      <c r="B1396" s="112"/>
      <c r="C1396" s="29"/>
      <c r="D1396" s="29"/>
      <c r="E1396" s="29"/>
      <c r="F1396" s="29"/>
      <c r="G1396" s="29"/>
      <c r="H1396" s="29"/>
      <c r="I1396" s="29"/>
      <c r="J1396" s="29"/>
      <c r="K1396" s="29"/>
      <c r="L1396" s="29"/>
      <c r="M1396" s="29"/>
      <c r="N1396" s="29"/>
      <c r="O1396" s="29"/>
      <c r="P1396" s="29"/>
    </row>
    <row r="1397">
      <c r="A1397" s="111"/>
      <c r="B1397" s="112"/>
      <c r="C1397" s="29"/>
      <c r="D1397" s="29"/>
      <c r="E1397" s="29"/>
      <c r="F1397" s="29"/>
      <c r="G1397" s="29"/>
      <c r="H1397" s="29"/>
      <c r="I1397" s="29"/>
      <c r="J1397" s="29"/>
      <c r="K1397" s="29"/>
      <c r="L1397" s="29"/>
      <c r="M1397" s="29"/>
      <c r="N1397" s="29"/>
      <c r="O1397" s="29"/>
      <c r="P1397" s="29"/>
    </row>
    <row r="1398">
      <c r="A1398" s="111"/>
      <c r="B1398" s="112"/>
      <c r="C1398" s="29"/>
      <c r="D1398" s="29"/>
      <c r="E1398" s="29"/>
      <c r="F1398" s="29"/>
      <c r="G1398" s="29"/>
      <c r="H1398" s="29"/>
      <c r="I1398" s="29"/>
      <c r="J1398" s="29"/>
      <c r="K1398" s="29"/>
      <c r="L1398" s="29"/>
      <c r="M1398" s="29"/>
      <c r="N1398" s="29"/>
      <c r="O1398" s="29"/>
      <c r="P1398" s="29"/>
    </row>
    <row r="1399">
      <c r="A1399" s="111"/>
      <c r="B1399" s="112"/>
      <c r="C1399" s="29"/>
      <c r="D1399" s="29"/>
      <c r="E1399" s="29"/>
      <c r="F1399" s="29"/>
      <c r="G1399" s="29"/>
      <c r="H1399" s="29"/>
      <c r="I1399" s="29"/>
      <c r="J1399" s="29"/>
      <c r="K1399" s="29"/>
      <c r="L1399" s="29"/>
      <c r="M1399" s="29"/>
      <c r="N1399" s="29"/>
      <c r="O1399" s="29"/>
      <c r="P1399" s="29"/>
    </row>
    <row r="1400">
      <c r="A1400" s="111"/>
      <c r="B1400" s="112"/>
      <c r="C1400" s="29"/>
      <c r="D1400" s="29"/>
      <c r="E1400" s="29"/>
      <c r="F1400" s="29"/>
      <c r="G1400" s="29"/>
      <c r="H1400" s="29"/>
      <c r="I1400" s="29"/>
      <c r="J1400" s="29"/>
      <c r="K1400" s="29"/>
      <c r="L1400" s="29"/>
      <c r="M1400" s="29"/>
      <c r="N1400" s="29"/>
      <c r="O1400" s="29"/>
      <c r="P1400" s="29"/>
    </row>
    <row r="1401">
      <c r="A1401" s="111"/>
      <c r="B1401" s="112"/>
      <c r="C1401" s="29"/>
      <c r="D1401" s="29"/>
      <c r="E1401" s="29"/>
      <c r="F1401" s="29"/>
      <c r="G1401" s="29"/>
      <c r="H1401" s="29"/>
      <c r="I1401" s="29"/>
      <c r="J1401" s="29"/>
      <c r="K1401" s="29"/>
      <c r="L1401" s="29"/>
      <c r="M1401" s="29"/>
      <c r="N1401" s="29"/>
      <c r="O1401" s="29"/>
      <c r="P1401" s="29"/>
    </row>
    <row r="1402">
      <c r="A1402" s="111"/>
      <c r="B1402" s="112"/>
      <c r="C1402" s="29"/>
      <c r="D1402" s="29"/>
      <c r="E1402" s="29"/>
      <c r="F1402" s="29"/>
      <c r="G1402" s="29"/>
      <c r="H1402" s="29"/>
      <c r="I1402" s="29"/>
      <c r="J1402" s="29"/>
      <c r="K1402" s="29"/>
      <c r="L1402" s="29"/>
      <c r="M1402" s="29"/>
      <c r="N1402" s="29"/>
      <c r="O1402" s="29"/>
      <c r="P1402" s="29"/>
    </row>
    <row r="1403">
      <c r="A1403" s="111"/>
      <c r="B1403" s="112"/>
      <c r="C1403" s="29"/>
      <c r="D1403" s="29"/>
      <c r="E1403" s="29"/>
      <c r="F1403" s="29"/>
      <c r="G1403" s="29"/>
      <c r="H1403" s="29"/>
      <c r="I1403" s="29"/>
      <c r="J1403" s="29"/>
      <c r="K1403" s="29"/>
      <c r="L1403" s="29"/>
      <c r="M1403" s="29"/>
      <c r="N1403" s="29"/>
      <c r="O1403" s="29"/>
      <c r="P1403" s="29"/>
    </row>
    <row r="1404">
      <c r="A1404" s="111"/>
      <c r="B1404" s="112"/>
      <c r="C1404" s="29"/>
      <c r="D1404" s="29"/>
      <c r="E1404" s="29"/>
      <c r="F1404" s="29"/>
      <c r="G1404" s="29"/>
      <c r="H1404" s="29"/>
      <c r="I1404" s="29"/>
      <c r="J1404" s="29"/>
      <c r="K1404" s="29"/>
      <c r="L1404" s="29"/>
      <c r="M1404" s="29"/>
      <c r="N1404" s="29"/>
      <c r="O1404" s="29"/>
      <c r="P1404" s="29"/>
    </row>
    <row r="1405">
      <c r="A1405" s="111"/>
      <c r="B1405" s="112"/>
      <c r="C1405" s="29"/>
      <c r="D1405" s="29"/>
      <c r="E1405" s="29"/>
      <c r="F1405" s="29"/>
      <c r="G1405" s="29"/>
      <c r="H1405" s="29"/>
      <c r="I1405" s="29"/>
      <c r="J1405" s="29"/>
      <c r="K1405" s="29"/>
      <c r="L1405" s="29"/>
      <c r="M1405" s="29"/>
      <c r="N1405" s="29"/>
      <c r="O1405" s="29"/>
      <c r="P1405" s="29"/>
    </row>
    <row r="1406">
      <c r="A1406" s="111"/>
      <c r="B1406" s="112"/>
      <c r="C1406" s="29"/>
      <c r="D1406" s="29"/>
      <c r="E1406" s="29"/>
      <c r="F1406" s="29"/>
      <c r="G1406" s="29"/>
      <c r="H1406" s="29"/>
      <c r="I1406" s="29"/>
      <c r="J1406" s="29"/>
      <c r="K1406" s="29"/>
      <c r="L1406" s="29"/>
      <c r="M1406" s="29"/>
      <c r="N1406" s="29"/>
      <c r="O1406" s="29"/>
      <c r="P1406" s="29"/>
    </row>
    <row r="1407">
      <c r="A1407" s="111"/>
      <c r="B1407" s="112"/>
      <c r="C1407" s="29"/>
      <c r="D1407" s="29"/>
      <c r="E1407" s="29"/>
      <c r="F1407" s="29"/>
      <c r="G1407" s="29"/>
      <c r="H1407" s="29"/>
      <c r="I1407" s="29"/>
      <c r="J1407" s="29"/>
      <c r="K1407" s="29"/>
      <c r="L1407" s="29"/>
      <c r="M1407" s="29"/>
      <c r="N1407" s="29"/>
      <c r="O1407" s="29"/>
      <c r="P1407" s="29"/>
    </row>
    <row r="1408">
      <c r="A1408" s="111"/>
      <c r="B1408" s="112"/>
      <c r="C1408" s="29"/>
      <c r="D1408" s="29"/>
      <c r="E1408" s="29"/>
      <c r="F1408" s="29"/>
      <c r="G1408" s="29"/>
      <c r="H1408" s="29"/>
      <c r="I1408" s="29"/>
      <c r="J1408" s="29"/>
      <c r="K1408" s="29"/>
      <c r="L1408" s="29"/>
      <c r="M1408" s="29"/>
      <c r="N1408" s="29"/>
      <c r="O1408" s="29"/>
      <c r="P1408" s="29"/>
    </row>
    <row r="1409">
      <c r="A1409" s="111"/>
      <c r="B1409" s="112"/>
      <c r="C1409" s="29"/>
      <c r="D1409" s="29"/>
      <c r="E1409" s="29"/>
      <c r="F1409" s="29"/>
      <c r="G1409" s="29"/>
      <c r="H1409" s="29"/>
      <c r="I1409" s="29"/>
      <c r="J1409" s="29"/>
      <c r="K1409" s="29"/>
      <c r="L1409" s="29"/>
      <c r="M1409" s="29"/>
      <c r="N1409" s="29"/>
      <c r="O1409" s="29"/>
      <c r="P1409" s="29"/>
    </row>
    <row r="1410">
      <c r="A1410" s="111"/>
      <c r="B1410" s="112"/>
      <c r="C1410" s="29"/>
      <c r="D1410" s="29"/>
      <c r="E1410" s="29"/>
      <c r="F1410" s="29"/>
      <c r="G1410" s="29"/>
      <c r="H1410" s="29"/>
      <c r="I1410" s="29"/>
      <c r="J1410" s="29"/>
      <c r="K1410" s="29"/>
      <c r="L1410" s="29"/>
      <c r="M1410" s="29"/>
      <c r="N1410" s="29"/>
      <c r="O1410" s="29"/>
      <c r="P1410" s="29"/>
    </row>
    <row r="1411">
      <c r="A1411" s="111"/>
      <c r="B1411" s="112"/>
      <c r="C1411" s="29"/>
      <c r="D1411" s="29"/>
      <c r="E1411" s="29"/>
      <c r="F1411" s="29"/>
      <c r="G1411" s="29"/>
      <c r="H1411" s="29"/>
      <c r="I1411" s="29"/>
      <c r="J1411" s="29"/>
      <c r="K1411" s="29"/>
      <c r="L1411" s="29"/>
      <c r="M1411" s="29"/>
      <c r="N1411" s="29"/>
      <c r="O1411" s="29"/>
      <c r="P1411" s="29"/>
    </row>
    <row r="1412">
      <c r="A1412" s="111"/>
      <c r="B1412" s="112"/>
      <c r="C1412" s="29"/>
      <c r="D1412" s="29"/>
      <c r="E1412" s="29"/>
      <c r="F1412" s="29"/>
      <c r="G1412" s="29"/>
      <c r="H1412" s="29"/>
      <c r="I1412" s="29"/>
      <c r="J1412" s="29"/>
      <c r="K1412" s="29"/>
      <c r="L1412" s="29"/>
      <c r="M1412" s="29"/>
      <c r="N1412" s="29"/>
      <c r="O1412" s="29"/>
      <c r="P1412" s="29"/>
    </row>
    <row r="1413">
      <c r="A1413" s="111"/>
      <c r="B1413" s="112"/>
      <c r="C1413" s="29"/>
      <c r="D1413" s="29"/>
      <c r="E1413" s="29"/>
      <c r="F1413" s="29"/>
      <c r="G1413" s="29"/>
      <c r="H1413" s="29"/>
      <c r="I1413" s="29"/>
      <c r="J1413" s="29"/>
      <c r="K1413" s="29"/>
      <c r="L1413" s="29"/>
      <c r="M1413" s="29"/>
      <c r="N1413" s="29"/>
      <c r="O1413" s="29"/>
      <c r="P1413" s="29"/>
    </row>
    <row r="1414">
      <c r="A1414" s="111"/>
      <c r="B1414" s="112"/>
      <c r="C1414" s="29"/>
      <c r="D1414" s="29"/>
      <c r="E1414" s="29"/>
      <c r="F1414" s="29"/>
      <c r="G1414" s="29"/>
      <c r="H1414" s="29"/>
      <c r="I1414" s="29"/>
      <c r="J1414" s="29"/>
      <c r="K1414" s="29"/>
      <c r="L1414" s="29"/>
      <c r="M1414" s="29"/>
      <c r="N1414" s="29"/>
      <c r="O1414" s="29"/>
      <c r="P1414" s="29"/>
    </row>
    <row r="1415">
      <c r="A1415" s="111"/>
      <c r="B1415" s="112"/>
      <c r="C1415" s="29"/>
      <c r="D1415" s="29"/>
      <c r="E1415" s="29"/>
      <c r="F1415" s="29"/>
      <c r="G1415" s="29"/>
      <c r="H1415" s="29"/>
      <c r="I1415" s="29"/>
      <c r="J1415" s="29"/>
      <c r="K1415" s="29"/>
      <c r="L1415" s="29"/>
      <c r="M1415" s="29"/>
      <c r="N1415" s="29"/>
      <c r="O1415" s="29"/>
      <c r="P1415" s="29"/>
    </row>
    <row r="1416">
      <c r="A1416" s="111"/>
      <c r="B1416" s="112"/>
      <c r="C1416" s="29"/>
      <c r="D1416" s="29"/>
      <c r="E1416" s="29"/>
      <c r="F1416" s="29"/>
      <c r="G1416" s="29"/>
      <c r="H1416" s="29"/>
      <c r="I1416" s="29"/>
      <c r="J1416" s="29"/>
      <c r="K1416" s="29"/>
      <c r="L1416" s="29"/>
      <c r="M1416" s="29"/>
      <c r="N1416" s="29"/>
      <c r="O1416" s="29"/>
      <c r="P1416" s="29"/>
    </row>
    <row r="1417">
      <c r="A1417" s="111"/>
      <c r="B1417" s="112"/>
      <c r="C1417" s="29"/>
      <c r="D1417" s="29"/>
      <c r="E1417" s="29"/>
      <c r="F1417" s="29"/>
      <c r="G1417" s="29"/>
      <c r="H1417" s="29"/>
      <c r="I1417" s="29"/>
      <c r="J1417" s="29"/>
      <c r="K1417" s="29"/>
      <c r="L1417" s="29"/>
      <c r="M1417" s="29"/>
      <c r="N1417" s="29"/>
      <c r="O1417" s="29"/>
      <c r="P1417" s="29"/>
    </row>
    <row r="1418">
      <c r="A1418" s="111"/>
      <c r="B1418" s="112"/>
      <c r="C1418" s="29"/>
      <c r="D1418" s="29"/>
      <c r="E1418" s="29"/>
      <c r="F1418" s="29"/>
      <c r="G1418" s="29"/>
      <c r="H1418" s="29"/>
      <c r="I1418" s="29"/>
      <c r="J1418" s="29"/>
      <c r="K1418" s="29"/>
      <c r="L1418" s="29"/>
      <c r="M1418" s="29"/>
      <c r="N1418" s="29"/>
      <c r="O1418" s="29"/>
      <c r="P1418" s="29"/>
    </row>
    <row r="1419">
      <c r="A1419" s="111"/>
      <c r="B1419" s="112"/>
      <c r="C1419" s="29"/>
      <c r="D1419" s="29"/>
      <c r="E1419" s="29"/>
      <c r="F1419" s="29"/>
      <c r="G1419" s="29"/>
      <c r="H1419" s="29"/>
      <c r="I1419" s="29"/>
      <c r="J1419" s="29"/>
      <c r="K1419" s="29"/>
      <c r="L1419" s="29"/>
      <c r="M1419" s="29"/>
      <c r="N1419" s="29"/>
      <c r="O1419" s="29"/>
      <c r="P1419" s="29"/>
    </row>
    <row r="1420">
      <c r="A1420" s="111"/>
      <c r="B1420" s="112"/>
      <c r="C1420" s="29"/>
      <c r="D1420" s="29"/>
      <c r="E1420" s="29"/>
      <c r="F1420" s="29"/>
      <c r="G1420" s="29"/>
      <c r="H1420" s="29"/>
      <c r="I1420" s="29"/>
      <c r="J1420" s="29"/>
      <c r="K1420" s="29"/>
      <c r="L1420" s="29"/>
      <c r="M1420" s="29"/>
      <c r="N1420" s="29"/>
      <c r="O1420" s="29"/>
      <c r="P1420" s="29"/>
    </row>
    <row r="1421">
      <c r="A1421" s="111"/>
      <c r="B1421" s="112"/>
      <c r="C1421" s="29"/>
      <c r="D1421" s="29"/>
      <c r="E1421" s="29"/>
      <c r="F1421" s="29"/>
      <c r="G1421" s="29"/>
      <c r="H1421" s="29"/>
      <c r="I1421" s="29"/>
      <c r="J1421" s="29"/>
      <c r="K1421" s="29"/>
      <c r="L1421" s="29"/>
      <c r="M1421" s="29"/>
      <c r="N1421" s="29"/>
      <c r="O1421" s="29"/>
      <c r="P1421" s="29"/>
    </row>
    <row r="1422">
      <c r="A1422" s="111"/>
      <c r="B1422" s="112"/>
      <c r="C1422" s="29"/>
      <c r="D1422" s="29"/>
      <c r="E1422" s="29"/>
      <c r="F1422" s="29"/>
      <c r="G1422" s="29"/>
      <c r="H1422" s="29"/>
      <c r="I1422" s="29"/>
      <c r="J1422" s="29"/>
      <c r="K1422" s="29"/>
      <c r="L1422" s="29"/>
      <c r="M1422" s="29"/>
      <c r="N1422" s="29"/>
      <c r="O1422" s="29"/>
      <c r="P1422" s="29"/>
    </row>
    <row r="1423">
      <c r="A1423" s="111"/>
      <c r="B1423" s="112"/>
      <c r="C1423" s="29"/>
      <c r="D1423" s="29"/>
      <c r="E1423" s="29"/>
      <c r="F1423" s="29"/>
      <c r="G1423" s="29"/>
      <c r="H1423" s="29"/>
      <c r="I1423" s="29"/>
      <c r="J1423" s="29"/>
      <c r="K1423" s="29"/>
      <c r="L1423" s="29"/>
      <c r="M1423" s="29"/>
      <c r="N1423" s="29"/>
      <c r="O1423" s="29"/>
      <c r="P1423" s="29"/>
    </row>
    <row r="1424">
      <c r="A1424" s="111"/>
      <c r="B1424" s="112"/>
      <c r="C1424" s="29"/>
      <c r="D1424" s="29"/>
      <c r="E1424" s="29"/>
      <c r="F1424" s="29"/>
      <c r="G1424" s="29"/>
      <c r="H1424" s="29"/>
      <c r="I1424" s="29"/>
      <c r="J1424" s="29"/>
      <c r="K1424" s="29"/>
      <c r="L1424" s="29"/>
      <c r="M1424" s="29"/>
      <c r="N1424" s="29"/>
      <c r="O1424" s="29"/>
      <c r="P1424" s="29"/>
    </row>
    <row r="1425">
      <c r="A1425" s="111"/>
      <c r="B1425" s="112"/>
      <c r="C1425" s="29"/>
      <c r="D1425" s="29"/>
      <c r="E1425" s="29"/>
      <c r="F1425" s="29"/>
      <c r="G1425" s="29"/>
      <c r="H1425" s="29"/>
      <c r="I1425" s="29"/>
      <c r="J1425" s="29"/>
      <c r="K1425" s="29"/>
      <c r="L1425" s="29"/>
      <c r="M1425" s="29"/>
      <c r="N1425" s="29"/>
      <c r="O1425" s="29"/>
      <c r="P1425" s="29"/>
    </row>
    <row r="1426">
      <c r="A1426" s="111"/>
      <c r="B1426" s="112"/>
      <c r="C1426" s="29"/>
      <c r="D1426" s="29"/>
      <c r="E1426" s="29"/>
      <c r="F1426" s="29"/>
      <c r="G1426" s="29"/>
      <c r="H1426" s="29"/>
      <c r="I1426" s="29"/>
      <c r="J1426" s="29"/>
      <c r="K1426" s="29"/>
      <c r="L1426" s="29"/>
      <c r="M1426" s="29"/>
      <c r="N1426" s="29"/>
      <c r="O1426" s="29"/>
      <c r="P1426" s="29"/>
    </row>
    <row r="1427">
      <c r="A1427" s="111"/>
      <c r="B1427" s="112"/>
      <c r="C1427" s="29"/>
      <c r="D1427" s="29"/>
      <c r="E1427" s="29"/>
      <c r="F1427" s="29"/>
      <c r="G1427" s="29"/>
      <c r="H1427" s="29"/>
      <c r="I1427" s="29"/>
      <c r="J1427" s="29"/>
      <c r="K1427" s="29"/>
      <c r="L1427" s="29"/>
      <c r="M1427" s="29"/>
      <c r="N1427" s="29"/>
      <c r="O1427" s="29"/>
      <c r="P1427" s="29"/>
    </row>
    <row r="1428">
      <c r="A1428" s="111"/>
      <c r="B1428" s="112"/>
      <c r="C1428" s="29"/>
      <c r="D1428" s="29"/>
      <c r="E1428" s="29"/>
      <c r="F1428" s="29"/>
      <c r="G1428" s="29"/>
      <c r="H1428" s="29"/>
      <c r="I1428" s="29"/>
      <c r="J1428" s="29"/>
      <c r="K1428" s="29"/>
      <c r="L1428" s="29"/>
      <c r="M1428" s="29"/>
      <c r="N1428" s="29"/>
      <c r="O1428" s="29"/>
      <c r="P1428" s="29"/>
    </row>
    <row r="1429">
      <c r="A1429" s="111"/>
      <c r="B1429" s="112"/>
      <c r="C1429" s="29"/>
      <c r="D1429" s="29"/>
      <c r="E1429" s="29"/>
      <c r="F1429" s="29"/>
      <c r="G1429" s="29"/>
      <c r="H1429" s="29"/>
      <c r="I1429" s="29"/>
      <c r="J1429" s="29"/>
      <c r="K1429" s="29"/>
      <c r="L1429" s="29"/>
      <c r="M1429" s="29"/>
      <c r="N1429" s="29"/>
      <c r="O1429" s="29"/>
      <c r="P1429" s="29"/>
    </row>
    <row r="1430">
      <c r="A1430" s="111"/>
      <c r="B1430" s="112"/>
      <c r="C1430" s="29"/>
      <c r="D1430" s="29"/>
      <c r="E1430" s="29"/>
      <c r="F1430" s="29"/>
      <c r="G1430" s="29"/>
      <c r="H1430" s="29"/>
      <c r="I1430" s="29"/>
      <c r="J1430" s="29"/>
      <c r="K1430" s="29"/>
      <c r="L1430" s="29"/>
      <c r="M1430" s="29"/>
      <c r="N1430" s="29"/>
      <c r="O1430" s="29"/>
      <c r="P1430" s="29"/>
    </row>
    <row r="1431">
      <c r="A1431" s="111"/>
      <c r="B1431" s="112"/>
      <c r="C1431" s="29"/>
      <c r="D1431" s="29"/>
      <c r="E1431" s="29"/>
      <c r="F1431" s="29"/>
      <c r="G1431" s="29"/>
      <c r="H1431" s="29"/>
      <c r="I1431" s="29"/>
      <c r="J1431" s="29"/>
      <c r="K1431" s="29"/>
      <c r="L1431" s="29"/>
      <c r="M1431" s="29"/>
      <c r="N1431" s="29"/>
      <c r="O1431" s="29"/>
      <c r="P1431" s="29"/>
    </row>
    <row r="1432">
      <c r="A1432" s="111"/>
      <c r="B1432" s="112"/>
      <c r="C1432" s="29"/>
      <c r="D1432" s="29"/>
      <c r="E1432" s="29"/>
      <c r="F1432" s="29"/>
      <c r="G1432" s="29"/>
      <c r="H1432" s="29"/>
      <c r="I1432" s="29"/>
      <c r="J1432" s="29"/>
      <c r="K1432" s="29"/>
      <c r="L1432" s="29"/>
      <c r="M1432" s="29"/>
      <c r="N1432" s="29"/>
      <c r="O1432" s="29"/>
      <c r="P1432" s="29"/>
    </row>
    <row r="1433">
      <c r="A1433" s="111"/>
      <c r="B1433" s="112"/>
      <c r="C1433" s="29"/>
      <c r="D1433" s="29"/>
      <c r="E1433" s="29"/>
      <c r="F1433" s="29"/>
      <c r="G1433" s="29"/>
      <c r="H1433" s="29"/>
      <c r="I1433" s="29"/>
      <c r="J1433" s="29"/>
      <c r="K1433" s="29"/>
      <c r="L1433" s="29"/>
      <c r="M1433" s="29"/>
      <c r="N1433" s="29"/>
      <c r="O1433" s="29"/>
      <c r="P1433" s="29"/>
    </row>
    <row r="1434">
      <c r="A1434" s="111"/>
      <c r="B1434" s="112"/>
      <c r="C1434" s="29"/>
      <c r="D1434" s="29"/>
      <c r="E1434" s="29"/>
      <c r="F1434" s="29"/>
      <c r="G1434" s="29"/>
      <c r="H1434" s="29"/>
      <c r="I1434" s="29"/>
      <c r="J1434" s="29"/>
      <c r="K1434" s="29"/>
      <c r="L1434" s="29"/>
      <c r="M1434" s="29"/>
      <c r="N1434" s="29"/>
      <c r="O1434" s="29"/>
      <c r="P1434" s="29"/>
    </row>
    <row r="1435">
      <c r="A1435" s="111"/>
      <c r="B1435" s="112"/>
      <c r="C1435" s="29"/>
      <c r="D1435" s="29"/>
      <c r="E1435" s="29"/>
      <c r="F1435" s="29"/>
      <c r="G1435" s="29"/>
      <c r="H1435" s="29"/>
      <c r="I1435" s="29"/>
      <c r="J1435" s="29"/>
      <c r="K1435" s="29"/>
      <c r="L1435" s="29"/>
      <c r="M1435" s="29"/>
      <c r="N1435" s="29"/>
      <c r="O1435" s="29"/>
      <c r="P1435" s="29"/>
    </row>
    <row r="1436">
      <c r="A1436" s="111"/>
      <c r="B1436" s="112"/>
      <c r="C1436" s="29"/>
      <c r="D1436" s="29"/>
      <c r="E1436" s="29"/>
      <c r="F1436" s="29"/>
      <c r="G1436" s="29"/>
      <c r="H1436" s="29"/>
      <c r="I1436" s="29"/>
      <c r="J1436" s="29"/>
      <c r="K1436" s="29"/>
      <c r="L1436" s="29"/>
      <c r="M1436" s="29"/>
      <c r="N1436" s="29"/>
      <c r="O1436" s="29"/>
      <c r="P1436" s="29"/>
    </row>
    <row r="1437">
      <c r="A1437" s="111"/>
      <c r="B1437" s="112"/>
      <c r="C1437" s="29"/>
      <c r="D1437" s="29"/>
      <c r="E1437" s="29"/>
      <c r="F1437" s="29"/>
      <c r="G1437" s="29"/>
      <c r="H1437" s="29"/>
      <c r="I1437" s="29"/>
      <c r="J1437" s="29"/>
      <c r="K1437" s="29"/>
      <c r="L1437" s="29"/>
      <c r="M1437" s="29"/>
      <c r="N1437" s="29"/>
      <c r="O1437" s="29"/>
      <c r="P1437" s="29"/>
    </row>
    <row r="1438">
      <c r="A1438" s="111"/>
      <c r="B1438" s="112"/>
      <c r="C1438" s="29"/>
      <c r="D1438" s="29"/>
      <c r="E1438" s="29"/>
      <c r="F1438" s="29"/>
      <c r="G1438" s="29"/>
      <c r="H1438" s="29"/>
      <c r="I1438" s="29"/>
      <c r="J1438" s="29"/>
      <c r="K1438" s="29"/>
      <c r="L1438" s="29"/>
      <c r="M1438" s="29"/>
      <c r="N1438" s="29"/>
      <c r="O1438" s="29"/>
      <c r="P1438" s="29"/>
    </row>
    <row r="1439">
      <c r="A1439" s="111"/>
      <c r="B1439" s="112"/>
      <c r="C1439" s="29"/>
      <c r="D1439" s="29"/>
      <c r="E1439" s="29"/>
      <c r="F1439" s="29"/>
      <c r="G1439" s="29"/>
      <c r="H1439" s="29"/>
      <c r="I1439" s="29"/>
      <c r="J1439" s="29"/>
      <c r="K1439" s="29"/>
      <c r="L1439" s="29"/>
      <c r="M1439" s="29"/>
      <c r="N1439" s="29"/>
      <c r="O1439" s="29"/>
      <c r="P1439" s="29"/>
    </row>
    <row r="1440">
      <c r="A1440" s="111"/>
      <c r="B1440" s="112"/>
      <c r="C1440" s="29"/>
      <c r="D1440" s="29"/>
      <c r="E1440" s="29"/>
      <c r="F1440" s="29"/>
      <c r="G1440" s="29"/>
      <c r="H1440" s="29"/>
      <c r="I1440" s="29"/>
      <c r="J1440" s="29"/>
      <c r="K1440" s="29"/>
      <c r="L1440" s="29"/>
      <c r="M1440" s="29"/>
      <c r="N1440" s="29"/>
      <c r="O1440" s="29"/>
      <c r="P1440" s="29"/>
    </row>
    <row r="1441">
      <c r="A1441" s="111"/>
      <c r="B1441" s="112"/>
      <c r="C1441" s="29"/>
      <c r="D1441" s="29"/>
      <c r="E1441" s="29"/>
      <c r="F1441" s="29"/>
      <c r="G1441" s="29"/>
      <c r="H1441" s="29"/>
      <c r="I1441" s="29"/>
      <c r="J1441" s="29"/>
      <c r="K1441" s="29"/>
      <c r="L1441" s="29"/>
      <c r="M1441" s="29"/>
      <c r="N1441" s="29"/>
      <c r="O1441" s="29"/>
      <c r="P1441" s="29"/>
    </row>
    <row r="1442">
      <c r="A1442" s="111"/>
      <c r="B1442" s="112"/>
      <c r="C1442" s="29"/>
      <c r="D1442" s="29"/>
      <c r="E1442" s="29"/>
      <c r="F1442" s="29"/>
      <c r="G1442" s="29"/>
      <c r="H1442" s="29"/>
      <c r="I1442" s="29"/>
      <c r="J1442" s="29"/>
      <c r="K1442" s="29"/>
      <c r="L1442" s="29"/>
      <c r="M1442" s="29"/>
      <c r="N1442" s="29"/>
      <c r="O1442" s="29"/>
      <c r="P1442" s="29"/>
    </row>
    <row r="1443">
      <c r="A1443" s="111"/>
      <c r="B1443" s="112"/>
      <c r="C1443" s="29"/>
      <c r="D1443" s="29"/>
      <c r="E1443" s="29"/>
      <c r="F1443" s="29"/>
      <c r="G1443" s="29"/>
      <c r="H1443" s="29"/>
      <c r="I1443" s="29"/>
      <c r="J1443" s="29"/>
      <c r="K1443" s="29"/>
      <c r="L1443" s="29"/>
      <c r="M1443" s="29"/>
      <c r="N1443" s="29"/>
      <c r="O1443" s="29"/>
      <c r="P1443" s="29"/>
    </row>
    <row r="1444">
      <c r="A1444" s="111"/>
      <c r="B1444" s="112"/>
      <c r="C1444" s="29"/>
      <c r="D1444" s="29"/>
      <c r="E1444" s="29"/>
      <c r="F1444" s="29"/>
      <c r="G1444" s="29"/>
      <c r="H1444" s="29"/>
      <c r="I1444" s="29"/>
      <c r="J1444" s="29"/>
      <c r="K1444" s="29"/>
      <c r="L1444" s="29"/>
      <c r="M1444" s="29"/>
      <c r="N1444" s="29"/>
      <c r="O1444" s="29"/>
      <c r="P1444" s="29"/>
    </row>
    <row r="1445">
      <c r="A1445" s="111"/>
      <c r="B1445" s="112"/>
      <c r="C1445" s="29"/>
      <c r="D1445" s="29"/>
      <c r="E1445" s="29"/>
      <c r="F1445" s="29"/>
      <c r="G1445" s="29"/>
      <c r="H1445" s="29"/>
      <c r="I1445" s="29"/>
      <c r="J1445" s="29"/>
      <c r="K1445" s="29"/>
      <c r="L1445" s="29"/>
      <c r="M1445" s="29"/>
      <c r="N1445" s="29"/>
      <c r="O1445" s="29"/>
      <c r="P1445" s="29"/>
    </row>
    <row r="1446">
      <c r="A1446" s="111"/>
      <c r="B1446" s="112"/>
      <c r="C1446" s="29"/>
      <c r="D1446" s="29"/>
      <c r="E1446" s="29"/>
      <c r="F1446" s="29"/>
      <c r="G1446" s="29"/>
      <c r="H1446" s="29"/>
      <c r="I1446" s="29"/>
      <c r="J1446" s="29"/>
      <c r="K1446" s="29"/>
      <c r="L1446" s="29"/>
      <c r="M1446" s="29"/>
      <c r="N1446" s="29"/>
      <c r="O1446" s="29"/>
      <c r="P1446" s="29"/>
    </row>
    <row r="1447">
      <c r="A1447" s="111"/>
      <c r="B1447" s="112"/>
      <c r="C1447" s="29"/>
      <c r="D1447" s="29"/>
      <c r="E1447" s="29"/>
      <c r="F1447" s="29"/>
      <c r="G1447" s="29"/>
      <c r="H1447" s="29"/>
      <c r="I1447" s="29"/>
      <c r="J1447" s="29"/>
      <c r="K1447" s="29"/>
      <c r="L1447" s="29"/>
      <c r="M1447" s="29"/>
      <c r="N1447" s="29"/>
      <c r="O1447" s="29"/>
      <c r="P1447" s="29"/>
    </row>
    <row r="1448">
      <c r="A1448" s="111"/>
      <c r="B1448" s="112"/>
      <c r="C1448" s="29"/>
      <c r="D1448" s="29"/>
      <c r="E1448" s="29"/>
      <c r="F1448" s="29"/>
      <c r="G1448" s="29"/>
      <c r="H1448" s="29"/>
      <c r="I1448" s="29"/>
      <c r="J1448" s="29"/>
      <c r="K1448" s="29"/>
      <c r="L1448" s="29"/>
      <c r="M1448" s="29"/>
      <c r="N1448" s="29"/>
      <c r="O1448" s="29"/>
      <c r="P1448" s="29"/>
    </row>
    <row r="1449">
      <c r="A1449" s="111"/>
      <c r="B1449" s="112"/>
      <c r="C1449" s="29"/>
      <c r="D1449" s="29"/>
      <c r="E1449" s="29"/>
      <c r="F1449" s="29"/>
      <c r="G1449" s="29"/>
      <c r="H1449" s="29"/>
      <c r="I1449" s="29"/>
      <c r="J1449" s="29"/>
      <c r="K1449" s="29"/>
      <c r="L1449" s="29"/>
      <c r="M1449" s="29"/>
      <c r="N1449" s="29"/>
      <c r="O1449" s="29"/>
      <c r="P1449" s="29"/>
    </row>
    <row r="1450">
      <c r="A1450" s="111"/>
      <c r="B1450" s="112"/>
      <c r="C1450" s="29"/>
      <c r="D1450" s="29"/>
      <c r="E1450" s="29"/>
      <c r="F1450" s="29"/>
      <c r="G1450" s="29"/>
      <c r="H1450" s="29"/>
      <c r="I1450" s="29"/>
      <c r="J1450" s="29"/>
      <c r="K1450" s="29"/>
      <c r="L1450" s="29"/>
      <c r="M1450" s="29"/>
      <c r="N1450" s="29"/>
      <c r="O1450" s="29"/>
      <c r="P1450" s="29"/>
    </row>
    <row r="1451">
      <c r="A1451" s="111"/>
      <c r="B1451" s="112"/>
      <c r="C1451" s="29"/>
      <c r="D1451" s="29"/>
      <c r="E1451" s="29"/>
      <c r="F1451" s="29"/>
      <c r="G1451" s="29"/>
      <c r="H1451" s="29"/>
      <c r="I1451" s="29"/>
      <c r="J1451" s="29"/>
      <c r="K1451" s="29"/>
      <c r="L1451" s="29"/>
      <c r="M1451" s="29"/>
      <c r="N1451" s="29"/>
      <c r="O1451" s="29"/>
      <c r="P1451" s="29"/>
    </row>
    <row r="1452">
      <c r="A1452" s="111"/>
      <c r="B1452" s="112"/>
      <c r="C1452" s="29"/>
      <c r="D1452" s="29"/>
      <c r="E1452" s="29"/>
      <c r="F1452" s="29"/>
      <c r="G1452" s="29"/>
      <c r="H1452" s="29"/>
      <c r="I1452" s="29"/>
      <c r="J1452" s="29"/>
      <c r="K1452" s="29"/>
      <c r="L1452" s="29"/>
      <c r="M1452" s="29"/>
      <c r="N1452" s="29"/>
      <c r="O1452" s="29"/>
      <c r="P1452" s="29"/>
    </row>
    <row r="1453">
      <c r="A1453" s="111"/>
      <c r="B1453" s="112"/>
      <c r="C1453" s="29"/>
      <c r="D1453" s="29"/>
      <c r="E1453" s="29"/>
      <c r="F1453" s="29"/>
      <c r="G1453" s="29"/>
      <c r="H1453" s="29"/>
      <c r="I1453" s="29"/>
      <c r="J1453" s="29"/>
      <c r="K1453" s="29"/>
      <c r="L1453" s="29"/>
      <c r="M1453" s="29"/>
      <c r="N1453" s="29"/>
      <c r="O1453" s="29"/>
      <c r="P1453" s="29"/>
    </row>
    <row r="1454">
      <c r="A1454" s="111"/>
      <c r="B1454" s="112"/>
      <c r="C1454" s="29"/>
      <c r="D1454" s="29"/>
      <c r="E1454" s="29"/>
      <c r="F1454" s="29"/>
      <c r="G1454" s="29"/>
      <c r="H1454" s="29"/>
      <c r="I1454" s="29"/>
      <c r="J1454" s="29"/>
      <c r="K1454" s="29"/>
      <c r="L1454" s="29"/>
      <c r="M1454" s="29"/>
      <c r="N1454" s="29"/>
      <c r="O1454" s="29"/>
      <c r="P1454" s="29"/>
    </row>
    <row r="1455">
      <c r="A1455" s="111"/>
      <c r="B1455" s="112"/>
      <c r="C1455" s="29"/>
      <c r="D1455" s="29"/>
      <c r="E1455" s="29"/>
      <c r="F1455" s="29"/>
      <c r="G1455" s="29"/>
      <c r="H1455" s="29"/>
      <c r="I1455" s="29"/>
      <c r="J1455" s="29"/>
      <c r="K1455" s="29"/>
      <c r="L1455" s="29"/>
      <c r="M1455" s="29"/>
      <c r="N1455" s="29"/>
      <c r="O1455" s="29"/>
      <c r="P1455" s="29"/>
    </row>
    <row r="1456">
      <c r="A1456" s="111"/>
      <c r="B1456" s="112"/>
      <c r="C1456" s="29"/>
      <c r="D1456" s="29"/>
      <c r="E1456" s="29"/>
      <c r="F1456" s="29"/>
      <c r="G1456" s="29"/>
      <c r="H1456" s="29"/>
      <c r="I1456" s="29"/>
      <c r="J1456" s="29"/>
      <c r="K1456" s="29"/>
      <c r="L1456" s="29"/>
      <c r="M1456" s="29"/>
      <c r="N1456" s="29"/>
      <c r="O1456" s="29"/>
      <c r="P1456" s="29"/>
    </row>
    <row r="1457">
      <c r="A1457" s="111"/>
      <c r="B1457" s="112"/>
      <c r="C1457" s="29"/>
      <c r="D1457" s="29"/>
      <c r="E1457" s="29"/>
      <c r="F1457" s="29"/>
      <c r="G1457" s="29"/>
      <c r="H1457" s="29"/>
      <c r="I1457" s="29"/>
      <c r="J1457" s="29"/>
      <c r="K1457" s="29"/>
      <c r="L1457" s="29"/>
      <c r="M1457" s="29"/>
      <c r="N1457" s="29"/>
      <c r="O1457" s="29"/>
      <c r="P1457" s="29"/>
    </row>
    <row r="1458">
      <c r="A1458" s="111"/>
      <c r="B1458" s="112"/>
      <c r="C1458" s="29"/>
      <c r="D1458" s="29"/>
      <c r="E1458" s="29"/>
      <c r="F1458" s="29"/>
      <c r="G1458" s="29"/>
      <c r="H1458" s="29"/>
      <c r="I1458" s="29"/>
      <c r="J1458" s="29"/>
      <c r="K1458" s="29"/>
      <c r="L1458" s="29"/>
      <c r="M1458" s="29"/>
      <c r="N1458" s="29"/>
      <c r="O1458" s="29"/>
      <c r="P1458" s="29"/>
    </row>
    <row r="1459">
      <c r="A1459" s="111"/>
      <c r="B1459" s="112"/>
      <c r="C1459" s="29"/>
      <c r="D1459" s="29"/>
      <c r="E1459" s="29"/>
      <c r="F1459" s="29"/>
      <c r="G1459" s="29"/>
      <c r="H1459" s="29"/>
      <c r="I1459" s="29"/>
      <c r="J1459" s="29"/>
      <c r="K1459" s="29"/>
      <c r="L1459" s="29"/>
      <c r="M1459" s="29"/>
      <c r="N1459" s="29"/>
      <c r="O1459" s="29"/>
      <c r="P1459" s="29"/>
    </row>
    <row r="1460">
      <c r="A1460" s="111"/>
      <c r="B1460" s="112"/>
      <c r="C1460" s="29"/>
      <c r="D1460" s="29"/>
      <c r="E1460" s="29"/>
      <c r="F1460" s="29"/>
      <c r="G1460" s="29"/>
      <c r="H1460" s="29"/>
      <c r="I1460" s="29"/>
      <c r="J1460" s="29"/>
      <c r="K1460" s="29"/>
      <c r="L1460" s="29"/>
      <c r="M1460" s="29"/>
      <c r="N1460" s="29"/>
      <c r="O1460" s="29"/>
      <c r="P1460" s="29"/>
    </row>
    <row r="1461">
      <c r="A1461" s="111"/>
      <c r="B1461" s="112"/>
      <c r="C1461" s="29"/>
      <c r="D1461" s="29"/>
      <c r="E1461" s="29"/>
      <c r="F1461" s="29"/>
      <c r="G1461" s="29"/>
      <c r="H1461" s="29"/>
      <c r="I1461" s="29"/>
      <c r="J1461" s="29"/>
      <c r="K1461" s="29"/>
      <c r="L1461" s="29"/>
      <c r="M1461" s="29"/>
      <c r="N1461" s="29"/>
      <c r="O1461" s="29"/>
      <c r="P1461" s="29"/>
    </row>
    <row r="1462">
      <c r="A1462" s="111"/>
      <c r="B1462" s="112"/>
      <c r="C1462" s="29"/>
      <c r="D1462" s="29"/>
      <c r="E1462" s="29"/>
      <c r="F1462" s="29"/>
      <c r="G1462" s="29"/>
      <c r="H1462" s="29"/>
      <c r="I1462" s="29"/>
      <c r="J1462" s="29"/>
      <c r="K1462" s="29"/>
      <c r="L1462" s="29"/>
      <c r="M1462" s="29"/>
      <c r="N1462" s="29"/>
      <c r="O1462" s="29"/>
      <c r="P1462" s="29"/>
    </row>
    <row r="1463">
      <c r="A1463" s="111"/>
      <c r="B1463" s="112"/>
      <c r="C1463" s="29"/>
      <c r="D1463" s="29"/>
      <c r="E1463" s="29"/>
      <c r="F1463" s="29"/>
      <c r="G1463" s="29"/>
      <c r="H1463" s="29"/>
      <c r="I1463" s="29"/>
      <c r="J1463" s="29"/>
      <c r="K1463" s="29"/>
      <c r="L1463" s="29"/>
      <c r="M1463" s="29"/>
      <c r="N1463" s="29"/>
      <c r="O1463" s="29"/>
      <c r="P1463" s="29"/>
    </row>
    <row r="1464">
      <c r="A1464" s="111"/>
      <c r="B1464" s="112"/>
      <c r="C1464" s="29"/>
      <c r="D1464" s="29"/>
      <c r="E1464" s="29"/>
      <c r="F1464" s="29"/>
      <c r="G1464" s="29"/>
      <c r="H1464" s="29"/>
      <c r="I1464" s="29"/>
      <c r="J1464" s="29"/>
      <c r="K1464" s="29"/>
      <c r="L1464" s="29"/>
      <c r="M1464" s="29"/>
      <c r="N1464" s="29"/>
      <c r="O1464" s="29"/>
      <c r="P1464" s="29"/>
    </row>
    <row r="1465">
      <c r="A1465" s="111"/>
      <c r="B1465" s="112"/>
      <c r="C1465" s="29"/>
      <c r="D1465" s="29"/>
      <c r="E1465" s="29"/>
      <c r="F1465" s="29"/>
      <c r="G1465" s="29"/>
      <c r="H1465" s="29"/>
      <c r="I1465" s="29"/>
      <c r="J1465" s="29"/>
      <c r="K1465" s="29"/>
      <c r="L1465" s="29"/>
      <c r="M1465" s="29"/>
      <c r="N1465" s="29"/>
      <c r="O1465" s="29"/>
      <c r="P1465" s="29"/>
    </row>
    <row r="1466">
      <c r="A1466" s="111"/>
      <c r="B1466" s="112"/>
      <c r="C1466" s="29"/>
      <c r="D1466" s="29"/>
      <c r="E1466" s="29"/>
      <c r="F1466" s="29"/>
      <c r="G1466" s="29"/>
      <c r="H1466" s="29"/>
      <c r="I1466" s="29"/>
      <c r="J1466" s="29"/>
      <c r="K1466" s="29"/>
      <c r="L1466" s="29"/>
      <c r="M1466" s="29"/>
      <c r="N1466" s="29"/>
      <c r="O1466" s="29"/>
      <c r="P1466" s="29"/>
    </row>
    <row r="1467">
      <c r="A1467" s="111"/>
      <c r="B1467" s="112"/>
      <c r="C1467" s="29"/>
      <c r="D1467" s="29"/>
      <c r="E1467" s="29"/>
      <c r="F1467" s="29"/>
      <c r="G1467" s="29"/>
      <c r="H1467" s="29"/>
      <c r="I1467" s="29"/>
      <c r="J1467" s="29"/>
      <c r="K1467" s="29"/>
      <c r="L1467" s="29"/>
      <c r="M1467" s="29"/>
      <c r="N1467" s="29"/>
      <c r="O1467" s="29"/>
      <c r="P1467" s="29"/>
    </row>
    <row r="1468">
      <c r="A1468" s="111"/>
      <c r="B1468" s="112"/>
      <c r="C1468" s="29"/>
      <c r="D1468" s="29"/>
      <c r="E1468" s="29"/>
      <c r="F1468" s="29"/>
      <c r="G1468" s="29"/>
      <c r="H1468" s="29"/>
      <c r="I1468" s="29"/>
      <c r="J1468" s="29"/>
      <c r="K1468" s="29"/>
      <c r="L1468" s="29"/>
      <c r="M1468" s="29"/>
      <c r="N1468" s="29"/>
      <c r="O1468" s="29"/>
      <c r="P1468" s="29"/>
    </row>
    <row r="1469">
      <c r="A1469" s="111"/>
      <c r="B1469" s="112"/>
      <c r="C1469" s="29"/>
      <c r="D1469" s="29"/>
      <c r="E1469" s="29"/>
      <c r="F1469" s="29"/>
      <c r="G1469" s="29"/>
      <c r="H1469" s="29"/>
      <c r="I1469" s="29"/>
      <c r="J1469" s="29"/>
      <c r="K1469" s="29"/>
      <c r="L1469" s="29"/>
      <c r="M1469" s="29"/>
      <c r="N1469" s="29"/>
      <c r="O1469" s="29"/>
      <c r="P1469" s="29"/>
    </row>
    <row r="1470">
      <c r="A1470" s="111"/>
      <c r="B1470" s="112"/>
      <c r="C1470" s="29"/>
      <c r="D1470" s="29"/>
      <c r="E1470" s="29"/>
      <c r="F1470" s="29"/>
      <c r="G1470" s="29"/>
      <c r="H1470" s="29"/>
      <c r="I1470" s="29"/>
      <c r="J1470" s="29"/>
      <c r="K1470" s="29"/>
      <c r="L1470" s="29"/>
      <c r="M1470" s="29"/>
      <c r="N1470" s="29"/>
      <c r="O1470" s="29"/>
      <c r="P1470" s="29"/>
    </row>
    <row r="1471">
      <c r="A1471" s="111"/>
      <c r="B1471" s="112"/>
      <c r="C1471" s="29"/>
      <c r="D1471" s="29"/>
      <c r="E1471" s="29"/>
      <c r="F1471" s="29"/>
      <c r="G1471" s="29"/>
      <c r="H1471" s="29"/>
      <c r="I1471" s="29"/>
      <c r="J1471" s="29"/>
      <c r="K1471" s="29"/>
      <c r="L1471" s="29"/>
      <c r="M1471" s="29"/>
      <c r="N1471" s="29"/>
      <c r="O1471" s="29"/>
      <c r="P1471" s="29"/>
    </row>
    <row r="1472">
      <c r="A1472" s="111"/>
      <c r="B1472" s="112"/>
      <c r="C1472" s="29"/>
      <c r="D1472" s="29"/>
      <c r="E1472" s="29"/>
      <c r="F1472" s="29"/>
      <c r="G1472" s="29"/>
      <c r="H1472" s="29"/>
      <c r="I1472" s="29"/>
      <c r="J1472" s="29"/>
      <c r="K1472" s="29"/>
      <c r="L1472" s="29"/>
      <c r="M1472" s="29"/>
      <c r="N1472" s="29"/>
      <c r="O1472" s="29"/>
      <c r="P1472" s="29"/>
    </row>
    <row r="1473">
      <c r="A1473" s="111"/>
      <c r="B1473" s="112"/>
      <c r="C1473" s="29"/>
      <c r="D1473" s="29"/>
      <c r="E1473" s="29"/>
      <c r="F1473" s="29"/>
      <c r="G1473" s="29"/>
      <c r="H1473" s="29"/>
      <c r="I1473" s="29"/>
      <c r="J1473" s="29"/>
      <c r="K1473" s="29"/>
      <c r="L1473" s="29"/>
      <c r="M1473" s="29"/>
      <c r="N1473" s="29"/>
      <c r="O1473" s="29"/>
      <c r="P1473" s="29"/>
    </row>
    <row r="1474">
      <c r="A1474" s="111"/>
      <c r="B1474" s="112"/>
      <c r="C1474" s="29"/>
      <c r="D1474" s="29"/>
      <c r="E1474" s="29"/>
      <c r="F1474" s="29"/>
      <c r="G1474" s="29"/>
      <c r="H1474" s="29"/>
      <c r="I1474" s="29"/>
      <c r="J1474" s="29"/>
      <c r="K1474" s="29"/>
      <c r="L1474" s="29"/>
      <c r="M1474" s="29"/>
      <c r="N1474" s="29"/>
      <c r="O1474" s="29"/>
      <c r="P1474" s="29"/>
    </row>
    <row r="1475">
      <c r="A1475" s="111"/>
      <c r="B1475" s="112"/>
      <c r="C1475" s="29"/>
      <c r="D1475" s="29"/>
      <c r="E1475" s="29"/>
      <c r="F1475" s="29"/>
      <c r="G1475" s="29"/>
      <c r="H1475" s="29"/>
      <c r="I1475" s="29"/>
      <c r="J1475" s="29"/>
      <c r="K1475" s="29"/>
      <c r="L1475" s="29"/>
      <c r="M1475" s="29"/>
      <c r="N1475" s="29"/>
      <c r="O1475" s="29"/>
      <c r="P1475" s="29"/>
    </row>
    <row r="1476">
      <c r="A1476" s="111"/>
      <c r="B1476" s="112"/>
      <c r="C1476" s="29"/>
      <c r="D1476" s="29"/>
      <c r="E1476" s="29"/>
      <c r="F1476" s="29"/>
      <c r="G1476" s="29"/>
      <c r="H1476" s="29"/>
      <c r="I1476" s="29"/>
      <c r="J1476" s="29"/>
      <c r="K1476" s="29"/>
      <c r="L1476" s="29"/>
      <c r="M1476" s="29"/>
      <c r="N1476" s="29"/>
      <c r="O1476" s="29"/>
      <c r="P1476" s="29"/>
    </row>
    <row r="1477">
      <c r="A1477" s="111"/>
      <c r="B1477" s="112"/>
      <c r="C1477" s="29"/>
      <c r="D1477" s="29"/>
      <c r="E1477" s="29"/>
      <c r="F1477" s="29"/>
      <c r="G1477" s="29"/>
      <c r="H1477" s="29"/>
      <c r="I1477" s="29"/>
      <c r="J1477" s="29"/>
      <c r="K1477" s="29"/>
      <c r="L1477" s="29"/>
      <c r="M1477" s="29"/>
      <c r="N1477" s="29"/>
      <c r="O1477" s="29"/>
      <c r="P1477" s="29"/>
    </row>
    <row r="1478">
      <c r="A1478" s="111"/>
      <c r="B1478" s="112"/>
      <c r="C1478" s="29"/>
      <c r="D1478" s="29"/>
      <c r="E1478" s="29"/>
      <c r="F1478" s="29"/>
      <c r="G1478" s="29"/>
      <c r="H1478" s="29"/>
      <c r="I1478" s="29"/>
      <c r="J1478" s="29"/>
      <c r="K1478" s="29"/>
      <c r="L1478" s="29"/>
      <c r="M1478" s="29"/>
      <c r="N1478" s="29"/>
      <c r="O1478" s="29"/>
      <c r="P1478" s="29"/>
    </row>
    <row r="1479">
      <c r="A1479" s="111"/>
      <c r="B1479" s="112"/>
      <c r="C1479" s="29"/>
      <c r="D1479" s="29"/>
      <c r="E1479" s="29"/>
      <c r="F1479" s="29"/>
      <c r="G1479" s="29"/>
      <c r="H1479" s="29"/>
      <c r="I1479" s="29"/>
      <c r="J1479" s="29"/>
      <c r="K1479" s="29"/>
      <c r="L1479" s="29"/>
      <c r="M1479" s="29"/>
      <c r="N1479" s="29"/>
      <c r="O1479" s="29"/>
      <c r="P1479" s="29"/>
    </row>
    <row r="1480">
      <c r="A1480" s="111"/>
      <c r="B1480" s="112"/>
      <c r="C1480" s="29"/>
      <c r="D1480" s="29"/>
      <c r="E1480" s="29"/>
      <c r="F1480" s="29"/>
      <c r="G1480" s="29"/>
      <c r="H1480" s="29"/>
      <c r="I1480" s="29"/>
      <c r="J1480" s="29"/>
      <c r="K1480" s="29"/>
      <c r="L1480" s="29"/>
      <c r="M1480" s="29"/>
      <c r="N1480" s="29"/>
      <c r="O1480" s="29"/>
      <c r="P1480" s="29"/>
    </row>
    <row r="1481">
      <c r="A1481" s="111"/>
      <c r="B1481" s="112"/>
      <c r="C1481" s="29"/>
      <c r="D1481" s="29"/>
      <c r="E1481" s="29"/>
      <c r="F1481" s="29"/>
      <c r="G1481" s="29"/>
      <c r="H1481" s="29"/>
      <c r="I1481" s="29"/>
      <c r="J1481" s="29"/>
      <c r="K1481" s="29"/>
      <c r="L1481" s="29"/>
      <c r="M1481" s="29"/>
      <c r="N1481" s="29"/>
      <c r="O1481" s="29"/>
      <c r="P1481" s="29"/>
    </row>
    <row r="1482">
      <c r="A1482" s="111"/>
      <c r="B1482" s="112"/>
      <c r="C1482" s="29"/>
      <c r="D1482" s="29"/>
      <c r="E1482" s="29"/>
      <c r="F1482" s="29"/>
      <c r="G1482" s="29"/>
      <c r="H1482" s="29"/>
      <c r="I1482" s="29"/>
      <c r="J1482" s="29"/>
      <c r="K1482" s="29"/>
      <c r="L1482" s="29"/>
      <c r="M1482" s="29"/>
      <c r="N1482" s="29"/>
      <c r="O1482" s="29"/>
      <c r="P1482" s="29"/>
    </row>
    <row r="1483">
      <c r="A1483" s="111"/>
      <c r="B1483" s="112"/>
      <c r="C1483" s="29"/>
      <c r="D1483" s="29"/>
      <c r="E1483" s="29"/>
      <c r="F1483" s="29"/>
      <c r="G1483" s="29"/>
      <c r="H1483" s="29"/>
      <c r="I1483" s="29"/>
      <c r="J1483" s="29"/>
      <c r="K1483" s="29"/>
      <c r="L1483" s="29"/>
      <c r="M1483" s="29"/>
      <c r="N1483" s="29"/>
      <c r="O1483" s="29"/>
      <c r="P1483" s="29"/>
    </row>
    <row r="1484">
      <c r="A1484" s="111"/>
      <c r="B1484" s="112"/>
      <c r="C1484" s="29"/>
      <c r="D1484" s="29"/>
      <c r="E1484" s="29"/>
      <c r="F1484" s="29"/>
      <c r="G1484" s="29"/>
      <c r="H1484" s="29"/>
      <c r="I1484" s="29"/>
      <c r="J1484" s="29"/>
      <c r="K1484" s="29"/>
      <c r="L1484" s="29"/>
      <c r="M1484" s="29"/>
      <c r="N1484" s="29"/>
      <c r="O1484" s="29"/>
      <c r="P1484" s="29"/>
    </row>
    <row r="1485">
      <c r="A1485" s="111"/>
      <c r="B1485" s="112"/>
      <c r="C1485" s="29"/>
      <c r="D1485" s="29"/>
      <c r="E1485" s="29"/>
      <c r="F1485" s="29"/>
      <c r="G1485" s="29"/>
      <c r="H1485" s="29"/>
      <c r="I1485" s="29"/>
      <c r="J1485" s="29"/>
      <c r="K1485" s="29"/>
      <c r="L1485" s="29"/>
      <c r="M1485" s="29"/>
      <c r="N1485" s="29"/>
      <c r="O1485" s="29"/>
      <c r="P1485" s="29"/>
    </row>
    <row r="1486">
      <c r="A1486" s="111"/>
      <c r="B1486" s="112"/>
      <c r="C1486" s="29"/>
      <c r="D1486" s="29"/>
      <c r="E1486" s="29"/>
      <c r="F1486" s="29"/>
      <c r="G1486" s="29"/>
      <c r="H1486" s="29"/>
      <c r="I1486" s="29"/>
      <c r="J1486" s="29"/>
      <c r="K1486" s="29"/>
      <c r="L1486" s="29"/>
      <c r="M1486" s="29"/>
      <c r="N1486" s="29"/>
      <c r="O1486" s="29"/>
      <c r="P1486" s="29"/>
    </row>
    <row r="1487">
      <c r="A1487" s="111"/>
      <c r="B1487" s="112"/>
      <c r="C1487" s="29"/>
      <c r="D1487" s="29"/>
      <c r="E1487" s="29"/>
      <c r="F1487" s="29"/>
      <c r="G1487" s="29"/>
      <c r="H1487" s="29"/>
      <c r="I1487" s="29"/>
      <c r="J1487" s="29"/>
      <c r="K1487" s="29"/>
      <c r="L1487" s="29"/>
      <c r="M1487" s="29"/>
      <c r="N1487" s="29"/>
      <c r="O1487" s="29"/>
      <c r="P1487" s="29"/>
    </row>
    <row r="1488">
      <c r="A1488" s="111"/>
      <c r="B1488" s="112"/>
      <c r="C1488" s="29"/>
      <c r="D1488" s="29"/>
      <c r="E1488" s="29"/>
      <c r="F1488" s="29"/>
      <c r="G1488" s="29"/>
      <c r="H1488" s="29"/>
      <c r="I1488" s="29"/>
      <c r="J1488" s="29"/>
      <c r="K1488" s="29"/>
      <c r="L1488" s="29"/>
      <c r="M1488" s="29"/>
      <c r="N1488" s="29"/>
      <c r="O1488" s="29"/>
      <c r="P1488" s="29"/>
    </row>
    <row r="1489">
      <c r="A1489" s="111"/>
      <c r="B1489" s="112"/>
      <c r="C1489" s="29"/>
      <c r="D1489" s="29"/>
      <c r="E1489" s="29"/>
      <c r="F1489" s="29"/>
      <c r="G1489" s="29"/>
      <c r="H1489" s="29"/>
      <c r="I1489" s="29"/>
      <c r="J1489" s="29"/>
      <c r="K1489" s="29"/>
      <c r="L1489" s="29"/>
      <c r="M1489" s="29"/>
      <c r="N1489" s="29"/>
      <c r="O1489" s="29"/>
      <c r="P1489" s="29"/>
    </row>
    <row r="1490">
      <c r="A1490" s="111"/>
      <c r="B1490" s="112"/>
      <c r="C1490" s="29"/>
      <c r="D1490" s="29"/>
      <c r="E1490" s="29"/>
      <c r="F1490" s="29"/>
      <c r="G1490" s="29"/>
      <c r="H1490" s="29"/>
      <c r="I1490" s="29"/>
      <c r="J1490" s="29"/>
      <c r="K1490" s="29"/>
      <c r="L1490" s="29"/>
      <c r="M1490" s="29"/>
      <c r="N1490" s="29"/>
      <c r="O1490" s="29"/>
      <c r="P1490" s="29"/>
    </row>
    <row r="1491">
      <c r="A1491" s="111"/>
      <c r="B1491" s="112"/>
      <c r="C1491" s="29"/>
      <c r="D1491" s="29"/>
      <c r="E1491" s="29"/>
      <c r="F1491" s="29"/>
      <c r="G1491" s="29"/>
      <c r="H1491" s="29"/>
      <c r="I1491" s="29"/>
      <c r="J1491" s="29"/>
      <c r="K1491" s="29"/>
      <c r="L1491" s="29"/>
      <c r="M1491" s="29"/>
      <c r="N1491" s="29"/>
      <c r="O1491" s="29"/>
      <c r="P1491" s="29"/>
    </row>
    <row r="1492">
      <c r="A1492" s="111"/>
      <c r="B1492" s="112"/>
      <c r="C1492" s="29"/>
      <c r="D1492" s="29"/>
      <c r="E1492" s="29"/>
      <c r="F1492" s="29"/>
      <c r="G1492" s="29"/>
      <c r="H1492" s="29"/>
      <c r="I1492" s="29"/>
      <c r="J1492" s="29"/>
      <c r="K1492" s="29"/>
      <c r="L1492" s="29"/>
      <c r="M1492" s="29"/>
      <c r="N1492" s="29"/>
      <c r="O1492" s="29"/>
      <c r="P1492" s="29"/>
    </row>
    <row r="1493">
      <c r="A1493" s="111"/>
      <c r="B1493" s="112"/>
      <c r="C1493" s="29"/>
      <c r="D1493" s="29"/>
      <c r="E1493" s="29"/>
      <c r="F1493" s="29"/>
      <c r="G1493" s="29"/>
      <c r="H1493" s="29"/>
      <c r="I1493" s="29"/>
      <c r="J1493" s="29"/>
      <c r="K1493" s="29"/>
      <c r="L1493" s="29"/>
      <c r="M1493" s="29"/>
      <c r="N1493" s="29"/>
      <c r="O1493" s="29"/>
      <c r="P1493" s="29"/>
    </row>
    <row r="1494">
      <c r="A1494" s="111"/>
      <c r="B1494" s="112"/>
      <c r="C1494" s="29"/>
      <c r="D1494" s="29"/>
      <c r="E1494" s="29"/>
      <c r="F1494" s="29"/>
      <c r="G1494" s="29"/>
      <c r="H1494" s="29"/>
      <c r="I1494" s="29"/>
      <c r="J1494" s="29"/>
      <c r="K1494" s="29"/>
      <c r="L1494" s="29"/>
      <c r="M1494" s="29"/>
      <c r="N1494" s="29"/>
      <c r="O1494" s="29"/>
      <c r="P1494" s="29"/>
    </row>
    <row r="1495">
      <c r="A1495" s="111"/>
      <c r="B1495" s="112"/>
      <c r="C1495" s="29"/>
      <c r="D1495" s="29"/>
      <c r="E1495" s="29"/>
      <c r="F1495" s="29"/>
      <c r="G1495" s="29"/>
      <c r="H1495" s="29"/>
      <c r="I1495" s="29"/>
      <c r="J1495" s="29"/>
      <c r="K1495" s="29"/>
      <c r="L1495" s="29"/>
      <c r="M1495" s="29"/>
      <c r="N1495" s="29"/>
      <c r="O1495" s="29"/>
      <c r="P1495" s="29"/>
    </row>
    <row r="1496">
      <c r="A1496" s="111"/>
      <c r="B1496" s="112"/>
      <c r="C1496" s="29"/>
      <c r="D1496" s="29"/>
      <c r="E1496" s="29"/>
      <c r="F1496" s="29"/>
      <c r="G1496" s="29"/>
      <c r="H1496" s="29"/>
      <c r="I1496" s="29"/>
      <c r="J1496" s="29"/>
      <c r="K1496" s="29"/>
      <c r="L1496" s="29"/>
      <c r="M1496" s="29"/>
      <c r="N1496" s="29"/>
      <c r="O1496" s="29"/>
      <c r="P1496" s="29"/>
    </row>
    <row r="1497">
      <c r="A1497" s="111"/>
      <c r="B1497" s="112"/>
      <c r="C1497" s="29"/>
      <c r="D1497" s="29"/>
      <c r="E1497" s="29"/>
      <c r="F1497" s="29"/>
      <c r="G1497" s="29"/>
      <c r="H1497" s="29"/>
      <c r="I1497" s="29"/>
      <c r="J1497" s="29"/>
      <c r="K1497" s="29"/>
      <c r="L1497" s="29"/>
      <c r="M1497" s="29"/>
      <c r="N1497" s="29"/>
      <c r="O1497" s="29"/>
      <c r="P1497" s="29"/>
    </row>
    <row r="1498">
      <c r="A1498" s="111"/>
      <c r="B1498" s="112"/>
      <c r="C1498" s="29"/>
      <c r="D1498" s="29"/>
      <c r="E1498" s="29"/>
      <c r="F1498" s="29"/>
      <c r="G1498" s="29"/>
      <c r="H1498" s="29"/>
      <c r="I1498" s="29"/>
      <c r="J1498" s="29"/>
      <c r="K1498" s="29"/>
      <c r="L1498" s="29"/>
      <c r="M1498" s="29"/>
      <c r="N1498" s="29"/>
      <c r="O1498" s="29"/>
      <c r="P1498" s="29"/>
    </row>
    <row r="1499">
      <c r="A1499" s="111"/>
      <c r="B1499" s="112"/>
      <c r="C1499" s="29"/>
      <c r="D1499" s="29"/>
      <c r="E1499" s="29"/>
      <c r="F1499" s="29"/>
      <c r="G1499" s="29"/>
      <c r="H1499" s="29"/>
      <c r="I1499" s="29"/>
      <c r="J1499" s="29"/>
      <c r="K1499" s="29"/>
      <c r="L1499" s="29"/>
      <c r="M1499" s="29"/>
      <c r="N1499" s="29"/>
      <c r="O1499" s="29"/>
      <c r="P1499" s="29"/>
    </row>
    <row r="1500">
      <c r="A1500" s="111"/>
      <c r="B1500" s="112"/>
      <c r="C1500" s="29"/>
      <c r="D1500" s="29"/>
      <c r="E1500" s="29"/>
      <c r="F1500" s="29"/>
      <c r="G1500" s="29"/>
      <c r="H1500" s="29"/>
      <c r="I1500" s="29"/>
      <c r="J1500" s="29"/>
      <c r="K1500" s="29"/>
      <c r="L1500" s="29"/>
      <c r="M1500" s="29"/>
      <c r="N1500" s="29"/>
      <c r="O1500" s="29"/>
      <c r="P1500" s="29"/>
    </row>
    <row r="1501">
      <c r="A1501" s="111"/>
      <c r="B1501" s="112"/>
      <c r="C1501" s="29"/>
      <c r="D1501" s="29"/>
      <c r="E1501" s="29"/>
      <c r="F1501" s="29"/>
      <c r="G1501" s="29"/>
      <c r="H1501" s="29"/>
      <c r="I1501" s="29"/>
      <c r="J1501" s="29"/>
      <c r="K1501" s="29"/>
      <c r="L1501" s="29"/>
      <c r="M1501" s="29"/>
      <c r="N1501" s="29"/>
      <c r="O1501" s="29"/>
      <c r="P1501" s="29"/>
    </row>
    <row r="1502">
      <c r="A1502" s="111"/>
      <c r="B1502" s="112"/>
      <c r="C1502" s="29"/>
      <c r="D1502" s="29"/>
      <c r="E1502" s="29"/>
      <c r="F1502" s="29"/>
      <c r="G1502" s="29"/>
      <c r="H1502" s="29"/>
      <c r="I1502" s="29"/>
      <c r="J1502" s="29"/>
      <c r="K1502" s="29"/>
      <c r="L1502" s="29"/>
      <c r="M1502" s="29"/>
      <c r="N1502" s="29"/>
      <c r="O1502" s="29"/>
      <c r="P1502" s="29"/>
    </row>
    <row r="1503">
      <c r="A1503" s="111"/>
      <c r="B1503" s="112"/>
      <c r="C1503" s="29"/>
      <c r="D1503" s="29"/>
      <c r="E1503" s="29"/>
      <c r="F1503" s="29"/>
      <c r="G1503" s="29"/>
      <c r="H1503" s="29"/>
      <c r="I1503" s="29"/>
      <c r="J1503" s="29"/>
      <c r="K1503" s="29"/>
      <c r="L1503" s="29"/>
      <c r="M1503" s="29"/>
      <c r="N1503" s="29"/>
      <c r="O1503" s="29"/>
      <c r="P1503" s="29"/>
    </row>
    <row r="1504">
      <c r="A1504" s="111"/>
      <c r="B1504" s="112"/>
      <c r="C1504" s="29"/>
      <c r="D1504" s="29"/>
      <c r="E1504" s="29"/>
      <c r="F1504" s="29"/>
      <c r="G1504" s="29"/>
      <c r="H1504" s="29"/>
      <c r="I1504" s="29"/>
      <c r="J1504" s="29"/>
      <c r="K1504" s="29"/>
      <c r="L1504" s="29"/>
      <c r="M1504" s="29"/>
      <c r="N1504" s="29"/>
      <c r="O1504" s="29"/>
      <c r="P1504" s="29"/>
    </row>
    <row r="1505">
      <c r="A1505" s="111"/>
      <c r="B1505" s="112"/>
      <c r="C1505" s="29"/>
      <c r="D1505" s="29"/>
      <c r="E1505" s="29"/>
      <c r="F1505" s="29"/>
      <c r="G1505" s="29"/>
      <c r="H1505" s="29"/>
      <c r="I1505" s="29"/>
      <c r="J1505" s="29"/>
      <c r="K1505" s="29"/>
      <c r="L1505" s="29"/>
      <c r="M1505" s="29"/>
      <c r="N1505" s="29"/>
      <c r="O1505" s="29"/>
      <c r="P1505" s="29"/>
    </row>
    <row r="1506">
      <c r="A1506" s="111"/>
      <c r="B1506" s="112"/>
      <c r="C1506" s="29"/>
      <c r="D1506" s="29"/>
      <c r="E1506" s="29"/>
      <c r="F1506" s="29"/>
      <c r="G1506" s="29"/>
      <c r="H1506" s="29"/>
      <c r="I1506" s="29"/>
      <c r="J1506" s="29"/>
      <c r="K1506" s="29"/>
      <c r="L1506" s="29"/>
      <c r="M1506" s="29"/>
      <c r="N1506" s="29"/>
      <c r="O1506" s="29"/>
      <c r="P1506" s="29"/>
    </row>
    <row r="1507">
      <c r="A1507" s="111"/>
      <c r="B1507" s="112"/>
      <c r="C1507" s="29"/>
      <c r="D1507" s="29"/>
      <c r="E1507" s="29"/>
      <c r="F1507" s="29"/>
      <c r="G1507" s="29"/>
      <c r="H1507" s="29"/>
      <c r="I1507" s="29"/>
      <c r="J1507" s="29"/>
      <c r="K1507" s="29"/>
      <c r="L1507" s="29"/>
      <c r="M1507" s="29"/>
      <c r="N1507" s="29"/>
      <c r="O1507" s="29"/>
      <c r="P1507" s="29"/>
    </row>
    <row r="1508">
      <c r="A1508" s="111"/>
      <c r="B1508" s="112"/>
      <c r="C1508" s="29"/>
      <c r="D1508" s="29"/>
      <c r="E1508" s="29"/>
      <c r="F1508" s="29"/>
      <c r="G1508" s="29"/>
      <c r="H1508" s="29"/>
      <c r="I1508" s="29"/>
      <c r="J1508" s="29"/>
      <c r="K1508" s="29"/>
      <c r="L1508" s="29"/>
      <c r="M1508" s="29"/>
      <c r="N1508" s="29"/>
      <c r="O1508" s="29"/>
      <c r="P1508" s="29"/>
    </row>
    <row r="1509">
      <c r="A1509" s="111"/>
      <c r="B1509" s="112"/>
      <c r="C1509" s="29"/>
      <c r="D1509" s="29"/>
      <c r="E1509" s="29"/>
      <c r="F1509" s="29"/>
      <c r="G1509" s="29"/>
      <c r="H1509" s="29"/>
      <c r="I1509" s="29"/>
      <c r="J1509" s="29"/>
      <c r="K1509" s="29"/>
      <c r="L1509" s="29"/>
      <c r="M1509" s="29"/>
      <c r="N1509" s="29"/>
      <c r="O1509" s="29"/>
      <c r="P1509" s="29"/>
    </row>
    <row r="1510">
      <c r="A1510" s="111"/>
      <c r="B1510" s="112"/>
      <c r="C1510" s="29"/>
      <c r="D1510" s="29"/>
      <c r="E1510" s="29"/>
      <c r="F1510" s="29"/>
      <c r="G1510" s="29"/>
      <c r="H1510" s="29"/>
      <c r="I1510" s="29"/>
      <c r="J1510" s="29"/>
      <c r="K1510" s="29"/>
      <c r="L1510" s="29"/>
      <c r="M1510" s="29"/>
      <c r="N1510" s="29"/>
      <c r="O1510" s="29"/>
      <c r="P1510" s="29"/>
    </row>
    <row r="1511">
      <c r="A1511" s="111"/>
      <c r="B1511" s="112"/>
      <c r="C1511" s="29"/>
      <c r="D1511" s="29"/>
      <c r="E1511" s="29"/>
      <c r="F1511" s="29"/>
      <c r="G1511" s="29"/>
      <c r="H1511" s="29"/>
      <c r="I1511" s="29"/>
      <c r="J1511" s="29"/>
      <c r="K1511" s="29"/>
      <c r="L1511" s="29"/>
      <c r="M1511" s="29"/>
      <c r="N1511" s="29"/>
      <c r="O1511" s="29"/>
      <c r="P1511" s="29"/>
    </row>
    <row r="1512">
      <c r="A1512" s="111"/>
      <c r="B1512" s="112"/>
      <c r="C1512" s="29"/>
      <c r="D1512" s="29"/>
      <c r="E1512" s="29"/>
      <c r="F1512" s="29"/>
      <c r="G1512" s="29"/>
      <c r="H1512" s="29"/>
      <c r="I1512" s="29"/>
      <c r="J1512" s="29"/>
      <c r="K1512" s="29"/>
      <c r="L1512" s="29"/>
      <c r="M1512" s="29"/>
      <c r="N1512" s="29"/>
      <c r="O1512" s="29"/>
      <c r="P1512" s="29"/>
    </row>
    <row r="1513">
      <c r="A1513" s="111"/>
      <c r="B1513" s="112"/>
      <c r="C1513" s="29"/>
      <c r="D1513" s="29"/>
      <c r="E1513" s="29"/>
      <c r="F1513" s="29"/>
      <c r="G1513" s="29"/>
      <c r="H1513" s="29"/>
      <c r="I1513" s="29"/>
      <c r="J1513" s="29"/>
      <c r="K1513" s="29"/>
      <c r="L1513" s="29"/>
      <c r="M1513" s="29"/>
      <c r="N1513" s="29"/>
      <c r="O1513" s="29"/>
      <c r="P1513" s="29"/>
    </row>
    <row r="1514">
      <c r="A1514" s="111"/>
      <c r="B1514" s="112"/>
      <c r="C1514" s="29"/>
      <c r="D1514" s="29"/>
      <c r="E1514" s="29"/>
      <c r="F1514" s="29"/>
      <c r="G1514" s="29"/>
      <c r="H1514" s="29"/>
      <c r="I1514" s="29"/>
      <c r="J1514" s="29"/>
      <c r="K1514" s="29"/>
      <c r="L1514" s="29"/>
      <c r="M1514" s="29"/>
      <c r="N1514" s="29"/>
      <c r="O1514" s="29"/>
      <c r="P1514" s="29"/>
    </row>
    <row r="1515">
      <c r="A1515" s="111"/>
      <c r="B1515" s="112"/>
      <c r="C1515" s="29"/>
      <c r="D1515" s="29"/>
      <c r="E1515" s="29"/>
      <c r="F1515" s="29"/>
      <c r="G1515" s="29"/>
      <c r="H1515" s="29"/>
      <c r="I1515" s="29"/>
      <c r="J1515" s="29"/>
      <c r="K1515" s="29"/>
      <c r="L1515" s="29"/>
      <c r="M1515" s="29"/>
      <c r="N1515" s="29"/>
      <c r="O1515" s="29"/>
      <c r="P1515" s="29"/>
    </row>
    <row r="1516">
      <c r="A1516" s="111"/>
      <c r="B1516" s="112"/>
      <c r="C1516" s="29"/>
      <c r="D1516" s="29"/>
      <c r="E1516" s="29"/>
      <c r="F1516" s="29"/>
      <c r="G1516" s="29"/>
      <c r="H1516" s="29"/>
      <c r="I1516" s="29"/>
      <c r="J1516" s="29"/>
      <c r="K1516" s="29"/>
      <c r="L1516" s="29"/>
      <c r="M1516" s="29"/>
      <c r="N1516" s="29"/>
      <c r="O1516" s="29"/>
      <c r="P1516" s="29"/>
    </row>
    <row r="1517">
      <c r="A1517" s="111"/>
      <c r="B1517" s="112"/>
      <c r="C1517" s="29"/>
      <c r="D1517" s="29"/>
      <c r="E1517" s="29"/>
      <c r="F1517" s="29"/>
      <c r="G1517" s="29"/>
      <c r="H1517" s="29"/>
      <c r="I1517" s="29"/>
      <c r="J1517" s="29"/>
      <c r="K1517" s="29"/>
      <c r="L1517" s="29"/>
      <c r="M1517" s="29"/>
      <c r="N1517" s="29"/>
      <c r="O1517" s="29"/>
      <c r="P1517" s="29"/>
    </row>
    <row r="1518">
      <c r="A1518" s="111"/>
      <c r="B1518" s="112"/>
      <c r="C1518" s="29"/>
      <c r="D1518" s="29"/>
      <c r="E1518" s="29"/>
      <c r="F1518" s="29"/>
      <c r="G1518" s="29"/>
      <c r="H1518" s="29"/>
      <c r="I1518" s="29"/>
      <c r="J1518" s="29"/>
      <c r="K1518" s="29"/>
      <c r="L1518" s="29"/>
      <c r="M1518" s="29"/>
      <c r="N1518" s="29"/>
      <c r="O1518" s="29"/>
      <c r="P1518" s="29"/>
    </row>
    <row r="1519">
      <c r="A1519" s="111"/>
      <c r="B1519" s="112"/>
      <c r="C1519" s="29"/>
      <c r="D1519" s="29"/>
      <c r="E1519" s="29"/>
      <c r="F1519" s="29"/>
      <c r="G1519" s="29"/>
      <c r="H1519" s="29"/>
      <c r="I1519" s="29"/>
      <c r="J1519" s="29"/>
      <c r="K1519" s="29"/>
      <c r="L1519" s="29"/>
      <c r="M1519" s="29"/>
      <c r="N1519" s="29"/>
      <c r="O1519" s="29"/>
      <c r="P1519" s="29"/>
    </row>
    <row r="1520">
      <c r="A1520" s="111"/>
      <c r="B1520" s="112"/>
      <c r="C1520" s="29"/>
      <c r="D1520" s="29"/>
      <c r="E1520" s="29"/>
      <c r="F1520" s="29"/>
      <c r="G1520" s="29"/>
      <c r="H1520" s="29"/>
      <c r="I1520" s="29"/>
      <c r="J1520" s="29"/>
      <c r="K1520" s="29"/>
      <c r="L1520" s="29"/>
      <c r="M1520" s="29"/>
      <c r="N1520" s="29"/>
      <c r="O1520" s="29"/>
      <c r="P1520" s="29"/>
    </row>
    <row r="1521">
      <c r="A1521" s="111"/>
      <c r="B1521" s="112"/>
      <c r="C1521" s="29"/>
      <c r="D1521" s="29"/>
      <c r="E1521" s="29"/>
      <c r="F1521" s="29"/>
      <c r="G1521" s="29"/>
      <c r="H1521" s="29"/>
      <c r="I1521" s="29"/>
      <c r="J1521" s="29"/>
      <c r="K1521" s="29"/>
      <c r="L1521" s="29"/>
      <c r="M1521" s="29"/>
      <c r="N1521" s="29"/>
      <c r="O1521" s="29"/>
      <c r="P1521" s="29"/>
    </row>
    <row r="1522">
      <c r="A1522" s="111"/>
      <c r="B1522" s="112"/>
      <c r="C1522" s="29"/>
      <c r="D1522" s="29"/>
      <c r="E1522" s="29"/>
      <c r="F1522" s="29"/>
      <c r="G1522" s="29"/>
      <c r="H1522" s="29"/>
      <c r="I1522" s="29"/>
      <c r="J1522" s="29"/>
      <c r="K1522" s="29"/>
      <c r="L1522" s="29"/>
      <c r="M1522" s="29"/>
      <c r="N1522" s="29"/>
      <c r="O1522" s="29"/>
      <c r="P1522" s="29"/>
    </row>
    <row r="1523">
      <c r="A1523" s="111"/>
      <c r="B1523" s="112"/>
      <c r="C1523" s="29"/>
      <c r="D1523" s="29"/>
      <c r="E1523" s="29"/>
      <c r="F1523" s="29"/>
      <c r="G1523" s="29"/>
      <c r="H1523" s="29"/>
      <c r="I1523" s="29"/>
      <c r="J1523" s="29"/>
      <c r="K1523" s="29"/>
      <c r="L1523" s="29"/>
      <c r="M1523" s="29"/>
      <c r="N1523" s="29"/>
      <c r="O1523" s="29"/>
      <c r="P1523" s="29"/>
    </row>
    <row r="1524">
      <c r="A1524" s="111"/>
      <c r="B1524" s="112"/>
      <c r="C1524" s="29"/>
      <c r="D1524" s="29"/>
      <c r="E1524" s="29"/>
      <c r="F1524" s="29"/>
      <c r="G1524" s="29"/>
      <c r="H1524" s="29"/>
      <c r="I1524" s="29"/>
      <c r="J1524" s="29"/>
      <c r="K1524" s="29"/>
      <c r="L1524" s="29"/>
      <c r="M1524" s="29"/>
      <c r="N1524" s="29"/>
      <c r="O1524" s="29"/>
      <c r="P1524" s="29"/>
    </row>
    <row r="1525">
      <c r="A1525" s="111"/>
      <c r="B1525" s="112"/>
      <c r="C1525" s="29"/>
      <c r="D1525" s="29"/>
      <c r="E1525" s="29"/>
      <c r="F1525" s="29"/>
      <c r="G1525" s="29"/>
      <c r="H1525" s="29"/>
      <c r="I1525" s="29"/>
      <c r="J1525" s="29"/>
      <c r="K1525" s="29"/>
      <c r="L1525" s="29"/>
      <c r="M1525" s="29"/>
      <c r="N1525" s="29"/>
      <c r="O1525" s="29"/>
      <c r="P1525" s="29"/>
    </row>
    <row r="1526">
      <c r="A1526" s="111"/>
      <c r="B1526" s="112"/>
      <c r="C1526" s="29"/>
      <c r="D1526" s="29"/>
      <c r="E1526" s="29"/>
      <c r="F1526" s="29"/>
      <c r="G1526" s="29"/>
      <c r="H1526" s="29"/>
      <c r="I1526" s="29"/>
      <c r="J1526" s="29"/>
      <c r="K1526" s="29"/>
      <c r="L1526" s="29"/>
      <c r="M1526" s="29"/>
      <c r="N1526" s="29"/>
      <c r="O1526" s="29"/>
      <c r="P1526" s="29"/>
    </row>
    <row r="1527">
      <c r="A1527" s="111"/>
      <c r="B1527" s="112"/>
      <c r="C1527" s="29"/>
      <c r="D1527" s="29"/>
      <c r="E1527" s="29"/>
      <c r="F1527" s="29"/>
      <c r="G1527" s="29"/>
      <c r="H1527" s="29"/>
      <c r="I1527" s="29"/>
      <c r="J1527" s="29"/>
      <c r="K1527" s="29"/>
      <c r="L1527" s="29"/>
      <c r="M1527" s="29"/>
      <c r="N1527" s="29"/>
      <c r="O1527" s="29"/>
      <c r="P1527" s="29"/>
    </row>
    <row r="1528">
      <c r="A1528" s="111"/>
      <c r="B1528" s="112"/>
      <c r="C1528" s="29"/>
      <c r="D1528" s="29"/>
      <c r="E1528" s="29"/>
      <c r="F1528" s="29"/>
      <c r="G1528" s="29"/>
      <c r="H1528" s="29"/>
      <c r="I1528" s="29"/>
      <c r="J1528" s="29"/>
      <c r="K1528" s="29"/>
      <c r="L1528" s="29"/>
      <c r="M1528" s="29"/>
      <c r="N1528" s="29"/>
      <c r="O1528" s="29"/>
      <c r="P1528" s="29"/>
    </row>
    <row r="1529">
      <c r="A1529" s="111"/>
      <c r="B1529" s="112"/>
      <c r="C1529" s="29"/>
      <c r="D1529" s="29"/>
      <c r="E1529" s="29"/>
      <c r="F1529" s="29"/>
      <c r="G1529" s="29"/>
      <c r="H1529" s="29"/>
      <c r="I1529" s="29"/>
      <c r="J1529" s="29"/>
      <c r="K1529" s="29"/>
      <c r="L1529" s="29"/>
      <c r="M1529" s="29"/>
      <c r="N1529" s="29"/>
      <c r="O1529" s="29"/>
      <c r="P1529" s="29"/>
    </row>
    <row r="1530">
      <c r="A1530" s="111"/>
      <c r="B1530" s="112"/>
      <c r="C1530" s="29"/>
      <c r="D1530" s="29"/>
      <c r="E1530" s="29"/>
      <c r="F1530" s="29"/>
      <c r="G1530" s="29"/>
      <c r="H1530" s="29"/>
      <c r="I1530" s="29"/>
      <c r="J1530" s="29"/>
      <c r="K1530" s="29"/>
      <c r="L1530" s="29"/>
      <c r="M1530" s="29"/>
      <c r="N1530" s="29"/>
      <c r="O1530" s="29"/>
      <c r="P1530" s="29"/>
    </row>
    <row r="1531">
      <c r="A1531" s="111"/>
      <c r="B1531" s="112"/>
      <c r="C1531" s="29"/>
      <c r="D1531" s="29"/>
      <c r="E1531" s="29"/>
      <c r="F1531" s="29"/>
      <c r="G1531" s="29"/>
      <c r="H1531" s="29"/>
      <c r="I1531" s="29"/>
      <c r="J1531" s="29"/>
      <c r="K1531" s="29"/>
      <c r="L1531" s="29"/>
      <c r="M1531" s="29"/>
      <c r="N1531" s="29"/>
      <c r="O1531" s="29"/>
      <c r="P1531" s="29"/>
    </row>
    <row r="1532">
      <c r="A1532" s="111"/>
      <c r="B1532" s="112"/>
      <c r="C1532" s="29"/>
      <c r="D1532" s="29"/>
      <c r="E1532" s="29"/>
      <c r="F1532" s="29"/>
      <c r="G1532" s="29"/>
      <c r="H1532" s="29"/>
      <c r="I1532" s="29"/>
      <c r="J1532" s="29"/>
      <c r="K1532" s="29"/>
      <c r="L1532" s="29"/>
      <c r="M1532" s="29"/>
      <c r="N1532" s="29"/>
      <c r="O1532" s="29"/>
      <c r="P1532" s="29"/>
    </row>
    <row r="1533">
      <c r="A1533" s="111"/>
      <c r="B1533" s="112"/>
      <c r="C1533" s="29"/>
      <c r="D1533" s="29"/>
      <c r="E1533" s="29"/>
      <c r="F1533" s="29"/>
      <c r="G1533" s="29"/>
      <c r="H1533" s="29"/>
      <c r="I1533" s="29"/>
      <c r="J1533" s="29"/>
      <c r="K1533" s="29"/>
      <c r="L1533" s="29"/>
      <c r="M1533" s="29"/>
      <c r="N1533" s="29"/>
      <c r="O1533" s="29"/>
      <c r="P1533" s="29"/>
    </row>
    <row r="1534">
      <c r="A1534" s="111"/>
      <c r="B1534" s="112"/>
      <c r="C1534" s="29"/>
      <c r="D1534" s="29"/>
      <c r="E1534" s="29"/>
      <c r="F1534" s="29"/>
      <c r="G1534" s="29"/>
      <c r="H1534" s="29"/>
      <c r="I1534" s="29"/>
      <c r="J1534" s="29"/>
      <c r="K1534" s="29"/>
      <c r="L1534" s="29"/>
      <c r="M1534" s="29"/>
      <c r="N1534" s="29"/>
      <c r="O1534" s="29"/>
      <c r="P1534" s="29"/>
    </row>
    <row r="1535">
      <c r="A1535" s="111"/>
      <c r="B1535" s="112"/>
      <c r="C1535" s="29"/>
      <c r="D1535" s="29"/>
      <c r="E1535" s="29"/>
      <c r="F1535" s="29"/>
      <c r="G1535" s="29"/>
      <c r="H1535" s="29"/>
      <c r="I1535" s="29"/>
      <c r="J1535" s="29"/>
      <c r="K1535" s="29"/>
      <c r="L1535" s="29"/>
      <c r="M1535" s="29"/>
      <c r="N1535" s="29"/>
      <c r="O1535" s="29"/>
      <c r="P1535" s="29"/>
    </row>
    <row r="1536">
      <c r="A1536" s="111"/>
      <c r="B1536" s="112"/>
      <c r="C1536" s="29"/>
      <c r="D1536" s="29"/>
      <c r="E1536" s="29"/>
      <c r="F1536" s="29"/>
      <c r="G1536" s="29"/>
      <c r="H1536" s="29"/>
      <c r="I1536" s="29"/>
      <c r="J1536" s="29"/>
      <c r="K1536" s="29"/>
      <c r="L1536" s="29"/>
      <c r="M1536" s="29"/>
      <c r="N1536" s="29"/>
      <c r="O1536" s="29"/>
      <c r="P1536" s="29"/>
    </row>
    <row r="1537">
      <c r="A1537" s="111"/>
      <c r="B1537" s="112"/>
      <c r="C1537" s="29"/>
      <c r="D1537" s="29"/>
      <c r="E1537" s="29"/>
      <c r="F1537" s="29"/>
      <c r="G1537" s="29"/>
      <c r="H1537" s="29"/>
      <c r="I1537" s="29"/>
      <c r="J1537" s="29"/>
      <c r="K1537" s="29"/>
      <c r="L1537" s="29"/>
      <c r="M1537" s="29"/>
      <c r="N1537" s="29"/>
      <c r="O1537" s="29"/>
      <c r="P1537" s="29"/>
    </row>
    <row r="1538">
      <c r="A1538" s="111"/>
      <c r="B1538" s="112"/>
      <c r="C1538" s="29"/>
      <c r="D1538" s="29"/>
      <c r="E1538" s="29"/>
      <c r="F1538" s="29"/>
      <c r="G1538" s="29"/>
      <c r="H1538" s="29"/>
      <c r="I1538" s="29"/>
      <c r="J1538" s="29"/>
      <c r="K1538" s="29"/>
      <c r="L1538" s="29"/>
      <c r="M1538" s="29"/>
      <c r="N1538" s="29"/>
      <c r="O1538" s="29"/>
      <c r="P1538" s="29"/>
    </row>
    <row r="1539">
      <c r="A1539" s="111"/>
      <c r="B1539" s="112"/>
      <c r="C1539" s="29"/>
      <c r="D1539" s="29"/>
      <c r="E1539" s="29"/>
      <c r="F1539" s="29"/>
      <c r="G1539" s="29"/>
      <c r="H1539" s="29"/>
      <c r="I1539" s="29"/>
      <c r="J1539" s="29"/>
      <c r="K1539" s="29"/>
      <c r="L1539" s="29"/>
      <c r="M1539" s="29"/>
      <c r="N1539" s="29"/>
      <c r="O1539" s="29"/>
      <c r="P1539" s="29"/>
    </row>
    <row r="1540">
      <c r="A1540" s="111"/>
      <c r="B1540" s="112"/>
      <c r="C1540" s="29"/>
      <c r="D1540" s="29"/>
      <c r="E1540" s="29"/>
      <c r="F1540" s="29"/>
      <c r="G1540" s="29"/>
      <c r="H1540" s="29"/>
      <c r="I1540" s="29"/>
      <c r="J1540" s="29"/>
      <c r="K1540" s="29"/>
      <c r="L1540" s="29"/>
      <c r="M1540" s="29"/>
      <c r="N1540" s="29"/>
      <c r="O1540" s="29"/>
      <c r="P1540" s="29"/>
    </row>
    <row r="1541">
      <c r="A1541" s="111"/>
      <c r="B1541" s="112"/>
      <c r="C1541" s="29"/>
      <c r="D1541" s="29"/>
      <c r="E1541" s="29"/>
      <c r="F1541" s="29"/>
      <c r="G1541" s="29"/>
      <c r="H1541" s="29"/>
      <c r="I1541" s="29"/>
      <c r="J1541" s="29"/>
      <c r="K1541" s="29"/>
      <c r="L1541" s="29"/>
      <c r="M1541" s="29"/>
      <c r="N1541" s="29"/>
      <c r="O1541" s="29"/>
      <c r="P1541" s="29"/>
    </row>
    <row r="1542">
      <c r="A1542" s="111"/>
      <c r="B1542" s="112"/>
      <c r="C1542" s="29"/>
      <c r="D1542" s="29"/>
      <c r="E1542" s="29"/>
      <c r="F1542" s="29"/>
      <c r="G1542" s="29"/>
      <c r="H1542" s="29"/>
      <c r="I1542" s="29"/>
      <c r="J1542" s="29"/>
      <c r="K1542" s="29"/>
      <c r="L1542" s="29"/>
      <c r="M1542" s="29"/>
      <c r="N1542" s="29"/>
      <c r="O1542" s="29"/>
      <c r="P1542" s="29"/>
    </row>
    <row r="1543">
      <c r="A1543" s="111"/>
      <c r="B1543" s="112"/>
      <c r="C1543" s="29"/>
      <c r="D1543" s="29"/>
      <c r="E1543" s="29"/>
      <c r="F1543" s="29"/>
      <c r="G1543" s="29"/>
      <c r="H1543" s="29"/>
      <c r="I1543" s="29"/>
      <c r="J1543" s="29"/>
      <c r="K1543" s="29"/>
      <c r="L1543" s="29"/>
      <c r="M1543" s="29"/>
      <c r="N1543" s="29"/>
      <c r="O1543" s="29"/>
      <c r="P1543" s="29"/>
    </row>
    <row r="1544">
      <c r="A1544" s="111"/>
      <c r="B1544" s="112"/>
      <c r="C1544" s="29"/>
      <c r="D1544" s="29"/>
      <c r="E1544" s="29"/>
      <c r="F1544" s="29"/>
      <c r="G1544" s="29"/>
      <c r="H1544" s="29"/>
      <c r="I1544" s="29"/>
      <c r="J1544" s="29"/>
      <c r="K1544" s="29"/>
      <c r="L1544" s="29"/>
      <c r="M1544" s="29"/>
      <c r="N1544" s="29"/>
      <c r="O1544" s="29"/>
      <c r="P1544" s="29"/>
    </row>
    <row r="1545">
      <c r="A1545" s="111"/>
      <c r="B1545" s="112"/>
      <c r="C1545" s="29"/>
      <c r="D1545" s="29"/>
      <c r="E1545" s="29"/>
      <c r="F1545" s="29"/>
      <c r="G1545" s="29"/>
      <c r="H1545" s="29"/>
      <c r="I1545" s="29"/>
      <c r="J1545" s="29"/>
      <c r="K1545" s="29"/>
      <c r="L1545" s="29"/>
      <c r="M1545" s="29"/>
      <c r="N1545" s="29"/>
      <c r="O1545" s="29"/>
      <c r="P1545" s="29"/>
    </row>
    <row r="1546">
      <c r="A1546" s="111"/>
      <c r="B1546" s="112"/>
      <c r="C1546" s="29"/>
      <c r="D1546" s="29"/>
      <c r="E1546" s="29"/>
      <c r="F1546" s="29"/>
      <c r="G1546" s="29"/>
      <c r="H1546" s="29"/>
      <c r="I1546" s="29"/>
      <c r="J1546" s="29"/>
      <c r="K1546" s="29"/>
      <c r="L1546" s="29"/>
      <c r="M1546" s="29"/>
      <c r="N1546" s="29"/>
      <c r="O1546" s="29"/>
      <c r="P1546" s="29"/>
    </row>
    <row r="1547">
      <c r="A1547" s="111"/>
      <c r="B1547" s="112"/>
      <c r="C1547" s="29"/>
      <c r="D1547" s="29"/>
      <c r="E1547" s="29"/>
      <c r="F1547" s="29"/>
      <c r="G1547" s="29"/>
      <c r="H1547" s="29"/>
      <c r="I1547" s="29"/>
      <c r="J1547" s="29"/>
      <c r="K1547" s="29"/>
      <c r="L1547" s="29"/>
      <c r="M1547" s="29"/>
      <c r="N1547" s="29"/>
      <c r="O1547" s="29"/>
      <c r="P1547" s="29"/>
    </row>
    <row r="1548">
      <c r="A1548" s="111"/>
      <c r="B1548" s="112"/>
      <c r="C1548" s="29"/>
      <c r="D1548" s="29"/>
      <c r="E1548" s="29"/>
      <c r="F1548" s="29"/>
      <c r="G1548" s="29"/>
      <c r="H1548" s="29"/>
      <c r="I1548" s="29"/>
      <c r="J1548" s="29"/>
      <c r="K1548" s="29"/>
      <c r="L1548" s="29"/>
      <c r="M1548" s="29"/>
      <c r="N1548" s="29"/>
      <c r="O1548" s="29"/>
      <c r="P1548" s="29"/>
    </row>
    <row r="1549">
      <c r="A1549" s="111"/>
      <c r="B1549" s="112"/>
      <c r="C1549" s="29"/>
      <c r="D1549" s="29"/>
      <c r="E1549" s="29"/>
      <c r="F1549" s="29"/>
      <c r="G1549" s="29"/>
      <c r="H1549" s="29"/>
      <c r="I1549" s="29"/>
      <c r="J1549" s="29"/>
      <c r="K1549" s="29"/>
      <c r="L1549" s="29"/>
      <c r="M1549" s="29"/>
      <c r="N1549" s="29"/>
      <c r="O1549" s="29"/>
      <c r="P1549" s="29"/>
    </row>
    <row r="1550">
      <c r="A1550" s="111"/>
      <c r="B1550" s="112"/>
      <c r="C1550" s="29"/>
      <c r="D1550" s="29"/>
      <c r="E1550" s="29"/>
      <c r="F1550" s="29"/>
      <c r="G1550" s="29"/>
      <c r="H1550" s="29"/>
      <c r="I1550" s="29"/>
      <c r="J1550" s="29"/>
      <c r="K1550" s="29"/>
      <c r="L1550" s="29"/>
      <c r="M1550" s="29"/>
      <c r="N1550" s="29"/>
      <c r="O1550" s="29"/>
      <c r="P1550" s="29"/>
    </row>
    <row r="1551">
      <c r="A1551" s="111"/>
      <c r="B1551" s="112"/>
      <c r="C1551" s="29"/>
      <c r="D1551" s="29"/>
      <c r="E1551" s="29"/>
      <c r="F1551" s="29"/>
      <c r="G1551" s="29"/>
      <c r="H1551" s="29"/>
      <c r="I1551" s="29"/>
      <c r="J1551" s="29"/>
      <c r="K1551" s="29"/>
      <c r="L1551" s="29"/>
      <c r="M1551" s="29"/>
      <c r="N1551" s="29"/>
      <c r="O1551" s="29"/>
      <c r="P1551" s="29"/>
    </row>
    <row r="1552">
      <c r="A1552" s="111"/>
      <c r="B1552" s="112"/>
      <c r="C1552" s="29"/>
      <c r="D1552" s="29"/>
      <c r="E1552" s="29"/>
      <c r="F1552" s="29"/>
      <c r="G1552" s="29"/>
      <c r="H1552" s="29"/>
      <c r="I1552" s="29"/>
      <c r="J1552" s="29"/>
      <c r="K1552" s="29"/>
      <c r="L1552" s="29"/>
      <c r="M1552" s="29"/>
      <c r="N1552" s="29"/>
      <c r="O1552" s="29"/>
      <c r="P1552" s="29"/>
    </row>
    <row r="1553">
      <c r="A1553" s="111"/>
      <c r="B1553" s="112"/>
      <c r="C1553" s="29"/>
      <c r="D1553" s="29"/>
      <c r="E1553" s="29"/>
      <c r="F1553" s="29"/>
      <c r="G1553" s="29"/>
      <c r="H1553" s="29"/>
      <c r="I1553" s="29"/>
      <c r="J1553" s="29"/>
      <c r="K1553" s="29"/>
      <c r="L1553" s="29"/>
      <c r="M1553" s="29"/>
      <c r="N1553" s="29"/>
      <c r="O1553" s="29"/>
      <c r="P1553" s="29"/>
    </row>
    <row r="1554">
      <c r="A1554" s="111"/>
      <c r="B1554" s="112"/>
      <c r="C1554" s="29"/>
      <c r="D1554" s="29"/>
      <c r="E1554" s="29"/>
      <c r="F1554" s="29"/>
      <c r="G1554" s="29"/>
      <c r="H1554" s="29"/>
      <c r="I1554" s="29"/>
      <c r="J1554" s="29"/>
      <c r="K1554" s="29"/>
      <c r="L1554" s="29"/>
      <c r="M1554" s="29"/>
      <c r="N1554" s="29"/>
      <c r="O1554" s="29"/>
      <c r="P1554" s="29"/>
    </row>
    <row r="1555">
      <c r="A1555" s="111"/>
      <c r="B1555" s="112"/>
      <c r="C1555" s="29"/>
      <c r="D1555" s="29"/>
      <c r="E1555" s="29"/>
      <c r="F1555" s="29"/>
      <c r="G1555" s="29"/>
      <c r="H1555" s="29"/>
      <c r="I1555" s="29"/>
      <c r="J1555" s="29"/>
      <c r="K1555" s="29"/>
      <c r="L1555" s="29"/>
      <c r="M1555" s="29"/>
      <c r="N1555" s="29"/>
      <c r="O1555" s="29"/>
      <c r="P1555" s="29"/>
    </row>
    <row r="1556">
      <c r="A1556" s="111"/>
      <c r="B1556" s="112"/>
      <c r="C1556" s="29"/>
      <c r="D1556" s="29"/>
      <c r="E1556" s="29"/>
      <c r="F1556" s="29"/>
      <c r="G1556" s="29"/>
      <c r="H1556" s="29"/>
      <c r="I1556" s="29"/>
      <c r="J1556" s="29"/>
      <c r="K1556" s="29"/>
      <c r="L1556" s="29"/>
      <c r="M1556" s="29"/>
      <c r="N1556" s="29"/>
      <c r="O1556" s="29"/>
      <c r="P1556" s="29"/>
    </row>
    <row r="1557">
      <c r="A1557" s="111"/>
      <c r="B1557" s="112"/>
      <c r="C1557" s="29"/>
      <c r="D1557" s="29"/>
      <c r="E1557" s="29"/>
      <c r="F1557" s="29"/>
      <c r="G1557" s="29"/>
      <c r="H1557" s="29"/>
      <c r="I1557" s="29"/>
      <c r="J1557" s="29"/>
      <c r="K1557" s="29"/>
      <c r="L1557" s="29"/>
      <c r="M1557" s="29"/>
      <c r="N1557" s="29"/>
      <c r="O1557" s="29"/>
      <c r="P1557" s="29"/>
    </row>
    <row r="1558">
      <c r="A1558" s="111"/>
      <c r="B1558" s="112"/>
      <c r="C1558" s="29"/>
      <c r="D1558" s="29"/>
      <c r="E1558" s="29"/>
      <c r="F1558" s="29"/>
      <c r="G1558" s="29"/>
      <c r="H1558" s="29"/>
      <c r="I1558" s="29"/>
      <c r="J1558" s="29"/>
      <c r="K1558" s="29"/>
      <c r="L1558" s="29"/>
      <c r="M1558" s="29"/>
      <c r="N1558" s="29"/>
      <c r="O1558" s="29"/>
      <c r="P1558" s="29"/>
    </row>
    <row r="1559">
      <c r="A1559" s="111"/>
      <c r="B1559" s="112"/>
      <c r="C1559" s="29"/>
      <c r="D1559" s="29"/>
      <c r="E1559" s="29"/>
      <c r="F1559" s="29"/>
      <c r="G1559" s="29"/>
      <c r="H1559" s="29"/>
      <c r="I1559" s="29"/>
      <c r="J1559" s="29"/>
      <c r="K1559" s="29"/>
      <c r="L1559" s="29"/>
      <c r="M1559" s="29"/>
      <c r="N1559" s="29"/>
      <c r="O1559" s="29"/>
      <c r="P1559" s="29"/>
    </row>
    <row r="1560">
      <c r="A1560" s="111"/>
      <c r="B1560" s="112"/>
      <c r="C1560" s="29"/>
      <c r="D1560" s="29"/>
      <c r="E1560" s="29"/>
      <c r="F1560" s="29"/>
      <c r="G1560" s="29"/>
      <c r="H1560" s="29"/>
      <c r="I1560" s="29"/>
      <c r="J1560" s="29"/>
      <c r="K1560" s="29"/>
      <c r="L1560" s="29"/>
      <c r="M1560" s="29"/>
      <c r="N1560" s="29"/>
      <c r="O1560" s="29"/>
      <c r="P1560" s="29"/>
    </row>
    <row r="1561">
      <c r="A1561" s="111"/>
      <c r="B1561" s="112"/>
      <c r="C1561" s="29"/>
      <c r="D1561" s="29"/>
      <c r="E1561" s="29"/>
      <c r="F1561" s="29"/>
      <c r="G1561" s="29"/>
      <c r="H1561" s="29"/>
      <c r="I1561" s="29"/>
      <c r="J1561" s="29"/>
      <c r="K1561" s="29"/>
      <c r="L1561" s="29"/>
      <c r="M1561" s="29"/>
      <c r="N1561" s="29"/>
      <c r="O1561" s="29"/>
      <c r="P1561" s="29"/>
    </row>
    <row r="1562">
      <c r="A1562" s="111"/>
      <c r="B1562" s="112"/>
      <c r="C1562" s="29"/>
      <c r="D1562" s="29"/>
      <c r="E1562" s="29"/>
      <c r="F1562" s="29"/>
      <c r="G1562" s="29"/>
      <c r="H1562" s="29"/>
      <c r="I1562" s="29"/>
      <c r="J1562" s="29"/>
      <c r="K1562" s="29"/>
      <c r="L1562" s="29"/>
      <c r="M1562" s="29"/>
      <c r="N1562" s="29"/>
      <c r="O1562" s="29"/>
      <c r="P1562" s="29"/>
    </row>
    <row r="1563">
      <c r="A1563" s="111"/>
      <c r="B1563" s="112"/>
      <c r="C1563" s="29"/>
      <c r="D1563" s="29"/>
      <c r="E1563" s="29"/>
      <c r="F1563" s="29"/>
      <c r="G1563" s="29"/>
      <c r="H1563" s="29"/>
      <c r="I1563" s="29"/>
      <c r="J1563" s="29"/>
      <c r="K1563" s="29"/>
      <c r="L1563" s="29"/>
      <c r="M1563" s="29"/>
      <c r="N1563" s="29"/>
      <c r="O1563" s="29"/>
      <c r="P1563" s="29"/>
    </row>
    <row r="1564">
      <c r="A1564" s="111"/>
      <c r="B1564" s="112"/>
      <c r="C1564" s="29"/>
      <c r="D1564" s="29"/>
      <c r="E1564" s="29"/>
      <c r="F1564" s="29"/>
      <c r="G1564" s="29"/>
      <c r="H1564" s="29"/>
      <c r="I1564" s="29"/>
      <c r="J1564" s="29"/>
      <c r="K1564" s="29"/>
      <c r="L1564" s="29"/>
      <c r="M1564" s="29"/>
      <c r="N1564" s="29"/>
      <c r="O1564" s="29"/>
      <c r="P1564" s="29"/>
    </row>
    <row r="1565">
      <c r="A1565" s="111"/>
      <c r="B1565" s="112"/>
      <c r="C1565" s="29"/>
      <c r="D1565" s="29"/>
      <c r="E1565" s="29"/>
      <c r="F1565" s="29"/>
      <c r="G1565" s="29"/>
      <c r="H1565" s="29"/>
      <c r="I1565" s="29"/>
      <c r="J1565" s="29"/>
      <c r="K1565" s="29"/>
      <c r="L1565" s="29"/>
      <c r="M1565" s="29"/>
      <c r="N1565" s="29"/>
      <c r="O1565" s="29"/>
      <c r="P1565" s="29"/>
    </row>
    <row r="1566">
      <c r="A1566" s="111"/>
      <c r="B1566" s="112"/>
      <c r="C1566" s="29"/>
      <c r="D1566" s="29"/>
      <c r="E1566" s="29"/>
      <c r="F1566" s="29"/>
      <c r="G1566" s="29"/>
      <c r="H1566" s="29"/>
      <c r="I1566" s="29"/>
      <c r="J1566" s="29"/>
      <c r="K1566" s="29"/>
      <c r="L1566" s="29"/>
      <c r="M1566" s="29"/>
      <c r="N1566" s="29"/>
      <c r="O1566" s="29"/>
      <c r="P1566" s="29"/>
    </row>
    <row r="1567">
      <c r="A1567" s="111"/>
      <c r="B1567" s="112"/>
      <c r="C1567" s="29"/>
      <c r="D1567" s="29"/>
      <c r="E1567" s="29"/>
      <c r="F1567" s="29"/>
      <c r="G1567" s="29"/>
      <c r="H1567" s="29"/>
      <c r="I1567" s="29"/>
      <c r="J1567" s="29"/>
      <c r="K1567" s="29"/>
      <c r="L1567" s="29"/>
      <c r="M1567" s="29"/>
      <c r="N1567" s="29"/>
      <c r="O1567" s="29"/>
      <c r="P1567" s="29"/>
    </row>
    <row r="1568">
      <c r="A1568" s="111"/>
      <c r="B1568" s="112"/>
      <c r="C1568" s="29"/>
      <c r="D1568" s="29"/>
      <c r="E1568" s="29"/>
      <c r="F1568" s="29"/>
      <c r="G1568" s="29"/>
      <c r="H1568" s="29"/>
      <c r="I1568" s="29"/>
      <c r="J1568" s="29"/>
      <c r="K1568" s="29"/>
      <c r="L1568" s="29"/>
      <c r="M1568" s="29"/>
      <c r="N1568" s="29"/>
      <c r="O1568" s="29"/>
      <c r="P1568" s="29"/>
    </row>
    <row r="1569">
      <c r="A1569" s="111"/>
      <c r="B1569" s="112"/>
      <c r="C1569" s="29"/>
      <c r="D1569" s="29"/>
      <c r="E1569" s="29"/>
      <c r="F1569" s="29"/>
      <c r="G1569" s="29"/>
      <c r="H1569" s="29"/>
      <c r="I1569" s="29"/>
      <c r="J1569" s="29"/>
      <c r="K1569" s="29"/>
      <c r="L1569" s="29"/>
      <c r="M1569" s="29"/>
      <c r="N1569" s="29"/>
      <c r="O1569" s="29"/>
      <c r="P1569" s="29"/>
    </row>
    <row r="1570">
      <c r="A1570" s="111"/>
      <c r="B1570" s="112"/>
      <c r="C1570" s="29"/>
      <c r="D1570" s="29"/>
      <c r="E1570" s="29"/>
      <c r="F1570" s="29"/>
      <c r="G1570" s="29"/>
      <c r="H1570" s="29"/>
      <c r="I1570" s="29"/>
      <c r="J1570" s="29"/>
      <c r="K1570" s="29"/>
      <c r="L1570" s="29"/>
      <c r="M1570" s="29"/>
      <c r="N1570" s="29"/>
      <c r="O1570" s="29"/>
      <c r="P1570" s="29"/>
    </row>
    <row r="1571">
      <c r="A1571" s="111"/>
      <c r="B1571" s="112"/>
      <c r="C1571" s="29"/>
      <c r="D1571" s="29"/>
      <c r="E1571" s="29"/>
      <c r="F1571" s="29"/>
      <c r="G1571" s="29"/>
      <c r="H1571" s="29"/>
      <c r="I1571" s="29"/>
      <c r="J1571" s="29"/>
      <c r="K1571" s="29"/>
      <c r="L1571" s="29"/>
      <c r="M1571" s="29"/>
      <c r="N1571" s="29"/>
      <c r="O1571" s="29"/>
      <c r="P1571" s="29"/>
    </row>
    <row r="1572">
      <c r="A1572" s="111"/>
      <c r="B1572" s="112"/>
      <c r="C1572" s="29"/>
      <c r="D1572" s="29"/>
      <c r="E1572" s="29"/>
      <c r="F1572" s="29"/>
      <c r="G1572" s="29"/>
      <c r="H1572" s="29"/>
      <c r="I1572" s="29"/>
      <c r="J1572" s="29"/>
      <c r="K1572" s="29"/>
      <c r="L1572" s="29"/>
      <c r="M1572" s="29"/>
      <c r="N1572" s="29"/>
      <c r="O1572" s="29"/>
      <c r="P1572" s="29"/>
    </row>
    <row r="1573">
      <c r="A1573" s="111"/>
      <c r="B1573" s="112"/>
      <c r="C1573" s="29"/>
      <c r="D1573" s="29"/>
      <c r="E1573" s="29"/>
      <c r="F1573" s="29"/>
      <c r="G1573" s="29"/>
      <c r="H1573" s="29"/>
      <c r="I1573" s="29"/>
      <c r="J1573" s="29"/>
      <c r="K1573" s="29"/>
      <c r="L1573" s="29"/>
      <c r="M1573" s="29"/>
      <c r="N1573" s="29"/>
      <c r="O1573" s="29"/>
      <c r="P1573" s="29"/>
    </row>
    <row r="1574">
      <c r="A1574" s="111"/>
      <c r="B1574" s="112"/>
      <c r="C1574" s="29"/>
      <c r="D1574" s="29"/>
      <c r="E1574" s="29"/>
      <c r="F1574" s="29"/>
      <c r="G1574" s="29"/>
      <c r="H1574" s="29"/>
      <c r="I1574" s="29"/>
      <c r="J1574" s="29"/>
      <c r="K1574" s="29"/>
      <c r="L1574" s="29"/>
      <c r="M1574" s="29"/>
      <c r="N1574" s="29"/>
      <c r="O1574" s="29"/>
      <c r="P1574" s="29"/>
    </row>
    <row r="1575">
      <c r="A1575" s="111"/>
      <c r="B1575" s="112"/>
      <c r="C1575" s="29"/>
      <c r="D1575" s="29"/>
      <c r="E1575" s="29"/>
      <c r="F1575" s="29"/>
      <c r="G1575" s="29"/>
      <c r="H1575" s="29"/>
      <c r="I1575" s="29"/>
      <c r="J1575" s="29"/>
      <c r="K1575" s="29"/>
      <c r="L1575" s="29"/>
      <c r="M1575" s="29"/>
      <c r="N1575" s="29"/>
      <c r="O1575" s="29"/>
      <c r="P1575" s="29"/>
    </row>
    <row r="1576">
      <c r="A1576" s="111"/>
      <c r="B1576" s="112"/>
      <c r="C1576" s="29"/>
      <c r="D1576" s="29"/>
      <c r="E1576" s="29"/>
      <c r="F1576" s="29"/>
      <c r="G1576" s="29"/>
      <c r="H1576" s="29"/>
      <c r="I1576" s="29"/>
      <c r="J1576" s="29"/>
      <c r="K1576" s="29"/>
      <c r="L1576" s="29"/>
      <c r="M1576" s="29"/>
      <c r="N1576" s="29"/>
      <c r="O1576" s="29"/>
      <c r="P1576" s="29"/>
    </row>
    <row r="1577">
      <c r="A1577" s="111"/>
      <c r="B1577" s="112"/>
      <c r="C1577" s="29"/>
      <c r="D1577" s="29"/>
      <c r="E1577" s="29"/>
      <c r="F1577" s="29"/>
      <c r="G1577" s="29"/>
      <c r="H1577" s="29"/>
      <c r="I1577" s="29"/>
      <c r="J1577" s="29"/>
      <c r="K1577" s="29"/>
      <c r="L1577" s="29"/>
      <c r="M1577" s="29"/>
      <c r="N1577" s="29"/>
      <c r="O1577" s="29"/>
      <c r="P1577" s="29"/>
    </row>
    <row r="1578">
      <c r="A1578" s="111"/>
      <c r="B1578" s="112"/>
      <c r="C1578" s="29"/>
      <c r="D1578" s="29"/>
      <c r="E1578" s="29"/>
      <c r="F1578" s="29"/>
      <c r="G1578" s="29"/>
      <c r="H1578" s="29"/>
      <c r="I1578" s="29"/>
      <c r="J1578" s="29"/>
      <c r="K1578" s="29"/>
      <c r="L1578" s="29"/>
      <c r="M1578" s="29"/>
      <c r="N1578" s="29"/>
      <c r="O1578" s="29"/>
      <c r="P1578" s="29"/>
    </row>
    <row r="1579">
      <c r="A1579" s="111"/>
      <c r="B1579" s="112"/>
      <c r="C1579" s="29"/>
      <c r="D1579" s="29"/>
      <c r="E1579" s="29"/>
      <c r="F1579" s="29"/>
      <c r="G1579" s="29"/>
      <c r="H1579" s="29"/>
      <c r="I1579" s="29"/>
      <c r="J1579" s="29"/>
      <c r="K1579" s="29"/>
      <c r="L1579" s="29"/>
      <c r="M1579" s="29"/>
      <c r="N1579" s="29"/>
      <c r="O1579" s="29"/>
      <c r="P1579" s="29"/>
    </row>
    <row r="1580">
      <c r="A1580" s="111"/>
      <c r="B1580" s="112"/>
      <c r="C1580" s="29"/>
      <c r="D1580" s="29"/>
      <c r="E1580" s="29"/>
      <c r="F1580" s="29"/>
      <c r="G1580" s="29"/>
      <c r="H1580" s="29"/>
      <c r="I1580" s="29"/>
      <c r="J1580" s="29"/>
      <c r="K1580" s="29"/>
      <c r="L1580" s="29"/>
      <c r="M1580" s="29"/>
      <c r="N1580" s="29"/>
      <c r="O1580" s="29"/>
      <c r="P1580" s="29"/>
    </row>
    <row r="1581">
      <c r="A1581" s="111"/>
      <c r="B1581" s="112"/>
      <c r="C1581" s="29"/>
      <c r="D1581" s="29"/>
      <c r="E1581" s="29"/>
      <c r="F1581" s="29"/>
      <c r="G1581" s="29"/>
      <c r="H1581" s="29"/>
      <c r="I1581" s="29"/>
      <c r="J1581" s="29"/>
      <c r="K1581" s="29"/>
      <c r="L1581" s="29"/>
      <c r="M1581" s="29"/>
      <c r="N1581" s="29"/>
      <c r="O1581" s="29"/>
      <c r="P1581" s="29"/>
    </row>
    <row r="1582">
      <c r="A1582" s="111"/>
      <c r="B1582" s="112"/>
      <c r="C1582" s="29"/>
      <c r="D1582" s="29"/>
      <c r="E1582" s="29"/>
      <c r="F1582" s="29"/>
      <c r="G1582" s="29"/>
      <c r="H1582" s="29"/>
      <c r="I1582" s="29"/>
      <c r="J1582" s="29"/>
      <c r="K1582" s="29"/>
      <c r="L1582" s="29"/>
      <c r="M1582" s="29"/>
      <c r="N1582" s="29"/>
      <c r="O1582" s="29"/>
      <c r="P1582" s="29"/>
    </row>
    <row r="1583">
      <c r="A1583" s="111"/>
      <c r="B1583" s="112"/>
      <c r="C1583" s="29"/>
      <c r="D1583" s="29"/>
      <c r="E1583" s="29"/>
      <c r="F1583" s="29"/>
      <c r="G1583" s="29"/>
      <c r="H1583" s="29"/>
      <c r="I1583" s="29"/>
      <c r="J1583" s="29"/>
      <c r="K1583" s="29"/>
      <c r="L1583" s="29"/>
      <c r="M1583" s="29"/>
      <c r="N1583" s="29"/>
      <c r="O1583" s="29"/>
      <c r="P1583" s="29"/>
    </row>
    <row r="1584">
      <c r="A1584" s="111"/>
      <c r="B1584" s="112"/>
      <c r="C1584" s="29"/>
      <c r="D1584" s="29"/>
      <c r="E1584" s="29"/>
      <c r="F1584" s="29"/>
      <c r="G1584" s="29"/>
      <c r="H1584" s="29"/>
      <c r="I1584" s="29"/>
      <c r="J1584" s="29"/>
      <c r="K1584" s="29"/>
      <c r="L1584" s="29"/>
      <c r="M1584" s="29"/>
      <c r="N1584" s="29"/>
      <c r="O1584" s="29"/>
      <c r="P1584" s="29"/>
    </row>
    <row r="1585">
      <c r="A1585" s="111"/>
      <c r="B1585" s="112"/>
      <c r="C1585" s="29"/>
      <c r="D1585" s="29"/>
      <c r="E1585" s="29"/>
      <c r="F1585" s="29"/>
      <c r="G1585" s="29"/>
      <c r="H1585" s="29"/>
      <c r="I1585" s="29"/>
      <c r="J1585" s="29"/>
      <c r="K1585" s="29"/>
      <c r="L1585" s="29"/>
      <c r="M1585" s="29"/>
      <c r="N1585" s="29"/>
      <c r="O1585" s="29"/>
      <c r="P1585" s="29"/>
    </row>
    <row r="1586">
      <c r="A1586" s="111"/>
      <c r="B1586" s="112"/>
      <c r="C1586" s="29"/>
      <c r="D1586" s="29"/>
      <c r="E1586" s="29"/>
      <c r="F1586" s="29"/>
      <c r="G1586" s="29"/>
      <c r="H1586" s="29"/>
      <c r="I1586" s="29"/>
      <c r="J1586" s="29"/>
      <c r="K1586" s="29"/>
      <c r="L1586" s="29"/>
      <c r="M1586" s="29"/>
      <c r="N1586" s="29"/>
      <c r="O1586" s="29"/>
      <c r="P1586" s="29"/>
    </row>
    <row r="1587">
      <c r="A1587" s="111"/>
      <c r="B1587" s="112"/>
      <c r="C1587" s="29"/>
      <c r="D1587" s="29"/>
      <c r="E1587" s="29"/>
      <c r="F1587" s="29"/>
      <c r="G1587" s="29"/>
      <c r="H1587" s="29"/>
      <c r="I1587" s="29"/>
      <c r="J1587" s="29"/>
      <c r="K1587" s="29"/>
      <c r="L1587" s="29"/>
      <c r="M1587" s="29"/>
      <c r="N1587" s="29"/>
      <c r="O1587" s="29"/>
      <c r="P1587" s="29"/>
    </row>
    <row r="1588">
      <c r="A1588" s="111"/>
      <c r="B1588" s="112"/>
      <c r="C1588" s="29"/>
      <c r="D1588" s="29"/>
      <c r="E1588" s="29"/>
      <c r="F1588" s="29"/>
      <c r="G1588" s="29"/>
      <c r="H1588" s="29"/>
      <c r="I1588" s="29"/>
      <c r="J1588" s="29"/>
      <c r="K1588" s="29"/>
      <c r="L1588" s="29"/>
      <c r="M1588" s="29"/>
      <c r="N1588" s="29"/>
      <c r="O1588" s="29"/>
      <c r="P1588" s="29"/>
    </row>
    <row r="1589">
      <c r="A1589" s="111"/>
      <c r="B1589" s="112"/>
      <c r="C1589" s="29"/>
      <c r="D1589" s="29"/>
      <c r="E1589" s="29"/>
      <c r="F1589" s="29"/>
      <c r="G1589" s="29"/>
      <c r="H1589" s="29"/>
      <c r="I1589" s="29"/>
      <c r="J1589" s="29"/>
      <c r="K1589" s="29"/>
      <c r="L1589" s="29"/>
      <c r="M1589" s="29"/>
      <c r="N1589" s="29"/>
      <c r="O1589" s="29"/>
      <c r="P1589" s="29"/>
    </row>
    <row r="1590">
      <c r="A1590" s="111"/>
      <c r="B1590" s="112"/>
      <c r="C1590" s="29"/>
      <c r="D1590" s="29"/>
      <c r="E1590" s="29"/>
      <c r="F1590" s="29"/>
      <c r="G1590" s="29"/>
      <c r="H1590" s="29"/>
      <c r="I1590" s="29"/>
      <c r="J1590" s="29"/>
      <c r="K1590" s="29"/>
      <c r="L1590" s="29"/>
      <c r="M1590" s="29"/>
      <c r="N1590" s="29"/>
      <c r="O1590" s="29"/>
      <c r="P1590" s="29"/>
    </row>
    <row r="1591">
      <c r="A1591" s="111"/>
      <c r="B1591" s="112"/>
      <c r="C1591" s="29"/>
      <c r="D1591" s="29"/>
      <c r="E1591" s="29"/>
      <c r="F1591" s="29"/>
      <c r="G1591" s="29"/>
      <c r="H1591" s="29"/>
      <c r="I1591" s="29"/>
      <c r="J1591" s="29"/>
      <c r="K1591" s="29"/>
      <c r="L1591" s="29"/>
      <c r="M1591" s="29"/>
      <c r="N1591" s="29"/>
      <c r="O1591" s="29"/>
      <c r="P1591" s="29"/>
    </row>
    <row r="1592">
      <c r="A1592" s="111"/>
      <c r="B1592" s="112"/>
      <c r="C1592" s="29"/>
      <c r="D1592" s="29"/>
      <c r="E1592" s="29"/>
      <c r="F1592" s="29"/>
      <c r="G1592" s="29"/>
      <c r="H1592" s="29"/>
      <c r="I1592" s="29"/>
      <c r="J1592" s="29"/>
      <c r="K1592" s="29"/>
      <c r="L1592" s="29"/>
      <c r="M1592" s="29"/>
      <c r="N1592" s="29"/>
      <c r="O1592" s="29"/>
      <c r="P1592" s="29"/>
    </row>
    <row r="1593">
      <c r="A1593" s="111"/>
      <c r="B1593" s="112"/>
      <c r="C1593" s="29"/>
      <c r="D1593" s="29"/>
      <c r="E1593" s="29"/>
      <c r="F1593" s="29"/>
      <c r="G1593" s="29"/>
      <c r="H1593" s="29"/>
      <c r="I1593" s="29"/>
      <c r="J1593" s="29"/>
      <c r="K1593" s="29"/>
      <c r="L1593" s="29"/>
      <c r="M1593" s="29"/>
      <c r="N1593" s="29"/>
      <c r="O1593" s="29"/>
      <c r="P1593" s="29"/>
    </row>
    <row r="1594">
      <c r="A1594" s="111"/>
      <c r="B1594" s="112"/>
      <c r="C1594" s="29"/>
      <c r="D1594" s="29"/>
      <c r="E1594" s="29"/>
      <c r="F1594" s="29"/>
      <c r="G1594" s="29"/>
      <c r="H1594" s="29"/>
      <c r="I1594" s="29"/>
      <c r="J1594" s="29"/>
      <c r="K1594" s="29"/>
      <c r="L1594" s="29"/>
      <c r="M1594" s="29"/>
      <c r="N1594" s="29"/>
      <c r="O1594" s="29"/>
      <c r="P1594" s="29"/>
    </row>
    <row r="1595">
      <c r="A1595" s="111"/>
      <c r="B1595" s="112"/>
      <c r="C1595" s="29"/>
      <c r="D1595" s="29"/>
      <c r="E1595" s="29"/>
      <c r="F1595" s="29"/>
      <c r="G1595" s="29"/>
      <c r="H1595" s="29"/>
      <c r="I1595" s="29"/>
      <c r="J1595" s="29"/>
      <c r="K1595" s="29"/>
      <c r="L1595" s="29"/>
      <c r="M1595" s="29"/>
      <c r="N1595" s="29"/>
      <c r="O1595" s="29"/>
      <c r="P1595" s="29"/>
    </row>
    <row r="1596">
      <c r="A1596" s="111"/>
      <c r="B1596" s="112"/>
      <c r="C1596" s="29"/>
      <c r="D1596" s="29"/>
      <c r="E1596" s="29"/>
      <c r="F1596" s="29"/>
      <c r="G1596" s="29"/>
      <c r="H1596" s="29"/>
      <c r="I1596" s="29"/>
      <c r="J1596" s="29"/>
      <c r="K1596" s="29"/>
      <c r="L1596" s="29"/>
      <c r="M1596" s="29"/>
      <c r="N1596" s="29"/>
      <c r="O1596" s="29"/>
      <c r="P1596" s="29"/>
    </row>
    <row r="1597">
      <c r="A1597" s="111"/>
      <c r="B1597" s="112"/>
      <c r="C1597" s="29"/>
      <c r="D1597" s="29"/>
      <c r="E1597" s="29"/>
      <c r="F1597" s="29"/>
      <c r="G1597" s="29"/>
      <c r="H1597" s="29"/>
      <c r="I1597" s="29"/>
      <c r="J1597" s="29"/>
      <c r="K1597" s="29"/>
      <c r="L1597" s="29"/>
      <c r="M1597" s="29"/>
      <c r="N1597" s="29"/>
      <c r="O1597" s="29"/>
      <c r="P1597" s="29"/>
    </row>
    <row r="1598">
      <c r="A1598" s="111"/>
      <c r="B1598" s="112"/>
      <c r="C1598" s="29"/>
      <c r="D1598" s="29"/>
      <c r="E1598" s="29"/>
      <c r="F1598" s="29"/>
      <c r="G1598" s="29"/>
      <c r="H1598" s="29"/>
      <c r="I1598" s="29"/>
      <c r="J1598" s="29"/>
      <c r="K1598" s="29"/>
      <c r="L1598" s="29"/>
      <c r="M1598" s="29"/>
      <c r="N1598" s="29"/>
      <c r="O1598" s="29"/>
      <c r="P1598" s="29"/>
    </row>
    <row r="1599">
      <c r="A1599" s="111"/>
      <c r="B1599" s="112"/>
      <c r="C1599" s="29"/>
      <c r="D1599" s="29"/>
      <c r="E1599" s="29"/>
      <c r="F1599" s="29"/>
      <c r="G1599" s="29"/>
      <c r="H1599" s="29"/>
      <c r="I1599" s="29"/>
      <c r="J1599" s="29"/>
      <c r="K1599" s="29"/>
      <c r="L1599" s="29"/>
      <c r="M1599" s="29"/>
      <c r="N1599" s="29"/>
      <c r="O1599" s="29"/>
      <c r="P1599" s="29"/>
    </row>
    <row r="1600">
      <c r="A1600" s="111"/>
      <c r="B1600" s="112"/>
      <c r="C1600" s="29"/>
      <c r="D1600" s="29"/>
      <c r="E1600" s="29"/>
      <c r="F1600" s="29"/>
      <c r="G1600" s="29"/>
      <c r="H1600" s="29"/>
      <c r="I1600" s="29"/>
      <c r="J1600" s="29"/>
      <c r="K1600" s="29"/>
      <c r="L1600" s="29"/>
      <c r="M1600" s="29"/>
      <c r="N1600" s="29"/>
      <c r="O1600" s="29"/>
      <c r="P1600" s="29"/>
    </row>
    <row r="1601">
      <c r="A1601" s="111"/>
      <c r="B1601" s="112"/>
      <c r="C1601" s="29"/>
      <c r="D1601" s="29"/>
      <c r="E1601" s="29"/>
      <c r="F1601" s="29"/>
      <c r="G1601" s="29"/>
      <c r="H1601" s="29"/>
      <c r="I1601" s="29"/>
      <c r="J1601" s="29"/>
      <c r="K1601" s="29"/>
      <c r="L1601" s="29"/>
      <c r="M1601" s="29"/>
      <c r="N1601" s="29"/>
      <c r="O1601" s="29"/>
      <c r="P1601" s="29"/>
    </row>
    <row r="1602">
      <c r="A1602" s="111"/>
      <c r="B1602" s="112"/>
      <c r="C1602" s="29"/>
      <c r="D1602" s="29"/>
      <c r="E1602" s="29"/>
      <c r="F1602" s="29"/>
      <c r="G1602" s="29"/>
      <c r="H1602" s="29"/>
      <c r="I1602" s="29"/>
      <c r="J1602" s="29"/>
      <c r="K1602" s="29"/>
      <c r="L1602" s="29"/>
      <c r="M1602" s="29"/>
      <c r="N1602" s="29"/>
      <c r="O1602" s="29"/>
      <c r="P1602" s="29"/>
    </row>
    <row r="1603">
      <c r="A1603" s="111"/>
      <c r="B1603" s="112"/>
      <c r="C1603" s="29"/>
      <c r="D1603" s="29"/>
      <c r="E1603" s="29"/>
      <c r="F1603" s="29"/>
      <c r="G1603" s="29"/>
      <c r="H1603" s="29"/>
      <c r="I1603" s="29"/>
      <c r="J1603" s="29"/>
      <c r="K1603" s="29"/>
      <c r="L1603" s="29"/>
      <c r="M1603" s="29"/>
      <c r="N1603" s="29"/>
      <c r="O1603" s="29"/>
      <c r="P1603" s="29"/>
    </row>
    <row r="1604">
      <c r="A1604" s="111"/>
      <c r="B1604" s="112"/>
      <c r="C1604" s="29"/>
      <c r="D1604" s="29"/>
      <c r="E1604" s="29"/>
      <c r="F1604" s="29"/>
      <c r="G1604" s="29"/>
      <c r="H1604" s="29"/>
      <c r="I1604" s="29"/>
      <c r="J1604" s="29"/>
      <c r="K1604" s="29"/>
      <c r="L1604" s="29"/>
      <c r="M1604" s="29"/>
      <c r="N1604" s="29"/>
      <c r="O1604" s="29"/>
      <c r="P1604" s="29"/>
    </row>
    <row r="1605">
      <c r="A1605" s="111"/>
      <c r="B1605" s="112"/>
      <c r="C1605" s="29"/>
      <c r="D1605" s="29"/>
      <c r="E1605" s="29"/>
      <c r="F1605" s="29"/>
      <c r="G1605" s="29"/>
      <c r="H1605" s="29"/>
      <c r="I1605" s="29"/>
      <c r="J1605" s="29"/>
      <c r="K1605" s="29"/>
      <c r="L1605" s="29"/>
      <c r="M1605" s="29"/>
      <c r="N1605" s="29"/>
      <c r="O1605" s="29"/>
      <c r="P1605" s="29"/>
    </row>
    <row r="1606">
      <c r="A1606" s="111"/>
      <c r="B1606" s="112"/>
      <c r="C1606" s="29"/>
      <c r="D1606" s="29"/>
      <c r="E1606" s="29"/>
      <c r="F1606" s="29"/>
      <c r="G1606" s="29"/>
      <c r="H1606" s="29"/>
      <c r="I1606" s="29"/>
      <c r="J1606" s="29"/>
      <c r="K1606" s="29"/>
      <c r="L1606" s="29"/>
      <c r="M1606" s="29"/>
      <c r="N1606" s="29"/>
      <c r="O1606" s="29"/>
      <c r="P1606" s="29"/>
    </row>
    <row r="1607">
      <c r="A1607" s="111"/>
      <c r="B1607" s="112"/>
      <c r="C1607" s="29"/>
      <c r="D1607" s="29"/>
      <c r="E1607" s="29"/>
      <c r="F1607" s="29"/>
      <c r="G1607" s="29"/>
      <c r="H1607" s="29"/>
      <c r="I1607" s="29"/>
      <c r="J1607" s="29"/>
      <c r="K1607" s="29"/>
      <c r="L1607" s="29"/>
      <c r="M1607" s="29"/>
      <c r="N1607" s="29"/>
      <c r="O1607" s="29"/>
      <c r="P1607" s="29"/>
    </row>
    <row r="1608">
      <c r="A1608" s="111"/>
      <c r="B1608" s="112"/>
      <c r="C1608" s="29"/>
      <c r="D1608" s="29"/>
      <c r="E1608" s="29"/>
      <c r="F1608" s="29"/>
      <c r="G1608" s="29"/>
      <c r="H1608" s="29"/>
      <c r="I1608" s="29"/>
      <c r="J1608" s="29"/>
      <c r="K1608" s="29"/>
      <c r="L1608" s="29"/>
      <c r="M1608" s="29"/>
      <c r="N1608" s="29"/>
      <c r="O1608" s="29"/>
      <c r="P1608" s="29"/>
    </row>
    <row r="1609">
      <c r="A1609" s="111"/>
      <c r="B1609" s="112"/>
      <c r="C1609" s="29"/>
      <c r="D1609" s="29"/>
      <c r="E1609" s="29"/>
      <c r="F1609" s="29"/>
      <c r="G1609" s="29"/>
      <c r="H1609" s="29"/>
      <c r="I1609" s="29"/>
      <c r="J1609" s="29"/>
      <c r="K1609" s="29"/>
      <c r="L1609" s="29"/>
      <c r="M1609" s="29"/>
      <c r="N1609" s="29"/>
      <c r="O1609" s="29"/>
      <c r="P1609" s="29"/>
    </row>
    <row r="1610">
      <c r="A1610" s="111"/>
      <c r="B1610" s="112"/>
      <c r="C1610" s="29"/>
      <c r="D1610" s="29"/>
      <c r="E1610" s="29"/>
      <c r="F1610" s="29"/>
      <c r="G1610" s="29"/>
      <c r="H1610" s="29"/>
      <c r="I1610" s="29"/>
      <c r="J1610" s="29"/>
      <c r="K1610" s="29"/>
      <c r="L1610" s="29"/>
      <c r="M1610" s="29"/>
      <c r="N1610" s="29"/>
      <c r="O1610" s="29"/>
      <c r="P1610" s="29"/>
    </row>
    <row r="1611">
      <c r="A1611" s="111"/>
      <c r="B1611" s="112"/>
      <c r="C1611" s="29"/>
      <c r="D1611" s="29"/>
      <c r="E1611" s="29"/>
      <c r="F1611" s="29"/>
      <c r="G1611" s="29"/>
      <c r="H1611" s="29"/>
      <c r="I1611" s="29"/>
      <c r="J1611" s="29"/>
      <c r="K1611" s="29"/>
      <c r="L1611" s="29"/>
      <c r="M1611" s="29"/>
      <c r="N1611" s="29"/>
      <c r="O1611" s="29"/>
      <c r="P1611" s="29"/>
    </row>
    <row r="1612">
      <c r="A1612" s="111"/>
      <c r="B1612" s="112"/>
      <c r="C1612" s="29"/>
      <c r="D1612" s="29"/>
      <c r="E1612" s="29"/>
      <c r="F1612" s="29"/>
      <c r="G1612" s="29"/>
      <c r="H1612" s="29"/>
      <c r="I1612" s="29"/>
      <c r="J1612" s="29"/>
      <c r="K1612" s="29"/>
      <c r="L1612" s="29"/>
      <c r="M1612" s="29"/>
      <c r="N1612" s="29"/>
      <c r="O1612" s="29"/>
      <c r="P1612" s="29"/>
    </row>
    <row r="1613">
      <c r="A1613" s="111"/>
      <c r="B1613" s="112"/>
      <c r="C1613" s="29"/>
      <c r="D1613" s="29"/>
      <c r="E1613" s="29"/>
      <c r="F1613" s="29"/>
      <c r="G1613" s="29"/>
      <c r="H1613" s="29"/>
      <c r="I1613" s="29"/>
      <c r="J1613" s="29"/>
      <c r="K1613" s="29"/>
      <c r="L1613" s="29"/>
      <c r="M1613" s="29"/>
      <c r="N1613" s="29"/>
      <c r="O1613" s="29"/>
      <c r="P1613" s="29"/>
    </row>
    <row r="1614">
      <c r="A1614" s="111"/>
      <c r="B1614" s="112"/>
      <c r="C1614" s="29"/>
      <c r="D1614" s="29"/>
      <c r="E1614" s="29"/>
      <c r="F1614" s="29"/>
      <c r="G1614" s="29"/>
      <c r="H1614" s="29"/>
      <c r="I1614" s="29"/>
      <c r="J1614" s="29"/>
      <c r="K1614" s="29"/>
      <c r="L1614" s="29"/>
      <c r="M1614" s="29"/>
      <c r="N1614" s="29"/>
      <c r="O1614" s="29"/>
      <c r="P1614" s="29"/>
    </row>
    <row r="1615">
      <c r="A1615" s="111"/>
      <c r="B1615" s="112"/>
      <c r="C1615" s="29"/>
      <c r="D1615" s="29"/>
      <c r="E1615" s="29"/>
      <c r="F1615" s="29"/>
      <c r="G1615" s="29"/>
      <c r="H1615" s="29"/>
      <c r="I1615" s="29"/>
      <c r="J1615" s="29"/>
      <c r="K1615" s="29"/>
      <c r="L1615" s="29"/>
      <c r="M1615" s="29"/>
      <c r="N1615" s="29"/>
      <c r="O1615" s="29"/>
      <c r="P1615" s="29"/>
    </row>
    <row r="1616">
      <c r="A1616" s="111"/>
      <c r="B1616" s="112"/>
      <c r="C1616" s="29"/>
      <c r="D1616" s="29"/>
      <c r="E1616" s="29"/>
      <c r="F1616" s="29"/>
      <c r="G1616" s="29"/>
      <c r="H1616" s="29"/>
      <c r="I1616" s="29"/>
      <c r="J1616" s="29"/>
      <c r="K1616" s="29"/>
      <c r="L1616" s="29"/>
      <c r="M1616" s="29"/>
      <c r="N1616" s="29"/>
      <c r="O1616" s="29"/>
      <c r="P1616" s="29"/>
    </row>
    <row r="1617">
      <c r="A1617" s="111"/>
      <c r="B1617" s="112"/>
      <c r="C1617" s="29"/>
      <c r="D1617" s="29"/>
      <c r="E1617" s="29"/>
      <c r="F1617" s="29"/>
      <c r="G1617" s="29"/>
      <c r="H1617" s="29"/>
      <c r="I1617" s="29"/>
      <c r="J1617" s="29"/>
      <c r="K1617" s="29"/>
      <c r="L1617" s="29"/>
      <c r="M1617" s="29"/>
      <c r="N1617" s="29"/>
      <c r="O1617" s="29"/>
      <c r="P1617" s="29"/>
    </row>
    <row r="1618">
      <c r="A1618" s="111"/>
      <c r="B1618" s="112"/>
      <c r="C1618" s="29"/>
      <c r="D1618" s="29"/>
      <c r="E1618" s="29"/>
      <c r="F1618" s="29"/>
      <c r="G1618" s="29"/>
      <c r="H1618" s="29"/>
      <c r="I1618" s="29"/>
      <c r="J1618" s="29"/>
      <c r="K1618" s="29"/>
      <c r="L1618" s="29"/>
      <c r="M1618" s="29"/>
      <c r="N1618" s="29"/>
      <c r="O1618" s="29"/>
      <c r="P1618" s="29"/>
    </row>
    <row r="1619">
      <c r="A1619" s="111"/>
      <c r="B1619" s="112"/>
      <c r="C1619" s="29"/>
      <c r="D1619" s="29"/>
      <c r="E1619" s="29"/>
      <c r="F1619" s="29"/>
      <c r="G1619" s="29"/>
      <c r="H1619" s="29"/>
      <c r="I1619" s="29"/>
      <c r="J1619" s="29"/>
      <c r="K1619" s="29"/>
      <c r="L1619" s="29"/>
      <c r="M1619" s="29"/>
      <c r="N1619" s="29"/>
      <c r="O1619" s="29"/>
      <c r="P1619" s="29"/>
    </row>
    <row r="1620">
      <c r="A1620" s="111"/>
      <c r="B1620" s="112"/>
      <c r="C1620" s="29"/>
      <c r="D1620" s="29"/>
      <c r="E1620" s="29"/>
      <c r="F1620" s="29"/>
      <c r="G1620" s="29"/>
      <c r="H1620" s="29"/>
      <c r="I1620" s="29"/>
      <c r="J1620" s="29"/>
      <c r="K1620" s="29"/>
      <c r="L1620" s="29"/>
      <c r="M1620" s="29"/>
      <c r="N1620" s="29"/>
      <c r="O1620" s="29"/>
      <c r="P1620" s="29"/>
    </row>
    <row r="1621">
      <c r="A1621" s="111"/>
      <c r="B1621" s="112"/>
      <c r="C1621" s="29"/>
      <c r="D1621" s="29"/>
      <c r="E1621" s="29"/>
      <c r="F1621" s="29"/>
      <c r="G1621" s="29"/>
      <c r="H1621" s="29"/>
      <c r="I1621" s="29"/>
      <c r="J1621" s="29"/>
      <c r="K1621" s="29"/>
      <c r="L1621" s="29"/>
      <c r="M1621" s="29"/>
      <c r="N1621" s="29"/>
      <c r="O1621" s="29"/>
      <c r="P1621" s="29"/>
    </row>
    <row r="1622">
      <c r="A1622" s="111"/>
      <c r="B1622" s="112"/>
      <c r="C1622" s="29"/>
      <c r="D1622" s="29"/>
      <c r="E1622" s="29"/>
      <c r="F1622" s="29"/>
      <c r="G1622" s="29"/>
      <c r="H1622" s="29"/>
      <c r="I1622" s="29"/>
      <c r="J1622" s="29"/>
      <c r="K1622" s="29"/>
      <c r="L1622" s="29"/>
      <c r="M1622" s="29"/>
      <c r="N1622" s="29"/>
      <c r="O1622" s="29"/>
      <c r="P1622" s="29"/>
    </row>
    <row r="1623">
      <c r="A1623" s="111"/>
      <c r="B1623" s="112"/>
      <c r="C1623" s="29"/>
      <c r="D1623" s="29"/>
      <c r="E1623" s="29"/>
      <c r="F1623" s="29"/>
      <c r="G1623" s="29"/>
      <c r="H1623" s="29"/>
      <c r="I1623" s="29"/>
      <c r="J1623" s="29"/>
      <c r="K1623" s="29"/>
      <c r="L1623" s="29"/>
      <c r="M1623" s="29"/>
      <c r="N1623" s="29"/>
      <c r="O1623" s="29"/>
      <c r="P1623" s="29"/>
    </row>
    <row r="1624">
      <c r="A1624" s="111"/>
      <c r="B1624" s="112"/>
      <c r="C1624" s="29"/>
      <c r="D1624" s="29"/>
      <c r="E1624" s="29"/>
      <c r="F1624" s="29"/>
      <c r="G1624" s="29"/>
      <c r="H1624" s="29"/>
      <c r="I1624" s="29"/>
      <c r="J1624" s="29"/>
      <c r="K1624" s="29"/>
      <c r="L1624" s="29"/>
      <c r="M1624" s="29"/>
      <c r="N1624" s="29"/>
      <c r="O1624" s="29"/>
      <c r="P1624" s="29"/>
    </row>
    <row r="1625">
      <c r="A1625" s="111"/>
      <c r="B1625" s="112"/>
      <c r="C1625" s="29"/>
      <c r="D1625" s="29"/>
      <c r="E1625" s="29"/>
      <c r="F1625" s="29"/>
      <c r="G1625" s="29"/>
      <c r="H1625" s="29"/>
      <c r="I1625" s="29"/>
      <c r="J1625" s="29"/>
      <c r="K1625" s="29"/>
      <c r="L1625" s="29"/>
      <c r="M1625" s="29"/>
      <c r="N1625" s="29"/>
      <c r="O1625" s="29"/>
      <c r="P1625" s="29"/>
    </row>
    <row r="1626">
      <c r="A1626" s="111"/>
      <c r="B1626" s="112"/>
      <c r="C1626" s="29"/>
      <c r="D1626" s="29"/>
      <c r="E1626" s="29"/>
      <c r="F1626" s="29"/>
      <c r="G1626" s="29"/>
      <c r="H1626" s="29"/>
      <c r="I1626" s="29"/>
      <c r="J1626" s="29"/>
      <c r="K1626" s="29"/>
      <c r="L1626" s="29"/>
      <c r="M1626" s="29"/>
      <c r="N1626" s="29"/>
      <c r="O1626" s="29"/>
      <c r="P1626" s="29"/>
    </row>
    <row r="1627">
      <c r="A1627" s="111"/>
      <c r="B1627" s="112"/>
      <c r="C1627" s="29"/>
      <c r="D1627" s="29"/>
      <c r="E1627" s="29"/>
      <c r="F1627" s="29"/>
      <c r="G1627" s="29"/>
      <c r="H1627" s="29"/>
      <c r="I1627" s="29"/>
      <c r="J1627" s="29"/>
      <c r="K1627" s="29"/>
      <c r="L1627" s="29"/>
      <c r="M1627" s="29"/>
      <c r="N1627" s="29"/>
      <c r="O1627" s="29"/>
      <c r="P1627" s="29"/>
    </row>
    <row r="1628">
      <c r="A1628" s="111"/>
      <c r="B1628" s="112"/>
      <c r="C1628" s="29"/>
      <c r="D1628" s="29"/>
      <c r="E1628" s="29"/>
      <c r="F1628" s="29"/>
      <c r="G1628" s="29"/>
      <c r="H1628" s="29"/>
      <c r="I1628" s="29"/>
      <c r="J1628" s="29"/>
      <c r="K1628" s="29"/>
      <c r="L1628" s="29"/>
      <c r="M1628" s="29"/>
      <c r="N1628" s="29"/>
      <c r="O1628" s="29"/>
      <c r="P1628" s="29"/>
    </row>
    <row r="1629">
      <c r="A1629" s="111"/>
      <c r="B1629" s="112"/>
      <c r="C1629" s="29"/>
      <c r="D1629" s="29"/>
      <c r="E1629" s="29"/>
      <c r="F1629" s="29"/>
      <c r="G1629" s="29"/>
      <c r="H1629" s="29"/>
      <c r="I1629" s="29"/>
      <c r="J1629" s="29"/>
      <c r="K1629" s="29"/>
      <c r="L1629" s="29"/>
      <c r="M1629" s="29"/>
      <c r="N1629" s="29"/>
      <c r="O1629" s="29"/>
      <c r="P1629" s="29"/>
    </row>
    <row r="1630">
      <c r="A1630" s="111"/>
      <c r="B1630" s="112"/>
      <c r="C1630" s="29"/>
      <c r="D1630" s="29"/>
      <c r="E1630" s="29"/>
      <c r="F1630" s="29"/>
      <c r="G1630" s="29"/>
      <c r="H1630" s="29"/>
      <c r="I1630" s="29"/>
      <c r="J1630" s="29"/>
      <c r="K1630" s="29"/>
      <c r="L1630" s="29"/>
      <c r="M1630" s="29"/>
      <c r="N1630" s="29"/>
      <c r="O1630" s="29"/>
      <c r="P1630" s="29"/>
    </row>
    <row r="1631">
      <c r="A1631" s="111"/>
      <c r="B1631" s="112"/>
      <c r="C1631" s="29"/>
      <c r="D1631" s="29"/>
      <c r="E1631" s="29"/>
      <c r="F1631" s="29"/>
      <c r="G1631" s="29"/>
      <c r="H1631" s="29"/>
      <c r="I1631" s="29"/>
      <c r="J1631" s="29"/>
      <c r="K1631" s="29"/>
      <c r="L1631" s="29"/>
      <c r="M1631" s="29"/>
      <c r="N1631" s="29"/>
      <c r="O1631" s="29"/>
      <c r="P1631" s="29"/>
    </row>
    <row r="1632">
      <c r="A1632" s="111"/>
      <c r="B1632" s="112"/>
      <c r="C1632" s="29"/>
      <c r="D1632" s="29"/>
      <c r="E1632" s="29"/>
      <c r="F1632" s="29"/>
      <c r="G1632" s="29"/>
      <c r="H1632" s="29"/>
      <c r="I1632" s="29"/>
      <c r="J1632" s="29"/>
      <c r="K1632" s="29"/>
      <c r="L1632" s="29"/>
      <c r="M1632" s="29"/>
      <c r="N1632" s="29"/>
      <c r="O1632" s="29"/>
      <c r="P1632" s="29"/>
    </row>
    <row r="1633">
      <c r="A1633" s="111"/>
      <c r="B1633" s="112"/>
      <c r="C1633" s="29"/>
      <c r="D1633" s="29"/>
      <c r="E1633" s="29"/>
      <c r="F1633" s="29"/>
      <c r="G1633" s="29"/>
      <c r="H1633" s="29"/>
      <c r="I1633" s="29"/>
      <c r="J1633" s="29"/>
      <c r="K1633" s="29"/>
      <c r="L1633" s="29"/>
      <c r="M1633" s="29"/>
      <c r="N1633" s="29"/>
      <c r="O1633" s="29"/>
      <c r="P1633" s="29"/>
    </row>
    <row r="1634">
      <c r="A1634" s="111"/>
      <c r="B1634" s="112"/>
      <c r="C1634" s="29"/>
      <c r="D1634" s="29"/>
      <c r="E1634" s="29"/>
      <c r="F1634" s="29"/>
      <c r="G1634" s="29"/>
      <c r="H1634" s="29"/>
      <c r="I1634" s="29"/>
      <c r="J1634" s="29"/>
      <c r="K1634" s="29"/>
      <c r="L1634" s="29"/>
      <c r="M1634" s="29"/>
      <c r="N1634" s="29"/>
      <c r="O1634" s="29"/>
      <c r="P1634" s="29"/>
    </row>
    <row r="1635">
      <c r="A1635" s="111"/>
      <c r="B1635" s="112"/>
      <c r="C1635" s="29"/>
      <c r="D1635" s="29"/>
      <c r="E1635" s="29"/>
      <c r="F1635" s="29"/>
      <c r="G1635" s="29"/>
      <c r="H1635" s="29"/>
      <c r="I1635" s="29"/>
      <c r="J1635" s="29"/>
      <c r="K1635" s="29"/>
      <c r="L1635" s="29"/>
      <c r="M1635" s="29"/>
      <c r="N1635" s="29"/>
      <c r="O1635" s="29"/>
      <c r="P1635" s="29"/>
    </row>
    <row r="1636">
      <c r="A1636" s="111"/>
      <c r="B1636" s="112"/>
      <c r="C1636" s="29"/>
      <c r="D1636" s="29"/>
      <c r="E1636" s="29"/>
      <c r="F1636" s="29"/>
      <c r="G1636" s="29"/>
      <c r="H1636" s="29"/>
      <c r="I1636" s="29"/>
      <c r="J1636" s="29"/>
      <c r="K1636" s="29"/>
      <c r="L1636" s="29"/>
      <c r="M1636" s="29"/>
      <c r="N1636" s="29"/>
      <c r="O1636" s="29"/>
      <c r="P1636" s="29"/>
    </row>
    <row r="1637">
      <c r="A1637" s="111"/>
      <c r="B1637" s="112"/>
      <c r="C1637" s="29"/>
      <c r="D1637" s="29"/>
      <c r="E1637" s="29"/>
      <c r="F1637" s="29"/>
      <c r="G1637" s="29"/>
      <c r="H1637" s="29"/>
      <c r="I1637" s="29"/>
      <c r="J1637" s="29"/>
      <c r="K1637" s="29"/>
      <c r="L1637" s="29"/>
      <c r="M1637" s="29"/>
      <c r="N1637" s="29"/>
      <c r="O1637" s="29"/>
      <c r="P1637" s="29"/>
    </row>
    <row r="1638">
      <c r="A1638" s="111"/>
      <c r="B1638" s="112"/>
      <c r="C1638" s="29"/>
      <c r="D1638" s="29"/>
      <c r="E1638" s="29"/>
      <c r="F1638" s="29"/>
      <c r="G1638" s="29"/>
      <c r="H1638" s="29"/>
      <c r="I1638" s="29"/>
      <c r="J1638" s="29"/>
      <c r="K1638" s="29"/>
      <c r="L1638" s="29"/>
      <c r="M1638" s="29"/>
      <c r="N1638" s="29"/>
      <c r="O1638" s="29"/>
      <c r="P1638" s="29"/>
    </row>
    <row r="1639">
      <c r="A1639" s="111"/>
      <c r="B1639" s="112"/>
      <c r="C1639" s="29"/>
      <c r="D1639" s="29"/>
      <c r="E1639" s="29"/>
      <c r="F1639" s="29"/>
      <c r="G1639" s="29"/>
      <c r="H1639" s="29"/>
      <c r="I1639" s="29"/>
      <c r="J1639" s="29"/>
      <c r="K1639" s="29"/>
      <c r="L1639" s="29"/>
      <c r="M1639" s="29"/>
      <c r="N1639" s="29"/>
      <c r="O1639" s="29"/>
      <c r="P1639" s="29"/>
    </row>
    <row r="1640">
      <c r="A1640" s="111"/>
      <c r="B1640" s="112"/>
      <c r="C1640" s="29"/>
      <c r="D1640" s="29"/>
      <c r="E1640" s="29"/>
      <c r="F1640" s="29"/>
      <c r="G1640" s="29"/>
      <c r="H1640" s="29"/>
      <c r="I1640" s="29"/>
      <c r="J1640" s="29"/>
      <c r="K1640" s="29"/>
      <c r="L1640" s="29"/>
      <c r="M1640" s="29"/>
      <c r="N1640" s="29"/>
      <c r="O1640" s="29"/>
      <c r="P1640" s="29"/>
    </row>
    <row r="1641">
      <c r="A1641" s="111"/>
      <c r="B1641" s="112"/>
      <c r="C1641" s="29"/>
      <c r="D1641" s="29"/>
      <c r="E1641" s="29"/>
      <c r="F1641" s="29"/>
      <c r="G1641" s="29"/>
      <c r="H1641" s="29"/>
      <c r="I1641" s="29"/>
      <c r="J1641" s="29"/>
      <c r="K1641" s="29"/>
      <c r="L1641" s="29"/>
      <c r="M1641" s="29"/>
      <c r="N1641" s="29"/>
      <c r="O1641" s="29"/>
      <c r="P1641" s="29"/>
    </row>
    <row r="1642">
      <c r="A1642" s="111"/>
      <c r="B1642" s="112"/>
      <c r="C1642" s="29"/>
      <c r="D1642" s="29"/>
      <c r="E1642" s="29"/>
      <c r="F1642" s="29"/>
      <c r="G1642" s="29"/>
      <c r="H1642" s="29"/>
      <c r="I1642" s="29"/>
      <c r="J1642" s="29"/>
      <c r="K1642" s="29"/>
      <c r="L1642" s="29"/>
      <c r="M1642" s="29"/>
      <c r="N1642" s="29"/>
      <c r="O1642" s="29"/>
      <c r="P1642" s="29"/>
    </row>
    <row r="1643">
      <c r="A1643" s="111"/>
      <c r="B1643" s="112"/>
      <c r="C1643" s="29"/>
      <c r="D1643" s="29"/>
      <c r="E1643" s="29"/>
      <c r="F1643" s="29"/>
      <c r="G1643" s="29"/>
      <c r="H1643" s="29"/>
      <c r="I1643" s="29"/>
      <c r="J1643" s="29"/>
      <c r="K1643" s="29"/>
      <c r="L1643" s="29"/>
      <c r="M1643" s="29"/>
      <c r="N1643" s="29"/>
      <c r="O1643" s="29"/>
      <c r="P1643" s="29"/>
    </row>
    <row r="1644">
      <c r="A1644" s="111"/>
      <c r="B1644" s="112"/>
      <c r="C1644" s="29"/>
      <c r="D1644" s="29"/>
      <c r="E1644" s="29"/>
      <c r="F1644" s="29"/>
      <c r="G1644" s="29"/>
      <c r="H1644" s="29"/>
      <c r="I1644" s="29"/>
      <c r="J1644" s="29"/>
      <c r="K1644" s="29"/>
      <c r="L1644" s="29"/>
      <c r="M1644" s="29"/>
      <c r="N1644" s="29"/>
      <c r="O1644" s="29"/>
      <c r="P1644" s="29"/>
    </row>
    <row r="1645">
      <c r="A1645" s="111"/>
      <c r="B1645" s="112"/>
      <c r="C1645" s="29"/>
      <c r="D1645" s="29"/>
      <c r="E1645" s="29"/>
      <c r="F1645" s="29"/>
      <c r="G1645" s="29"/>
      <c r="H1645" s="29"/>
      <c r="I1645" s="29"/>
      <c r="J1645" s="29"/>
      <c r="K1645" s="29"/>
      <c r="L1645" s="29"/>
      <c r="M1645" s="29"/>
      <c r="N1645" s="29"/>
      <c r="O1645" s="29"/>
      <c r="P1645" s="29"/>
    </row>
    <row r="1646">
      <c r="A1646" s="111"/>
      <c r="B1646" s="112"/>
      <c r="C1646" s="29"/>
      <c r="D1646" s="29"/>
      <c r="E1646" s="29"/>
      <c r="F1646" s="29"/>
      <c r="G1646" s="29"/>
      <c r="H1646" s="29"/>
      <c r="I1646" s="29"/>
      <c r="J1646" s="29"/>
      <c r="K1646" s="29"/>
      <c r="L1646" s="29"/>
      <c r="M1646" s="29"/>
      <c r="N1646" s="29"/>
      <c r="O1646" s="29"/>
      <c r="P1646" s="29"/>
    </row>
    <row r="1647">
      <c r="A1647" s="111"/>
      <c r="B1647" s="112"/>
      <c r="C1647" s="29"/>
      <c r="D1647" s="29"/>
      <c r="E1647" s="29"/>
      <c r="F1647" s="29"/>
      <c r="G1647" s="29"/>
      <c r="H1647" s="29"/>
      <c r="I1647" s="29"/>
      <c r="J1647" s="29"/>
      <c r="K1647" s="29"/>
      <c r="L1647" s="29"/>
      <c r="M1647" s="29"/>
      <c r="N1647" s="29"/>
      <c r="O1647" s="29"/>
      <c r="P1647" s="29"/>
    </row>
    <row r="1648">
      <c r="A1648" s="111"/>
      <c r="B1648" s="112"/>
      <c r="C1648" s="29"/>
      <c r="D1648" s="29"/>
      <c r="E1648" s="29"/>
      <c r="F1648" s="29"/>
      <c r="G1648" s="29"/>
      <c r="H1648" s="29"/>
      <c r="I1648" s="29"/>
      <c r="J1648" s="29"/>
      <c r="K1648" s="29"/>
      <c r="L1648" s="29"/>
      <c r="M1648" s="29"/>
      <c r="N1648" s="29"/>
      <c r="O1648" s="29"/>
      <c r="P1648" s="29"/>
    </row>
    <row r="1649">
      <c r="A1649" s="111"/>
      <c r="B1649" s="112"/>
      <c r="C1649" s="29"/>
      <c r="D1649" s="29"/>
      <c r="E1649" s="29"/>
      <c r="F1649" s="29"/>
      <c r="G1649" s="29"/>
      <c r="H1649" s="29"/>
      <c r="I1649" s="29"/>
      <c r="J1649" s="29"/>
      <c r="K1649" s="29"/>
      <c r="L1649" s="29"/>
      <c r="M1649" s="29"/>
      <c r="N1649" s="29"/>
      <c r="O1649" s="29"/>
      <c r="P1649" s="29"/>
    </row>
    <row r="1650">
      <c r="A1650" s="111"/>
      <c r="B1650" s="112"/>
      <c r="C1650" s="29"/>
      <c r="D1650" s="29"/>
      <c r="E1650" s="29"/>
      <c r="F1650" s="29"/>
      <c r="G1650" s="29"/>
      <c r="H1650" s="29"/>
      <c r="I1650" s="29"/>
      <c r="J1650" s="29"/>
      <c r="K1650" s="29"/>
      <c r="L1650" s="29"/>
      <c r="M1650" s="29"/>
      <c r="N1650" s="29"/>
      <c r="O1650" s="29"/>
      <c r="P1650" s="29"/>
    </row>
    <row r="1651">
      <c r="A1651" s="111"/>
      <c r="B1651" s="112"/>
      <c r="C1651" s="29"/>
      <c r="D1651" s="29"/>
      <c r="E1651" s="29"/>
      <c r="F1651" s="29"/>
      <c r="G1651" s="29"/>
      <c r="H1651" s="29"/>
      <c r="I1651" s="29"/>
      <c r="J1651" s="29"/>
      <c r="K1651" s="29"/>
      <c r="L1651" s="29"/>
      <c r="M1651" s="29"/>
      <c r="N1651" s="29"/>
      <c r="O1651" s="29"/>
      <c r="P1651" s="29"/>
    </row>
    <row r="1652">
      <c r="A1652" s="111"/>
      <c r="B1652" s="112"/>
      <c r="C1652" s="29"/>
      <c r="D1652" s="29"/>
      <c r="E1652" s="29"/>
      <c r="F1652" s="29"/>
      <c r="G1652" s="29"/>
      <c r="H1652" s="29"/>
      <c r="I1652" s="29"/>
      <c r="J1652" s="29"/>
      <c r="K1652" s="29"/>
      <c r="L1652" s="29"/>
      <c r="M1652" s="29"/>
      <c r="N1652" s="29"/>
      <c r="O1652" s="29"/>
      <c r="P1652" s="29"/>
    </row>
    <row r="1653">
      <c r="A1653" s="111"/>
      <c r="B1653" s="112"/>
      <c r="C1653" s="29"/>
      <c r="D1653" s="29"/>
      <c r="E1653" s="29"/>
      <c r="F1653" s="29"/>
      <c r="G1653" s="29"/>
      <c r="H1653" s="29"/>
      <c r="I1653" s="29"/>
      <c r="J1653" s="29"/>
      <c r="K1653" s="29"/>
      <c r="L1653" s="29"/>
      <c r="M1653" s="29"/>
      <c r="N1653" s="29"/>
      <c r="O1653" s="29"/>
      <c r="P1653" s="29"/>
    </row>
    <row r="1654">
      <c r="A1654" s="111"/>
      <c r="B1654" s="112"/>
      <c r="C1654" s="29"/>
      <c r="D1654" s="29"/>
      <c r="E1654" s="29"/>
      <c r="F1654" s="29"/>
      <c r="G1654" s="29"/>
      <c r="H1654" s="29"/>
      <c r="I1654" s="29"/>
      <c r="J1654" s="29"/>
      <c r="K1654" s="29"/>
      <c r="L1654" s="29"/>
      <c r="M1654" s="29"/>
      <c r="N1654" s="29"/>
      <c r="O1654" s="29"/>
      <c r="P1654" s="29"/>
    </row>
    <row r="1655">
      <c r="A1655" s="111"/>
      <c r="B1655" s="112"/>
      <c r="C1655" s="29"/>
      <c r="D1655" s="29"/>
      <c r="E1655" s="29"/>
      <c r="F1655" s="29"/>
      <c r="G1655" s="29"/>
      <c r="H1655" s="29"/>
      <c r="I1655" s="29"/>
      <c r="J1655" s="29"/>
      <c r="K1655" s="29"/>
      <c r="L1655" s="29"/>
      <c r="M1655" s="29"/>
      <c r="N1655" s="29"/>
      <c r="O1655" s="29"/>
      <c r="P1655" s="29"/>
    </row>
    <row r="1656">
      <c r="A1656" s="111"/>
      <c r="B1656" s="112"/>
      <c r="C1656" s="29"/>
      <c r="D1656" s="29"/>
      <c r="E1656" s="29"/>
      <c r="F1656" s="29"/>
      <c r="G1656" s="29"/>
      <c r="H1656" s="29"/>
      <c r="I1656" s="29"/>
      <c r="J1656" s="29"/>
      <c r="K1656" s="29"/>
      <c r="L1656" s="29"/>
      <c r="M1656" s="29"/>
      <c r="N1656" s="29"/>
      <c r="O1656" s="29"/>
      <c r="P1656" s="29"/>
    </row>
    <row r="1657">
      <c r="A1657" s="111"/>
      <c r="B1657" s="112"/>
      <c r="C1657" s="29"/>
      <c r="D1657" s="29"/>
      <c r="E1657" s="29"/>
      <c r="F1657" s="29"/>
      <c r="G1657" s="29"/>
      <c r="H1657" s="29"/>
      <c r="I1657" s="29"/>
      <c r="J1657" s="29"/>
      <c r="K1657" s="29"/>
      <c r="L1657" s="29"/>
      <c r="M1657" s="29"/>
      <c r="N1657" s="29"/>
      <c r="O1657" s="29"/>
      <c r="P1657" s="29"/>
    </row>
    <row r="1658">
      <c r="A1658" s="111"/>
      <c r="B1658" s="112"/>
      <c r="C1658" s="29"/>
      <c r="D1658" s="29"/>
      <c r="E1658" s="29"/>
      <c r="F1658" s="29"/>
      <c r="G1658" s="29"/>
      <c r="H1658" s="29"/>
      <c r="I1658" s="29"/>
      <c r="J1658" s="29"/>
      <c r="K1658" s="29"/>
      <c r="L1658" s="29"/>
      <c r="M1658" s="29"/>
      <c r="N1658" s="29"/>
      <c r="O1658" s="29"/>
      <c r="P1658" s="29"/>
    </row>
    <row r="1659">
      <c r="A1659" s="111"/>
      <c r="B1659" s="112"/>
      <c r="C1659" s="29"/>
      <c r="D1659" s="29"/>
      <c r="E1659" s="29"/>
      <c r="F1659" s="29"/>
      <c r="G1659" s="29"/>
      <c r="H1659" s="29"/>
      <c r="I1659" s="29"/>
      <c r="J1659" s="29"/>
      <c r="K1659" s="29"/>
      <c r="L1659" s="29"/>
      <c r="M1659" s="29"/>
      <c r="N1659" s="29"/>
      <c r="O1659" s="29"/>
      <c r="P1659" s="29"/>
    </row>
    <row r="1660">
      <c r="A1660" s="111"/>
      <c r="B1660" s="112"/>
      <c r="C1660" s="29"/>
      <c r="D1660" s="29"/>
      <c r="E1660" s="29"/>
      <c r="F1660" s="29"/>
      <c r="G1660" s="29"/>
      <c r="H1660" s="29"/>
      <c r="I1660" s="29"/>
      <c r="J1660" s="29"/>
      <c r="K1660" s="29"/>
      <c r="L1660" s="29"/>
      <c r="M1660" s="29"/>
      <c r="N1660" s="29"/>
      <c r="O1660" s="29"/>
      <c r="P1660" s="29"/>
    </row>
    <row r="1661">
      <c r="A1661" s="111"/>
      <c r="B1661" s="112"/>
      <c r="C1661" s="29"/>
      <c r="D1661" s="29"/>
      <c r="E1661" s="29"/>
      <c r="F1661" s="29"/>
      <c r="G1661" s="29"/>
      <c r="H1661" s="29"/>
      <c r="I1661" s="29"/>
      <c r="J1661" s="29"/>
      <c r="K1661" s="29"/>
      <c r="L1661" s="29"/>
      <c r="M1661" s="29"/>
      <c r="N1661" s="29"/>
      <c r="O1661" s="29"/>
      <c r="P1661" s="29"/>
    </row>
    <row r="1662">
      <c r="A1662" s="111"/>
      <c r="B1662" s="112"/>
      <c r="C1662" s="29"/>
      <c r="D1662" s="29"/>
      <c r="E1662" s="29"/>
      <c r="F1662" s="29"/>
      <c r="G1662" s="29"/>
      <c r="H1662" s="29"/>
      <c r="I1662" s="29"/>
      <c r="J1662" s="29"/>
      <c r="K1662" s="29"/>
      <c r="L1662" s="29"/>
      <c r="M1662" s="29"/>
      <c r="N1662" s="29"/>
      <c r="O1662" s="29"/>
      <c r="P1662" s="29"/>
    </row>
    <row r="1663">
      <c r="A1663" s="111"/>
      <c r="B1663" s="112"/>
      <c r="C1663" s="29"/>
      <c r="D1663" s="29"/>
      <c r="E1663" s="29"/>
      <c r="F1663" s="29"/>
      <c r="G1663" s="29"/>
      <c r="H1663" s="29"/>
      <c r="I1663" s="29"/>
      <c r="J1663" s="29"/>
      <c r="K1663" s="29"/>
      <c r="L1663" s="29"/>
      <c r="M1663" s="29"/>
      <c r="N1663" s="29"/>
      <c r="O1663" s="29"/>
      <c r="P1663" s="29"/>
    </row>
    <row r="1664">
      <c r="A1664" s="111"/>
      <c r="B1664" s="112"/>
      <c r="C1664" s="29"/>
      <c r="D1664" s="29"/>
      <c r="E1664" s="29"/>
      <c r="F1664" s="29"/>
      <c r="G1664" s="29"/>
      <c r="H1664" s="29"/>
      <c r="I1664" s="29"/>
      <c r="J1664" s="29"/>
      <c r="K1664" s="29"/>
      <c r="L1664" s="29"/>
      <c r="M1664" s="29"/>
      <c r="N1664" s="29"/>
      <c r="O1664" s="29"/>
      <c r="P1664" s="29"/>
    </row>
    <row r="1665">
      <c r="A1665" s="111"/>
      <c r="B1665" s="112"/>
      <c r="C1665" s="29"/>
      <c r="D1665" s="29"/>
      <c r="E1665" s="29"/>
      <c r="F1665" s="29"/>
      <c r="G1665" s="29"/>
      <c r="H1665" s="29"/>
      <c r="I1665" s="29"/>
      <c r="J1665" s="29"/>
      <c r="K1665" s="29"/>
      <c r="L1665" s="29"/>
      <c r="M1665" s="29"/>
      <c r="N1665" s="29"/>
      <c r="O1665" s="29"/>
      <c r="P1665" s="29"/>
    </row>
    <row r="1666">
      <c r="A1666" s="111"/>
      <c r="B1666" s="112"/>
      <c r="C1666" s="29"/>
      <c r="D1666" s="29"/>
      <c r="E1666" s="29"/>
      <c r="F1666" s="29"/>
      <c r="G1666" s="29"/>
      <c r="H1666" s="29"/>
      <c r="I1666" s="29"/>
      <c r="J1666" s="29"/>
      <c r="K1666" s="29"/>
      <c r="L1666" s="29"/>
      <c r="M1666" s="29"/>
      <c r="N1666" s="29"/>
      <c r="O1666" s="29"/>
      <c r="P1666" s="29"/>
    </row>
    <row r="1667">
      <c r="A1667" s="111"/>
      <c r="B1667" s="112"/>
      <c r="C1667" s="29"/>
      <c r="D1667" s="29"/>
      <c r="E1667" s="29"/>
      <c r="F1667" s="29"/>
      <c r="G1667" s="29"/>
      <c r="H1667" s="29"/>
      <c r="I1667" s="29"/>
      <c r="J1667" s="29"/>
      <c r="K1667" s="29"/>
      <c r="L1667" s="29"/>
      <c r="M1667" s="29"/>
      <c r="N1667" s="29"/>
      <c r="O1667" s="29"/>
      <c r="P1667" s="29"/>
    </row>
    <row r="1668">
      <c r="A1668" s="111"/>
      <c r="B1668" s="112"/>
      <c r="C1668" s="29"/>
      <c r="D1668" s="29"/>
      <c r="E1668" s="29"/>
      <c r="F1668" s="29"/>
      <c r="G1668" s="29"/>
      <c r="H1668" s="29"/>
      <c r="I1668" s="29"/>
      <c r="J1668" s="29"/>
      <c r="K1668" s="29"/>
      <c r="L1668" s="29"/>
      <c r="M1668" s="29"/>
      <c r="N1668" s="29"/>
      <c r="O1668" s="29"/>
      <c r="P1668" s="29"/>
    </row>
    <row r="1669">
      <c r="A1669" s="111"/>
      <c r="B1669" s="112"/>
      <c r="C1669" s="29"/>
      <c r="D1669" s="29"/>
      <c r="E1669" s="29"/>
      <c r="F1669" s="29"/>
      <c r="G1669" s="29"/>
      <c r="H1669" s="29"/>
      <c r="I1669" s="29"/>
      <c r="J1669" s="29"/>
      <c r="K1669" s="29"/>
      <c r="L1669" s="29"/>
      <c r="M1669" s="29"/>
      <c r="N1669" s="29"/>
      <c r="O1669" s="29"/>
      <c r="P1669" s="29"/>
    </row>
    <row r="1670">
      <c r="A1670" s="111"/>
      <c r="B1670" s="112"/>
      <c r="C1670" s="29"/>
      <c r="D1670" s="29"/>
      <c r="E1670" s="29"/>
      <c r="F1670" s="29"/>
      <c r="G1670" s="29"/>
      <c r="H1670" s="29"/>
      <c r="I1670" s="29"/>
      <c r="J1670" s="29"/>
      <c r="K1670" s="29"/>
      <c r="L1670" s="29"/>
      <c r="M1670" s="29"/>
      <c r="N1670" s="29"/>
      <c r="O1670" s="29"/>
      <c r="P1670" s="29"/>
    </row>
    <row r="1671">
      <c r="A1671" s="111"/>
      <c r="B1671" s="112"/>
      <c r="C1671" s="29"/>
      <c r="D1671" s="29"/>
      <c r="E1671" s="29"/>
      <c r="F1671" s="29"/>
      <c r="G1671" s="29"/>
      <c r="H1671" s="29"/>
      <c r="I1671" s="29"/>
      <c r="J1671" s="29"/>
      <c r="K1671" s="29"/>
      <c r="L1671" s="29"/>
      <c r="M1671" s="29"/>
      <c r="N1671" s="29"/>
      <c r="O1671" s="29"/>
      <c r="P1671" s="29"/>
    </row>
    <row r="1672">
      <c r="A1672" s="111"/>
      <c r="B1672" s="112"/>
      <c r="C1672" s="29"/>
      <c r="D1672" s="29"/>
      <c r="E1672" s="29"/>
      <c r="F1672" s="29"/>
      <c r="G1672" s="29"/>
      <c r="H1672" s="29"/>
      <c r="I1672" s="29"/>
      <c r="J1672" s="29"/>
      <c r="K1672" s="29"/>
      <c r="L1672" s="29"/>
      <c r="M1672" s="29"/>
      <c r="N1672" s="29"/>
      <c r="O1672" s="29"/>
      <c r="P1672" s="29"/>
    </row>
    <row r="1673">
      <c r="A1673" s="111"/>
      <c r="B1673" s="112"/>
      <c r="C1673" s="29"/>
      <c r="D1673" s="29"/>
      <c r="E1673" s="29"/>
      <c r="F1673" s="29"/>
      <c r="G1673" s="29"/>
      <c r="H1673" s="29"/>
      <c r="I1673" s="29"/>
      <c r="J1673" s="29"/>
      <c r="K1673" s="29"/>
      <c r="L1673" s="29"/>
      <c r="M1673" s="29"/>
      <c r="N1673" s="29"/>
      <c r="O1673" s="29"/>
      <c r="P1673" s="29"/>
    </row>
    <row r="1674">
      <c r="A1674" s="111"/>
      <c r="B1674" s="112"/>
      <c r="C1674" s="29"/>
      <c r="D1674" s="29"/>
      <c r="E1674" s="29"/>
      <c r="F1674" s="29"/>
      <c r="G1674" s="29"/>
      <c r="H1674" s="29"/>
      <c r="I1674" s="29"/>
      <c r="J1674" s="29"/>
      <c r="K1674" s="29"/>
      <c r="L1674" s="29"/>
      <c r="M1674" s="29"/>
      <c r="N1674" s="29"/>
      <c r="O1674" s="29"/>
      <c r="P1674" s="29"/>
    </row>
    <row r="1675">
      <c r="A1675" s="111"/>
      <c r="B1675" s="112"/>
      <c r="C1675" s="29"/>
      <c r="D1675" s="29"/>
      <c r="E1675" s="29"/>
      <c r="F1675" s="29"/>
      <c r="G1675" s="29"/>
      <c r="H1675" s="29"/>
      <c r="I1675" s="29"/>
      <c r="J1675" s="29"/>
      <c r="K1675" s="29"/>
      <c r="L1675" s="29"/>
      <c r="M1675" s="29"/>
      <c r="N1675" s="29"/>
      <c r="O1675" s="29"/>
      <c r="P1675" s="29"/>
    </row>
    <row r="1676">
      <c r="A1676" s="111"/>
      <c r="B1676" s="112"/>
      <c r="C1676" s="29"/>
      <c r="D1676" s="29"/>
      <c r="E1676" s="29"/>
      <c r="F1676" s="29"/>
      <c r="G1676" s="29"/>
      <c r="H1676" s="29"/>
      <c r="I1676" s="29"/>
      <c r="J1676" s="29"/>
      <c r="K1676" s="29"/>
      <c r="L1676" s="29"/>
      <c r="M1676" s="29"/>
      <c r="N1676" s="29"/>
      <c r="O1676" s="29"/>
      <c r="P1676" s="29"/>
    </row>
    <row r="1677">
      <c r="A1677" s="111"/>
      <c r="B1677" s="112"/>
      <c r="C1677" s="29"/>
      <c r="D1677" s="29"/>
      <c r="E1677" s="29"/>
      <c r="F1677" s="29"/>
      <c r="G1677" s="29"/>
      <c r="H1677" s="29"/>
      <c r="I1677" s="29"/>
      <c r="J1677" s="29"/>
      <c r="K1677" s="29"/>
      <c r="L1677" s="29"/>
      <c r="M1677" s="29"/>
      <c r="N1677" s="29"/>
      <c r="O1677" s="29"/>
      <c r="P1677" s="29"/>
    </row>
    <row r="1678">
      <c r="A1678" s="111"/>
      <c r="B1678" s="112"/>
      <c r="C1678" s="29"/>
      <c r="D1678" s="29"/>
      <c r="E1678" s="29"/>
      <c r="F1678" s="29"/>
      <c r="G1678" s="29"/>
      <c r="H1678" s="29"/>
      <c r="I1678" s="29"/>
      <c r="J1678" s="29"/>
      <c r="K1678" s="29"/>
      <c r="L1678" s="29"/>
      <c r="M1678" s="29"/>
      <c r="N1678" s="29"/>
      <c r="O1678" s="29"/>
      <c r="P1678" s="29"/>
    </row>
    <row r="1679">
      <c r="A1679" s="111"/>
      <c r="B1679" s="112"/>
      <c r="C1679" s="29"/>
      <c r="D1679" s="29"/>
      <c r="E1679" s="29"/>
      <c r="F1679" s="29"/>
      <c r="G1679" s="29"/>
      <c r="H1679" s="29"/>
      <c r="I1679" s="29"/>
      <c r="J1679" s="29"/>
      <c r="K1679" s="29"/>
      <c r="L1679" s="29"/>
      <c r="M1679" s="29"/>
      <c r="N1679" s="29"/>
      <c r="O1679" s="29"/>
      <c r="P1679" s="29"/>
    </row>
    <row r="1680">
      <c r="A1680" s="111"/>
      <c r="B1680" s="112"/>
      <c r="C1680" s="29"/>
      <c r="D1680" s="29"/>
      <c r="E1680" s="29"/>
      <c r="F1680" s="29"/>
      <c r="G1680" s="29"/>
      <c r="H1680" s="29"/>
      <c r="I1680" s="29"/>
      <c r="J1680" s="29"/>
      <c r="K1680" s="29"/>
      <c r="L1680" s="29"/>
      <c r="M1680" s="29"/>
      <c r="N1680" s="29"/>
      <c r="O1680" s="29"/>
      <c r="P1680" s="29"/>
    </row>
    <row r="1681">
      <c r="A1681" s="111"/>
      <c r="B1681" s="112"/>
      <c r="C1681" s="29"/>
      <c r="D1681" s="29"/>
      <c r="E1681" s="29"/>
      <c r="F1681" s="29"/>
      <c r="G1681" s="29"/>
      <c r="H1681" s="29"/>
      <c r="I1681" s="29"/>
      <c r="J1681" s="29"/>
      <c r="K1681" s="29"/>
      <c r="L1681" s="29"/>
      <c r="M1681" s="29"/>
      <c r="N1681" s="29"/>
      <c r="O1681" s="29"/>
      <c r="P1681" s="29"/>
    </row>
    <row r="1682">
      <c r="A1682" s="111"/>
      <c r="B1682" s="112"/>
      <c r="C1682" s="29"/>
      <c r="D1682" s="29"/>
      <c r="E1682" s="29"/>
      <c r="F1682" s="29"/>
      <c r="G1682" s="29"/>
      <c r="H1682" s="29"/>
      <c r="I1682" s="29"/>
      <c r="J1682" s="29"/>
      <c r="K1682" s="29"/>
      <c r="L1682" s="29"/>
      <c r="M1682" s="29"/>
      <c r="N1682" s="29"/>
      <c r="O1682" s="29"/>
      <c r="P1682" s="29"/>
    </row>
    <row r="1683">
      <c r="A1683" s="111"/>
      <c r="B1683" s="112"/>
      <c r="C1683" s="29"/>
      <c r="D1683" s="29"/>
      <c r="E1683" s="29"/>
      <c r="F1683" s="29"/>
      <c r="G1683" s="29"/>
      <c r="H1683" s="29"/>
      <c r="I1683" s="29"/>
      <c r="J1683" s="29"/>
      <c r="K1683" s="29"/>
      <c r="L1683" s="29"/>
      <c r="M1683" s="29"/>
      <c r="N1683" s="29"/>
      <c r="O1683" s="29"/>
      <c r="P1683" s="29"/>
    </row>
    <row r="1684">
      <c r="A1684" s="111"/>
      <c r="B1684" s="112"/>
      <c r="C1684" s="29"/>
      <c r="D1684" s="29"/>
      <c r="E1684" s="29"/>
      <c r="F1684" s="29"/>
      <c r="G1684" s="29"/>
      <c r="H1684" s="29"/>
      <c r="I1684" s="29"/>
      <c r="J1684" s="29"/>
      <c r="K1684" s="29"/>
      <c r="L1684" s="29"/>
      <c r="M1684" s="29"/>
      <c r="N1684" s="29"/>
      <c r="O1684" s="29"/>
      <c r="P1684" s="29"/>
    </row>
    <row r="1685">
      <c r="A1685" s="111"/>
      <c r="B1685" s="112"/>
      <c r="C1685" s="29"/>
      <c r="D1685" s="29"/>
      <c r="E1685" s="29"/>
      <c r="F1685" s="29"/>
      <c r="G1685" s="29"/>
      <c r="H1685" s="29"/>
      <c r="I1685" s="29"/>
      <c r="J1685" s="29"/>
      <c r="K1685" s="29"/>
      <c r="L1685" s="29"/>
      <c r="M1685" s="29"/>
      <c r="N1685" s="29"/>
      <c r="O1685" s="29"/>
      <c r="P1685" s="29"/>
    </row>
    <row r="1686">
      <c r="A1686" s="111"/>
      <c r="B1686" s="112"/>
      <c r="C1686" s="29"/>
      <c r="D1686" s="29"/>
      <c r="E1686" s="29"/>
      <c r="F1686" s="29"/>
      <c r="G1686" s="29"/>
      <c r="H1686" s="29"/>
      <c r="I1686" s="29"/>
      <c r="J1686" s="29"/>
      <c r="K1686" s="29"/>
      <c r="L1686" s="29"/>
      <c r="M1686" s="29"/>
      <c r="N1686" s="29"/>
      <c r="O1686" s="29"/>
      <c r="P1686" s="29"/>
    </row>
    <row r="1687">
      <c r="A1687" s="111"/>
      <c r="B1687" s="112"/>
      <c r="C1687" s="29"/>
      <c r="D1687" s="29"/>
      <c r="E1687" s="29"/>
      <c r="F1687" s="29"/>
      <c r="G1687" s="29"/>
      <c r="H1687" s="29"/>
      <c r="I1687" s="29"/>
      <c r="J1687" s="29"/>
      <c r="K1687" s="29"/>
      <c r="L1687" s="29"/>
      <c r="M1687" s="29"/>
      <c r="N1687" s="29"/>
      <c r="O1687" s="29"/>
      <c r="P1687" s="29"/>
    </row>
    <row r="1688">
      <c r="A1688" s="111"/>
      <c r="B1688" s="112"/>
      <c r="C1688" s="29"/>
      <c r="D1688" s="29"/>
      <c r="E1688" s="29"/>
      <c r="F1688" s="29"/>
      <c r="G1688" s="29"/>
      <c r="H1688" s="29"/>
      <c r="I1688" s="29"/>
      <c r="J1688" s="29"/>
      <c r="K1688" s="29"/>
      <c r="L1688" s="29"/>
      <c r="M1688" s="29"/>
      <c r="N1688" s="29"/>
      <c r="O1688" s="29"/>
      <c r="P1688" s="29"/>
    </row>
    <row r="1689">
      <c r="A1689" s="111"/>
      <c r="B1689" s="112"/>
      <c r="C1689" s="29"/>
      <c r="D1689" s="29"/>
      <c r="E1689" s="29"/>
      <c r="F1689" s="29"/>
      <c r="G1689" s="29"/>
      <c r="H1689" s="29"/>
      <c r="I1689" s="29"/>
      <c r="J1689" s="29"/>
      <c r="K1689" s="29"/>
      <c r="L1689" s="29"/>
      <c r="M1689" s="29"/>
      <c r="N1689" s="29"/>
      <c r="O1689" s="29"/>
      <c r="P1689" s="29"/>
    </row>
    <row r="1690">
      <c r="A1690" s="111"/>
      <c r="B1690" s="112"/>
      <c r="C1690" s="29"/>
      <c r="D1690" s="29"/>
      <c r="E1690" s="29"/>
      <c r="F1690" s="29"/>
      <c r="G1690" s="29"/>
      <c r="H1690" s="29"/>
      <c r="I1690" s="29"/>
      <c r="J1690" s="29"/>
      <c r="K1690" s="29"/>
      <c r="L1690" s="29"/>
      <c r="M1690" s="29"/>
      <c r="N1690" s="29"/>
      <c r="O1690" s="29"/>
      <c r="P1690" s="29"/>
    </row>
    <row r="1691">
      <c r="A1691" s="111"/>
      <c r="B1691" s="112"/>
      <c r="C1691" s="29"/>
      <c r="D1691" s="29"/>
      <c r="E1691" s="29"/>
      <c r="F1691" s="29"/>
      <c r="G1691" s="29"/>
      <c r="H1691" s="29"/>
      <c r="I1691" s="29"/>
      <c r="J1691" s="29"/>
      <c r="K1691" s="29"/>
      <c r="L1691" s="29"/>
      <c r="M1691" s="29"/>
      <c r="N1691" s="29"/>
      <c r="O1691" s="29"/>
      <c r="P1691" s="29"/>
    </row>
    <row r="1692">
      <c r="A1692" s="111"/>
      <c r="B1692" s="112"/>
      <c r="C1692" s="29"/>
      <c r="D1692" s="29"/>
      <c r="E1692" s="29"/>
      <c r="F1692" s="29"/>
      <c r="G1692" s="29"/>
      <c r="H1692" s="29"/>
      <c r="I1692" s="29"/>
      <c r="J1692" s="29"/>
      <c r="K1692" s="29"/>
      <c r="L1692" s="29"/>
      <c r="M1692" s="29"/>
      <c r="N1692" s="29"/>
      <c r="O1692" s="29"/>
      <c r="P1692" s="29"/>
    </row>
    <row r="1693">
      <c r="A1693" s="111"/>
      <c r="B1693" s="112"/>
      <c r="C1693" s="29"/>
      <c r="D1693" s="29"/>
      <c r="E1693" s="29"/>
      <c r="F1693" s="29"/>
      <c r="G1693" s="29"/>
      <c r="H1693" s="29"/>
      <c r="I1693" s="29"/>
      <c r="J1693" s="29"/>
      <c r="K1693" s="29"/>
      <c r="L1693" s="29"/>
      <c r="M1693" s="29"/>
      <c r="N1693" s="29"/>
      <c r="O1693" s="29"/>
      <c r="P1693" s="29"/>
    </row>
    <row r="1694">
      <c r="A1694" s="111"/>
      <c r="B1694" s="112"/>
      <c r="C1694" s="29"/>
      <c r="D1694" s="29"/>
      <c r="E1694" s="29"/>
      <c r="F1694" s="29"/>
      <c r="G1694" s="29"/>
      <c r="H1694" s="29"/>
      <c r="I1694" s="29"/>
      <c r="J1694" s="29"/>
      <c r="K1694" s="29"/>
      <c r="L1694" s="29"/>
      <c r="M1694" s="29"/>
      <c r="N1694" s="29"/>
      <c r="O1694" s="29"/>
      <c r="P1694" s="29"/>
    </row>
    <row r="1695">
      <c r="A1695" s="111"/>
      <c r="B1695" s="112"/>
      <c r="C1695" s="29"/>
      <c r="D1695" s="29"/>
      <c r="E1695" s="29"/>
      <c r="F1695" s="29"/>
      <c r="G1695" s="29"/>
      <c r="H1695" s="29"/>
      <c r="I1695" s="29"/>
      <c r="J1695" s="29"/>
      <c r="K1695" s="29"/>
      <c r="L1695" s="29"/>
      <c r="M1695" s="29"/>
      <c r="N1695" s="29"/>
      <c r="O1695" s="29"/>
      <c r="P1695" s="29"/>
    </row>
    <row r="1696">
      <c r="A1696" s="111"/>
      <c r="B1696" s="112"/>
      <c r="C1696" s="29"/>
      <c r="D1696" s="29"/>
      <c r="E1696" s="29"/>
      <c r="F1696" s="29"/>
      <c r="G1696" s="29"/>
      <c r="H1696" s="29"/>
      <c r="I1696" s="29"/>
      <c r="J1696" s="29"/>
      <c r="K1696" s="29"/>
      <c r="L1696" s="29"/>
      <c r="M1696" s="29"/>
      <c r="N1696" s="29"/>
      <c r="O1696" s="29"/>
      <c r="P1696" s="29"/>
    </row>
    <row r="1697">
      <c r="A1697" s="111"/>
      <c r="B1697" s="112"/>
      <c r="C1697" s="29"/>
      <c r="D1697" s="29"/>
      <c r="E1697" s="29"/>
      <c r="F1697" s="29"/>
      <c r="G1697" s="29"/>
      <c r="H1697" s="29"/>
      <c r="I1697" s="29"/>
      <c r="J1697" s="29"/>
      <c r="K1697" s="29"/>
      <c r="L1697" s="29"/>
      <c r="M1697" s="29"/>
      <c r="N1697" s="29"/>
      <c r="O1697" s="29"/>
      <c r="P1697" s="29"/>
    </row>
    <row r="1698">
      <c r="A1698" s="111"/>
      <c r="B1698" s="112"/>
      <c r="C1698" s="29"/>
      <c r="D1698" s="29"/>
      <c r="E1698" s="29"/>
      <c r="F1698" s="29"/>
      <c r="G1698" s="29"/>
      <c r="H1698" s="29"/>
      <c r="I1698" s="29"/>
      <c r="J1698" s="29"/>
      <c r="K1698" s="29"/>
      <c r="L1698" s="29"/>
      <c r="M1698" s="29"/>
      <c r="N1698" s="29"/>
      <c r="O1698" s="29"/>
      <c r="P1698" s="29"/>
    </row>
    <row r="1699">
      <c r="A1699" s="111"/>
      <c r="B1699" s="112"/>
      <c r="C1699" s="29"/>
      <c r="D1699" s="29"/>
      <c r="E1699" s="29"/>
      <c r="F1699" s="29"/>
      <c r="G1699" s="29"/>
      <c r="H1699" s="29"/>
      <c r="I1699" s="29"/>
      <c r="J1699" s="29"/>
      <c r="K1699" s="29"/>
      <c r="L1699" s="29"/>
      <c r="M1699" s="29"/>
      <c r="N1699" s="29"/>
      <c r="O1699" s="29"/>
      <c r="P1699" s="29"/>
    </row>
    <row r="1700">
      <c r="A1700" s="111"/>
      <c r="B1700" s="112"/>
      <c r="C1700" s="29"/>
      <c r="D1700" s="29"/>
      <c r="E1700" s="29"/>
      <c r="F1700" s="29"/>
      <c r="G1700" s="29"/>
      <c r="H1700" s="29"/>
      <c r="I1700" s="29"/>
      <c r="J1700" s="29"/>
      <c r="K1700" s="29"/>
      <c r="L1700" s="29"/>
      <c r="M1700" s="29"/>
      <c r="N1700" s="29"/>
      <c r="O1700" s="29"/>
      <c r="P1700" s="29"/>
    </row>
    <row r="1701">
      <c r="A1701" s="111"/>
      <c r="B1701" s="112"/>
      <c r="C1701" s="29"/>
      <c r="D1701" s="29"/>
      <c r="E1701" s="29"/>
      <c r="F1701" s="29"/>
      <c r="G1701" s="29"/>
      <c r="H1701" s="29"/>
      <c r="I1701" s="29"/>
      <c r="J1701" s="29"/>
      <c r="K1701" s="29"/>
      <c r="L1701" s="29"/>
      <c r="M1701" s="29"/>
      <c r="N1701" s="29"/>
      <c r="O1701" s="29"/>
      <c r="P1701" s="29"/>
    </row>
    <row r="1702">
      <c r="A1702" s="111"/>
      <c r="B1702" s="112"/>
      <c r="C1702" s="29"/>
      <c r="D1702" s="29"/>
      <c r="E1702" s="29"/>
      <c r="F1702" s="29"/>
      <c r="G1702" s="29"/>
      <c r="H1702" s="29"/>
      <c r="I1702" s="29"/>
      <c r="J1702" s="29"/>
      <c r="K1702" s="29"/>
      <c r="L1702" s="29"/>
      <c r="M1702" s="29"/>
      <c r="N1702" s="29"/>
      <c r="O1702" s="29"/>
      <c r="P1702" s="29"/>
    </row>
    <row r="1703">
      <c r="A1703" s="111"/>
      <c r="B1703" s="112"/>
      <c r="C1703" s="29"/>
      <c r="D1703" s="29"/>
      <c r="E1703" s="29"/>
      <c r="F1703" s="29"/>
      <c r="G1703" s="29"/>
      <c r="H1703" s="29"/>
      <c r="I1703" s="29"/>
      <c r="J1703" s="29"/>
      <c r="K1703" s="29"/>
      <c r="L1703" s="29"/>
      <c r="M1703" s="29"/>
      <c r="N1703" s="29"/>
      <c r="O1703" s="29"/>
      <c r="P1703" s="29"/>
    </row>
    <row r="1704">
      <c r="A1704" s="111"/>
      <c r="B1704" s="112"/>
      <c r="C1704" s="29"/>
      <c r="D1704" s="29"/>
      <c r="E1704" s="29"/>
      <c r="F1704" s="29"/>
      <c r="G1704" s="29"/>
      <c r="H1704" s="29"/>
      <c r="I1704" s="29"/>
      <c r="J1704" s="29"/>
      <c r="K1704" s="29"/>
      <c r="L1704" s="29"/>
      <c r="M1704" s="29"/>
      <c r="N1704" s="29"/>
      <c r="O1704" s="29"/>
      <c r="P1704" s="29"/>
    </row>
    <row r="1705">
      <c r="A1705" s="111"/>
      <c r="B1705" s="112"/>
      <c r="C1705" s="29"/>
      <c r="D1705" s="29"/>
      <c r="E1705" s="29"/>
      <c r="F1705" s="29"/>
      <c r="G1705" s="29"/>
      <c r="H1705" s="29"/>
      <c r="I1705" s="29"/>
      <c r="J1705" s="29"/>
      <c r="K1705" s="29"/>
      <c r="L1705" s="29"/>
      <c r="M1705" s="29"/>
      <c r="N1705" s="29"/>
      <c r="O1705" s="29"/>
      <c r="P1705" s="29"/>
    </row>
    <row r="1706">
      <c r="A1706" s="111"/>
      <c r="B1706" s="112"/>
      <c r="C1706" s="29"/>
      <c r="D1706" s="29"/>
      <c r="E1706" s="29"/>
      <c r="F1706" s="29"/>
      <c r="G1706" s="29"/>
      <c r="H1706" s="29"/>
      <c r="I1706" s="29"/>
      <c r="J1706" s="29"/>
      <c r="K1706" s="29"/>
      <c r="L1706" s="29"/>
      <c r="M1706" s="29"/>
      <c r="N1706" s="29"/>
      <c r="O1706" s="29"/>
      <c r="P1706" s="29"/>
    </row>
    <row r="1707">
      <c r="A1707" s="111"/>
      <c r="B1707" s="112"/>
      <c r="C1707" s="29"/>
      <c r="D1707" s="29"/>
      <c r="E1707" s="29"/>
      <c r="F1707" s="29"/>
      <c r="G1707" s="29"/>
      <c r="H1707" s="29"/>
      <c r="I1707" s="29"/>
      <c r="J1707" s="29"/>
      <c r="K1707" s="29"/>
      <c r="L1707" s="29"/>
      <c r="M1707" s="29"/>
      <c r="N1707" s="29"/>
      <c r="O1707" s="29"/>
      <c r="P1707" s="29"/>
    </row>
    <row r="1708">
      <c r="A1708" s="111"/>
      <c r="B1708" s="112"/>
      <c r="C1708" s="29"/>
      <c r="D1708" s="29"/>
      <c r="E1708" s="29"/>
      <c r="F1708" s="29"/>
      <c r="G1708" s="29"/>
      <c r="H1708" s="29"/>
      <c r="I1708" s="29"/>
      <c r="J1708" s="29"/>
      <c r="K1708" s="29"/>
      <c r="L1708" s="29"/>
      <c r="M1708" s="29"/>
      <c r="N1708" s="29"/>
      <c r="O1708" s="29"/>
      <c r="P1708" s="29"/>
    </row>
    <row r="1709">
      <c r="A1709" s="111"/>
      <c r="B1709" s="112"/>
      <c r="C1709" s="29"/>
      <c r="D1709" s="29"/>
      <c r="E1709" s="29"/>
      <c r="F1709" s="29"/>
      <c r="G1709" s="29"/>
      <c r="H1709" s="29"/>
      <c r="I1709" s="29"/>
      <c r="J1709" s="29"/>
      <c r="K1709" s="29"/>
      <c r="L1709" s="29"/>
      <c r="M1709" s="29"/>
      <c r="N1709" s="29"/>
      <c r="O1709" s="29"/>
      <c r="P1709" s="29"/>
    </row>
    <row r="1710">
      <c r="A1710" s="111"/>
      <c r="B1710" s="112"/>
      <c r="C1710" s="29"/>
      <c r="D1710" s="29"/>
      <c r="E1710" s="29"/>
      <c r="F1710" s="29"/>
      <c r="G1710" s="29"/>
      <c r="H1710" s="29"/>
      <c r="I1710" s="29"/>
      <c r="J1710" s="29"/>
      <c r="K1710" s="29"/>
      <c r="L1710" s="29"/>
      <c r="M1710" s="29"/>
      <c r="N1710" s="29"/>
      <c r="O1710" s="29"/>
      <c r="P1710" s="29"/>
    </row>
    <row r="1711">
      <c r="A1711" s="111"/>
      <c r="B1711" s="112"/>
      <c r="C1711" s="29"/>
      <c r="D1711" s="29"/>
      <c r="E1711" s="29"/>
      <c r="F1711" s="29"/>
      <c r="G1711" s="29"/>
      <c r="H1711" s="29"/>
      <c r="I1711" s="29"/>
      <c r="J1711" s="29"/>
      <c r="K1711" s="29"/>
      <c r="L1711" s="29"/>
      <c r="M1711" s="29"/>
      <c r="N1711" s="29"/>
      <c r="O1711" s="29"/>
      <c r="P1711" s="29"/>
    </row>
    <row r="1712">
      <c r="A1712" s="111"/>
      <c r="B1712" s="112"/>
      <c r="C1712" s="29"/>
      <c r="D1712" s="29"/>
      <c r="E1712" s="29"/>
      <c r="F1712" s="29"/>
      <c r="G1712" s="29"/>
      <c r="H1712" s="29"/>
      <c r="I1712" s="29"/>
      <c r="J1712" s="29"/>
      <c r="K1712" s="29"/>
      <c r="L1712" s="29"/>
      <c r="M1712" s="29"/>
      <c r="N1712" s="29"/>
      <c r="O1712" s="29"/>
      <c r="P1712" s="29"/>
    </row>
    <row r="1713">
      <c r="A1713" s="111"/>
      <c r="B1713" s="112"/>
      <c r="C1713" s="29"/>
      <c r="D1713" s="29"/>
      <c r="E1713" s="29"/>
      <c r="F1713" s="29"/>
      <c r="G1713" s="29"/>
      <c r="H1713" s="29"/>
      <c r="I1713" s="29"/>
      <c r="J1713" s="29"/>
      <c r="K1713" s="29"/>
      <c r="L1713" s="29"/>
      <c r="M1713" s="29"/>
      <c r="N1713" s="29"/>
      <c r="O1713" s="29"/>
      <c r="P1713" s="29"/>
    </row>
    <row r="1714">
      <c r="A1714" s="111"/>
      <c r="B1714" s="112"/>
      <c r="C1714" s="29"/>
      <c r="D1714" s="29"/>
      <c r="E1714" s="29"/>
      <c r="F1714" s="29"/>
      <c r="G1714" s="29"/>
      <c r="H1714" s="29"/>
      <c r="I1714" s="29"/>
      <c r="J1714" s="29"/>
      <c r="K1714" s="29"/>
      <c r="L1714" s="29"/>
      <c r="M1714" s="29"/>
      <c r="N1714" s="29"/>
      <c r="O1714" s="29"/>
      <c r="P1714" s="29"/>
    </row>
    <row r="1715">
      <c r="A1715" s="111"/>
      <c r="B1715" s="112"/>
      <c r="C1715" s="29"/>
      <c r="D1715" s="29"/>
      <c r="E1715" s="29"/>
      <c r="F1715" s="29"/>
      <c r="G1715" s="29"/>
      <c r="H1715" s="29"/>
      <c r="I1715" s="29"/>
      <c r="J1715" s="29"/>
      <c r="K1715" s="29"/>
      <c r="L1715" s="29"/>
      <c r="M1715" s="29"/>
      <c r="N1715" s="29"/>
      <c r="O1715" s="29"/>
      <c r="P1715" s="29"/>
    </row>
    <row r="1716">
      <c r="A1716" s="111"/>
      <c r="B1716" s="112"/>
      <c r="C1716" s="29"/>
      <c r="D1716" s="29"/>
      <c r="E1716" s="29"/>
      <c r="F1716" s="29"/>
      <c r="G1716" s="29"/>
      <c r="H1716" s="29"/>
      <c r="I1716" s="29"/>
      <c r="J1716" s="29"/>
      <c r="K1716" s="29"/>
      <c r="L1716" s="29"/>
      <c r="M1716" s="29"/>
      <c r="N1716" s="29"/>
      <c r="O1716" s="29"/>
      <c r="P1716" s="29"/>
    </row>
    <row r="1717">
      <c r="A1717" s="111"/>
      <c r="B1717" s="112"/>
      <c r="C1717" s="29"/>
      <c r="D1717" s="29"/>
      <c r="E1717" s="29"/>
      <c r="F1717" s="29"/>
      <c r="G1717" s="29"/>
      <c r="H1717" s="29"/>
      <c r="I1717" s="29"/>
      <c r="J1717" s="29"/>
      <c r="K1717" s="29"/>
      <c r="L1717" s="29"/>
      <c r="M1717" s="29"/>
      <c r="N1717" s="29"/>
      <c r="O1717" s="29"/>
      <c r="P1717" s="29"/>
    </row>
    <row r="1718">
      <c r="A1718" s="111"/>
      <c r="B1718" s="112"/>
      <c r="C1718" s="29"/>
      <c r="D1718" s="29"/>
      <c r="E1718" s="29"/>
      <c r="F1718" s="29"/>
      <c r="G1718" s="29"/>
      <c r="H1718" s="29"/>
      <c r="I1718" s="29"/>
      <c r="J1718" s="29"/>
      <c r="K1718" s="29"/>
      <c r="L1718" s="29"/>
      <c r="M1718" s="29"/>
      <c r="N1718" s="29"/>
      <c r="O1718" s="29"/>
      <c r="P1718" s="29"/>
    </row>
    <row r="1719">
      <c r="A1719" s="111"/>
      <c r="B1719" s="112"/>
      <c r="C1719" s="29"/>
      <c r="D1719" s="29"/>
      <c r="E1719" s="29"/>
      <c r="F1719" s="29"/>
      <c r="G1719" s="29"/>
      <c r="H1719" s="29"/>
      <c r="I1719" s="29"/>
      <c r="J1719" s="29"/>
      <c r="K1719" s="29"/>
      <c r="L1719" s="29"/>
      <c r="M1719" s="29"/>
      <c r="N1719" s="29"/>
      <c r="O1719" s="29"/>
      <c r="P1719" s="29"/>
    </row>
    <row r="1720">
      <c r="A1720" s="111"/>
      <c r="B1720" s="112"/>
      <c r="C1720" s="29"/>
      <c r="D1720" s="29"/>
      <c r="E1720" s="29"/>
      <c r="F1720" s="29"/>
      <c r="G1720" s="29"/>
      <c r="H1720" s="29"/>
      <c r="I1720" s="29"/>
      <c r="J1720" s="29"/>
      <c r="K1720" s="29"/>
      <c r="L1720" s="29"/>
      <c r="M1720" s="29"/>
      <c r="N1720" s="29"/>
      <c r="O1720" s="29"/>
      <c r="P1720" s="29"/>
    </row>
    <row r="1721">
      <c r="A1721" s="111"/>
      <c r="B1721" s="112"/>
      <c r="C1721" s="29"/>
      <c r="D1721" s="29"/>
      <c r="E1721" s="29"/>
      <c r="F1721" s="29"/>
      <c r="G1721" s="29"/>
      <c r="H1721" s="29"/>
      <c r="I1721" s="29"/>
      <c r="J1721" s="29"/>
      <c r="K1721" s="29"/>
      <c r="L1721" s="29"/>
      <c r="M1721" s="29"/>
      <c r="N1721" s="29"/>
      <c r="O1721" s="29"/>
      <c r="P1721" s="29"/>
    </row>
    <row r="1722">
      <c r="A1722" s="111"/>
      <c r="B1722" s="112"/>
      <c r="C1722" s="29"/>
      <c r="D1722" s="29"/>
      <c r="E1722" s="29"/>
      <c r="F1722" s="29"/>
      <c r="G1722" s="29"/>
      <c r="H1722" s="29"/>
      <c r="I1722" s="29"/>
      <c r="J1722" s="29"/>
      <c r="K1722" s="29"/>
      <c r="L1722" s="29"/>
      <c r="M1722" s="29"/>
      <c r="N1722" s="29"/>
      <c r="O1722" s="29"/>
      <c r="P1722" s="29"/>
    </row>
    <row r="1723">
      <c r="A1723" s="111"/>
      <c r="B1723" s="112"/>
      <c r="C1723" s="29"/>
      <c r="D1723" s="29"/>
      <c r="E1723" s="29"/>
      <c r="F1723" s="29"/>
      <c r="G1723" s="29"/>
      <c r="H1723" s="29"/>
      <c r="I1723" s="29"/>
      <c r="J1723" s="29"/>
      <c r="K1723" s="29"/>
      <c r="L1723" s="29"/>
      <c r="M1723" s="29"/>
      <c r="N1723" s="29"/>
      <c r="O1723" s="29"/>
      <c r="P1723" s="29"/>
    </row>
    <row r="1724">
      <c r="A1724" s="111"/>
      <c r="B1724" s="112"/>
      <c r="C1724" s="29"/>
      <c r="D1724" s="29"/>
      <c r="E1724" s="29"/>
      <c r="F1724" s="29"/>
      <c r="G1724" s="29"/>
      <c r="H1724" s="29"/>
      <c r="I1724" s="29"/>
      <c r="J1724" s="29"/>
      <c r="K1724" s="29"/>
      <c r="L1724" s="29"/>
      <c r="M1724" s="29"/>
      <c r="N1724" s="29"/>
      <c r="O1724" s="29"/>
      <c r="P1724" s="29"/>
    </row>
    <row r="1725">
      <c r="A1725" s="111"/>
      <c r="B1725" s="112"/>
      <c r="C1725" s="29"/>
      <c r="D1725" s="29"/>
      <c r="E1725" s="29"/>
      <c r="F1725" s="29"/>
      <c r="G1725" s="29"/>
      <c r="H1725" s="29"/>
      <c r="I1725" s="29"/>
      <c r="J1725" s="29"/>
      <c r="K1725" s="29"/>
      <c r="L1725" s="29"/>
      <c r="M1725" s="29"/>
      <c r="N1725" s="29"/>
      <c r="O1725" s="29"/>
      <c r="P1725" s="29"/>
    </row>
    <row r="1726">
      <c r="A1726" s="111"/>
      <c r="B1726" s="112"/>
      <c r="C1726" s="29"/>
      <c r="D1726" s="29"/>
      <c r="E1726" s="29"/>
      <c r="F1726" s="29"/>
      <c r="G1726" s="29"/>
      <c r="H1726" s="29"/>
      <c r="I1726" s="29"/>
      <c r="J1726" s="29"/>
      <c r="K1726" s="29"/>
      <c r="L1726" s="29"/>
      <c r="M1726" s="29"/>
      <c r="N1726" s="29"/>
      <c r="O1726" s="29"/>
      <c r="P1726" s="29"/>
    </row>
    <row r="1727">
      <c r="A1727" s="111"/>
      <c r="B1727" s="112"/>
      <c r="C1727" s="29"/>
      <c r="D1727" s="29"/>
      <c r="E1727" s="29"/>
      <c r="F1727" s="29"/>
      <c r="G1727" s="29"/>
      <c r="H1727" s="29"/>
      <c r="I1727" s="29"/>
      <c r="J1727" s="29"/>
      <c r="K1727" s="29"/>
      <c r="L1727" s="29"/>
      <c r="M1727" s="29"/>
      <c r="N1727" s="29"/>
      <c r="O1727" s="29"/>
      <c r="P1727" s="29"/>
    </row>
    <row r="1728">
      <c r="A1728" s="111"/>
      <c r="B1728" s="112"/>
      <c r="C1728" s="29"/>
      <c r="D1728" s="29"/>
      <c r="E1728" s="29"/>
      <c r="F1728" s="29"/>
      <c r="G1728" s="29"/>
      <c r="H1728" s="29"/>
      <c r="I1728" s="29"/>
      <c r="J1728" s="29"/>
      <c r="K1728" s="29"/>
      <c r="L1728" s="29"/>
      <c r="M1728" s="29"/>
      <c r="N1728" s="29"/>
      <c r="O1728" s="29"/>
      <c r="P1728" s="29"/>
    </row>
    <row r="1729">
      <c r="A1729" s="111"/>
      <c r="B1729" s="112"/>
      <c r="C1729" s="29"/>
      <c r="D1729" s="29"/>
      <c r="E1729" s="29"/>
      <c r="F1729" s="29"/>
      <c r="G1729" s="29"/>
      <c r="H1729" s="29"/>
      <c r="I1729" s="29"/>
      <c r="J1729" s="29"/>
      <c r="K1729" s="29"/>
      <c r="L1729" s="29"/>
      <c r="M1729" s="29"/>
      <c r="N1729" s="29"/>
      <c r="O1729" s="29"/>
      <c r="P1729" s="29"/>
    </row>
    <row r="1730">
      <c r="A1730" s="111"/>
      <c r="B1730" s="112"/>
      <c r="C1730" s="29"/>
      <c r="D1730" s="29"/>
      <c r="E1730" s="29"/>
      <c r="F1730" s="29"/>
      <c r="G1730" s="29"/>
      <c r="H1730" s="29"/>
      <c r="I1730" s="29"/>
      <c r="J1730" s="29"/>
      <c r="K1730" s="29"/>
      <c r="L1730" s="29"/>
      <c r="M1730" s="29"/>
      <c r="N1730" s="29"/>
      <c r="O1730" s="29"/>
      <c r="P1730" s="29"/>
    </row>
    <row r="1731">
      <c r="A1731" s="111"/>
      <c r="B1731" s="112"/>
      <c r="C1731" s="29"/>
      <c r="D1731" s="29"/>
      <c r="E1731" s="29"/>
      <c r="F1731" s="29"/>
      <c r="G1731" s="29"/>
      <c r="H1731" s="29"/>
      <c r="I1731" s="29"/>
      <c r="J1731" s="29"/>
      <c r="K1731" s="29"/>
      <c r="L1731" s="29"/>
      <c r="M1731" s="29"/>
      <c r="N1731" s="29"/>
      <c r="O1731" s="29"/>
      <c r="P1731" s="29"/>
    </row>
    <row r="1732">
      <c r="A1732" s="111"/>
      <c r="B1732" s="112"/>
      <c r="C1732" s="29"/>
      <c r="D1732" s="29"/>
      <c r="E1732" s="29"/>
      <c r="F1732" s="29"/>
      <c r="G1732" s="29"/>
      <c r="H1732" s="29"/>
      <c r="I1732" s="29"/>
      <c r="J1732" s="29"/>
      <c r="K1732" s="29"/>
      <c r="L1732" s="29"/>
      <c r="M1732" s="29"/>
      <c r="N1732" s="29"/>
      <c r="O1732" s="29"/>
      <c r="P1732" s="29"/>
    </row>
    <row r="1733">
      <c r="A1733" s="111"/>
      <c r="B1733" s="112"/>
      <c r="C1733" s="29"/>
      <c r="D1733" s="29"/>
      <c r="E1733" s="29"/>
      <c r="F1733" s="29"/>
      <c r="G1733" s="29"/>
      <c r="H1733" s="29"/>
      <c r="I1733" s="29"/>
      <c r="J1733" s="29"/>
      <c r="K1733" s="29"/>
      <c r="L1733" s="29"/>
      <c r="M1733" s="29"/>
      <c r="N1733" s="29"/>
      <c r="O1733" s="29"/>
      <c r="P1733" s="29"/>
    </row>
    <row r="1734">
      <c r="A1734" s="111"/>
      <c r="B1734" s="112"/>
      <c r="C1734" s="29"/>
      <c r="D1734" s="29"/>
      <c r="E1734" s="29"/>
      <c r="F1734" s="29"/>
      <c r="G1734" s="29"/>
      <c r="H1734" s="29"/>
      <c r="I1734" s="29"/>
      <c r="J1734" s="29"/>
      <c r="K1734" s="29"/>
      <c r="L1734" s="29"/>
      <c r="M1734" s="29"/>
      <c r="N1734" s="29"/>
      <c r="O1734" s="29"/>
      <c r="P1734" s="29"/>
    </row>
    <row r="1735">
      <c r="A1735" s="111"/>
      <c r="B1735" s="112"/>
      <c r="C1735" s="29"/>
      <c r="D1735" s="29"/>
      <c r="E1735" s="29"/>
      <c r="F1735" s="29"/>
      <c r="G1735" s="29"/>
      <c r="H1735" s="29"/>
      <c r="I1735" s="29"/>
      <c r="J1735" s="29"/>
      <c r="K1735" s="29"/>
      <c r="L1735" s="29"/>
      <c r="M1735" s="29"/>
      <c r="N1735" s="29"/>
      <c r="O1735" s="29"/>
      <c r="P1735" s="29"/>
    </row>
    <row r="1736">
      <c r="A1736" s="111"/>
      <c r="B1736" s="112"/>
      <c r="C1736" s="29"/>
      <c r="D1736" s="29"/>
      <c r="E1736" s="29"/>
      <c r="F1736" s="29"/>
      <c r="G1736" s="29"/>
      <c r="H1736" s="29"/>
      <c r="I1736" s="29"/>
      <c r="J1736" s="29"/>
      <c r="K1736" s="29"/>
      <c r="L1736" s="29"/>
      <c r="M1736" s="29"/>
      <c r="N1736" s="29"/>
      <c r="O1736" s="29"/>
      <c r="P1736" s="29"/>
    </row>
    <row r="1737">
      <c r="A1737" s="111"/>
      <c r="B1737" s="112"/>
      <c r="C1737" s="29"/>
      <c r="D1737" s="29"/>
      <c r="E1737" s="29"/>
      <c r="F1737" s="29"/>
      <c r="G1737" s="29"/>
      <c r="H1737" s="29"/>
      <c r="I1737" s="29"/>
      <c r="J1737" s="29"/>
      <c r="K1737" s="29"/>
      <c r="L1737" s="29"/>
      <c r="M1737" s="29"/>
      <c r="N1737" s="29"/>
      <c r="O1737" s="29"/>
      <c r="P1737" s="29"/>
    </row>
    <row r="1738">
      <c r="A1738" s="111"/>
      <c r="B1738" s="112"/>
      <c r="C1738" s="29"/>
      <c r="D1738" s="29"/>
      <c r="E1738" s="29"/>
      <c r="F1738" s="29"/>
      <c r="G1738" s="29"/>
      <c r="H1738" s="29"/>
      <c r="I1738" s="29"/>
      <c r="J1738" s="29"/>
      <c r="K1738" s="29"/>
      <c r="L1738" s="29"/>
      <c r="M1738" s="29"/>
      <c r="N1738" s="29"/>
      <c r="O1738" s="29"/>
      <c r="P1738" s="29"/>
    </row>
    <row r="1739">
      <c r="A1739" s="111"/>
      <c r="B1739" s="112"/>
      <c r="C1739" s="29"/>
      <c r="D1739" s="29"/>
      <c r="E1739" s="29"/>
      <c r="F1739" s="29"/>
      <c r="G1739" s="29"/>
      <c r="H1739" s="29"/>
      <c r="I1739" s="29"/>
      <c r="J1739" s="29"/>
      <c r="K1739" s="29"/>
      <c r="L1739" s="29"/>
      <c r="M1739" s="29"/>
      <c r="N1739" s="29"/>
      <c r="O1739" s="29"/>
      <c r="P1739" s="29"/>
    </row>
    <row r="1740">
      <c r="A1740" s="111"/>
      <c r="B1740" s="112"/>
      <c r="C1740" s="29"/>
      <c r="D1740" s="29"/>
      <c r="E1740" s="29"/>
      <c r="F1740" s="29"/>
      <c r="G1740" s="29"/>
      <c r="H1740" s="29"/>
      <c r="I1740" s="29"/>
      <c r="J1740" s="29"/>
      <c r="K1740" s="29"/>
      <c r="L1740" s="29"/>
      <c r="M1740" s="29"/>
      <c r="N1740" s="29"/>
      <c r="O1740" s="29"/>
      <c r="P1740" s="29"/>
    </row>
    <row r="1741">
      <c r="A1741" s="111"/>
      <c r="B1741" s="112"/>
      <c r="C1741" s="29"/>
      <c r="D1741" s="29"/>
      <c r="E1741" s="29"/>
      <c r="F1741" s="29"/>
      <c r="G1741" s="29"/>
      <c r="H1741" s="29"/>
      <c r="I1741" s="29"/>
      <c r="J1741" s="29"/>
      <c r="K1741" s="29"/>
      <c r="L1741" s="29"/>
      <c r="M1741" s="29"/>
      <c r="N1741" s="29"/>
      <c r="O1741" s="29"/>
      <c r="P1741" s="29"/>
    </row>
    <row r="1742">
      <c r="A1742" s="111"/>
      <c r="B1742" s="112"/>
      <c r="C1742" s="29"/>
      <c r="D1742" s="29"/>
      <c r="E1742" s="29"/>
      <c r="F1742" s="29"/>
      <c r="G1742" s="29"/>
      <c r="H1742" s="29"/>
      <c r="I1742" s="29"/>
      <c r="J1742" s="29"/>
      <c r="K1742" s="29"/>
      <c r="L1742" s="29"/>
      <c r="M1742" s="29"/>
      <c r="N1742" s="29"/>
      <c r="O1742" s="29"/>
      <c r="P1742" s="29"/>
    </row>
    <row r="1743">
      <c r="A1743" s="111"/>
      <c r="B1743" s="112"/>
      <c r="C1743" s="29"/>
      <c r="D1743" s="29"/>
      <c r="E1743" s="29"/>
      <c r="F1743" s="29"/>
      <c r="G1743" s="29"/>
      <c r="H1743" s="29"/>
      <c r="I1743" s="29"/>
      <c r="J1743" s="29"/>
      <c r="K1743" s="29"/>
      <c r="L1743" s="29"/>
      <c r="M1743" s="29"/>
      <c r="N1743" s="29"/>
      <c r="O1743" s="29"/>
      <c r="P1743" s="29"/>
    </row>
    <row r="1744">
      <c r="A1744" s="111"/>
      <c r="B1744" s="112"/>
      <c r="C1744" s="29"/>
      <c r="D1744" s="29"/>
      <c r="E1744" s="29"/>
      <c r="F1744" s="29"/>
      <c r="G1744" s="29"/>
      <c r="H1744" s="29"/>
      <c r="I1744" s="29"/>
      <c r="J1744" s="29"/>
      <c r="K1744" s="29"/>
      <c r="L1744" s="29"/>
      <c r="M1744" s="29"/>
      <c r="N1744" s="29"/>
      <c r="O1744" s="29"/>
      <c r="P1744" s="29"/>
    </row>
    <row r="1745">
      <c r="A1745" s="111"/>
      <c r="B1745" s="112"/>
      <c r="C1745" s="29"/>
      <c r="D1745" s="29"/>
      <c r="E1745" s="29"/>
      <c r="F1745" s="29"/>
      <c r="G1745" s="29"/>
      <c r="H1745" s="29"/>
      <c r="I1745" s="29"/>
      <c r="J1745" s="29"/>
      <c r="K1745" s="29"/>
      <c r="L1745" s="29"/>
      <c r="M1745" s="29"/>
      <c r="N1745" s="29"/>
      <c r="O1745" s="29"/>
      <c r="P1745" s="29"/>
    </row>
    <row r="1746">
      <c r="A1746" s="111"/>
      <c r="B1746" s="112"/>
      <c r="C1746" s="29"/>
      <c r="D1746" s="29"/>
      <c r="E1746" s="29"/>
      <c r="F1746" s="29"/>
      <c r="G1746" s="29"/>
      <c r="H1746" s="29"/>
      <c r="I1746" s="29"/>
      <c r="J1746" s="29"/>
      <c r="K1746" s="29"/>
      <c r="L1746" s="29"/>
      <c r="M1746" s="29"/>
      <c r="N1746" s="29"/>
      <c r="O1746" s="29"/>
      <c r="P1746" s="29"/>
    </row>
    <row r="1747">
      <c r="A1747" s="111"/>
      <c r="B1747" s="112"/>
      <c r="C1747" s="29"/>
      <c r="D1747" s="29"/>
      <c r="E1747" s="29"/>
      <c r="F1747" s="29"/>
      <c r="G1747" s="29"/>
      <c r="H1747" s="29"/>
      <c r="I1747" s="29"/>
      <c r="J1747" s="29"/>
      <c r="K1747" s="29"/>
      <c r="L1747" s="29"/>
      <c r="M1747" s="29"/>
      <c r="N1747" s="29"/>
      <c r="O1747" s="29"/>
      <c r="P1747" s="29"/>
    </row>
    <row r="1748">
      <c r="A1748" s="111"/>
      <c r="B1748" s="112"/>
      <c r="C1748" s="29"/>
      <c r="D1748" s="29"/>
      <c r="E1748" s="29"/>
      <c r="F1748" s="29"/>
      <c r="G1748" s="29"/>
      <c r="H1748" s="29"/>
      <c r="I1748" s="29"/>
      <c r="J1748" s="29"/>
      <c r="K1748" s="29"/>
      <c r="L1748" s="29"/>
      <c r="M1748" s="29"/>
      <c r="N1748" s="29"/>
      <c r="O1748" s="29"/>
      <c r="P1748" s="29"/>
    </row>
    <row r="1749">
      <c r="A1749" s="111"/>
      <c r="B1749" s="112"/>
      <c r="C1749" s="29"/>
      <c r="D1749" s="29"/>
      <c r="E1749" s="29"/>
      <c r="F1749" s="29"/>
      <c r="G1749" s="29"/>
      <c r="H1749" s="29"/>
      <c r="I1749" s="29"/>
      <c r="J1749" s="29"/>
      <c r="K1749" s="29"/>
      <c r="L1749" s="29"/>
      <c r="M1749" s="29"/>
      <c r="N1749" s="29"/>
      <c r="O1749" s="29"/>
      <c r="P1749" s="29"/>
    </row>
    <row r="1750">
      <c r="A1750" s="111"/>
      <c r="B1750" s="112"/>
      <c r="C1750" s="29"/>
      <c r="D1750" s="29"/>
      <c r="E1750" s="29"/>
      <c r="F1750" s="29"/>
      <c r="G1750" s="29"/>
      <c r="H1750" s="29"/>
      <c r="I1750" s="29"/>
      <c r="J1750" s="29"/>
      <c r="K1750" s="29"/>
      <c r="L1750" s="29"/>
      <c r="M1750" s="29"/>
      <c r="N1750" s="29"/>
      <c r="O1750" s="29"/>
      <c r="P1750" s="29"/>
    </row>
    <row r="1751">
      <c r="A1751" s="111"/>
      <c r="B1751" s="112"/>
      <c r="C1751" s="29"/>
      <c r="D1751" s="29"/>
      <c r="E1751" s="29"/>
      <c r="F1751" s="29"/>
      <c r="G1751" s="29"/>
      <c r="H1751" s="29"/>
      <c r="I1751" s="29"/>
      <c r="J1751" s="29"/>
      <c r="K1751" s="29"/>
      <c r="L1751" s="29"/>
      <c r="M1751" s="29"/>
      <c r="N1751" s="29"/>
      <c r="O1751" s="29"/>
      <c r="P1751" s="29"/>
    </row>
    <row r="1752">
      <c r="A1752" s="111"/>
      <c r="B1752" s="112"/>
      <c r="C1752" s="29"/>
      <c r="D1752" s="29"/>
      <c r="E1752" s="29"/>
      <c r="F1752" s="29"/>
      <c r="G1752" s="29"/>
      <c r="H1752" s="29"/>
      <c r="I1752" s="29"/>
      <c r="J1752" s="29"/>
      <c r="K1752" s="29"/>
      <c r="L1752" s="29"/>
      <c r="M1752" s="29"/>
      <c r="N1752" s="29"/>
      <c r="O1752" s="29"/>
      <c r="P1752" s="29"/>
    </row>
    <row r="1753">
      <c r="A1753" s="111"/>
      <c r="B1753" s="112"/>
      <c r="C1753" s="29"/>
      <c r="D1753" s="29"/>
      <c r="E1753" s="29"/>
      <c r="F1753" s="29"/>
      <c r="G1753" s="29"/>
      <c r="H1753" s="29"/>
      <c r="I1753" s="29"/>
      <c r="J1753" s="29"/>
      <c r="K1753" s="29"/>
      <c r="L1753" s="29"/>
      <c r="M1753" s="29"/>
      <c r="N1753" s="29"/>
      <c r="O1753" s="29"/>
      <c r="P1753" s="29"/>
    </row>
    <row r="1754">
      <c r="A1754" s="111"/>
      <c r="B1754" s="112"/>
      <c r="C1754" s="29"/>
      <c r="D1754" s="29"/>
      <c r="E1754" s="29"/>
      <c r="F1754" s="29"/>
      <c r="G1754" s="29"/>
      <c r="H1754" s="29"/>
      <c r="I1754" s="29"/>
      <c r="J1754" s="29"/>
      <c r="K1754" s="29"/>
      <c r="L1754" s="29"/>
      <c r="M1754" s="29"/>
      <c r="N1754" s="29"/>
      <c r="O1754" s="29"/>
      <c r="P1754" s="29"/>
    </row>
    <row r="1755">
      <c r="A1755" s="111"/>
      <c r="B1755" s="112"/>
      <c r="C1755" s="29"/>
      <c r="D1755" s="29"/>
      <c r="E1755" s="29"/>
      <c r="F1755" s="29"/>
      <c r="G1755" s="29"/>
      <c r="H1755" s="29"/>
      <c r="I1755" s="29"/>
      <c r="J1755" s="29"/>
      <c r="K1755" s="29"/>
      <c r="L1755" s="29"/>
      <c r="M1755" s="29"/>
      <c r="N1755" s="29"/>
      <c r="O1755" s="29"/>
      <c r="P1755" s="29"/>
    </row>
    <row r="1756">
      <c r="A1756" s="111"/>
      <c r="B1756" s="112"/>
      <c r="C1756" s="29"/>
      <c r="D1756" s="29"/>
      <c r="E1756" s="29"/>
      <c r="F1756" s="29"/>
      <c r="G1756" s="29"/>
      <c r="H1756" s="29"/>
      <c r="I1756" s="29"/>
      <c r="J1756" s="29"/>
      <c r="K1756" s="29"/>
      <c r="L1756" s="29"/>
      <c r="M1756" s="29"/>
      <c r="N1756" s="29"/>
      <c r="O1756" s="29"/>
      <c r="P1756" s="29"/>
    </row>
    <row r="1757">
      <c r="A1757" s="111"/>
      <c r="B1757" s="112"/>
      <c r="C1757" s="29"/>
      <c r="D1757" s="29"/>
      <c r="E1757" s="29"/>
      <c r="F1757" s="29"/>
      <c r="G1757" s="29"/>
      <c r="H1757" s="29"/>
      <c r="I1757" s="29"/>
      <c r="J1757" s="29"/>
      <c r="K1757" s="29"/>
      <c r="L1757" s="29"/>
      <c r="M1757" s="29"/>
      <c r="N1757" s="29"/>
      <c r="O1757" s="29"/>
      <c r="P1757" s="29"/>
    </row>
    <row r="1758">
      <c r="A1758" s="111"/>
      <c r="B1758" s="112"/>
      <c r="C1758" s="29"/>
      <c r="D1758" s="29"/>
      <c r="E1758" s="29"/>
      <c r="F1758" s="29"/>
      <c r="G1758" s="29"/>
      <c r="H1758" s="29"/>
      <c r="I1758" s="29"/>
      <c r="J1758" s="29"/>
      <c r="K1758" s="29"/>
      <c r="L1758" s="29"/>
      <c r="M1758" s="29"/>
      <c r="N1758" s="29"/>
      <c r="O1758" s="29"/>
      <c r="P1758" s="29"/>
    </row>
    <row r="1759">
      <c r="A1759" s="111"/>
      <c r="B1759" s="112"/>
      <c r="C1759" s="29"/>
      <c r="D1759" s="29"/>
      <c r="E1759" s="29"/>
      <c r="F1759" s="29"/>
      <c r="G1759" s="29"/>
      <c r="H1759" s="29"/>
      <c r="I1759" s="29"/>
      <c r="J1759" s="29"/>
      <c r="K1759" s="29"/>
      <c r="L1759" s="29"/>
      <c r="M1759" s="29"/>
      <c r="N1759" s="29"/>
      <c r="O1759" s="29"/>
      <c r="P1759" s="29"/>
    </row>
    <row r="1760">
      <c r="A1760" s="111"/>
      <c r="B1760" s="112"/>
      <c r="C1760" s="29"/>
      <c r="D1760" s="29"/>
      <c r="E1760" s="29"/>
      <c r="F1760" s="29"/>
      <c r="G1760" s="29"/>
      <c r="H1760" s="29"/>
      <c r="I1760" s="29"/>
      <c r="J1760" s="29"/>
      <c r="K1760" s="29"/>
      <c r="L1760" s="29"/>
      <c r="M1760" s="29"/>
      <c r="N1760" s="29"/>
      <c r="O1760" s="29"/>
      <c r="P1760" s="29"/>
    </row>
    <row r="1761">
      <c r="A1761" s="111"/>
      <c r="B1761" s="112"/>
      <c r="C1761" s="29"/>
      <c r="D1761" s="29"/>
      <c r="E1761" s="29"/>
      <c r="F1761" s="29"/>
      <c r="G1761" s="29"/>
      <c r="H1761" s="29"/>
      <c r="I1761" s="29"/>
      <c r="J1761" s="29"/>
      <c r="K1761" s="29"/>
      <c r="L1761" s="29"/>
      <c r="M1761" s="29"/>
      <c r="N1761" s="29"/>
      <c r="O1761" s="29"/>
      <c r="P1761" s="29"/>
    </row>
    <row r="1762">
      <c r="A1762" s="111"/>
      <c r="B1762" s="112"/>
      <c r="C1762" s="29"/>
      <c r="D1762" s="29"/>
      <c r="E1762" s="29"/>
      <c r="F1762" s="29"/>
      <c r="G1762" s="29"/>
      <c r="H1762" s="29"/>
      <c r="I1762" s="29"/>
      <c r="J1762" s="29"/>
      <c r="K1762" s="29"/>
      <c r="L1762" s="29"/>
      <c r="M1762" s="29"/>
      <c r="N1762" s="29"/>
      <c r="O1762" s="29"/>
      <c r="P1762" s="29"/>
    </row>
    <row r="1763">
      <c r="A1763" s="111"/>
      <c r="B1763" s="112"/>
      <c r="C1763" s="29"/>
      <c r="D1763" s="29"/>
      <c r="E1763" s="29"/>
      <c r="F1763" s="29"/>
      <c r="G1763" s="29"/>
      <c r="H1763" s="29"/>
      <c r="I1763" s="29"/>
      <c r="J1763" s="29"/>
      <c r="K1763" s="29"/>
      <c r="L1763" s="29"/>
      <c r="M1763" s="29"/>
      <c r="N1763" s="29"/>
      <c r="O1763" s="29"/>
      <c r="P1763" s="29"/>
    </row>
    <row r="1764">
      <c r="A1764" s="111"/>
      <c r="B1764" s="112"/>
      <c r="C1764" s="29"/>
      <c r="D1764" s="29"/>
      <c r="E1764" s="29"/>
      <c r="F1764" s="29"/>
      <c r="G1764" s="29"/>
      <c r="H1764" s="29"/>
      <c r="I1764" s="29"/>
      <c r="J1764" s="29"/>
      <c r="K1764" s="29"/>
      <c r="L1764" s="29"/>
      <c r="M1764" s="29"/>
      <c r="N1764" s="29"/>
      <c r="O1764" s="29"/>
      <c r="P1764" s="29"/>
    </row>
    <row r="1765">
      <c r="A1765" s="111"/>
      <c r="B1765" s="112"/>
      <c r="C1765" s="29"/>
      <c r="D1765" s="29"/>
      <c r="E1765" s="29"/>
      <c r="F1765" s="29"/>
      <c r="G1765" s="29"/>
      <c r="H1765" s="29"/>
      <c r="I1765" s="29"/>
      <c r="J1765" s="29"/>
      <c r="K1765" s="29"/>
      <c r="L1765" s="29"/>
      <c r="M1765" s="29"/>
      <c r="N1765" s="29"/>
      <c r="O1765" s="29"/>
      <c r="P1765" s="29"/>
    </row>
    <row r="1766">
      <c r="A1766" s="111"/>
      <c r="B1766" s="112"/>
      <c r="C1766" s="29"/>
      <c r="D1766" s="29"/>
      <c r="E1766" s="29"/>
      <c r="F1766" s="29"/>
      <c r="G1766" s="29"/>
      <c r="H1766" s="29"/>
      <c r="I1766" s="29"/>
      <c r="J1766" s="29"/>
      <c r="K1766" s="29"/>
      <c r="L1766" s="29"/>
      <c r="M1766" s="29"/>
      <c r="N1766" s="29"/>
      <c r="O1766" s="29"/>
      <c r="P1766" s="29"/>
    </row>
    <row r="1767">
      <c r="A1767" s="111"/>
      <c r="B1767" s="112"/>
      <c r="C1767" s="29"/>
      <c r="D1767" s="29"/>
      <c r="E1767" s="29"/>
      <c r="F1767" s="29"/>
      <c r="G1767" s="29"/>
      <c r="H1767" s="29"/>
      <c r="I1767" s="29"/>
      <c r="J1767" s="29"/>
      <c r="K1767" s="29"/>
      <c r="L1767" s="29"/>
      <c r="M1767" s="29"/>
      <c r="N1767" s="29"/>
      <c r="O1767" s="29"/>
      <c r="P1767" s="29"/>
    </row>
    <row r="1768">
      <c r="A1768" s="111"/>
      <c r="B1768" s="112"/>
      <c r="C1768" s="29"/>
      <c r="D1768" s="29"/>
      <c r="E1768" s="29"/>
      <c r="F1768" s="29"/>
      <c r="G1768" s="29"/>
      <c r="H1768" s="29"/>
      <c r="I1768" s="29"/>
      <c r="J1768" s="29"/>
      <c r="K1768" s="29"/>
      <c r="L1768" s="29"/>
      <c r="M1768" s="29"/>
      <c r="N1768" s="29"/>
      <c r="O1768" s="29"/>
      <c r="P1768" s="29"/>
    </row>
    <row r="1769">
      <c r="A1769" s="111"/>
      <c r="B1769" s="112"/>
      <c r="C1769" s="29"/>
      <c r="D1769" s="29"/>
      <c r="E1769" s="29"/>
      <c r="F1769" s="29"/>
      <c r="G1769" s="29"/>
      <c r="H1769" s="29"/>
      <c r="I1769" s="29"/>
      <c r="J1769" s="29"/>
      <c r="K1769" s="29"/>
      <c r="L1769" s="29"/>
      <c r="M1769" s="29"/>
      <c r="N1769" s="29"/>
      <c r="O1769" s="29"/>
      <c r="P1769" s="29"/>
    </row>
    <row r="1770">
      <c r="A1770" s="111"/>
      <c r="B1770" s="112"/>
      <c r="C1770" s="29"/>
      <c r="D1770" s="29"/>
      <c r="E1770" s="29"/>
      <c r="F1770" s="29"/>
      <c r="G1770" s="29"/>
      <c r="H1770" s="29"/>
      <c r="I1770" s="29"/>
      <c r="J1770" s="29"/>
      <c r="K1770" s="29"/>
      <c r="L1770" s="29"/>
      <c r="M1770" s="29"/>
      <c r="N1770" s="29"/>
      <c r="O1770" s="29"/>
      <c r="P1770" s="29"/>
    </row>
    <row r="1771">
      <c r="A1771" s="111"/>
      <c r="B1771" s="112"/>
      <c r="C1771" s="29"/>
      <c r="D1771" s="29"/>
      <c r="E1771" s="29"/>
      <c r="F1771" s="29"/>
      <c r="G1771" s="29"/>
      <c r="H1771" s="29"/>
      <c r="I1771" s="29"/>
      <c r="J1771" s="29"/>
      <c r="K1771" s="29"/>
      <c r="L1771" s="29"/>
      <c r="M1771" s="29"/>
      <c r="N1771" s="29"/>
      <c r="O1771" s="29"/>
      <c r="P1771" s="29"/>
    </row>
    <row r="1772">
      <c r="A1772" s="111"/>
      <c r="B1772" s="112"/>
      <c r="C1772" s="29"/>
      <c r="D1772" s="29"/>
      <c r="E1772" s="29"/>
      <c r="F1772" s="29"/>
      <c r="G1772" s="29"/>
      <c r="H1772" s="29"/>
      <c r="I1772" s="29"/>
      <c r="J1772" s="29"/>
      <c r="K1772" s="29"/>
      <c r="L1772" s="29"/>
      <c r="M1772" s="29"/>
      <c r="N1772" s="29"/>
      <c r="O1772" s="29"/>
      <c r="P1772" s="29"/>
    </row>
    <row r="1773">
      <c r="A1773" s="111"/>
      <c r="B1773" s="112"/>
      <c r="C1773" s="29"/>
      <c r="D1773" s="29"/>
      <c r="E1773" s="29"/>
      <c r="F1773" s="29"/>
      <c r="G1773" s="29"/>
      <c r="H1773" s="29"/>
      <c r="I1773" s="29"/>
      <c r="J1773" s="29"/>
      <c r="K1773" s="29"/>
      <c r="L1773" s="29"/>
      <c r="M1773" s="29"/>
      <c r="N1773" s="29"/>
      <c r="O1773" s="29"/>
      <c r="P1773" s="29"/>
    </row>
    <row r="1774">
      <c r="A1774" s="111"/>
      <c r="B1774" s="112"/>
      <c r="C1774" s="29"/>
      <c r="D1774" s="29"/>
      <c r="E1774" s="29"/>
      <c r="F1774" s="29"/>
      <c r="G1774" s="29"/>
      <c r="H1774" s="29"/>
      <c r="I1774" s="29"/>
      <c r="J1774" s="29"/>
      <c r="K1774" s="29"/>
      <c r="L1774" s="29"/>
      <c r="M1774" s="29"/>
      <c r="N1774" s="29"/>
      <c r="O1774" s="29"/>
      <c r="P1774" s="29"/>
    </row>
    <row r="1775">
      <c r="A1775" s="111"/>
      <c r="B1775" s="112"/>
      <c r="C1775" s="29"/>
      <c r="D1775" s="29"/>
      <c r="E1775" s="29"/>
      <c r="F1775" s="29"/>
      <c r="G1775" s="29"/>
      <c r="H1775" s="29"/>
      <c r="I1775" s="29"/>
      <c r="J1775" s="29"/>
      <c r="K1775" s="29"/>
      <c r="L1775" s="29"/>
      <c r="M1775" s="29"/>
      <c r="N1775" s="29"/>
      <c r="O1775" s="29"/>
      <c r="P1775" s="29"/>
    </row>
    <row r="1776">
      <c r="A1776" s="111"/>
      <c r="B1776" s="112"/>
      <c r="C1776" s="29"/>
      <c r="D1776" s="29"/>
      <c r="E1776" s="29"/>
      <c r="F1776" s="29"/>
      <c r="G1776" s="29"/>
      <c r="H1776" s="29"/>
      <c r="I1776" s="29"/>
      <c r="J1776" s="29"/>
      <c r="K1776" s="29"/>
      <c r="L1776" s="29"/>
      <c r="M1776" s="29"/>
      <c r="N1776" s="29"/>
      <c r="O1776" s="29"/>
      <c r="P1776" s="29"/>
    </row>
    <row r="1777">
      <c r="A1777" s="111"/>
      <c r="B1777" s="112"/>
      <c r="C1777" s="29"/>
      <c r="D1777" s="29"/>
      <c r="E1777" s="29"/>
      <c r="F1777" s="29"/>
      <c r="G1777" s="29"/>
      <c r="H1777" s="29"/>
      <c r="I1777" s="29"/>
      <c r="J1777" s="29"/>
      <c r="K1777" s="29"/>
      <c r="L1777" s="29"/>
      <c r="M1777" s="29"/>
      <c r="N1777" s="29"/>
      <c r="O1777" s="29"/>
      <c r="P1777" s="29"/>
    </row>
    <row r="1778">
      <c r="A1778" s="111"/>
      <c r="B1778" s="112"/>
      <c r="C1778" s="29"/>
      <c r="D1778" s="29"/>
      <c r="E1778" s="29"/>
      <c r="F1778" s="29"/>
      <c r="G1778" s="29"/>
      <c r="H1778" s="29"/>
      <c r="I1778" s="29"/>
      <c r="J1778" s="29"/>
      <c r="K1778" s="29"/>
      <c r="L1778" s="29"/>
      <c r="M1778" s="29"/>
      <c r="N1778" s="29"/>
      <c r="O1778" s="29"/>
      <c r="P1778" s="29"/>
    </row>
    <row r="1779">
      <c r="A1779" s="111"/>
      <c r="B1779" s="112"/>
      <c r="C1779" s="29"/>
      <c r="D1779" s="29"/>
      <c r="E1779" s="29"/>
      <c r="F1779" s="29"/>
      <c r="G1779" s="29"/>
      <c r="H1779" s="29"/>
      <c r="I1779" s="29"/>
      <c r="J1779" s="29"/>
      <c r="K1779" s="29"/>
      <c r="L1779" s="29"/>
      <c r="M1779" s="29"/>
      <c r="N1779" s="29"/>
      <c r="O1779" s="29"/>
      <c r="P1779" s="29"/>
    </row>
    <row r="1780">
      <c r="A1780" s="111"/>
      <c r="B1780" s="112"/>
      <c r="C1780" s="29"/>
      <c r="D1780" s="29"/>
      <c r="E1780" s="29"/>
      <c r="F1780" s="29"/>
      <c r="G1780" s="29"/>
      <c r="H1780" s="29"/>
      <c r="I1780" s="29"/>
      <c r="J1780" s="29"/>
      <c r="K1780" s="29"/>
      <c r="L1780" s="29"/>
      <c r="M1780" s="29"/>
      <c r="N1780" s="29"/>
      <c r="O1780" s="29"/>
      <c r="P1780" s="29"/>
    </row>
    <row r="1781">
      <c r="A1781" s="111"/>
      <c r="B1781" s="112"/>
      <c r="C1781" s="29"/>
      <c r="D1781" s="29"/>
      <c r="E1781" s="29"/>
      <c r="F1781" s="29"/>
      <c r="G1781" s="29"/>
      <c r="H1781" s="29"/>
      <c r="I1781" s="29"/>
      <c r="J1781" s="29"/>
      <c r="K1781" s="29"/>
      <c r="L1781" s="29"/>
      <c r="M1781" s="29"/>
      <c r="N1781" s="29"/>
      <c r="O1781" s="29"/>
      <c r="P1781" s="29"/>
    </row>
    <row r="1782">
      <c r="A1782" s="111"/>
      <c r="B1782" s="112"/>
      <c r="C1782" s="29"/>
      <c r="D1782" s="29"/>
      <c r="E1782" s="29"/>
      <c r="F1782" s="29"/>
      <c r="G1782" s="29"/>
      <c r="H1782" s="29"/>
      <c r="I1782" s="29"/>
      <c r="J1782" s="29"/>
      <c r="K1782" s="29"/>
      <c r="L1782" s="29"/>
      <c r="M1782" s="29"/>
      <c r="N1782" s="29"/>
      <c r="O1782" s="29"/>
      <c r="P1782" s="29"/>
    </row>
    <row r="1783">
      <c r="A1783" s="111"/>
      <c r="B1783" s="112"/>
      <c r="C1783" s="29"/>
      <c r="D1783" s="29"/>
      <c r="E1783" s="29"/>
      <c r="F1783" s="29"/>
      <c r="G1783" s="29"/>
      <c r="H1783" s="29"/>
      <c r="I1783" s="29"/>
      <c r="J1783" s="29"/>
      <c r="K1783" s="29"/>
      <c r="L1783" s="29"/>
      <c r="M1783" s="29"/>
      <c r="N1783" s="29"/>
      <c r="O1783" s="29"/>
      <c r="P1783" s="29"/>
    </row>
    <row r="1784">
      <c r="A1784" s="111"/>
      <c r="B1784" s="112"/>
      <c r="C1784" s="29"/>
      <c r="D1784" s="29"/>
      <c r="E1784" s="29"/>
      <c r="F1784" s="29"/>
      <c r="G1784" s="29"/>
      <c r="H1784" s="29"/>
      <c r="I1784" s="29"/>
      <c r="J1784" s="29"/>
      <c r="K1784" s="29"/>
      <c r="L1784" s="29"/>
      <c r="M1784" s="29"/>
      <c r="N1784" s="29"/>
      <c r="O1784" s="29"/>
      <c r="P1784" s="29"/>
    </row>
    <row r="1785">
      <c r="A1785" s="111"/>
      <c r="B1785" s="112"/>
      <c r="C1785" s="29"/>
      <c r="D1785" s="29"/>
      <c r="E1785" s="29"/>
      <c r="F1785" s="29"/>
      <c r="G1785" s="29"/>
      <c r="H1785" s="29"/>
      <c r="I1785" s="29"/>
      <c r="J1785" s="29"/>
      <c r="K1785" s="29"/>
      <c r="L1785" s="29"/>
      <c r="M1785" s="29"/>
      <c r="N1785" s="29"/>
      <c r="O1785" s="29"/>
      <c r="P1785" s="29"/>
    </row>
    <row r="1786">
      <c r="A1786" s="111"/>
      <c r="B1786" s="112"/>
      <c r="C1786" s="29"/>
      <c r="D1786" s="29"/>
      <c r="E1786" s="29"/>
      <c r="F1786" s="29"/>
      <c r="G1786" s="29"/>
      <c r="H1786" s="29"/>
      <c r="I1786" s="29"/>
      <c r="J1786" s="29"/>
      <c r="K1786" s="29"/>
      <c r="L1786" s="29"/>
      <c r="M1786" s="29"/>
      <c r="N1786" s="29"/>
      <c r="O1786" s="29"/>
      <c r="P1786" s="29"/>
    </row>
    <row r="1787">
      <c r="A1787" s="111"/>
      <c r="B1787" s="112"/>
      <c r="C1787" s="29"/>
      <c r="D1787" s="29"/>
      <c r="E1787" s="29"/>
      <c r="F1787" s="29"/>
      <c r="G1787" s="29"/>
      <c r="H1787" s="29"/>
      <c r="I1787" s="29"/>
      <c r="J1787" s="29"/>
      <c r="K1787" s="29"/>
      <c r="L1787" s="29"/>
      <c r="M1787" s="29"/>
      <c r="N1787" s="29"/>
      <c r="O1787" s="29"/>
      <c r="P1787" s="29"/>
    </row>
    <row r="1788">
      <c r="A1788" s="111"/>
      <c r="B1788" s="112"/>
      <c r="C1788" s="29"/>
      <c r="D1788" s="29"/>
      <c r="E1788" s="29"/>
      <c r="F1788" s="29"/>
      <c r="G1788" s="29"/>
      <c r="H1788" s="29"/>
      <c r="I1788" s="29"/>
      <c r="J1788" s="29"/>
      <c r="K1788" s="29"/>
      <c r="L1788" s="29"/>
      <c r="M1788" s="29"/>
      <c r="N1788" s="29"/>
      <c r="O1788" s="29"/>
      <c r="P1788" s="29"/>
    </row>
    <row r="1789">
      <c r="A1789" s="111"/>
      <c r="B1789" s="112"/>
      <c r="C1789" s="29"/>
      <c r="D1789" s="29"/>
      <c r="E1789" s="29"/>
      <c r="F1789" s="29"/>
      <c r="G1789" s="29"/>
      <c r="H1789" s="29"/>
      <c r="I1789" s="29"/>
      <c r="J1789" s="29"/>
      <c r="K1789" s="29"/>
      <c r="L1789" s="29"/>
      <c r="M1789" s="29"/>
      <c r="N1789" s="29"/>
      <c r="O1789" s="29"/>
      <c r="P1789" s="29"/>
    </row>
    <row r="1790">
      <c r="A1790" s="111"/>
      <c r="B1790" s="112"/>
      <c r="C1790" s="29"/>
      <c r="D1790" s="29"/>
      <c r="E1790" s="29"/>
      <c r="F1790" s="29"/>
      <c r="G1790" s="29"/>
      <c r="H1790" s="29"/>
      <c r="I1790" s="29"/>
      <c r="J1790" s="29"/>
      <c r="K1790" s="29"/>
      <c r="L1790" s="29"/>
      <c r="M1790" s="29"/>
      <c r="N1790" s="29"/>
      <c r="O1790" s="29"/>
      <c r="P1790" s="29"/>
    </row>
    <row r="1791">
      <c r="A1791" s="111"/>
      <c r="B1791" s="112"/>
      <c r="C1791" s="29"/>
      <c r="D1791" s="29"/>
      <c r="E1791" s="29"/>
      <c r="F1791" s="29"/>
      <c r="G1791" s="29"/>
      <c r="H1791" s="29"/>
      <c r="I1791" s="29"/>
      <c r="J1791" s="29"/>
      <c r="K1791" s="29"/>
      <c r="L1791" s="29"/>
      <c r="M1791" s="29"/>
      <c r="N1791" s="29"/>
      <c r="O1791" s="29"/>
      <c r="P1791" s="29"/>
    </row>
    <row r="1792">
      <c r="A1792" s="111"/>
      <c r="B1792" s="112"/>
      <c r="C1792" s="29"/>
      <c r="D1792" s="29"/>
      <c r="E1792" s="29"/>
      <c r="F1792" s="29"/>
      <c r="G1792" s="29"/>
      <c r="H1792" s="29"/>
      <c r="I1792" s="29"/>
      <c r="J1792" s="29"/>
      <c r="K1792" s="29"/>
      <c r="L1792" s="29"/>
      <c r="M1792" s="29"/>
      <c r="N1792" s="29"/>
      <c r="O1792" s="29"/>
      <c r="P1792" s="29"/>
    </row>
    <row r="1793">
      <c r="A1793" s="111"/>
      <c r="B1793" s="112"/>
      <c r="C1793" s="29"/>
      <c r="D1793" s="29"/>
      <c r="E1793" s="29"/>
      <c r="F1793" s="29"/>
      <c r="G1793" s="29"/>
      <c r="H1793" s="29"/>
      <c r="I1793" s="29"/>
      <c r="J1793" s="29"/>
      <c r="K1793" s="29"/>
      <c r="L1793" s="29"/>
      <c r="M1793" s="29"/>
      <c r="N1793" s="29"/>
      <c r="O1793" s="29"/>
      <c r="P1793" s="29"/>
    </row>
    <row r="1794">
      <c r="A1794" s="111"/>
      <c r="B1794" s="112"/>
      <c r="C1794" s="29"/>
      <c r="D1794" s="29"/>
      <c r="E1794" s="29"/>
      <c r="F1794" s="29"/>
      <c r="G1794" s="29"/>
      <c r="H1794" s="29"/>
      <c r="I1794" s="29"/>
      <c r="J1794" s="29"/>
      <c r="K1794" s="29"/>
      <c r="L1794" s="29"/>
      <c r="M1794" s="29"/>
      <c r="N1794" s="29"/>
      <c r="O1794" s="29"/>
      <c r="P1794" s="29"/>
    </row>
    <row r="1795">
      <c r="A1795" s="111"/>
      <c r="B1795" s="112"/>
      <c r="C1795" s="29"/>
      <c r="D1795" s="29"/>
      <c r="E1795" s="29"/>
      <c r="F1795" s="29"/>
      <c r="G1795" s="29"/>
      <c r="H1795" s="29"/>
      <c r="I1795" s="29"/>
      <c r="J1795" s="29"/>
      <c r="K1795" s="29"/>
      <c r="L1795" s="29"/>
      <c r="M1795" s="29"/>
      <c r="N1795" s="29"/>
      <c r="O1795" s="29"/>
      <c r="P1795" s="29"/>
    </row>
    <row r="1796">
      <c r="A1796" s="111"/>
      <c r="B1796" s="112"/>
      <c r="C1796" s="29"/>
      <c r="D1796" s="29"/>
      <c r="E1796" s="29"/>
      <c r="F1796" s="29"/>
      <c r="G1796" s="29"/>
      <c r="H1796" s="29"/>
      <c r="I1796" s="29"/>
      <c r="J1796" s="29"/>
      <c r="K1796" s="29"/>
      <c r="L1796" s="29"/>
      <c r="M1796" s="29"/>
      <c r="N1796" s="29"/>
      <c r="O1796" s="29"/>
      <c r="P1796" s="29"/>
    </row>
    <row r="1797">
      <c r="A1797" s="111"/>
      <c r="B1797" s="112"/>
      <c r="C1797" s="29"/>
      <c r="D1797" s="29"/>
      <c r="E1797" s="29"/>
      <c r="F1797" s="29"/>
      <c r="G1797" s="29"/>
      <c r="H1797" s="29"/>
      <c r="I1797" s="29"/>
      <c r="J1797" s="29"/>
      <c r="K1797" s="29"/>
      <c r="L1797" s="29"/>
      <c r="M1797" s="29"/>
      <c r="N1797" s="29"/>
      <c r="O1797" s="29"/>
      <c r="P1797" s="29"/>
    </row>
    <row r="1798">
      <c r="A1798" s="111"/>
      <c r="B1798" s="112"/>
      <c r="C1798" s="29"/>
      <c r="D1798" s="29"/>
      <c r="E1798" s="29"/>
      <c r="F1798" s="29"/>
      <c r="G1798" s="29"/>
      <c r="H1798" s="29"/>
      <c r="I1798" s="29"/>
      <c r="J1798" s="29"/>
      <c r="K1798" s="29"/>
      <c r="L1798" s="29"/>
      <c r="M1798" s="29"/>
      <c r="N1798" s="29"/>
      <c r="O1798" s="29"/>
      <c r="P1798" s="29"/>
    </row>
    <row r="1799">
      <c r="A1799" s="111"/>
      <c r="B1799" s="112"/>
      <c r="C1799" s="29"/>
      <c r="D1799" s="29"/>
      <c r="E1799" s="29"/>
      <c r="F1799" s="29"/>
      <c r="G1799" s="29"/>
      <c r="H1799" s="29"/>
      <c r="I1799" s="29"/>
      <c r="J1799" s="29"/>
      <c r="K1799" s="29"/>
      <c r="L1799" s="29"/>
      <c r="M1799" s="29"/>
      <c r="N1799" s="29"/>
      <c r="O1799" s="29"/>
      <c r="P1799" s="29"/>
    </row>
    <row r="1800">
      <c r="A1800" s="111"/>
      <c r="B1800" s="112"/>
      <c r="C1800" s="29"/>
      <c r="D1800" s="29"/>
      <c r="E1800" s="29"/>
      <c r="F1800" s="29"/>
      <c r="G1800" s="29"/>
      <c r="H1800" s="29"/>
      <c r="I1800" s="29"/>
      <c r="J1800" s="29"/>
      <c r="K1800" s="29"/>
      <c r="L1800" s="29"/>
      <c r="M1800" s="29"/>
      <c r="N1800" s="29"/>
      <c r="O1800" s="29"/>
      <c r="P1800" s="29"/>
    </row>
    <row r="1801">
      <c r="A1801" s="111"/>
      <c r="B1801" s="112"/>
      <c r="C1801" s="29"/>
      <c r="D1801" s="29"/>
      <c r="E1801" s="29"/>
      <c r="F1801" s="29"/>
      <c r="G1801" s="29"/>
      <c r="H1801" s="29"/>
      <c r="I1801" s="29"/>
      <c r="J1801" s="29"/>
      <c r="K1801" s="29"/>
      <c r="L1801" s="29"/>
      <c r="M1801" s="29"/>
      <c r="N1801" s="29"/>
      <c r="O1801" s="29"/>
      <c r="P1801" s="29"/>
    </row>
    <row r="1802">
      <c r="A1802" s="111"/>
      <c r="B1802" s="112"/>
      <c r="C1802" s="29"/>
      <c r="D1802" s="29"/>
      <c r="E1802" s="29"/>
      <c r="F1802" s="29"/>
      <c r="G1802" s="29"/>
      <c r="H1802" s="29"/>
      <c r="I1802" s="29"/>
      <c r="J1802" s="29"/>
      <c r="K1802" s="29"/>
      <c r="L1802" s="29"/>
      <c r="M1802" s="29"/>
      <c r="N1802" s="29"/>
      <c r="O1802" s="29"/>
      <c r="P1802" s="29"/>
    </row>
    <row r="1803">
      <c r="A1803" s="111"/>
      <c r="B1803" s="112"/>
      <c r="C1803" s="29"/>
      <c r="D1803" s="29"/>
      <c r="E1803" s="29"/>
      <c r="F1803" s="29"/>
      <c r="G1803" s="29"/>
      <c r="H1803" s="29"/>
      <c r="I1803" s="29"/>
      <c r="J1803" s="29"/>
      <c r="K1803" s="29"/>
      <c r="L1803" s="29"/>
      <c r="M1803" s="29"/>
      <c r="N1803" s="29"/>
      <c r="O1803" s="29"/>
      <c r="P1803" s="29"/>
    </row>
    <row r="1804">
      <c r="A1804" s="111"/>
      <c r="B1804" s="112"/>
      <c r="C1804" s="29"/>
      <c r="D1804" s="29"/>
      <c r="E1804" s="29"/>
      <c r="F1804" s="29"/>
      <c r="G1804" s="29"/>
      <c r="H1804" s="29"/>
      <c r="I1804" s="29"/>
      <c r="J1804" s="29"/>
      <c r="K1804" s="29"/>
      <c r="L1804" s="29"/>
      <c r="M1804" s="29"/>
      <c r="N1804" s="29"/>
      <c r="O1804" s="29"/>
      <c r="P1804" s="29"/>
    </row>
    <row r="1805">
      <c r="A1805" s="111"/>
      <c r="B1805" s="112"/>
      <c r="C1805" s="29"/>
      <c r="D1805" s="29"/>
      <c r="E1805" s="29"/>
      <c r="F1805" s="29"/>
      <c r="G1805" s="29"/>
      <c r="H1805" s="29"/>
      <c r="I1805" s="29"/>
      <c r="J1805" s="29"/>
      <c r="K1805" s="29"/>
      <c r="L1805" s="29"/>
      <c r="M1805" s="29"/>
      <c r="N1805" s="29"/>
      <c r="O1805" s="29"/>
      <c r="P1805" s="29"/>
    </row>
    <row r="1806">
      <c r="A1806" s="111"/>
      <c r="B1806" s="112"/>
      <c r="C1806" s="29"/>
      <c r="D1806" s="29"/>
      <c r="E1806" s="29"/>
      <c r="F1806" s="29"/>
      <c r="G1806" s="29"/>
      <c r="H1806" s="29"/>
      <c r="I1806" s="29"/>
      <c r="J1806" s="29"/>
      <c r="K1806" s="29"/>
      <c r="L1806" s="29"/>
      <c r="M1806" s="29"/>
      <c r="N1806" s="29"/>
      <c r="O1806" s="29"/>
      <c r="P1806" s="29"/>
    </row>
    <row r="1807">
      <c r="A1807" s="111"/>
      <c r="B1807" s="112"/>
      <c r="C1807" s="29"/>
      <c r="D1807" s="29"/>
      <c r="E1807" s="29"/>
      <c r="F1807" s="29"/>
      <c r="G1807" s="29"/>
      <c r="H1807" s="29"/>
      <c r="I1807" s="29"/>
      <c r="J1807" s="29"/>
      <c r="K1807" s="29"/>
      <c r="L1807" s="29"/>
      <c r="M1807" s="29"/>
      <c r="N1807" s="29"/>
      <c r="O1807" s="29"/>
      <c r="P1807" s="29"/>
    </row>
    <row r="1808">
      <c r="A1808" s="111"/>
      <c r="B1808" s="112"/>
      <c r="C1808" s="29"/>
      <c r="D1808" s="29"/>
      <c r="E1808" s="29"/>
      <c r="F1808" s="29"/>
      <c r="G1808" s="29"/>
      <c r="H1808" s="29"/>
      <c r="I1808" s="29"/>
      <c r="J1808" s="29"/>
      <c r="K1808" s="29"/>
      <c r="L1808" s="29"/>
      <c r="M1808" s="29"/>
      <c r="N1808" s="29"/>
      <c r="O1808" s="29"/>
      <c r="P1808" s="29"/>
    </row>
    <row r="1809">
      <c r="A1809" s="111"/>
      <c r="B1809" s="112"/>
      <c r="C1809" s="29"/>
      <c r="D1809" s="29"/>
      <c r="E1809" s="29"/>
      <c r="F1809" s="29"/>
      <c r="G1809" s="29"/>
      <c r="H1809" s="29"/>
      <c r="I1809" s="29"/>
      <c r="J1809" s="29"/>
      <c r="K1809" s="29"/>
      <c r="L1809" s="29"/>
      <c r="M1809" s="29"/>
      <c r="N1809" s="29"/>
      <c r="O1809" s="29"/>
      <c r="P1809" s="29"/>
    </row>
    <row r="1810">
      <c r="A1810" s="111"/>
      <c r="B1810" s="112"/>
      <c r="C1810" s="29"/>
      <c r="D1810" s="29"/>
      <c r="E1810" s="29"/>
      <c r="F1810" s="29"/>
      <c r="G1810" s="29"/>
      <c r="H1810" s="29"/>
      <c r="I1810" s="29"/>
      <c r="J1810" s="29"/>
      <c r="K1810" s="29"/>
      <c r="L1810" s="29"/>
      <c r="M1810" s="29"/>
      <c r="N1810" s="29"/>
      <c r="O1810" s="29"/>
      <c r="P1810" s="29"/>
    </row>
    <row r="1811">
      <c r="A1811" s="111"/>
      <c r="B1811" s="112"/>
      <c r="C1811" s="29"/>
      <c r="D1811" s="29"/>
      <c r="E1811" s="29"/>
      <c r="F1811" s="29"/>
      <c r="G1811" s="29"/>
      <c r="H1811" s="29"/>
      <c r="I1811" s="29"/>
      <c r="J1811" s="29"/>
      <c r="K1811" s="29"/>
      <c r="L1811" s="29"/>
      <c r="M1811" s="29"/>
      <c r="N1811" s="29"/>
      <c r="O1811" s="29"/>
      <c r="P1811" s="29"/>
    </row>
    <row r="1812">
      <c r="A1812" s="111"/>
      <c r="B1812" s="112"/>
      <c r="C1812" s="29"/>
      <c r="D1812" s="29"/>
      <c r="E1812" s="29"/>
      <c r="F1812" s="29"/>
      <c r="G1812" s="29"/>
      <c r="H1812" s="29"/>
      <c r="I1812" s="29"/>
      <c r="J1812" s="29"/>
      <c r="K1812" s="29"/>
      <c r="L1812" s="29"/>
      <c r="M1812" s="29"/>
      <c r="N1812" s="29"/>
      <c r="O1812" s="29"/>
      <c r="P1812" s="29"/>
    </row>
    <row r="1813">
      <c r="A1813" s="111"/>
      <c r="B1813" s="112"/>
      <c r="C1813" s="29"/>
      <c r="D1813" s="29"/>
      <c r="E1813" s="29"/>
      <c r="F1813" s="29"/>
      <c r="G1813" s="29"/>
      <c r="H1813" s="29"/>
      <c r="I1813" s="29"/>
      <c r="J1813" s="29"/>
      <c r="K1813" s="29"/>
      <c r="L1813" s="29"/>
      <c r="M1813" s="29"/>
      <c r="N1813" s="29"/>
      <c r="O1813" s="29"/>
      <c r="P1813" s="29"/>
    </row>
    <row r="1814">
      <c r="A1814" s="111"/>
      <c r="B1814" s="112"/>
      <c r="C1814" s="29"/>
      <c r="D1814" s="29"/>
      <c r="E1814" s="29"/>
      <c r="F1814" s="29"/>
      <c r="G1814" s="29"/>
      <c r="H1814" s="29"/>
      <c r="I1814" s="29"/>
      <c r="J1814" s="29"/>
      <c r="K1814" s="29"/>
      <c r="L1814" s="29"/>
      <c r="M1814" s="29"/>
      <c r="N1814" s="29"/>
      <c r="O1814" s="29"/>
      <c r="P1814" s="29"/>
    </row>
    <row r="1815">
      <c r="A1815" s="111"/>
      <c r="B1815" s="112"/>
      <c r="C1815" s="29"/>
      <c r="D1815" s="29"/>
      <c r="E1815" s="29"/>
      <c r="F1815" s="29"/>
      <c r="G1815" s="29"/>
      <c r="H1815" s="29"/>
      <c r="I1815" s="29"/>
      <c r="J1815" s="29"/>
      <c r="K1815" s="29"/>
      <c r="L1815" s="29"/>
      <c r="M1815" s="29"/>
      <c r="N1815" s="29"/>
      <c r="O1815" s="29"/>
      <c r="P1815" s="29"/>
    </row>
    <row r="1816">
      <c r="A1816" s="111"/>
      <c r="B1816" s="112"/>
      <c r="C1816" s="29"/>
      <c r="D1816" s="29"/>
      <c r="E1816" s="29"/>
      <c r="F1816" s="29"/>
      <c r="G1816" s="29"/>
      <c r="H1816" s="29"/>
      <c r="I1816" s="29"/>
      <c r="J1816" s="29"/>
      <c r="K1816" s="29"/>
      <c r="L1816" s="29"/>
      <c r="M1816" s="29"/>
      <c r="N1816" s="29"/>
      <c r="O1816" s="29"/>
      <c r="P1816" s="29"/>
    </row>
    <row r="1817">
      <c r="A1817" s="111"/>
      <c r="B1817" s="112"/>
      <c r="C1817" s="29"/>
      <c r="D1817" s="29"/>
      <c r="E1817" s="29"/>
      <c r="F1817" s="29"/>
      <c r="G1817" s="29"/>
      <c r="H1817" s="29"/>
      <c r="I1817" s="29"/>
      <c r="J1817" s="29"/>
      <c r="K1817" s="29"/>
      <c r="L1817" s="29"/>
      <c r="M1817" s="29"/>
      <c r="N1817" s="29"/>
      <c r="O1817" s="29"/>
      <c r="P1817" s="29"/>
    </row>
    <row r="1818">
      <c r="A1818" s="111"/>
      <c r="B1818" s="112"/>
      <c r="C1818" s="29"/>
      <c r="D1818" s="29"/>
      <c r="E1818" s="29"/>
      <c r="F1818" s="29"/>
      <c r="G1818" s="29"/>
      <c r="H1818" s="29"/>
      <c r="I1818" s="29"/>
      <c r="J1818" s="29"/>
      <c r="K1818" s="29"/>
      <c r="L1818" s="29"/>
      <c r="M1818" s="29"/>
      <c r="N1818" s="29"/>
      <c r="O1818" s="29"/>
      <c r="P1818" s="29"/>
    </row>
    <row r="1819">
      <c r="A1819" s="111"/>
      <c r="B1819" s="112"/>
      <c r="C1819" s="29"/>
      <c r="D1819" s="29"/>
      <c r="E1819" s="29"/>
      <c r="F1819" s="29"/>
      <c r="G1819" s="29"/>
      <c r="H1819" s="29"/>
      <c r="I1819" s="29"/>
      <c r="J1819" s="29"/>
      <c r="K1819" s="29"/>
      <c r="L1819" s="29"/>
      <c r="M1819" s="29"/>
      <c r="N1819" s="29"/>
      <c r="O1819" s="29"/>
      <c r="P1819" s="29"/>
    </row>
    <row r="1820">
      <c r="A1820" s="111"/>
      <c r="B1820" s="112"/>
      <c r="C1820" s="29"/>
      <c r="D1820" s="29"/>
      <c r="E1820" s="29"/>
      <c r="F1820" s="29"/>
      <c r="G1820" s="29"/>
      <c r="H1820" s="29"/>
      <c r="I1820" s="29"/>
      <c r="J1820" s="29"/>
      <c r="K1820" s="29"/>
      <c r="L1820" s="29"/>
      <c r="M1820" s="29"/>
      <c r="N1820" s="29"/>
      <c r="O1820" s="29"/>
      <c r="P1820" s="29"/>
    </row>
    <row r="1821">
      <c r="A1821" s="111"/>
      <c r="B1821" s="112"/>
      <c r="C1821" s="29"/>
      <c r="D1821" s="29"/>
      <c r="E1821" s="29"/>
      <c r="F1821" s="29"/>
      <c r="G1821" s="29"/>
      <c r="H1821" s="29"/>
      <c r="I1821" s="29"/>
      <c r="J1821" s="29"/>
      <c r="K1821" s="29"/>
      <c r="L1821" s="29"/>
      <c r="M1821" s="29"/>
      <c r="N1821" s="29"/>
      <c r="O1821" s="29"/>
      <c r="P1821" s="29"/>
    </row>
    <row r="1822">
      <c r="A1822" s="111"/>
      <c r="B1822" s="112"/>
      <c r="C1822" s="29"/>
      <c r="D1822" s="29"/>
      <c r="E1822" s="29"/>
      <c r="F1822" s="29"/>
      <c r="G1822" s="29"/>
      <c r="H1822" s="29"/>
      <c r="I1822" s="29"/>
      <c r="J1822" s="29"/>
      <c r="K1822" s="29"/>
      <c r="L1822" s="29"/>
      <c r="M1822" s="29"/>
      <c r="N1822" s="29"/>
      <c r="O1822" s="29"/>
      <c r="P1822" s="29"/>
    </row>
    <row r="1823">
      <c r="A1823" s="111"/>
      <c r="B1823" s="112"/>
      <c r="C1823" s="29"/>
      <c r="D1823" s="29"/>
      <c r="E1823" s="29"/>
      <c r="F1823" s="29"/>
      <c r="G1823" s="29"/>
      <c r="H1823" s="29"/>
      <c r="I1823" s="29"/>
      <c r="J1823" s="29"/>
      <c r="K1823" s="29"/>
      <c r="L1823" s="29"/>
      <c r="M1823" s="29"/>
      <c r="N1823" s="29"/>
      <c r="O1823" s="29"/>
      <c r="P1823" s="29"/>
    </row>
    <row r="1824">
      <c r="A1824" s="111"/>
      <c r="B1824" s="112"/>
      <c r="C1824" s="29"/>
      <c r="D1824" s="29"/>
      <c r="E1824" s="29"/>
      <c r="F1824" s="29"/>
      <c r="G1824" s="29"/>
      <c r="H1824" s="29"/>
      <c r="I1824" s="29"/>
      <c r="J1824" s="29"/>
      <c r="K1824" s="29"/>
      <c r="L1824" s="29"/>
      <c r="M1824" s="29"/>
      <c r="N1824" s="29"/>
      <c r="O1824" s="29"/>
      <c r="P1824" s="29"/>
    </row>
    <row r="1825">
      <c r="A1825" s="111"/>
      <c r="B1825" s="112"/>
      <c r="C1825" s="29"/>
      <c r="D1825" s="29"/>
      <c r="E1825" s="29"/>
      <c r="F1825" s="29"/>
      <c r="G1825" s="29"/>
      <c r="H1825" s="29"/>
      <c r="I1825" s="29"/>
      <c r="J1825" s="29"/>
      <c r="K1825" s="29"/>
      <c r="L1825" s="29"/>
      <c r="M1825" s="29"/>
      <c r="N1825" s="29"/>
      <c r="O1825" s="29"/>
      <c r="P1825" s="29"/>
    </row>
    <row r="1826">
      <c r="A1826" s="111"/>
      <c r="B1826" s="112"/>
      <c r="C1826" s="29"/>
      <c r="D1826" s="29"/>
      <c r="E1826" s="29"/>
      <c r="F1826" s="29"/>
      <c r="G1826" s="29"/>
      <c r="H1826" s="29"/>
      <c r="I1826" s="29"/>
      <c r="J1826" s="29"/>
      <c r="K1826" s="29"/>
      <c r="L1826" s="29"/>
      <c r="M1826" s="29"/>
      <c r="N1826" s="29"/>
      <c r="O1826" s="29"/>
      <c r="P1826" s="29"/>
    </row>
    <row r="1827">
      <c r="A1827" s="111"/>
      <c r="B1827" s="112"/>
      <c r="C1827" s="29"/>
      <c r="D1827" s="29"/>
      <c r="E1827" s="29"/>
      <c r="F1827" s="29"/>
      <c r="G1827" s="29"/>
      <c r="H1827" s="29"/>
      <c r="I1827" s="29"/>
      <c r="J1827" s="29"/>
      <c r="K1827" s="29"/>
      <c r="L1827" s="29"/>
      <c r="M1827" s="29"/>
      <c r="N1827" s="29"/>
      <c r="O1827" s="29"/>
      <c r="P1827" s="29"/>
    </row>
    <row r="1828">
      <c r="A1828" s="111"/>
      <c r="B1828" s="112"/>
      <c r="C1828" s="29"/>
      <c r="D1828" s="29"/>
      <c r="E1828" s="29"/>
      <c r="F1828" s="29"/>
      <c r="G1828" s="29"/>
      <c r="H1828" s="29"/>
      <c r="I1828" s="29"/>
      <c r="J1828" s="29"/>
      <c r="K1828" s="29"/>
      <c r="L1828" s="29"/>
      <c r="M1828" s="29"/>
      <c r="N1828" s="29"/>
      <c r="O1828" s="29"/>
      <c r="P1828" s="29"/>
    </row>
    <row r="1829">
      <c r="A1829" s="111"/>
      <c r="B1829" s="112"/>
      <c r="C1829" s="29"/>
      <c r="D1829" s="29"/>
      <c r="E1829" s="29"/>
      <c r="F1829" s="29"/>
      <c r="G1829" s="29"/>
      <c r="H1829" s="29"/>
      <c r="I1829" s="29"/>
      <c r="J1829" s="29"/>
      <c r="K1829" s="29"/>
      <c r="L1829" s="29"/>
      <c r="M1829" s="29"/>
      <c r="N1829" s="29"/>
      <c r="O1829" s="29"/>
      <c r="P1829" s="29"/>
    </row>
    <row r="1830">
      <c r="A1830" s="111"/>
      <c r="B1830" s="112"/>
      <c r="C1830" s="29"/>
      <c r="D1830" s="29"/>
      <c r="E1830" s="29"/>
      <c r="F1830" s="29"/>
      <c r="G1830" s="29"/>
      <c r="H1830" s="29"/>
      <c r="I1830" s="29"/>
      <c r="J1830" s="29"/>
      <c r="K1830" s="29"/>
      <c r="L1830" s="29"/>
      <c r="M1830" s="29"/>
      <c r="N1830" s="29"/>
      <c r="O1830" s="29"/>
      <c r="P1830" s="29"/>
    </row>
    <row r="1831">
      <c r="A1831" s="111"/>
      <c r="B1831" s="112"/>
      <c r="C1831" s="29"/>
      <c r="D1831" s="29"/>
      <c r="E1831" s="29"/>
      <c r="F1831" s="29"/>
      <c r="G1831" s="29"/>
      <c r="H1831" s="29"/>
      <c r="I1831" s="29"/>
      <c r="J1831" s="29"/>
      <c r="K1831" s="29"/>
      <c r="L1831" s="29"/>
      <c r="M1831" s="29"/>
      <c r="N1831" s="29"/>
      <c r="O1831" s="29"/>
      <c r="P1831" s="29"/>
    </row>
    <row r="1832">
      <c r="A1832" s="111"/>
      <c r="B1832" s="112"/>
      <c r="C1832" s="29"/>
      <c r="D1832" s="29"/>
      <c r="E1832" s="29"/>
      <c r="F1832" s="29"/>
      <c r="G1832" s="29"/>
      <c r="H1832" s="29"/>
      <c r="I1832" s="29"/>
      <c r="J1832" s="29"/>
      <c r="K1832" s="29"/>
      <c r="L1832" s="29"/>
      <c r="M1832" s="29"/>
      <c r="N1832" s="29"/>
      <c r="O1832" s="29"/>
      <c r="P1832" s="29"/>
    </row>
    <row r="1833">
      <c r="A1833" s="111"/>
      <c r="B1833" s="112"/>
      <c r="C1833" s="29"/>
      <c r="D1833" s="29"/>
      <c r="E1833" s="29"/>
      <c r="F1833" s="29"/>
      <c r="G1833" s="29"/>
      <c r="H1833" s="29"/>
      <c r="I1833" s="29"/>
      <c r="J1833" s="29"/>
      <c r="K1833" s="29"/>
      <c r="L1833" s="29"/>
      <c r="M1833" s="29"/>
      <c r="N1833" s="29"/>
      <c r="O1833" s="29"/>
      <c r="P1833" s="29"/>
    </row>
    <row r="1834">
      <c r="A1834" s="111"/>
      <c r="B1834" s="112"/>
      <c r="C1834" s="29"/>
      <c r="D1834" s="29"/>
      <c r="E1834" s="29"/>
      <c r="F1834" s="29"/>
      <c r="G1834" s="29"/>
      <c r="H1834" s="29"/>
      <c r="I1834" s="29"/>
      <c r="J1834" s="29"/>
      <c r="K1834" s="29"/>
      <c r="L1834" s="29"/>
      <c r="M1834" s="29"/>
      <c r="N1834" s="29"/>
      <c r="O1834" s="29"/>
      <c r="P1834" s="29"/>
    </row>
    <row r="1835">
      <c r="A1835" s="111"/>
      <c r="B1835" s="112"/>
      <c r="C1835" s="29"/>
      <c r="D1835" s="29"/>
      <c r="E1835" s="29"/>
      <c r="F1835" s="29"/>
      <c r="G1835" s="29"/>
      <c r="H1835" s="29"/>
      <c r="I1835" s="29"/>
      <c r="J1835" s="29"/>
      <c r="K1835" s="29"/>
      <c r="L1835" s="29"/>
      <c r="M1835" s="29"/>
      <c r="N1835" s="29"/>
      <c r="O1835" s="29"/>
      <c r="P1835" s="29"/>
    </row>
    <row r="1836">
      <c r="A1836" s="111"/>
      <c r="B1836" s="112"/>
      <c r="C1836" s="29"/>
      <c r="D1836" s="29"/>
      <c r="E1836" s="29"/>
      <c r="F1836" s="29"/>
      <c r="G1836" s="29"/>
      <c r="H1836" s="29"/>
      <c r="I1836" s="29"/>
      <c r="J1836" s="29"/>
      <c r="K1836" s="29"/>
      <c r="L1836" s="29"/>
      <c r="M1836" s="29"/>
      <c r="N1836" s="29"/>
      <c r="O1836" s="29"/>
      <c r="P1836" s="29"/>
    </row>
    <row r="1837">
      <c r="A1837" s="111"/>
      <c r="B1837" s="112"/>
      <c r="C1837" s="29"/>
      <c r="D1837" s="29"/>
      <c r="E1837" s="29"/>
      <c r="F1837" s="29"/>
      <c r="G1837" s="29"/>
      <c r="H1837" s="29"/>
      <c r="I1837" s="29"/>
      <c r="J1837" s="29"/>
      <c r="K1837" s="29"/>
      <c r="L1837" s="29"/>
      <c r="M1837" s="29"/>
      <c r="N1837" s="29"/>
      <c r="O1837" s="29"/>
      <c r="P1837" s="29"/>
    </row>
    <row r="1838">
      <c r="A1838" s="111"/>
      <c r="B1838" s="112"/>
      <c r="C1838" s="29"/>
      <c r="D1838" s="29"/>
      <c r="E1838" s="29"/>
      <c r="F1838" s="29"/>
      <c r="G1838" s="29"/>
      <c r="H1838" s="29"/>
      <c r="I1838" s="29"/>
      <c r="J1838" s="29"/>
      <c r="K1838" s="29"/>
      <c r="L1838" s="29"/>
      <c r="M1838" s="29"/>
      <c r="N1838" s="29"/>
      <c r="O1838" s="29"/>
      <c r="P1838" s="29"/>
    </row>
    <row r="1839">
      <c r="A1839" s="111"/>
      <c r="B1839" s="112"/>
      <c r="C1839" s="29"/>
      <c r="D1839" s="29"/>
      <c r="E1839" s="29"/>
      <c r="F1839" s="29"/>
      <c r="G1839" s="29"/>
      <c r="H1839" s="29"/>
      <c r="I1839" s="29"/>
      <c r="J1839" s="29"/>
      <c r="K1839" s="29"/>
      <c r="L1839" s="29"/>
      <c r="M1839" s="29"/>
      <c r="N1839" s="29"/>
      <c r="O1839" s="29"/>
      <c r="P1839" s="29"/>
    </row>
    <row r="1840">
      <c r="A1840" s="111"/>
      <c r="B1840" s="112"/>
      <c r="C1840" s="29"/>
      <c r="D1840" s="29"/>
      <c r="E1840" s="29"/>
      <c r="F1840" s="29"/>
      <c r="G1840" s="29"/>
      <c r="H1840" s="29"/>
      <c r="I1840" s="29"/>
      <c r="J1840" s="29"/>
      <c r="K1840" s="29"/>
      <c r="L1840" s="29"/>
      <c r="M1840" s="29"/>
      <c r="N1840" s="29"/>
      <c r="O1840" s="29"/>
      <c r="P1840" s="29"/>
    </row>
    <row r="1841">
      <c r="A1841" s="111"/>
      <c r="B1841" s="112"/>
      <c r="C1841" s="29"/>
      <c r="D1841" s="29"/>
      <c r="E1841" s="29"/>
      <c r="F1841" s="29"/>
      <c r="G1841" s="29"/>
      <c r="H1841" s="29"/>
      <c r="I1841" s="29"/>
      <c r="J1841" s="29"/>
      <c r="K1841" s="29"/>
      <c r="L1841" s="29"/>
      <c r="M1841" s="29"/>
      <c r="N1841" s="29"/>
      <c r="O1841" s="29"/>
      <c r="P1841" s="29"/>
    </row>
    <row r="1842">
      <c r="A1842" s="111"/>
      <c r="B1842" s="112"/>
      <c r="C1842" s="29"/>
      <c r="D1842" s="29"/>
      <c r="E1842" s="29"/>
      <c r="F1842" s="29"/>
      <c r="G1842" s="29"/>
      <c r="H1842" s="29"/>
      <c r="I1842" s="29"/>
      <c r="J1842" s="29"/>
      <c r="K1842" s="29"/>
      <c r="L1842" s="29"/>
      <c r="M1842" s="29"/>
      <c r="N1842" s="29"/>
      <c r="O1842" s="29"/>
      <c r="P1842" s="29"/>
    </row>
    <row r="1843">
      <c r="A1843" s="111"/>
      <c r="B1843" s="112"/>
      <c r="C1843" s="29"/>
      <c r="D1843" s="29"/>
      <c r="E1843" s="29"/>
      <c r="F1843" s="29"/>
      <c r="G1843" s="29"/>
      <c r="H1843" s="29"/>
      <c r="I1843" s="29"/>
      <c r="J1843" s="29"/>
      <c r="K1843" s="29"/>
      <c r="L1843" s="29"/>
      <c r="M1843" s="29"/>
      <c r="N1843" s="29"/>
      <c r="O1843" s="29"/>
      <c r="P1843" s="29"/>
    </row>
    <row r="1844">
      <c r="A1844" s="111"/>
      <c r="B1844" s="112"/>
      <c r="C1844" s="29"/>
      <c r="D1844" s="29"/>
      <c r="E1844" s="29"/>
      <c r="F1844" s="29"/>
      <c r="G1844" s="29"/>
      <c r="H1844" s="29"/>
      <c r="I1844" s="29"/>
      <c r="J1844" s="29"/>
      <c r="K1844" s="29"/>
      <c r="L1844" s="29"/>
      <c r="M1844" s="29"/>
      <c r="N1844" s="29"/>
      <c r="O1844" s="29"/>
      <c r="P1844" s="29"/>
    </row>
    <row r="1845">
      <c r="A1845" s="111"/>
      <c r="B1845" s="112"/>
      <c r="C1845" s="29"/>
      <c r="D1845" s="29"/>
      <c r="E1845" s="29"/>
      <c r="F1845" s="29"/>
      <c r="G1845" s="29"/>
      <c r="H1845" s="29"/>
      <c r="I1845" s="29"/>
      <c r="J1845" s="29"/>
      <c r="K1845" s="29"/>
      <c r="L1845" s="29"/>
      <c r="M1845" s="29"/>
      <c r="N1845" s="29"/>
      <c r="O1845" s="29"/>
      <c r="P1845" s="29"/>
    </row>
    <row r="1846">
      <c r="A1846" s="111"/>
      <c r="B1846" s="112"/>
      <c r="C1846" s="29"/>
      <c r="D1846" s="29"/>
      <c r="E1846" s="29"/>
      <c r="F1846" s="29"/>
      <c r="G1846" s="29"/>
      <c r="H1846" s="29"/>
      <c r="I1846" s="29"/>
      <c r="J1846" s="29"/>
      <c r="K1846" s="29"/>
      <c r="L1846" s="29"/>
      <c r="M1846" s="29"/>
      <c r="N1846" s="29"/>
      <c r="O1846" s="29"/>
      <c r="P1846" s="29"/>
    </row>
    <row r="1847">
      <c r="A1847" s="111"/>
      <c r="B1847" s="112"/>
      <c r="C1847" s="29"/>
      <c r="D1847" s="29"/>
      <c r="E1847" s="29"/>
      <c r="F1847" s="29"/>
      <c r="G1847" s="29"/>
      <c r="H1847" s="29"/>
      <c r="I1847" s="29"/>
      <c r="J1847" s="29"/>
      <c r="K1847" s="29"/>
      <c r="L1847" s="29"/>
      <c r="M1847" s="29"/>
      <c r="N1847" s="29"/>
      <c r="O1847" s="29"/>
      <c r="P1847" s="29"/>
    </row>
    <row r="1848">
      <c r="A1848" s="111"/>
      <c r="B1848" s="112"/>
      <c r="C1848" s="29"/>
      <c r="D1848" s="29"/>
      <c r="E1848" s="29"/>
      <c r="F1848" s="29"/>
      <c r="G1848" s="29"/>
      <c r="H1848" s="29"/>
      <c r="I1848" s="29"/>
      <c r="J1848" s="29"/>
      <c r="K1848" s="29"/>
      <c r="L1848" s="29"/>
      <c r="M1848" s="29"/>
      <c r="N1848" s="29"/>
      <c r="O1848" s="29"/>
      <c r="P1848" s="29"/>
    </row>
    <row r="1849">
      <c r="A1849" s="111"/>
      <c r="B1849" s="112"/>
      <c r="C1849" s="29"/>
      <c r="D1849" s="29"/>
      <c r="E1849" s="29"/>
      <c r="F1849" s="29"/>
      <c r="G1849" s="29"/>
      <c r="H1849" s="29"/>
      <c r="I1849" s="29"/>
      <c r="J1849" s="29"/>
      <c r="K1849" s="29"/>
      <c r="L1849" s="29"/>
      <c r="M1849" s="29"/>
      <c r="N1849" s="29"/>
      <c r="O1849" s="29"/>
      <c r="P1849" s="29"/>
    </row>
    <row r="1850">
      <c r="A1850" s="111"/>
      <c r="B1850" s="112"/>
      <c r="C1850" s="29"/>
      <c r="D1850" s="29"/>
      <c r="E1850" s="29"/>
      <c r="F1850" s="29"/>
      <c r="G1850" s="29"/>
      <c r="H1850" s="29"/>
      <c r="I1850" s="29"/>
      <c r="J1850" s="29"/>
      <c r="K1850" s="29"/>
      <c r="L1850" s="29"/>
      <c r="M1850" s="29"/>
      <c r="N1850" s="29"/>
      <c r="O1850" s="29"/>
      <c r="P1850" s="29"/>
    </row>
    <row r="1851">
      <c r="A1851" s="111"/>
      <c r="B1851" s="112"/>
      <c r="C1851" s="29"/>
      <c r="D1851" s="29"/>
      <c r="E1851" s="29"/>
      <c r="F1851" s="29"/>
      <c r="G1851" s="29"/>
      <c r="H1851" s="29"/>
      <c r="I1851" s="29"/>
      <c r="J1851" s="29"/>
      <c r="K1851" s="29"/>
      <c r="L1851" s="29"/>
      <c r="M1851" s="29"/>
      <c r="N1851" s="29"/>
      <c r="O1851" s="29"/>
      <c r="P1851" s="29"/>
    </row>
    <row r="1852">
      <c r="A1852" s="111"/>
      <c r="B1852" s="112"/>
      <c r="C1852" s="29"/>
      <c r="D1852" s="29"/>
      <c r="E1852" s="29"/>
      <c r="F1852" s="29"/>
      <c r="G1852" s="29"/>
      <c r="H1852" s="29"/>
      <c r="I1852" s="29"/>
      <c r="J1852" s="29"/>
      <c r="K1852" s="29"/>
      <c r="L1852" s="29"/>
      <c r="M1852" s="29"/>
      <c r="N1852" s="29"/>
      <c r="O1852" s="29"/>
      <c r="P1852" s="29"/>
    </row>
    <row r="1853">
      <c r="A1853" s="111"/>
      <c r="B1853" s="112"/>
      <c r="C1853" s="29"/>
      <c r="D1853" s="29"/>
      <c r="E1853" s="29"/>
      <c r="F1853" s="29"/>
      <c r="G1853" s="29"/>
      <c r="H1853" s="29"/>
      <c r="I1853" s="29"/>
      <c r="J1853" s="29"/>
      <c r="K1853" s="29"/>
      <c r="L1853" s="29"/>
      <c r="M1853" s="29"/>
      <c r="N1853" s="29"/>
      <c r="O1853" s="29"/>
      <c r="P1853" s="29"/>
    </row>
    <row r="1854">
      <c r="A1854" s="111"/>
      <c r="B1854" s="112"/>
      <c r="C1854" s="29"/>
      <c r="D1854" s="29"/>
      <c r="E1854" s="29"/>
      <c r="F1854" s="29"/>
      <c r="G1854" s="29"/>
      <c r="H1854" s="29"/>
      <c r="I1854" s="29"/>
      <c r="J1854" s="29"/>
      <c r="K1854" s="29"/>
      <c r="L1854" s="29"/>
      <c r="M1854" s="29"/>
      <c r="N1854" s="29"/>
      <c r="O1854" s="29"/>
      <c r="P1854" s="29"/>
    </row>
    <row r="1855">
      <c r="A1855" s="111"/>
      <c r="B1855" s="112"/>
      <c r="C1855" s="29"/>
      <c r="D1855" s="29"/>
      <c r="E1855" s="29"/>
      <c r="F1855" s="29"/>
      <c r="G1855" s="29"/>
      <c r="H1855" s="29"/>
      <c r="I1855" s="29"/>
      <c r="J1855" s="29"/>
      <c r="K1855" s="29"/>
      <c r="L1855" s="29"/>
      <c r="M1855" s="29"/>
      <c r="N1855" s="29"/>
      <c r="O1855" s="29"/>
      <c r="P1855" s="29"/>
    </row>
    <row r="1856">
      <c r="A1856" s="111"/>
      <c r="B1856" s="112"/>
      <c r="C1856" s="29"/>
      <c r="D1856" s="29"/>
      <c r="E1856" s="29"/>
      <c r="F1856" s="29"/>
      <c r="G1856" s="29"/>
      <c r="H1856" s="29"/>
      <c r="I1856" s="29"/>
      <c r="J1856" s="29"/>
      <c r="K1856" s="29"/>
      <c r="L1856" s="29"/>
      <c r="M1856" s="29"/>
      <c r="N1856" s="29"/>
      <c r="O1856" s="29"/>
      <c r="P1856" s="29"/>
    </row>
    <row r="1857">
      <c r="A1857" s="111"/>
      <c r="B1857" s="112"/>
      <c r="C1857" s="29"/>
      <c r="D1857" s="29"/>
      <c r="E1857" s="29"/>
      <c r="F1857" s="29"/>
      <c r="G1857" s="29"/>
      <c r="H1857" s="29"/>
      <c r="I1857" s="29"/>
      <c r="J1857" s="29"/>
      <c r="K1857" s="29"/>
      <c r="L1857" s="29"/>
      <c r="M1857" s="29"/>
      <c r="N1857" s="29"/>
      <c r="O1857" s="29"/>
      <c r="P1857" s="29"/>
    </row>
    <row r="1858">
      <c r="A1858" s="111"/>
      <c r="B1858" s="112"/>
      <c r="C1858" s="29"/>
      <c r="D1858" s="29"/>
      <c r="E1858" s="29"/>
      <c r="F1858" s="29"/>
      <c r="G1858" s="29"/>
      <c r="H1858" s="29"/>
      <c r="I1858" s="29"/>
      <c r="J1858" s="29"/>
      <c r="K1858" s="29"/>
      <c r="L1858" s="29"/>
      <c r="M1858" s="29"/>
      <c r="N1858" s="29"/>
      <c r="O1858" s="29"/>
      <c r="P1858" s="29"/>
    </row>
    <row r="1859">
      <c r="A1859" s="111"/>
      <c r="B1859" s="112"/>
      <c r="C1859" s="29"/>
      <c r="D1859" s="29"/>
      <c r="E1859" s="29"/>
      <c r="F1859" s="29"/>
      <c r="G1859" s="29"/>
      <c r="H1859" s="29"/>
      <c r="I1859" s="29"/>
      <c r="J1859" s="29"/>
      <c r="K1859" s="29"/>
      <c r="L1859" s="29"/>
      <c r="M1859" s="29"/>
      <c r="N1859" s="29"/>
      <c r="O1859" s="29"/>
      <c r="P1859" s="29"/>
    </row>
    <row r="1860">
      <c r="A1860" s="111"/>
      <c r="B1860" s="112"/>
      <c r="C1860" s="29"/>
      <c r="D1860" s="29"/>
      <c r="E1860" s="29"/>
      <c r="F1860" s="29"/>
      <c r="G1860" s="29"/>
      <c r="H1860" s="29"/>
      <c r="I1860" s="29"/>
      <c r="J1860" s="29"/>
      <c r="K1860" s="29"/>
      <c r="L1860" s="29"/>
      <c r="M1860" s="29"/>
      <c r="N1860" s="29"/>
      <c r="O1860" s="29"/>
      <c r="P1860" s="29"/>
    </row>
    <row r="1861">
      <c r="A1861" s="111"/>
      <c r="B1861" s="112"/>
      <c r="C1861" s="29"/>
      <c r="D1861" s="29"/>
      <c r="E1861" s="29"/>
      <c r="F1861" s="29"/>
      <c r="G1861" s="29"/>
      <c r="H1861" s="29"/>
      <c r="I1861" s="29"/>
      <c r="J1861" s="29"/>
      <c r="K1861" s="29"/>
      <c r="L1861" s="29"/>
      <c r="M1861" s="29"/>
      <c r="N1861" s="29"/>
      <c r="O1861" s="29"/>
      <c r="P1861" s="29"/>
    </row>
    <row r="1862">
      <c r="A1862" s="111"/>
      <c r="B1862" s="112"/>
      <c r="C1862" s="29"/>
      <c r="D1862" s="29"/>
      <c r="E1862" s="29"/>
      <c r="F1862" s="29"/>
      <c r="G1862" s="29"/>
      <c r="H1862" s="29"/>
      <c r="I1862" s="29"/>
      <c r="J1862" s="29"/>
      <c r="K1862" s="29"/>
      <c r="L1862" s="29"/>
      <c r="M1862" s="29"/>
      <c r="N1862" s="29"/>
      <c r="O1862" s="29"/>
      <c r="P1862" s="29"/>
    </row>
    <row r="1863">
      <c r="A1863" s="111"/>
      <c r="B1863" s="112"/>
      <c r="C1863" s="29"/>
      <c r="D1863" s="29"/>
      <c r="E1863" s="29"/>
      <c r="F1863" s="29"/>
      <c r="G1863" s="29"/>
      <c r="H1863" s="29"/>
      <c r="I1863" s="29"/>
      <c r="J1863" s="29"/>
      <c r="K1863" s="29"/>
      <c r="L1863" s="29"/>
      <c r="M1863" s="29"/>
      <c r="N1863" s="29"/>
      <c r="O1863" s="29"/>
      <c r="P1863" s="29"/>
    </row>
    <row r="1864">
      <c r="A1864" s="111"/>
      <c r="B1864" s="112"/>
      <c r="C1864" s="29"/>
      <c r="D1864" s="29"/>
      <c r="E1864" s="29"/>
      <c r="F1864" s="29"/>
      <c r="G1864" s="29"/>
      <c r="H1864" s="29"/>
      <c r="I1864" s="29"/>
      <c r="J1864" s="29"/>
      <c r="K1864" s="29"/>
      <c r="L1864" s="29"/>
      <c r="M1864" s="29"/>
      <c r="N1864" s="29"/>
      <c r="O1864" s="29"/>
      <c r="P1864" s="29"/>
    </row>
    <row r="1865">
      <c r="A1865" s="111"/>
      <c r="B1865" s="112"/>
      <c r="C1865" s="29"/>
      <c r="D1865" s="29"/>
      <c r="E1865" s="29"/>
      <c r="F1865" s="29"/>
      <c r="G1865" s="29"/>
      <c r="H1865" s="29"/>
      <c r="I1865" s="29"/>
      <c r="J1865" s="29"/>
      <c r="K1865" s="29"/>
      <c r="L1865" s="29"/>
      <c r="M1865" s="29"/>
      <c r="N1865" s="29"/>
      <c r="O1865" s="29"/>
      <c r="P1865" s="29"/>
    </row>
    <row r="1866">
      <c r="A1866" s="111"/>
      <c r="B1866" s="112"/>
      <c r="C1866" s="29"/>
      <c r="D1866" s="29"/>
      <c r="E1866" s="29"/>
      <c r="F1866" s="29"/>
      <c r="G1866" s="29"/>
      <c r="H1866" s="29"/>
      <c r="I1866" s="29"/>
      <c r="J1866" s="29"/>
      <c r="K1866" s="29"/>
      <c r="L1866" s="29"/>
      <c r="M1866" s="29"/>
      <c r="N1866" s="29"/>
      <c r="O1866" s="29"/>
      <c r="P1866" s="29"/>
    </row>
    <row r="1867">
      <c r="A1867" s="111"/>
      <c r="B1867" s="112"/>
      <c r="C1867" s="29"/>
      <c r="D1867" s="29"/>
      <c r="E1867" s="29"/>
      <c r="F1867" s="29"/>
      <c r="G1867" s="29"/>
      <c r="H1867" s="29"/>
      <c r="I1867" s="29"/>
      <c r="J1867" s="29"/>
      <c r="K1867" s="29"/>
      <c r="L1867" s="29"/>
      <c r="M1867" s="29"/>
      <c r="N1867" s="29"/>
      <c r="O1867" s="29"/>
      <c r="P1867" s="29"/>
    </row>
    <row r="1868">
      <c r="A1868" s="111"/>
      <c r="B1868" s="112"/>
      <c r="C1868" s="29"/>
      <c r="D1868" s="29"/>
      <c r="E1868" s="29"/>
      <c r="F1868" s="29"/>
      <c r="G1868" s="29"/>
      <c r="H1868" s="29"/>
      <c r="I1868" s="29"/>
      <c r="J1868" s="29"/>
      <c r="K1868" s="29"/>
      <c r="L1868" s="29"/>
      <c r="M1868" s="29"/>
      <c r="N1868" s="29"/>
      <c r="O1868" s="29"/>
      <c r="P1868" s="29"/>
    </row>
    <row r="1869">
      <c r="A1869" s="111"/>
      <c r="B1869" s="112"/>
      <c r="C1869" s="29"/>
      <c r="D1869" s="29"/>
      <c r="E1869" s="29"/>
      <c r="F1869" s="29"/>
      <c r="G1869" s="29"/>
      <c r="H1869" s="29"/>
      <c r="I1869" s="29"/>
      <c r="J1869" s="29"/>
      <c r="K1869" s="29"/>
      <c r="L1869" s="29"/>
      <c r="M1869" s="29"/>
      <c r="N1869" s="29"/>
      <c r="O1869" s="29"/>
      <c r="P1869" s="29"/>
    </row>
    <row r="1870">
      <c r="A1870" s="111"/>
      <c r="B1870" s="112"/>
      <c r="C1870" s="29"/>
      <c r="D1870" s="29"/>
      <c r="E1870" s="29"/>
      <c r="F1870" s="29"/>
      <c r="G1870" s="29"/>
      <c r="H1870" s="29"/>
      <c r="I1870" s="29"/>
      <c r="J1870" s="29"/>
      <c r="K1870" s="29"/>
      <c r="L1870" s="29"/>
      <c r="M1870" s="29"/>
      <c r="N1870" s="29"/>
      <c r="O1870" s="29"/>
      <c r="P1870" s="29"/>
    </row>
    <row r="1871">
      <c r="A1871" s="111"/>
      <c r="B1871" s="112"/>
      <c r="C1871" s="29"/>
      <c r="D1871" s="29"/>
      <c r="E1871" s="29"/>
      <c r="F1871" s="29"/>
      <c r="G1871" s="29"/>
      <c r="H1871" s="29"/>
      <c r="I1871" s="29"/>
      <c r="J1871" s="29"/>
      <c r="K1871" s="29"/>
      <c r="L1871" s="29"/>
      <c r="M1871" s="29"/>
      <c r="N1871" s="29"/>
      <c r="O1871" s="29"/>
      <c r="P1871" s="29"/>
    </row>
    <row r="1872">
      <c r="A1872" s="111"/>
      <c r="B1872" s="112"/>
      <c r="C1872" s="29"/>
      <c r="D1872" s="29"/>
      <c r="E1872" s="29"/>
      <c r="F1872" s="29"/>
      <c r="G1872" s="29"/>
      <c r="H1872" s="29"/>
      <c r="I1872" s="29"/>
      <c r="J1872" s="29"/>
      <c r="K1872" s="29"/>
      <c r="L1872" s="29"/>
      <c r="M1872" s="29"/>
      <c r="N1872" s="29"/>
      <c r="O1872" s="29"/>
      <c r="P1872" s="29"/>
    </row>
    <row r="1873">
      <c r="A1873" s="111"/>
      <c r="B1873" s="112"/>
      <c r="C1873" s="29"/>
      <c r="D1873" s="29"/>
      <c r="E1873" s="29"/>
      <c r="F1873" s="29"/>
      <c r="G1873" s="29"/>
      <c r="H1873" s="29"/>
      <c r="I1873" s="29"/>
      <c r="J1873" s="29"/>
      <c r="K1873" s="29"/>
      <c r="L1873" s="29"/>
      <c r="M1873" s="29"/>
      <c r="N1873" s="29"/>
      <c r="O1873" s="29"/>
      <c r="P1873" s="29"/>
    </row>
    <row r="1874">
      <c r="A1874" s="111"/>
      <c r="B1874" s="112"/>
      <c r="C1874" s="29"/>
      <c r="D1874" s="29"/>
      <c r="E1874" s="29"/>
      <c r="F1874" s="29"/>
      <c r="G1874" s="29"/>
      <c r="H1874" s="29"/>
      <c r="I1874" s="29"/>
      <c r="J1874" s="29"/>
      <c r="K1874" s="29"/>
      <c r="L1874" s="29"/>
      <c r="M1874" s="29"/>
      <c r="N1874" s="29"/>
      <c r="O1874" s="29"/>
      <c r="P1874" s="29"/>
    </row>
    <row r="1875">
      <c r="A1875" s="111"/>
      <c r="B1875" s="112"/>
      <c r="C1875" s="29"/>
      <c r="D1875" s="29"/>
      <c r="E1875" s="29"/>
      <c r="F1875" s="29"/>
      <c r="G1875" s="29"/>
      <c r="H1875" s="29"/>
      <c r="I1875" s="29"/>
      <c r="J1875" s="29"/>
      <c r="K1875" s="29"/>
      <c r="L1875" s="29"/>
      <c r="M1875" s="29"/>
      <c r="N1875" s="29"/>
      <c r="O1875" s="29"/>
      <c r="P1875" s="29"/>
    </row>
    <row r="1876">
      <c r="A1876" s="111"/>
      <c r="B1876" s="112"/>
      <c r="C1876" s="29"/>
      <c r="D1876" s="29"/>
      <c r="E1876" s="29"/>
      <c r="F1876" s="29"/>
      <c r="G1876" s="29"/>
      <c r="H1876" s="29"/>
      <c r="I1876" s="29"/>
      <c r="J1876" s="29"/>
      <c r="K1876" s="29"/>
      <c r="L1876" s="29"/>
      <c r="M1876" s="29"/>
      <c r="N1876" s="29"/>
      <c r="O1876" s="29"/>
      <c r="P1876" s="29"/>
    </row>
    <row r="1877">
      <c r="A1877" s="111"/>
      <c r="B1877" s="112"/>
      <c r="C1877" s="29"/>
      <c r="D1877" s="29"/>
      <c r="E1877" s="29"/>
      <c r="F1877" s="29"/>
      <c r="G1877" s="29"/>
      <c r="H1877" s="29"/>
      <c r="I1877" s="29"/>
      <c r="J1877" s="29"/>
      <c r="K1877" s="29"/>
      <c r="L1877" s="29"/>
      <c r="M1877" s="29"/>
      <c r="N1877" s="29"/>
      <c r="O1877" s="29"/>
      <c r="P1877" s="29"/>
    </row>
    <row r="1878">
      <c r="A1878" s="111"/>
      <c r="B1878" s="112"/>
      <c r="C1878" s="29"/>
      <c r="D1878" s="29"/>
      <c r="E1878" s="29"/>
      <c r="F1878" s="29"/>
      <c r="G1878" s="29"/>
      <c r="H1878" s="29"/>
      <c r="I1878" s="29"/>
      <c r="J1878" s="29"/>
      <c r="K1878" s="29"/>
      <c r="L1878" s="29"/>
      <c r="M1878" s="29"/>
      <c r="N1878" s="29"/>
      <c r="O1878" s="29"/>
      <c r="P1878" s="29"/>
    </row>
    <row r="1879">
      <c r="A1879" s="111"/>
      <c r="B1879" s="112"/>
      <c r="C1879" s="29"/>
      <c r="D1879" s="29"/>
      <c r="E1879" s="29"/>
      <c r="F1879" s="29"/>
      <c r="G1879" s="29"/>
      <c r="H1879" s="29"/>
      <c r="I1879" s="29"/>
      <c r="J1879" s="29"/>
      <c r="K1879" s="29"/>
      <c r="L1879" s="29"/>
      <c r="M1879" s="29"/>
      <c r="N1879" s="29"/>
      <c r="O1879" s="29"/>
      <c r="P1879" s="29"/>
    </row>
    <row r="1880">
      <c r="A1880" s="111"/>
      <c r="B1880" s="112"/>
      <c r="C1880" s="29"/>
      <c r="D1880" s="29"/>
      <c r="E1880" s="29"/>
      <c r="F1880" s="29"/>
      <c r="G1880" s="29"/>
      <c r="H1880" s="29"/>
      <c r="I1880" s="29"/>
      <c r="J1880" s="29"/>
      <c r="K1880" s="29"/>
      <c r="L1880" s="29"/>
      <c r="M1880" s="29"/>
      <c r="N1880" s="29"/>
      <c r="O1880" s="29"/>
      <c r="P1880" s="29"/>
    </row>
    <row r="1881">
      <c r="A1881" s="111"/>
      <c r="B1881" s="112"/>
      <c r="C1881" s="29"/>
      <c r="D1881" s="29"/>
      <c r="E1881" s="29"/>
      <c r="F1881" s="29"/>
      <c r="G1881" s="29"/>
      <c r="H1881" s="29"/>
      <c r="I1881" s="29"/>
      <c r="J1881" s="29"/>
      <c r="K1881" s="29"/>
      <c r="L1881" s="29"/>
      <c r="M1881" s="29"/>
      <c r="N1881" s="29"/>
      <c r="O1881" s="29"/>
      <c r="P1881" s="29"/>
    </row>
    <row r="1882">
      <c r="A1882" s="111"/>
      <c r="B1882" s="112"/>
      <c r="C1882" s="29"/>
      <c r="D1882" s="29"/>
      <c r="E1882" s="29"/>
      <c r="F1882" s="29"/>
      <c r="G1882" s="29"/>
      <c r="H1882" s="29"/>
      <c r="I1882" s="29"/>
      <c r="J1882" s="29"/>
      <c r="K1882" s="29"/>
      <c r="L1882" s="29"/>
      <c r="M1882" s="29"/>
      <c r="N1882" s="29"/>
      <c r="O1882" s="29"/>
      <c r="P1882" s="29"/>
    </row>
    <row r="1883">
      <c r="A1883" s="111"/>
      <c r="B1883" s="112"/>
      <c r="C1883" s="29"/>
      <c r="D1883" s="29"/>
      <c r="E1883" s="29"/>
      <c r="F1883" s="29"/>
      <c r="G1883" s="29"/>
      <c r="H1883" s="29"/>
      <c r="I1883" s="29"/>
      <c r="J1883" s="29"/>
      <c r="K1883" s="29"/>
      <c r="L1883" s="29"/>
      <c r="M1883" s="29"/>
      <c r="N1883" s="29"/>
      <c r="O1883" s="29"/>
      <c r="P1883" s="29"/>
    </row>
    <row r="1884">
      <c r="A1884" s="111"/>
      <c r="B1884" s="112"/>
      <c r="C1884" s="29"/>
      <c r="D1884" s="29"/>
      <c r="E1884" s="29"/>
      <c r="F1884" s="29"/>
      <c r="G1884" s="29"/>
      <c r="H1884" s="29"/>
      <c r="I1884" s="29"/>
      <c r="J1884" s="29"/>
      <c r="K1884" s="29"/>
      <c r="L1884" s="29"/>
      <c r="M1884" s="29"/>
      <c r="N1884" s="29"/>
      <c r="O1884" s="29"/>
      <c r="P1884" s="29"/>
    </row>
    <row r="1885">
      <c r="A1885" s="111"/>
      <c r="B1885" s="112"/>
      <c r="C1885" s="29"/>
      <c r="D1885" s="29"/>
      <c r="E1885" s="29"/>
      <c r="F1885" s="29"/>
      <c r="G1885" s="29"/>
      <c r="H1885" s="29"/>
      <c r="I1885" s="29"/>
      <c r="J1885" s="29"/>
      <c r="K1885" s="29"/>
      <c r="L1885" s="29"/>
      <c r="M1885" s="29"/>
      <c r="N1885" s="29"/>
      <c r="O1885" s="29"/>
      <c r="P1885" s="29"/>
    </row>
    <row r="1886">
      <c r="A1886" s="111"/>
      <c r="B1886" s="112"/>
      <c r="C1886" s="29"/>
      <c r="D1886" s="29"/>
      <c r="E1886" s="29"/>
      <c r="F1886" s="29"/>
      <c r="G1886" s="29"/>
      <c r="H1886" s="29"/>
      <c r="I1886" s="29"/>
      <c r="J1886" s="29"/>
      <c r="K1886" s="29"/>
      <c r="L1886" s="29"/>
      <c r="M1886" s="29"/>
      <c r="N1886" s="29"/>
      <c r="O1886" s="29"/>
      <c r="P1886" s="29"/>
    </row>
    <row r="1887">
      <c r="A1887" s="111"/>
      <c r="B1887" s="112"/>
      <c r="C1887" s="29"/>
      <c r="D1887" s="29"/>
      <c r="E1887" s="29"/>
      <c r="F1887" s="29"/>
      <c r="G1887" s="29"/>
      <c r="H1887" s="29"/>
      <c r="I1887" s="29"/>
      <c r="J1887" s="29"/>
      <c r="K1887" s="29"/>
      <c r="L1887" s="29"/>
      <c r="M1887" s="29"/>
      <c r="N1887" s="29"/>
      <c r="O1887" s="29"/>
      <c r="P1887" s="29"/>
    </row>
    <row r="1888">
      <c r="A1888" s="111"/>
      <c r="B1888" s="112"/>
      <c r="C1888" s="29"/>
      <c r="D1888" s="29"/>
      <c r="E1888" s="29"/>
      <c r="F1888" s="29"/>
      <c r="G1888" s="29"/>
      <c r="H1888" s="29"/>
      <c r="I1888" s="29"/>
      <c r="J1888" s="29"/>
      <c r="K1888" s="29"/>
      <c r="L1888" s="29"/>
      <c r="M1888" s="29"/>
      <c r="N1888" s="29"/>
      <c r="O1888" s="29"/>
      <c r="P1888" s="29"/>
    </row>
    <row r="1889">
      <c r="A1889" s="111"/>
      <c r="B1889" s="112"/>
      <c r="C1889" s="29"/>
      <c r="D1889" s="29"/>
      <c r="E1889" s="29"/>
      <c r="F1889" s="29"/>
      <c r="G1889" s="29"/>
      <c r="H1889" s="29"/>
      <c r="I1889" s="29"/>
      <c r="J1889" s="29"/>
      <c r="K1889" s="29"/>
      <c r="L1889" s="29"/>
      <c r="M1889" s="29"/>
      <c r="N1889" s="29"/>
      <c r="O1889" s="29"/>
      <c r="P1889" s="29"/>
    </row>
    <row r="1890">
      <c r="A1890" s="111"/>
      <c r="B1890" s="112"/>
      <c r="C1890" s="29"/>
      <c r="D1890" s="29"/>
      <c r="E1890" s="29"/>
      <c r="F1890" s="29"/>
      <c r="G1890" s="29"/>
      <c r="H1890" s="29"/>
      <c r="I1890" s="29"/>
      <c r="J1890" s="29"/>
      <c r="K1890" s="29"/>
      <c r="L1890" s="29"/>
      <c r="M1890" s="29"/>
      <c r="N1890" s="29"/>
      <c r="O1890" s="29"/>
      <c r="P1890" s="29"/>
    </row>
    <row r="1891">
      <c r="A1891" s="111"/>
      <c r="B1891" s="112"/>
      <c r="C1891" s="29"/>
      <c r="D1891" s="29"/>
      <c r="E1891" s="29"/>
      <c r="F1891" s="29"/>
      <c r="G1891" s="29"/>
      <c r="H1891" s="29"/>
      <c r="I1891" s="29"/>
      <c r="J1891" s="29"/>
      <c r="K1891" s="29"/>
      <c r="L1891" s="29"/>
      <c r="M1891" s="29"/>
      <c r="N1891" s="29"/>
      <c r="O1891" s="29"/>
      <c r="P1891" s="29"/>
    </row>
    <row r="1892">
      <c r="A1892" s="111"/>
      <c r="B1892" s="112"/>
      <c r="C1892" s="29"/>
      <c r="D1892" s="29"/>
      <c r="E1892" s="29"/>
      <c r="F1892" s="29"/>
      <c r="G1892" s="29"/>
      <c r="H1892" s="29"/>
      <c r="I1892" s="29"/>
      <c r="J1892" s="29"/>
      <c r="K1892" s="29"/>
      <c r="L1892" s="29"/>
      <c r="M1892" s="29"/>
      <c r="N1892" s="29"/>
      <c r="O1892" s="29"/>
      <c r="P1892" s="29"/>
    </row>
    <row r="1893">
      <c r="A1893" s="111"/>
      <c r="B1893" s="112"/>
      <c r="C1893" s="29"/>
      <c r="D1893" s="29"/>
      <c r="E1893" s="29"/>
      <c r="F1893" s="29"/>
      <c r="G1893" s="29"/>
      <c r="H1893" s="29"/>
      <c r="I1893" s="29"/>
      <c r="J1893" s="29"/>
      <c r="K1893" s="29"/>
      <c r="L1893" s="29"/>
      <c r="M1893" s="29"/>
      <c r="N1893" s="29"/>
      <c r="O1893" s="29"/>
      <c r="P1893" s="29"/>
    </row>
    <row r="1894">
      <c r="A1894" s="111"/>
      <c r="B1894" s="112"/>
      <c r="C1894" s="29"/>
      <c r="D1894" s="29"/>
      <c r="E1894" s="29"/>
      <c r="F1894" s="29"/>
      <c r="G1894" s="29"/>
      <c r="H1894" s="29"/>
      <c r="I1894" s="29"/>
      <c r="J1894" s="29"/>
      <c r="K1894" s="29"/>
      <c r="L1894" s="29"/>
      <c r="M1894" s="29"/>
      <c r="N1894" s="29"/>
      <c r="O1894" s="29"/>
      <c r="P1894" s="29"/>
    </row>
    <row r="1895">
      <c r="A1895" s="111"/>
      <c r="B1895" s="112"/>
      <c r="C1895" s="29"/>
      <c r="D1895" s="29"/>
      <c r="E1895" s="29"/>
      <c r="F1895" s="29"/>
      <c r="G1895" s="29"/>
      <c r="H1895" s="29"/>
      <c r="I1895" s="29"/>
      <c r="J1895" s="29"/>
      <c r="K1895" s="29"/>
      <c r="L1895" s="29"/>
      <c r="M1895" s="29"/>
      <c r="N1895" s="29"/>
      <c r="O1895" s="29"/>
      <c r="P1895" s="29"/>
    </row>
    <row r="1896">
      <c r="A1896" s="111"/>
      <c r="B1896" s="112"/>
      <c r="C1896" s="29"/>
      <c r="D1896" s="29"/>
      <c r="E1896" s="29"/>
      <c r="F1896" s="29"/>
      <c r="G1896" s="29"/>
      <c r="H1896" s="29"/>
      <c r="I1896" s="29"/>
      <c r="J1896" s="29"/>
      <c r="K1896" s="29"/>
      <c r="L1896" s="29"/>
      <c r="M1896" s="29"/>
      <c r="N1896" s="29"/>
      <c r="O1896" s="29"/>
      <c r="P1896" s="29"/>
    </row>
    <row r="1897">
      <c r="A1897" s="111"/>
      <c r="B1897" s="112"/>
      <c r="C1897" s="29"/>
      <c r="D1897" s="29"/>
      <c r="E1897" s="29"/>
      <c r="F1897" s="29"/>
      <c r="G1897" s="29"/>
      <c r="H1897" s="29"/>
      <c r="I1897" s="29"/>
      <c r="J1897" s="29"/>
      <c r="K1897" s="29"/>
      <c r="L1897" s="29"/>
      <c r="M1897" s="29"/>
      <c r="N1897" s="29"/>
      <c r="O1897" s="29"/>
      <c r="P1897" s="29"/>
    </row>
    <row r="1898">
      <c r="A1898" s="111"/>
      <c r="B1898" s="112"/>
      <c r="C1898" s="29"/>
      <c r="D1898" s="29"/>
      <c r="E1898" s="29"/>
      <c r="F1898" s="29"/>
      <c r="G1898" s="29"/>
      <c r="H1898" s="29"/>
      <c r="I1898" s="29"/>
      <c r="J1898" s="29"/>
      <c r="K1898" s="29"/>
      <c r="L1898" s="29"/>
      <c r="M1898" s="29"/>
      <c r="N1898" s="29"/>
      <c r="O1898" s="29"/>
      <c r="P1898" s="29"/>
    </row>
    <row r="1899">
      <c r="A1899" s="111"/>
      <c r="B1899" s="112"/>
      <c r="C1899" s="29"/>
      <c r="D1899" s="29"/>
      <c r="E1899" s="29"/>
      <c r="F1899" s="29"/>
      <c r="G1899" s="29"/>
      <c r="H1899" s="29"/>
      <c r="I1899" s="29"/>
      <c r="J1899" s="29"/>
      <c r="K1899" s="29"/>
      <c r="L1899" s="29"/>
      <c r="M1899" s="29"/>
      <c r="N1899" s="29"/>
      <c r="O1899" s="29"/>
      <c r="P1899" s="29"/>
    </row>
    <row r="1900">
      <c r="A1900" s="111"/>
      <c r="B1900" s="112"/>
      <c r="C1900" s="29"/>
      <c r="D1900" s="29"/>
      <c r="E1900" s="29"/>
      <c r="F1900" s="29"/>
      <c r="G1900" s="29"/>
      <c r="H1900" s="29"/>
      <c r="I1900" s="29"/>
      <c r="J1900" s="29"/>
      <c r="K1900" s="29"/>
      <c r="L1900" s="29"/>
      <c r="M1900" s="29"/>
      <c r="N1900" s="29"/>
      <c r="O1900" s="29"/>
      <c r="P1900" s="29"/>
    </row>
    <row r="1901">
      <c r="A1901" s="111"/>
      <c r="B1901" s="112"/>
      <c r="C1901" s="29"/>
      <c r="D1901" s="29"/>
      <c r="E1901" s="29"/>
      <c r="F1901" s="29"/>
      <c r="G1901" s="29"/>
      <c r="H1901" s="29"/>
      <c r="I1901" s="29"/>
      <c r="J1901" s="29"/>
      <c r="K1901" s="29"/>
      <c r="L1901" s="29"/>
      <c r="M1901" s="29"/>
      <c r="N1901" s="29"/>
      <c r="O1901" s="29"/>
      <c r="P1901" s="29"/>
    </row>
    <row r="1902">
      <c r="A1902" s="111"/>
      <c r="B1902" s="112"/>
      <c r="C1902" s="29"/>
      <c r="D1902" s="29"/>
      <c r="E1902" s="29"/>
      <c r="F1902" s="29"/>
      <c r="G1902" s="29"/>
      <c r="H1902" s="29"/>
      <c r="I1902" s="29"/>
      <c r="J1902" s="29"/>
      <c r="K1902" s="29"/>
      <c r="L1902" s="29"/>
      <c r="M1902" s="29"/>
      <c r="N1902" s="29"/>
      <c r="O1902" s="29"/>
      <c r="P1902" s="29"/>
    </row>
    <row r="1903">
      <c r="A1903" s="111"/>
      <c r="B1903" s="112"/>
      <c r="C1903" s="29"/>
      <c r="D1903" s="29"/>
      <c r="E1903" s="29"/>
      <c r="F1903" s="29"/>
      <c r="G1903" s="29"/>
      <c r="H1903" s="29"/>
      <c r="I1903" s="29"/>
      <c r="J1903" s="29"/>
      <c r="K1903" s="29"/>
      <c r="L1903" s="29"/>
      <c r="M1903" s="29"/>
      <c r="N1903" s="29"/>
      <c r="O1903" s="29"/>
      <c r="P1903" s="29"/>
    </row>
    <row r="1904">
      <c r="A1904" s="111"/>
      <c r="B1904" s="112"/>
      <c r="C1904" s="29"/>
      <c r="D1904" s="29"/>
      <c r="E1904" s="29"/>
      <c r="F1904" s="29"/>
      <c r="G1904" s="29"/>
      <c r="H1904" s="29"/>
      <c r="I1904" s="29"/>
      <c r="J1904" s="29"/>
      <c r="K1904" s="29"/>
      <c r="L1904" s="29"/>
      <c r="M1904" s="29"/>
      <c r="N1904" s="29"/>
      <c r="O1904" s="29"/>
      <c r="P1904" s="29"/>
    </row>
    <row r="1905">
      <c r="A1905" s="111"/>
      <c r="B1905" s="112"/>
      <c r="C1905" s="29"/>
      <c r="D1905" s="29"/>
      <c r="E1905" s="29"/>
      <c r="F1905" s="29"/>
      <c r="G1905" s="29"/>
      <c r="H1905" s="29"/>
      <c r="I1905" s="29"/>
      <c r="J1905" s="29"/>
      <c r="K1905" s="29"/>
      <c r="L1905" s="29"/>
      <c r="M1905" s="29"/>
      <c r="N1905" s="29"/>
      <c r="O1905" s="29"/>
      <c r="P1905" s="29"/>
    </row>
    <row r="1906">
      <c r="A1906" s="111"/>
      <c r="B1906" s="112"/>
      <c r="C1906" s="29"/>
      <c r="D1906" s="29"/>
      <c r="E1906" s="29"/>
      <c r="F1906" s="29"/>
      <c r="G1906" s="29"/>
      <c r="H1906" s="29"/>
      <c r="I1906" s="29"/>
      <c r="J1906" s="29"/>
      <c r="K1906" s="29"/>
      <c r="L1906" s="29"/>
      <c r="M1906" s="29"/>
      <c r="N1906" s="29"/>
      <c r="O1906" s="29"/>
      <c r="P1906" s="29"/>
    </row>
    <row r="1907">
      <c r="A1907" s="111"/>
      <c r="B1907" s="112"/>
      <c r="C1907" s="29"/>
      <c r="D1907" s="29"/>
      <c r="E1907" s="29"/>
      <c r="F1907" s="29"/>
      <c r="G1907" s="29"/>
      <c r="H1907" s="29"/>
      <c r="I1907" s="29"/>
      <c r="J1907" s="29"/>
      <c r="K1907" s="29"/>
      <c r="L1907" s="29"/>
      <c r="M1907" s="29"/>
      <c r="N1907" s="29"/>
      <c r="O1907" s="29"/>
      <c r="P1907" s="29"/>
    </row>
    <row r="1908">
      <c r="A1908" s="111"/>
      <c r="B1908" s="112"/>
      <c r="C1908" s="29"/>
      <c r="D1908" s="29"/>
      <c r="E1908" s="29"/>
      <c r="F1908" s="29"/>
      <c r="G1908" s="29"/>
      <c r="H1908" s="29"/>
      <c r="I1908" s="29"/>
      <c r="J1908" s="29"/>
      <c r="K1908" s="29"/>
      <c r="L1908" s="29"/>
      <c r="M1908" s="29"/>
      <c r="N1908" s="29"/>
      <c r="O1908" s="29"/>
      <c r="P1908" s="29"/>
    </row>
    <row r="1909">
      <c r="A1909" s="111"/>
      <c r="B1909" s="112"/>
      <c r="C1909" s="29"/>
      <c r="D1909" s="29"/>
      <c r="E1909" s="29"/>
      <c r="F1909" s="29"/>
      <c r="G1909" s="29"/>
      <c r="H1909" s="29"/>
      <c r="I1909" s="29"/>
      <c r="J1909" s="29"/>
      <c r="K1909" s="29"/>
      <c r="L1909" s="29"/>
      <c r="M1909" s="29"/>
      <c r="N1909" s="29"/>
      <c r="O1909" s="29"/>
      <c r="P1909" s="29"/>
    </row>
    <row r="1910">
      <c r="A1910" s="111"/>
      <c r="B1910" s="112"/>
      <c r="C1910" s="29"/>
      <c r="D1910" s="29"/>
      <c r="E1910" s="29"/>
      <c r="F1910" s="29"/>
      <c r="G1910" s="29"/>
      <c r="H1910" s="29"/>
      <c r="I1910" s="29"/>
      <c r="J1910" s="29"/>
      <c r="K1910" s="29"/>
      <c r="L1910" s="29"/>
      <c r="M1910" s="29"/>
      <c r="N1910" s="29"/>
      <c r="O1910" s="29"/>
      <c r="P1910" s="29"/>
    </row>
    <row r="1911">
      <c r="A1911" s="111"/>
      <c r="B1911" s="112"/>
      <c r="C1911" s="29"/>
      <c r="D1911" s="29"/>
      <c r="E1911" s="29"/>
      <c r="F1911" s="29"/>
      <c r="G1911" s="29"/>
      <c r="H1911" s="29"/>
      <c r="I1911" s="29"/>
      <c r="J1911" s="29"/>
      <c r="K1911" s="29"/>
      <c r="L1911" s="29"/>
      <c r="M1911" s="29"/>
      <c r="N1911" s="29"/>
      <c r="O1911" s="29"/>
      <c r="P1911" s="29"/>
    </row>
    <row r="1912">
      <c r="A1912" s="111"/>
      <c r="B1912" s="112"/>
      <c r="C1912" s="29"/>
      <c r="D1912" s="29"/>
      <c r="E1912" s="29"/>
      <c r="F1912" s="29"/>
      <c r="G1912" s="29"/>
      <c r="H1912" s="29"/>
      <c r="I1912" s="29"/>
      <c r="J1912" s="29"/>
      <c r="K1912" s="29"/>
      <c r="L1912" s="29"/>
      <c r="M1912" s="29"/>
      <c r="N1912" s="29"/>
      <c r="O1912" s="29"/>
      <c r="P1912" s="29"/>
    </row>
    <row r="1913">
      <c r="A1913" s="111"/>
      <c r="B1913" s="112"/>
      <c r="C1913" s="29"/>
      <c r="D1913" s="29"/>
      <c r="E1913" s="29"/>
      <c r="F1913" s="29"/>
      <c r="G1913" s="29"/>
      <c r="H1913" s="29"/>
      <c r="I1913" s="29"/>
      <c r="J1913" s="29"/>
      <c r="K1913" s="29"/>
      <c r="L1913" s="29"/>
      <c r="M1913" s="29"/>
      <c r="N1913" s="29"/>
      <c r="O1913" s="29"/>
      <c r="P1913" s="29"/>
    </row>
    <row r="1914">
      <c r="A1914" s="111"/>
      <c r="B1914" s="112"/>
      <c r="C1914" s="29"/>
      <c r="D1914" s="29"/>
      <c r="E1914" s="29"/>
      <c r="F1914" s="29"/>
      <c r="G1914" s="29"/>
      <c r="H1914" s="29"/>
      <c r="I1914" s="29"/>
      <c r="J1914" s="29"/>
      <c r="K1914" s="29"/>
      <c r="L1914" s="29"/>
      <c r="M1914" s="29"/>
      <c r="N1914" s="29"/>
      <c r="O1914" s="29"/>
      <c r="P1914" s="29"/>
    </row>
    <row r="1915">
      <c r="A1915" s="111"/>
      <c r="B1915" s="112"/>
      <c r="C1915" s="29"/>
      <c r="D1915" s="29"/>
      <c r="E1915" s="29"/>
      <c r="F1915" s="29"/>
      <c r="G1915" s="29"/>
      <c r="H1915" s="29"/>
      <c r="I1915" s="29"/>
      <c r="J1915" s="29"/>
      <c r="K1915" s="29"/>
      <c r="L1915" s="29"/>
      <c r="M1915" s="29"/>
      <c r="N1915" s="29"/>
      <c r="O1915" s="29"/>
      <c r="P1915" s="29"/>
    </row>
    <row r="1916">
      <c r="A1916" s="111"/>
      <c r="B1916" s="112"/>
      <c r="C1916" s="29"/>
      <c r="D1916" s="29"/>
      <c r="E1916" s="29"/>
      <c r="F1916" s="29"/>
      <c r="G1916" s="29"/>
      <c r="H1916" s="29"/>
      <c r="I1916" s="29"/>
      <c r="J1916" s="29"/>
      <c r="K1916" s="29"/>
      <c r="L1916" s="29"/>
      <c r="M1916" s="29"/>
      <c r="N1916" s="29"/>
      <c r="O1916" s="29"/>
      <c r="P1916" s="29"/>
    </row>
    <row r="1917">
      <c r="A1917" s="111"/>
      <c r="B1917" s="112"/>
      <c r="C1917" s="29"/>
      <c r="D1917" s="29"/>
      <c r="E1917" s="29"/>
      <c r="F1917" s="29"/>
      <c r="G1917" s="29"/>
      <c r="H1917" s="29"/>
      <c r="I1917" s="29"/>
      <c r="J1917" s="29"/>
      <c r="K1917" s="29"/>
      <c r="L1917" s="29"/>
      <c r="M1917" s="29"/>
      <c r="N1917" s="29"/>
      <c r="O1917" s="29"/>
      <c r="P1917" s="29"/>
    </row>
    <row r="1918">
      <c r="A1918" s="111"/>
      <c r="B1918" s="112"/>
      <c r="C1918" s="29"/>
      <c r="D1918" s="29"/>
      <c r="E1918" s="29"/>
      <c r="F1918" s="29"/>
      <c r="G1918" s="29"/>
      <c r="H1918" s="29"/>
      <c r="I1918" s="29"/>
      <c r="J1918" s="29"/>
      <c r="K1918" s="29"/>
      <c r="L1918" s="29"/>
      <c r="M1918" s="29"/>
      <c r="N1918" s="29"/>
      <c r="O1918" s="29"/>
      <c r="P1918" s="29"/>
    </row>
    <row r="1919">
      <c r="A1919" s="111"/>
      <c r="B1919" s="112"/>
      <c r="C1919" s="29"/>
      <c r="D1919" s="29"/>
      <c r="E1919" s="29"/>
      <c r="F1919" s="29"/>
      <c r="G1919" s="29"/>
      <c r="H1919" s="29"/>
      <c r="I1919" s="29"/>
      <c r="J1919" s="29"/>
      <c r="K1919" s="29"/>
      <c r="L1919" s="29"/>
      <c r="M1919" s="29"/>
      <c r="N1919" s="29"/>
      <c r="O1919" s="29"/>
      <c r="P1919" s="29"/>
    </row>
    <row r="1920">
      <c r="A1920" s="111"/>
      <c r="B1920" s="112"/>
      <c r="C1920" s="29"/>
      <c r="D1920" s="29"/>
      <c r="E1920" s="29"/>
      <c r="F1920" s="29"/>
      <c r="G1920" s="29"/>
      <c r="H1920" s="29"/>
      <c r="I1920" s="29"/>
      <c r="J1920" s="29"/>
      <c r="K1920" s="29"/>
      <c r="L1920" s="29"/>
      <c r="M1920" s="29"/>
      <c r="N1920" s="29"/>
      <c r="O1920" s="29"/>
      <c r="P1920" s="29"/>
    </row>
    <row r="1921">
      <c r="A1921" s="111"/>
      <c r="B1921" s="112"/>
      <c r="C1921" s="29"/>
      <c r="D1921" s="29"/>
      <c r="E1921" s="29"/>
      <c r="F1921" s="29"/>
      <c r="G1921" s="29"/>
      <c r="H1921" s="29"/>
      <c r="I1921" s="29"/>
      <c r="J1921" s="29"/>
      <c r="K1921" s="29"/>
      <c r="L1921" s="29"/>
      <c r="M1921" s="29"/>
      <c r="N1921" s="29"/>
      <c r="O1921" s="29"/>
      <c r="P1921" s="29"/>
    </row>
    <row r="1922">
      <c r="A1922" s="111"/>
      <c r="B1922" s="112"/>
      <c r="C1922" s="29"/>
      <c r="D1922" s="29"/>
      <c r="E1922" s="29"/>
      <c r="F1922" s="29"/>
      <c r="G1922" s="29"/>
      <c r="H1922" s="29"/>
      <c r="I1922" s="29"/>
      <c r="J1922" s="29"/>
      <c r="K1922" s="29"/>
      <c r="L1922" s="29"/>
      <c r="M1922" s="29"/>
      <c r="N1922" s="29"/>
      <c r="O1922" s="29"/>
      <c r="P1922" s="29"/>
    </row>
    <row r="1923">
      <c r="A1923" s="111"/>
      <c r="B1923" s="112"/>
      <c r="C1923" s="29"/>
      <c r="D1923" s="29"/>
      <c r="E1923" s="29"/>
      <c r="F1923" s="29"/>
      <c r="G1923" s="29"/>
      <c r="H1923" s="29"/>
      <c r="I1923" s="29"/>
      <c r="J1923" s="29"/>
      <c r="K1923" s="29"/>
      <c r="L1923" s="29"/>
      <c r="M1923" s="29"/>
      <c r="N1923" s="29"/>
      <c r="O1923" s="29"/>
      <c r="P1923" s="29"/>
    </row>
    <row r="1924">
      <c r="A1924" s="111"/>
      <c r="B1924" s="112"/>
      <c r="C1924" s="29"/>
      <c r="D1924" s="29"/>
      <c r="E1924" s="29"/>
      <c r="F1924" s="29"/>
      <c r="G1924" s="29"/>
      <c r="H1924" s="29"/>
      <c r="I1924" s="29"/>
      <c r="J1924" s="29"/>
      <c r="K1924" s="29"/>
      <c r="L1924" s="29"/>
      <c r="M1924" s="29"/>
      <c r="N1924" s="29"/>
      <c r="O1924" s="29"/>
      <c r="P1924" s="29"/>
    </row>
    <row r="1925">
      <c r="A1925" s="111"/>
      <c r="B1925" s="112"/>
      <c r="C1925" s="29"/>
      <c r="D1925" s="29"/>
      <c r="E1925" s="29"/>
      <c r="F1925" s="29"/>
      <c r="G1925" s="29"/>
      <c r="H1925" s="29"/>
      <c r="I1925" s="29"/>
      <c r="J1925" s="29"/>
      <c r="K1925" s="29"/>
      <c r="L1925" s="29"/>
      <c r="M1925" s="29"/>
      <c r="N1925" s="29"/>
      <c r="O1925" s="29"/>
      <c r="P1925" s="29"/>
    </row>
    <row r="1926">
      <c r="A1926" s="111"/>
      <c r="B1926" s="112"/>
      <c r="C1926" s="29"/>
      <c r="D1926" s="29"/>
      <c r="E1926" s="29"/>
      <c r="F1926" s="29"/>
      <c r="G1926" s="29"/>
      <c r="H1926" s="29"/>
      <c r="I1926" s="29"/>
      <c r="J1926" s="29"/>
      <c r="K1926" s="29"/>
      <c r="L1926" s="29"/>
      <c r="M1926" s="29"/>
      <c r="N1926" s="29"/>
      <c r="O1926" s="29"/>
      <c r="P1926" s="29"/>
    </row>
    <row r="1927">
      <c r="A1927" s="111"/>
      <c r="B1927" s="112"/>
      <c r="C1927" s="29"/>
      <c r="D1927" s="29"/>
      <c r="E1927" s="29"/>
      <c r="F1927" s="29"/>
      <c r="G1927" s="29"/>
      <c r="H1927" s="29"/>
      <c r="I1927" s="29"/>
      <c r="J1927" s="29"/>
      <c r="K1927" s="29"/>
      <c r="L1927" s="29"/>
      <c r="M1927" s="29"/>
      <c r="N1927" s="29"/>
      <c r="O1927" s="29"/>
      <c r="P1927" s="29"/>
    </row>
    <row r="1928">
      <c r="A1928" s="111"/>
      <c r="B1928" s="112"/>
      <c r="C1928" s="29"/>
      <c r="D1928" s="29"/>
      <c r="E1928" s="29"/>
      <c r="F1928" s="29"/>
      <c r="G1928" s="29"/>
      <c r="H1928" s="29"/>
      <c r="I1928" s="29"/>
      <c r="J1928" s="29"/>
      <c r="K1928" s="29"/>
      <c r="L1928" s="29"/>
      <c r="M1928" s="29"/>
      <c r="N1928" s="29"/>
      <c r="O1928" s="29"/>
      <c r="P1928" s="29"/>
    </row>
    <row r="1929">
      <c r="A1929" s="111"/>
      <c r="B1929" s="112"/>
      <c r="C1929" s="29"/>
      <c r="D1929" s="29"/>
      <c r="E1929" s="29"/>
      <c r="F1929" s="29"/>
      <c r="G1929" s="29"/>
      <c r="H1929" s="29"/>
      <c r="I1929" s="29"/>
      <c r="J1929" s="29"/>
      <c r="K1929" s="29"/>
      <c r="L1929" s="29"/>
      <c r="M1929" s="29"/>
      <c r="N1929" s="29"/>
      <c r="O1929" s="29"/>
      <c r="P1929" s="29"/>
    </row>
    <row r="1930">
      <c r="A1930" s="111"/>
      <c r="B1930" s="112"/>
      <c r="C1930" s="29"/>
      <c r="D1930" s="29"/>
      <c r="E1930" s="29"/>
      <c r="F1930" s="29"/>
      <c r="G1930" s="29"/>
      <c r="H1930" s="29"/>
      <c r="I1930" s="29"/>
      <c r="J1930" s="29"/>
      <c r="K1930" s="29"/>
      <c r="L1930" s="29"/>
      <c r="M1930" s="29"/>
      <c r="N1930" s="29"/>
      <c r="O1930" s="29"/>
      <c r="P1930" s="29"/>
    </row>
    <row r="1931">
      <c r="A1931" s="111"/>
      <c r="B1931" s="112"/>
      <c r="C1931" s="29"/>
      <c r="D1931" s="29"/>
      <c r="E1931" s="29"/>
      <c r="F1931" s="29"/>
      <c r="G1931" s="29"/>
      <c r="H1931" s="29"/>
      <c r="I1931" s="29"/>
      <c r="J1931" s="29"/>
      <c r="K1931" s="29"/>
      <c r="L1931" s="29"/>
      <c r="M1931" s="29"/>
      <c r="N1931" s="29"/>
      <c r="O1931" s="29"/>
      <c r="P1931" s="29"/>
    </row>
    <row r="1932">
      <c r="A1932" s="111"/>
      <c r="B1932" s="112"/>
      <c r="C1932" s="29"/>
      <c r="D1932" s="29"/>
      <c r="E1932" s="29"/>
      <c r="F1932" s="29"/>
      <c r="G1932" s="29"/>
      <c r="H1932" s="29"/>
      <c r="I1932" s="29"/>
      <c r="J1932" s="29"/>
      <c r="K1932" s="29"/>
      <c r="L1932" s="29"/>
      <c r="M1932" s="29"/>
      <c r="N1932" s="29"/>
      <c r="O1932" s="29"/>
      <c r="P1932" s="29"/>
    </row>
    <row r="1933">
      <c r="A1933" s="111"/>
      <c r="B1933" s="112"/>
      <c r="C1933" s="29"/>
      <c r="D1933" s="29"/>
      <c r="E1933" s="29"/>
      <c r="F1933" s="29"/>
      <c r="G1933" s="29"/>
      <c r="H1933" s="29"/>
      <c r="I1933" s="29"/>
      <c r="J1933" s="29"/>
      <c r="K1933" s="29"/>
      <c r="L1933" s="29"/>
      <c r="M1933" s="29"/>
      <c r="N1933" s="29"/>
      <c r="O1933" s="29"/>
      <c r="P1933" s="29"/>
    </row>
    <row r="1934">
      <c r="A1934" s="111"/>
      <c r="B1934" s="112"/>
      <c r="C1934" s="29"/>
      <c r="D1934" s="29"/>
      <c r="E1934" s="29"/>
      <c r="F1934" s="29"/>
      <c r="G1934" s="29"/>
      <c r="H1934" s="29"/>
      <c r="I1934" s="29"/>
      <c r="J1934" s="29"/>
      <c r="K1934" s="29"/>
      <c r="L1934" s="29"/>
      <c r="M1934" s="29"/>
      <c r="N1934" s="29"/>
      <c r="O1934" s="29"/>
      <c r="P1934" s="29"/>
    </row>
    <row r="1935">
      <c r="A1935" s="111"/>
      <c r="B1935" s="112"/>
      <c r="C1935" s="29"/>
      <c r="D1935" s="29"/>
      <c r="E1935" s="29"/>
      <c r="F1935" s="29"/>
      <c r="G1935" s="29"/>
      <c r="H1935" s="29"/>
      <c r="I1935" s="29"/>
      <c r="J1935" s="29"/>
      <c r="K1935" s="29"/>
      <c r="L1935" s="29"/>
      <c r="M1935" s="29"/>
      <c r="N1935" s="29"/>
      <c r="O1935" s="29"/>
      <c r="P1935" s="29"/>
    </row>
    <row r="1936">
      <c r="A1936" s="111"/>
      <c r="B1936" s="112"/>
      <c r="C1936" s="29"/>
      <c r="D1936" s="29"/>
      <c r="E1936" s="29"/>
      <c r="F1936" s="29"/>
      <c r="G1936" s="29"/>
      <c r="H1936" s="29"/>
      <c r="I1936" s="29"/>
      <c r="J1936" s="29"/>
      <c r="K1936" s="29"/>
      <c r="L1936" s="29"/>
      <c r="M1936" s="29"/>
      <c r="N1936" s="29"/>
      <c r="O1936" s="29"/>
      <c r="P1936" s="29"/>
    </row>
    <row r="1937">
      <c r="A1937" s="111"/>
      <c r="B1937" s="112"/>
      <c r="C1937" s="29"/>
      <c r="D1937" s="29"/>
      <c r="E1937" s="29"/>
      <c r="F1937" s="29"/>
      <c r="G1937" s="29"/>
      <c r="H1937" s="29"/>
      <c r="I1937" s="29"/>
      <c r="J1937" s="29"/>
      <c r="K1937" s="29"/>
      <c r="L1937" s="29"/>
      <c r="M1937" s="29"/>
      <c r="N1937" s="29"/>
      <c r="O1937" s="29"/>
      <c r="P1937" s="29"/>
    </row>
    <row r="1938">
      <c r="A1938" s="111"/>
      <c r="B1938" s="112"/>
      <c r="C1938" s="29"/>
      <c r="D1938" s="29"/>
      <c r="E1938" s="29"/>
      <c r="F1938" s="29"/>
      <c r="G1938" s="29"/>
      <c r="H1938" s="29"/>
      <c r="I1938" s="29"/>
      <c r="J1938" s="29"/>
      <c r="K1938" s="29"/>
      <c r="L1938" s="29"/>
      <c r="M1938" s="29"/>
      <c r="N1938" s="29"/>
      <c r="O1938" s="29"/>
      <c r="P1938" s="29"/>
    </row>
    <row r="1939">
      <c r="A1939" s="111"/>
      <c r="B1939" s="112"/>
      <c r="C1939" s="29"/>
      <c r="D1939" s="29"/>
      <c r="E1939" s="29"/>
      <c r="F1939" s="29"/>
      <c r="G1939" s="29"/>
      <c r="H1939" s="29"/>
      <c r="I1939" s="29"/>
      <c r="J1939" s="29"/>
      <c r="K1939" s="29"/>
      <c r="L1939" s="29"/>
      <c r="M1939" s="29"/>
      <c r="N1939" s="29"/>
      <c r="O1939" s="29"/>
      <c r="P1939" s="29"/>
    </row>
    <row r="1940">
      <c r="A1940" s="111"/>
      <c r="B1940" s="112"/>
      <c r="C1940" s="29"/>
      <c r="D1940" s="29"/>
      <c r="E1940" s="29"/>
      <c r="F1940" s="29"/>
      <c r="G1940" s="29"/>
      <c r="H1940" s="29"/>
      <c r="I1940" s="29"/>
      <c r="J1940" s="29"/>
      <c r="K1940" s="29"/>
      <c r="L1940" s="29"/>
      <c r="M1940" s="29"/>
      <c r="N1940" s="29"/>
      <c r="O1940" s="29"/>
      <c r="P1940" s="29"/>
    </row>
    <row r="1941">
      <c r="A1941" s="111"/>
      <c r="B1941" s="112"/>
      <c r="C1941" s="29"/>
      <c r="D1941" s="29"/>
      <c r="E1941" s="29"/>
      <c r="F1941" s="29"/>
      <c r="G1941" s="29"/>
      <c r="H1941" s="29"/>
      <c r="I1941" s="29"/>
      <c r="J1941" s="29"/>
      <c r="K1941" s="29"/>
      <c r="L1941" s="29"/>
      <c r="M1941" s="29"/>
      <c r="N1941" s="29"/>
      <c r="O1941" s="29"/>
      <c r="P1941" s="29"/>
    </row>
    <row r="1942">
      <c r="A1942" s="111"/>
      <c r="B1942" s="112"/>
      <c r="C1942" s="29"/>
      <c r="D1942" s="29"/>
      <c r="E1942" s="29"/>
      <c r="F1942" s="29"/>
      <c r="G1942" s="29"/>
      <c r="H1942" s="29"/>
      <c r="I1942" s="29"/>
      <c r="J1942" s="29"/>
      <c r="K1942" s="29"/>
      <c r="L1942" s="29"/>
      <c r="M1942" s="29"/>
      <c r="N1942" s="29"/>
      <c r="O1942" s="29"/>
      <c r="P1942" s="29"/>
    </row>
    <row r="1943">
      <c r="A1943" s="111"/>
      <c r="B1943" s="112"/>
      <c r="C1943" s="29"/>
      <c r="D1943" s="29"/>
      <c r="E1943" s="29"/>
      <c r="F1943" s="29"/>
      <c r="G1943" s="29"/>
      <c r="H1943" s="29"/>
      <c r="I1943" s="29"/>
      <c r="J1943" s="29"/>
      <c r="K1943" s="29"/>
      <c r="L1943" s="29"/>
      <c r="M1943" s="29"/>
      <c r="N1943" s="29"/>
      <c r="O1943" s="29"/>
      <c r="P1943" s="29"/>
    </row>
    <row r="1944">
      <c r="A1944" s="111"/>
      <c r="B1944" s="112"/>
      <c r="C1944" s="29"/>
      <c r="D1944" s="29"/>
      <c r="E1944" s="29"/>
      <c r="F1944" s="29"/>
      <c r="G1944" s="29"/>
      <c r="H1944" s="29"/>
      <c r="I1944" s="29"/>
      <c r="J1944" s="29"/>
      <c r="K1944" s="29"/>
      <c r="L1944" s="29"/>
      <c r="M1944" s="29"/>
      <c r="N1944" s="29"/>
      <c r="O1944" s="29"/>
      <c r="P1944" s="29"/>
    </row>
    <row r="1945">
      <c r="A1945" s="111"/>
      <c r="B1945" s="112"/>
      <c r="C1945" s="29"/>
      <c r="D1945" s="29"/>
      <c r="E1945" s="29"/>
      <c r="F1945" s="29"/>
      <c r="G1945" s="29"/>
      <c r="H1945" s="29"/>
      <c r="I1945" s="29"/>
      <c r="J1945" s="29"/>
      <c r="K1945" s="29"/>
      <c r="L1945" s="29"/>
      <c r="M1945" s="29"/>
      <c r="N1945" s="29"/>
      <c r="O1945" s="29"/>
      <c r="P1945" s="29"/>
    </row>
    <row r="1946">
      <c r="A1946" s="111"/>
      <c r="B1946" s="112"/>
      <c r="C1946" s="29"/>
      <c r="D1946" s="29"/>
      <c r="E1946" s="29"/>
      <c r="F1946" s="29"/>
      <c r="G1946" s="29"/>
      <c r="H1946" s="29"/>
      <c r="I1946" s="29"/>
      <c r="J1946" s="29"/>
      <c r="K1946" s="29"/>
      <c r="L1946" s="29"/>
      <c r="M1946" s="29"/>
      <c r="N1946" s="29"/>
      <c r="O1946" s="29"/>
      <c r="P1946" s="29"/>
    </row>
    <row r="1947">
      <c r="A1947" s="111"/>
      <c r="B1947" s="112"/>
      <c r="C1947" s="29"/>
      <c r="D1947" s="29"/>
      <c r="E1947" s="29"/>
      <c r="F1947" s="29"/>
      <c r="G1947" s="29"/>
      <c r="H1947" s="29"/>
      <c r="I1947" s="29"/>
      <c r="J1947" s="29"/>
      <c r="K1947" s="29"/>
      <c r="L1947" s="29"/>
      <c r="M1947" s="29"/>
      <c r="N1947" s="29"/>
      <c r="O1947" s="29"/>
      <c r="P1947" s="29"/>
    </row>
    <row r="1948">
      <c r="A1948" s="111"/>
      <c r="B1948" s="112"/>
      <c r="C1948" s="29"/>
      <c r="D1948" s="29"/>
      <c r="E1948" s="29"/>
      <c r="F1948" s="29"/>
      <c r="G1948" s="29"/>
      <c r="H1948" s="29"/>
      <c r="I1948" s="29"/>
      <c r="J1948" s="29"/>
      <c r="K1948" s="29"/>
      <c r="L1948" s="29"/>
      <c r="M1948" s="29"/>
      <c r="N1948" s="29"/>
      <c r="O1948" s="29"/>
      <c r="P1948" s="29"/>
    </row>
    <row r="1949">
      <c r="A1949" s="111"/>
      <c r="B1949" s="112"/>
      <c r="C1949" s="29"/>
      <c r="D1949" s="29"/>
      <c r="E1949" s="29"/>
      <c r="F1949" s="29"/>
      <c r="G1949" s="29"/>
      <c r="H1949" s="29"/>
      <c r="I1949" s="29"/>
      <c r="J1949" s="29"/>
      <c r="K1949" s="29"/>
      <c r="L1949" s="29"/>
      <c r="M1949" s="29"/>
      <c r="N1949" s="29"/>
      <c r="O1949" s="29"/>
      <c r="P1949" s="29"/>
    </row>
    <row r="1950">
      <c r="A1950" s="111"/>
      <c r="B1950" s="112"/>
      <c r="C1950" s="29"/>
      <c r="D1950" s="29"/>
      <c r="E1950" s="29"/>
      <c r="F1950" s="29"/>
      <c r="G1950" s="29"/>
      <c r="H1950" s="29"/>
      <c r="I1950" s="29"/>
      <c r="J1950" s="29"/>
      <c r="K1950" s="29"/>
      <c r="L1950" s="29"/>
      <c r="M1950" s="29"/>
      <c r="N1950" s="29"/>
      <c r="O1950" s="29"/>
      <c r="P1950" s="29"/>
    </row>
    <row r="1951">
      <c r="A1951" s="111"/>
      <c r="B1951" s="112"/>
      <c r="C1951" s="29"/>
      <c r="D1951" s="29"/>
      <c r="E1951" s="29"/>
      <c r="F1951" s="29"/>
      <c r="G1951" s="29"/>
      <c r="H1951" s="29"/>
      <c r="I1951" s="29"/>
      <c r="J1951" s="29"/>
      <c r="K1951" s="29"/>
      <c r="L1951" s="29"/>
      <c r="M1951" s="29"/>
      <c r="N1951" s="29"/>
      <c r="O1951" s="29"/>
      <c r="P1951" s="29"/>
    </row>
    <row r="1952">
      <c r="A1952" s="111"/>
      <c r="B1952" s="112"/>
      <c r="C1952" s="29"/>
      <c r="D1952" s="29"/>
      <c r="E1952" s="29"/>
      <c r="F1952" s="29"/>
      <c r="G1952" s="29"/>
      <c r="H1952" s="29"/>
      <c r="I1952" s="29"/>
      <c r="J1952" s="29"/>
      <c r="K1952" s="29"/>
      <c r="L1952" s="29"/>
      <c r="M1952" s="29"/>
      <c r="N1952" s="29"/>
      <c r="O1952" s="29"/>
      <c r="P1952" s="29"/>
    </row>
    <row r="1953">
      <c r="A1953" s="111"/>
      <c r="B1953" s="112"/>
      <c r="C1953" s="29"/>
      <c r="D1953" s="29"/>
      <c r="E1953" s="29"/>
      <c r="F1953" s="29"/>
      <c r="G1953" s="29"/>
      <c r="H1953" s="29"/>
      <c r="I1953" s="29"/>
      <c r="J1953" s="29"/>
      <c r="K1953" s="29"/>
      <c r="L1953" s="29"/>
      <c r="M1953" s="29"/>
      <c r="N1953" s="29"/>
      <c r="O1953" s="29"/>
      <c r="P1953" s="29"/>
    </row>
    <row r="1954">
      <c r="A1954" s="111"/>
      <c r="B1954" s="112"/>
      <c r="C1954" s="29"/>
      <c r="D1954" s="29"/>
      <c r="E1954" s="29"/>
      <c r="F1954" s="29"/>
      <c r="G1954" s="29"/>
      <c r="H1954" s="29"/>
      <c r="I1954" s="29"/>
      <c r="J1954" s="29"/>
      <c r="K1954" s="29"/>
      <c r="L1954" s="29"/>
      <c r="M1954" s="29"/>
      <c r="N1954" s="29"/>
      <c r="O1954" s="29"/>
      <c r="P1954" s="29"/>
    </row>
    <row r="1955">
      <c r="A1955" s="111"/>
      <c r="B1955" s="112"/>
      <c r="C1955" s="29"/>
      <c r="D1955" s="29"/>
      <c r="E1955" s="29"/>
      <c r="F1955" s="29"/>
      <c r="G1955" s="29"/>
      <c r="H1955" s="29"/>
      <c r="I1955" s="29"/>
      <c r="J1955" s="29"/>
      <c r="K1955" s="29"/>
      <c r="L1955" s="29"/>
      <c r="M1955" s="29"/>
      <c r="N1955" s="29"/>
      <c r="O1955" s="29"/>
      <c r="P1955" s="29"/>
    </row>
    <row r="1956">
      <c r="A1956" s="111"/>
      <c r="B1956" s="112"/>
      <c r="C1956" s="29"/>
      <c r="D1956" s="29"/>
      <c r="E1956" s="29"/>
      <c r="F1956" s="29"/>
      <c r="G1956" s="29"/>
      <c r="H1956" s="29"/>
      <c r="I1956" s="29"/>
      <c r="J1956" s="29"/>
      <c r="K1956" s="29"/>
      <c r="L1956" s="29"/>
      <c r="M1956" s="29"/>
      <c r="N1956" s="29"/>
      <c r="O1956" s="29"/>
      <c r="P1956" s="29"/>
    </row>
    <row r="1957">
      <c r="A1957" s="111"/>
      <c r="B1957" s="112"/>
      <c r="C1957" s="29"/>
      <c r="D1957" s="29"/>
      <c r="E1957" s="29"/>
      <c r="F1957" s="29"/>
      <c r="G1957" s="29"/>
      <c r="H1957" s="29"/>
      <c r="I1957" s="29"/>
      <c r="J1957" s="29"/>
      <c r="K1957" s="29"/>
      <c r="L1957" s="29"/>
      <c r="M1957" s="29"/>
      <c r="N1957" s="29"/>
      <c r="O1957" s="29"/>
      <c r="P1957" s="29"/>
    </row>
    <row r="1958">
      <c r="A1958" s="111"/>
      <c r="B1958" s="112"/>
      <c r="C1958" s="29"/>
      <c r="D1958" s="29"/>
      <c r="E1958" s="29"/>
      <c r="F1958" s="29"/>
      <c r="G1958" s="29"/>
      <c r="H1958" s="29"/>
      <c r="I1958" s="29"/>
      <c r="J1958" s="29"/>
      <c r="K1958" s="29"/>
      <c r="L1958" s="29"/>
      <c r="M1958" s="29"/>
      <c r="N1958" s="29"/>
      <c r="O1958" s="29"/>
      <c r="P1958" s="29"/>
    </row>
    <row r="1959">
      <c r="A1959" s="111"/>
      <c r="B1959" s="112"/>
      <c r="C1959" s="29"/>
      <c r="D1959" s="29"/>
      <c r="E1959" s="29"/>
      <c r="F1959" s="29"/>
      <c r="G1959" s="29"/>
      <c r="H1959" s="29"/>
      <c r="I1959" s="29"/>
      <c r="J1959" s="29"/>
      <c r="K1959" s="29"/>
      <c r="L1959" s="29"/>
      <c r="M1959" s="29"/>
      <c r="N1959" s="29"/>
      <c r="O1959" s="29"/>
      <c r="P1959" s="29"/>
    </row>
    <row r="1960">
      <c r="A1960" s="111"/>
      <c r="B1960" s="112"/>
      <c r="C1960" s="29"/>
      <c r="D1960" s="29"/>
      <c r="E1960" s="29"/>
      <c r="F1960" s="29"/>
      <c r="G1960" s="29"/>
      <c r="H1960" s="29"/>
      <c r="I1960" s="29"/>
      <c r="J1960" s="29"/>
      <c r="K1960" s="29"/>
      <c r="L1960" s="29"/>
      <c r="M1960" s="29"/>
      <c r="N1960" s="29"/>
      <c r="O1960" s="29"/>
      <c r="P1960" s="29"/>
    </row>
    <row r="1961">
      <c r="A1961" s="111"/>
      <c r="B1961" s="112"/>
      <c r="C1961" s="29"/>
      <c r="D1961" s="29"/>
      <c r="E1961" s="29"/>
      <c r="F1961" s="29"/>
      <c r="G1961" s="29"/>
      <c r="H1961" s="29"/>
      <c r="I1961" s="29"/>
      <c r="J1961" s="29"/>
      <c r="K1961" s="29"/>
      <c r="L1961" s="29"/>
      <c r="M1961" s="29"/>
      <c r="N1961" s="29"/>
      <c r="O1961" s="29"/>
      <c r="P1961" s="29"/>
    </row>
    <row r="1962">
      <c r="A1962" s="111"/>
      <c r="B1962" s="112"/>
      <c r="C1962" s="29"/>
      <c r="D1962" s="29"/>
      <c r="E1962" s="29"/>
      <c r="F1962" s="29"/>
      <c r="G1962" s="29"/>
      <c r="H1962" s="29"/>
      <c r="I1962" s="29"/>
      <c r="J1962" s="29"/>
      <c r="K1962" s="29"/>
      <c r="L1962" s="29"/>
      <c r="M1962" s="29"/>
      <c r="N1962" s="29"/>
      <c r="O1962" s="29"/>
      <c r="P1962" s="29"/>
    </row>
    <row r="1963">
      <c r="A1963" s="111"/>
      <c r="B1963" s="112"/>
      <c r="C1963" s="29"/>
      <c r="D1963" s="29"/>
      <c r="E1963" s="29"/>
      <c r="F1963" s="29"/>
      <c r="G1963" s="29"/>
      <c r="H1963" s="29"/>
      <c r="I1963" s="29"/>
      <c r="J1963" s="29"/>
      <c r="K1963" s="29"/>
      <c r="L1963" s="29"/>
      <c r="M1963" s="29"/>
      <c r="N1963" s="29"/>
      <c r="O1963" s="29"/>
      <c r="P1963" s="29"/>
    </row>
    <row r="1964">
      <c r="A1964" s="111"/>
      <c r="B1964" s="112"/>
      <c r="C1964" s="29"/>
      <c r="D1964" s="29"/>
      <c r="E1964" s="29"/>
      <c r="F1964" s="29"/>
      <c r="G1964" s="29"/>
      <c r="H1964" s="29"/>
      <c r="I1964" s="29"/>
      <c r="J1964" s="29"/>
      <c r="K1964" s="29"/>
      <c r="L1964" s="29"/>
      <c r="M1964" s="29"/>
      <c r="N1964" s="29"/>
      <c r="O1964" s="29"/>
      <c r="P1964" s="29"/>
    </row>
    <row r="1965">
      <c r="A1965" s="111"/>
      <c r="B1965" s="112"/>
      <c r="C1965" s="29"/>
      <c r="D1965" s="29"/>
      <c r="E1965" s="29"/>
      <c r="F1965" s="29"/>
      <c r="G1965" s="29"/>
      <c r="H1965" s="29"/>
      <c r="I1965" s="29"/>
      <c r="J1965" s="29"/>
      <c r="K1965" s="29"/>
      <c r="L1965" s="29"/>
      <c r="M1965" s="29"/>
      <c r="N1965" s="29"/>
      <c r="O1965" s="29"/>
      <c r="P1965" s="29"/>
    </row>
    <row r="1966">
      <c r="A1966" s="111"/>
      <c r="B1966" s="112"/>
      <c r="C1966" s="29"/>
      <c r="D1966" s="29"/>
      <c r="E1966" s="29"/>
      <c r="F1966" s="29"/>
      <c r="G1966" s="29"/>
      <c r="H1966" s="29"/>
      <c r="I1966" s="29"/>
      <c r="J1966" s="29"/>
      <c r="K1966" s="29"/>
      <c r="L1966" s="29"/>
      <c r="M1966" s="29"/>
      <c r="N1966" s="29"/>
      <c r="O1966" s="29"/>
      <c r="P1966" s="29"/>
    </row>
    <row r="1967">
      <c r="A1967" s="111"/>
      <c r="B1967" s="112"/>
      <c r="C1967" s="29"/>
      <c r="D1967" s="29"/>
      <c r="E1967" s="29"/>
      <c r="F1967" s="29"/>
      <c r="G1967" s="29"/>
      <c r="H1967" s="29"/>
      <c r="I1967" s="29"/>
      <c r="J1967" s="29"/>
      <c r="K1967" s="29"/>
      <c r="L1967" s="29"/>
      <c r="M1967" s="29"/>
      <c r="N1967" s="29"/>
      <c r="O1967" s="29"/>
      <c r="P1967" s="29"/>
    </row>
    <row r="1968">
      <c r="A1968" s="111"/>
      <c r="B1968" s="112"/>
      <c r="C1968" s="29"/>
      <c r="D1968" s="29"/>
      <c r="E1968" s="29"/>
      <c r="F1968" s="29"/>
      <c r="G1968" s="29"/>
      <c r="H1968" s="29"/>
      <c r="I1968" s="29"/>
      <c r="J1968" s="29"/>
      <c r="K1968" s="29"/>
      <c r="L1968" s="29"/>
      <c r="M1968" s="29"/>
      <c r="N1968" s="29"/>
      <c r="O1968" s="29"/>
      <c r="P1968" s="29"/>
    </row>
    <row r="1969">
      <c r="A1969" s="111"/>
      <c r="B1969" s="112"/>
      <c r="C1969" s="29"/>
      <c r="D1969" s="29"/>
      <c r="E1969" s="29"/>
      <c r="F1969" s="29"/>
      <c r="G1969" s="29"/>
      <c r="H1969" s="29"/>
      <c r="I1969" s="29"/>
      <c r="J1969" s="29"/>
      <c r="K1969" s="29"/>
      <c r="L1969" s="29"/>
      <c r="M1969" s="29"/>
      <c r="N1969" s="29"/>
      <c r="O1969" s="29"/>
      <c r="P1969" s="29"/>
    </row>
    <row r="1970">
      <c r="A1970" s="111"/>
      <c r="B1970" s="112"/>
      <c r="C1970" s="29"/>
      <c r="D1970" s="29"/>
      <c r="E1970" s="29"/>
      <c r="F1970" s="29"/>
      <c r="G1970" s="29"/>
      <c r="H1970" s="29"/>
      <c r="I1970" s="29"/>
      <c r="J1970" s="29"/>
      <c r="K1970" s="29"/>
      <c r="L1970" s="29"/>
      <c r="M1970" s="29"/>
      <c r="N1970" s="29"/>
      <c r="O1970" s="29"/>
      <c r="P1970" s="29"/>
    </row>
    <row r="1971">
      <c r="A1971" s="111"/>
      <c r="B1971" s="112"/>
      <c r="C1971" s="29"/>
      <c r="D1971" s="29"/>
      <c r="E1971" s="29"/>
      <c r="F1971" s="29"/>
      <c r="G1971" s="29"/>
      <c r="H1971" s="29"/>
      <c r="I1971" s="29"/>
      <c r="J1971" s="29"/>
      <c r="K1971" s="29"/>
      <c r="L1971" s="29"/>
      <c r="M1971" s="29"/>
      <c r="N1971" s="29"/>
      <c r="O1971" s="29"/>
      <c r="P1971" s="29"/>
    </row>
    <row r="1972">
      <c r="A1972" s="111"/>
      <c r="B1972" s="112"/>
      <c r="C1972" s="29"/>
      <c r="D1972" s="29"/>
      <c r="E1972" s="29"/>
      <c r="F1972" s="29"/>
      <c r="G1972" s="29"/>
      <c r="H1972" s="29"/>
      <c r="I1972" s="29"/>
      <c r="J1972" s="29"/>
      <c r="K1972" s="29"/>
      <c r="L1972" s="29"/>
      <c r="M1972" s="29"/>
      <c r="N1972" s="29"/>
      <c r="O1972" s="29"/>
      <c r="P1972" s="29"/>
    </row>
    <row r="1973">
      <c r="A1973" s="111"/>
      <c r="B1973" s="112"/>
      <c r="C1973" s="29"/>
      <c r="D1973" s="29"/>
      <c r="E1973" s="29"/>
      <c r="F1973" s="29"/>
      <c r="G1973" s="29"/>
      <c r="H1973" s="29"/>
      <c r="I1973" s="29"/>
      <c r="J1973" s="29"/>
      <c r="K1973" s="29"/>
      <c r="L1973" s="29"/>
      <c r="M1973" s="29"/>
      <c r="N1973" s="29"/>
      <c r="O1973" s="29"/>
      <c r="P1973" s="29"/>
    </row>
    <row r="1974">
      <c r="A1974" s="111"/>
      <c r="B1974" s="112"/>
      <c r="C1974" s="29"/>
      <c r="D1974" s="29"/>
      <c r="E1974" s="29"/>
      <c r="F1974" s="29"/>
      <c r="G1974" s="29"/>
      <c r="H1974" s="29"/>
      <c r="I1974" s="29"/>
      <c r="J1974" s="29"/>
      <c r="K1974" s="29"/>
      <c r="L1974" s="29"/>
      <c r="M1974" s="29"/>
      <c r="N1974" s="29"/>
      <c r="O1974" s="29"/>
      <c r="P1974" s="29"/>
    </row>
    <row r="1975">
      <c r="A1975" s="111"/>
      <c r="B1975" s="112"/>
      <c r="C1975" s="29"/>
      <c r="D1975" s="29"/>
      <c r="E1975" s="29"/>
      <c r="F1975" s="29"/>
      <c r="G1975" s="29"/>
      <c r="H1975" s="29"/>
      <c r="I1975" s="29"/>
      <c r="J1975" s="29"/>
      <c r="K1975" s="29"/>
      <c r="L1975" s="29"/>
      <c r="M1975" s="29"/>
      <c r="N1975" s="29"/>
      <c r="O1975" s="29"/>
      <c r="P1975" s="29"/>
    </row>
    <row r="1976">
      <c r="A1976" s="111"/>
      <c r="B1976" s="112"/>
      <c r="C1976" s="29"/>
      <c r="D1976" s="29"/>
      <c r="E1976" s="29"/>
      <c r="F1976" s="29"/>
      <c r="G1976" s="29"/>
      <c r="H1976" s="29"/>
      <c r="I1976" s="29"/>
      <c r="J1976" s="29"/>
      <c r="K1976" s="29"/>
      <c r="L1976" s="29"/>
      <c r="M1976" s="29"/>
      <c r="N1976" s="29"/>
      <c r="O1976" s="29"/>
      <c r="P1976" s="29"/>
    </row>
    <row r="1977">
      <c r="A1977" s="111"/>
      <c r="B1977" s="112"/>
      <c r="C1977" s="29"/>
      <c r="D1977" s="29"/>
      <c r="E1977" s="29"/>
      <c r="F1977" s="29"/>
      <c r="G1977" s="29"/>
      <c r="H1977" s="29"/>
      <c r="I1977" s="29"/>
      <c r="J1977" s="29"/>
      <c r="K1977" s="29"/>
      <c r="L1977" s="29"/>
      <c r="M1977" s="29"/>
      <c r="N1977" s="29"/>
      <c r="O1977" s="29"/>
      <c r="P1977" s="29"/>
    </row>
    <row r="1978">
      <c r="A1978" s="111"/>
      <c r="B1978" s="112"/>
      <c r="C1978" s="29"/>
      <c r="D1978" s="29"/>
      <c r="E1978" s="29"/>
      <c r="F1978" s="29"/>
      <c r="G1978" s="29"/>
      <c r="H1978" s="29"/>
      <c r="I1978" s="29"/>
      <c r="J1978" s="29"/>
      <c r="K1978" s="29"/>
      <c r="L1978" s="29"/>
      <c r="M1978" s="29"/>
      <c r="N1978" s="29"/>
      <c r="O1978" s="29"/>
      <c r="P1978" s="29"/>
    </row>
    <row r="1979">
      <c r="A1979" s="111"/>
      <c r="B1979" s="112"/>
      <c r="C1979" s="29"/>
      <c r="D1979" s="29"/>
      <c r="E1979" s="29"/>
      <c r="F1979" s="29"/>
      <c r="G1979" s="29"/>
      <c r="H1979" s="29"/>
      <c r="I1979" s="29"/>
      <c r="J1979" s="29"/>
      <c r="K1979" s="29"/>
      <c r="L1979" s="29"/>
      <c r="M1979" s="29"/>
      <c r="N1979" s="29"/>
      <c r="O1979" s="29"/>
      <c r="P1979" s="29"/>
    </row>
    <row r="1980">
      <c r="A1980" s="111"/>
      <c r="B1980" s="112"/>
      <c r="C1980" s="29"/>
      <c r="D1980" s="29"/>
      <c r="E1980" s="29"/>
      <c r="F1980" s="29"/>
      <c r="G1980" s="29"/>
      <c r="H1980" s="29"/>
      <c r="I1980" s="29"/>
      <c r="J1980" s="29"/>
      <c r="K1980" s="29"/>
      <c r="L1980" s="29"/>
      <c r="M1980" s="29"/>
      <c r="N1980" s="29"/>
      <c r="O1980" s="29"/>
      <c r="P1980" s="29"/>
    </row>
    <row r="1981">
      <c r="A1981" s="111"/>
      <c r="B1981" s="112"/>
      <c r="C1981" s="29"/>
      <c r="D1981" s="29"/>
      <c r="E1981" s="29"/>
      <c r="F1981" s="29"/>
      <c r="G1981" s="29"/>
      <c r="H1981" s="29"/>
      <c r="I1981" s="29"/>
      <c r="J1981" s="29"/>
      <c r="K1981" s="29"/>
      <c r="L1981" s="29"/>
      <c r="M1981" s="29"/>
      <c r="N1981" s="29"/>
      <c r="O1981" s="29"/>
      <c r="P1981" s="29"/>
    </row>
    <row r="1982">
      <c r="A1982" s="111"/>
      <c r="B1982" s="112"/>
      <c r="C1982" s="29"/>
      <c r="D1982" s="29"/>
      <c r="E1982" s="29"/>
      <c r="F1982" s="29"/>
      <c r="G1982" s="29"/>
      <c r="H1982" s="29"/>
      <c r="I1982" s="29"/>
      <c r="J1982" s="29"/>
      <c r="K1982" s="29"/>
      <c r="L1982" s="29"/>
      <c r="M1982" s="29"/>
      <c r="N1982" s="29"/>
      <c r="O1982" s="29"/>
      <c r="P1982" s="29"/>
    </row>
    <row r="1983">
      <c r="A1983" s="111"/>
      <c r="B1983" s="112"/>
      <c r="C1983" s="29"/>
      <c r="D1983" s="29"/>
      <c r="E1983" s="29"/>
      <c r="F1983" s="29"/>
      <c r="G1983" s="29"/>
      <c r="H1983" s="29"/>
      <c r="I1983" s="29"/>
      <c r="J1983" s="29"/>
      <c r="K1983" s="29"/>
      <c r="L1983" s="29"/>
      <c r="M1983" s="29"/>
      <c r="N1983" s="29"/>
      <c r="O1983" s="29"/>
      <c r="P1983" s="29"/>
    </row>
    <row r="1984">
      <c r="A1984" s="111"/>
      <c r="B1984" s="112"/>
      <c r="C1984" s="29"/>
      <c r="D1984" s="29"/>
      <c r="E1984" s="29"/>
      <c r="F1984" s="29"/>
      <c r="G1984" s="29"/>
      <c r="H1984" s="29"/>
      <c r="I1984" s="29"/>
      <c r="J1984" s="29"/>
      <c r="K1984" s="29"/>
      <c r="L1984" s="29"/>
      <c r="M1984" s="29"/>
      <c r="N1984" s="29"/>
      <c r="O1984" s="29"/>
      <c r="P1984" s="29"/>
    </row>
    <row r="1985">
      <c r="A1985" s="111"/>
      <c r="B1985" s="112"/>
      <c r="C1985" s="29"/>
      <c r="D1985" s="29"/>
      <c r="E1985" s="29"/>
      <c r="F1985" s="29"/>
      <c r="G1985" s="29"/>
      <c r="H1985" s="29"/>
      <c r="I1985" s="29"/>
      <c r="J1985" s="29"/>
      <c r="K1985" s="29"/>
      <c r="L1985" s="29"/>
      <c r="M1985" s="29"/>
      <c r="N1985" s="29"/>
      <c r="O1985" s="29"/>
      <c r="P1985" s="29"/>
    </row>
    <row r="1986">
      <c r="A1986" s="111"/>
      <c r="B1986" s="112"/>
      <c r="C1986" s="29"/>
      <c r="D1986" s="29"/>
      <c r="E1986" s="29"/>
      <c r="F1986" s="29"/>
      <c r="G1986" s="29"/>
      <c r="H1986" s="29"/>
      <c r="I1986" s="29"/>
      <c r="J1986" s="29"/>
      <c r="K1986" s="29"/>
      <c r="L1986" s="29"/>
      <c r="M1986" s="29"/>
      <c r="N1986" s="29"/>
      <c r="O1986" s="29"/>
      <c r="P1986" s="29"/>
    </row>
    <row r="1987">
      <c r="A1987" s="111"/>
      <c r="B1987" s="112"/>
      <c r="C1987" s="29"/>
      <c r="D1987" s="29"/>
      <c r="E1987" s="29"/>
      <c r="F1987" s="29"/>
      <c r="G1987" s="29"/>
      <c r="H1987" s="29"/>
      <c r="I1987" s="29"/>
      <c r="J1987" s="29"/>
      <c r="K1987" s="29"/>
      <c r="L1987" s="29"/>
      <c r="M1987" s="29"/>
      <c r="N1987" s="29"/>
      <c r="O1987" s="29"/>
      <c r="P1987" s="29"/>
    </row>
    <row r="1988">
      <c r="A1988" s="111"/>
      <c r="B1988" s="112"/>
      <c r="C1988" s="29"/>
      <c r="D1988" s="29"/>
      <c r="E1988" s="29"/>
      <c r="F1988" s="29"/>
      <c r="G1988" s="29"/>
      <c r="H1988" s="29"/>
      <c r="I1988" s="29"/>
      <c r="J1988" s="29"/>
      <c r="K1988" s="29"/>
      <c r="L1988" s="29"/>
      <c r="M1988" s="29"/>
      <c r="N1988" s="29"/>
      <c r="O1988" s="29"/>
      <c r="P1988" s="29"/>
    </row>
    <row r="1989">
      <c r="A1989" s="111"/>
      <c r="B1989" s="112"/>
      <c r="C1989" s="29"/>
      <c r="D1989" s="29"/>
      <c r="E1989" s="29"/>
      <c r="F1989" s="29"/>
      <c r="G1989" s="29"/>
      <c r="H1989" s="29"/>
      <c r="I1989" s="29"/>
      <c r="J1989" s="29"/>
      <c r="K1989" s="29"/>
      <c r="L1989" s="29"/>
      <c r="M1989" s="29"/>
      <c r="N1989" s="29"/>
      <c r="O1989" s="29"/>
      <c r="P1989" s="29"/>
    </row>
    <row r="1990">
      <c r="A1990" s="111"/>
      <c r="B1990" s="112"/>
      <c r="C1990" s="29"/>
      <c r="D1990" s="29"/>
      <c r="E1990" s="29"/>
      <c r="F1990" s="29"/>
      <c r="G1990" s="29"/>
      <c r="H1990" s="29"/>
      <c r="I1990" s="29"/>
      <c r="J1990" s="29"/>
      <c r="K1990" s="29"/>
      <c r="L1990" s="29"/>
      <c r="M1990" s="29"/>
      <c r="N1990" s="29"/>
      <c r="O1990" s="29"/>
      <c r="P1990" s="29"/>
    </row>
    <row r="1991">
      <c r="A1991" s="111"/>
      <c r="B1991" s="112"/>
      <c r="C1991" s="29"/>
      <c r="D1991" s="29"/>
      <c r="E1991" s="29"/>
      <c r="F1991" s="29"/>
      <c r="G1991" s="29"/>
      <c r="H1991" s="29"/>
      <c r="I1991" s="29"/>
      <c r="J1991" s="29"/>
      <c r="K1991" s="29"/>
      <c r="L1991" s="29"/>
      <c r="M1991" s="29"/>
      <c r="N1991" s="29"/>
      <c r="O1991" s="29"/>
      <c r="P1991" s="29"/>
    </row>
    <row r="1992">
      <c r="A1992" s="111"/>
      <c r="B1992" s="112"/>
      <c r="C1992" s="29"/>
      <c r="D1992" s="29"/>
      <c r="E1992" s="29"/>
      <c r="F1992" s="29"/>
      <c r="G1992" s="29"/>
      <c r="H1992" s="29"/>
      <c r="I1992" s="29"/>
      <c r="J1992" s="29"/>
      <c r="K1992" s="29"/>
      <c r="L1992" s="29"/>
      <c r="M1992" s="29"/>
      <c r="N1992" s="29"/>
      <c r="O1992" s="29"/>
      <c r="P1992" s="29"/>
    </row>
    <row r="1993">
      <c r="A1993" s="111"/>
      <c r="B1993" s="112"/>
      <c r="C1993" s="29"/>
      <c r="D1993" s="29"/>
      <c r="E1993" s="29"/>
      <c r="F1993" s="29"/>
      <c r="G1993" s="29"/>
      <c r="H1993" s="29"/>
      <c r="I1993" s="29"/>
      <c r="J1993" s="29"/>
      <c r="K1993" s="29"/>
      <c r="L1993" s="29"/>
      <c r="M1993" s="29"/>
      <c r="N1993" s="29"/>
      <c r="O1993" s="29"/>
      <c r="P1993" s="29"/>
    </row>
    <row r="1994">
      <c r="A1994" s="111"/>
      <c r="B1994" s="112"/>
      <c r="C1994" s="29"/>
      <c r="D1994" s="29"/>
      <c r="E1994" s="29"/>
      <c r="F1994" s="29"/>
      <c r="G1994" s="29"/>
      <c r="H1994" s="29"/>
      <c r="I1994" s="29"/>
      <c r="J1994" s="29"/>
      <c r="K1994" s="29"/>
      <c r="L1994" s="29"/>
      <c r="M1994" s="29"/>
      <c r="N1994" s="29"/>
      <c r="O1994" s="29"/>
      <c r="P1994" s="29"/>
    </row>
    <row r="1995">
      <c r="A1995" s="111"/>
      <c r="B1995" s="112"/>
      <c r="C1995" s="29"/>
      <c r="D1995" s="29"/>
      <c r="E1995" s="29"/>
      <c r="F1995" s="29"/>
      <c r="G1995" s="29"/>
      <c r="H1995" s="29"/>
      <c r="I1995" s="29"/>
      <c r="J1995" s="29"/>
      <c r="K1995" s="29"/>
      <c r="L1995" s="29"/>
      <c r="M1995" s="29"/>
      <c r="N1995" s="29"/>
      <c r="O1995" s="29"/>
      <c r="P1995" s="29"/>
    </row>
    <row r="1996">
      <c r="A1996" s="111"/>
      <c r="B1996" s="112"/>
      <c r="C1996" s="29"/>
      <c r="D1996" s="29"/>
      <c r="E1996" s="29"/>
      <c r="F1996" s="29"/>
      <c r="G1996" s="29"/>
      <c r="H1996" s="29"/>
      <c r="I1996" s="29"/>
      <c r="J1996" s="29"/>
      <c r="K1996" s="29"/>
      <c r="L1996" s="29"/>
      <c r="M1996" s="29"/>
      <c r="N1996" s="29"/>
      <c r="O1996" s="29"/>
      <c r="P1996" s="29"/>
    </row>
    <row r="1997">
      <c r="A1997" s="111"/>
      <c r="B1997" s="112"/>
      <c r="C1997" s="29"/>
      <c r="D1997" s="29"/>
      <c r="E1997" s="29"/>
      <c r="F1997" s="29"/>
      <c r="G1997" s="29"/>
      <c r="H1997" s="29"/>
      <c r="I1997" s="29"/>
      <c r="J1997" s="29"/>
      <c r="K1997" s="29"/>
      <c r="L1997" s="29"/>
      <c r="M1997" s="29"/>
      <c r="N1997" s="29"/>
      <c r="O1997" s="29"/>
      <c r="P1997" s="29"/>
    </row>
    <row r="1998">
      <c r="A1998" s="111"/>
      <c r="B1998" s="112"/>
      <c r="C1998" s="29"/>
      <c r="D1998" s="29"/>
      <c r="E1998" s="29"/>
      <c r="F1998" s="29"/>
      <c r="G1998" s="29"/>
      <c r="H1998" s="29"/>
      <c r="I1998" s="29"/>
      <c r="J1998" s="29"/>
      <c r="K1998" s="29"/>
      <c r="L1998" s="29"/>
      <c r="M1998" s="29"/>
      <c r="N1998" s="29"/>
      <c r="O1998" s="29"/>
      <c r="P1998" s="29"/>
    </row>
    <row r="1999">
      <c r="A1999" s="111"/>
      <c r="B1999" s="112"/>
      <c r="C1999" s="29"/>
      <c r="D1999" s="29"/>
      <c r="E1999" s="29"/>
      <c r="F1999" s="29"/>
      <c r="G1999" s="29"/>
      <c r="H1999" s="29"/>
      <c r="I1999" s="29"/>
      <c r="J1999" s="29"/>
      <c r="K1999" s="29"/>
      <c r="L1999" s="29"/>
      <c r="M1999" s="29"/>
      <c r="N1999" s="29"/>
      <c r="O1999" s="29"/>
      <c r="P1999" s="29"/>
    </row>
    <row r="2000">
      <c r="A2000" s="111"/>
      <c r="B2000" s="112"/>
      <c r="C2000" s="29"/>
      <c r="D2000" s="29"/>
      <c r="E2000" s="29"/>
      <c r="F2000" s="29"/>
      <c r="G2000" s="29"/>
      <c r="H2000" s="29"/>
      <c r="I2000" s="29"/>
      <c r="J2000" s="29"/>
      <c r="K2000" s="29"/>
      <c r="L2000" s="29"/>
      <c r="M2000" s="29"/>
      <c r="N2000" s="29"/>
      <c r="O2000" s="29"/>
      <c r="P2000" s="29"/>
    </row>
    <row r="2001">
      <c r="A2001" s="111"/>
      <c r="B2001" s="112"/>
      <c r="C2001" s="29"/>
      <c r="D2001" s="29"/>
      <c r="E2001" s="29"/>
      <c r="F2001" s="29"/>
      <c r="G2001" s="29"/>
      <c r="H2001" s="29"/>
      <c r="I2001" s="29"/>
      <c r="J2001" s="29"/>
      <c r="K2001" s="29"/>
      <c r="L2001" s="29"/>
      <c r="M2001" s="29"/>
      <c r="N2001" s="29"/>
      <c r="O2001" s="29"/>
      <c r="P2001" s="29"/>
    </row>
    <row r="2002">
      <c r="A2002" s="111"/>
      <c r="B2002" s="112"/>
      <c r="C2002" s="29"/>
      <c r="D2002" s="29"/>
      <c r="E2002" s="29"/>
      <c r="F2002" s="29"/>
      <c r="G2002" s="29"/>
      <c r="H2002" s="29"/>
      <c r="I2002" s="29"/>
      <c r="J2002" s="29"/>
      <c r="K2002" s="29"/>
      <c r="L2002" s="29"/>
      <c r="M2002" s="29"/>
      <c r="N2002" s="29"/>
      <c r="O2002" s="29"/>
      <c r="P2002" s="29"/>
    </row>
    <row r="2003">
      <c r="A2003" s="111"/>
      <c r="B2003" s="112"/>
      <c r="C2003" s="29"/>
      <c r="D2003" s="29"/>
      <c r="E2003" s="29"/>
      <c r="F2003" s="29"/>
      <c r="G2003" s="29"/>
      <c r="H2003" s="29"/>
      <c r="I2003" s="29"/>
      <c r="J2003" s="29"/>
      <c r="K2003" s="29"/>
      <c r="L2003" s="29"/>
      <c r="M2003" s="29"/>
      <c r="N2003" s="29"/>
      <c r="O2003" s="29"/>
      <c r="P2003" s="29"/>
    </row>
    <row r="2004">
      <c r="A2004" s="111"/>
      <c r="B2004" s="112"/>
      <c r="C2004" s="29"/>
      <c r="D2004" s="29"/>
      <c r="E2004" s="29"/>
      <c r="F2004" s="29"/>
      <c r="G2004" s="29"/>
      <c r="H2004" s="29"/>
      <c r="I2004" s="29"/>
      <c r="J2004" s="29"/>
      <c r="K2004" s="29"/>
      <c r="L2004" s="29"/>
      <c r="M2004" s="29"/>
      <c r="N2004" s="29"/>
      <c r="O2004" s="29"/>
      <c r="P2004" s="29"/>
    </row>
    <row r="2005">
      <c r="A2005" s="111"/>
      <c r="B2005" s="112"/>
      <c r="C2005" s="29"/>
      <c r="D2005" s="29"/>
      <c r="E2005" s="29"/>
      <c r="F2005" s="29"/>
      <c r="G2005" s="29"/>
      <c r="H2005" s="29"/>
      <c r="I2005" s="29"/>
      <c r="J2005" s="29"/>
      <c r="K2005" s="29"/>
      <c r="L2005" s="29"/>
      <c r="M2005" s="29"/>
      <c r="N2005" s="29"/>
      <c r="O2005" s="29"/>
      <c r="P2005" s="29"/>
    </row>
    <row r="2006">
      <c r="A2006" s="111"/>
      <c r="B2006" s="112"/>
      <c r="C2006" s="29"/>
      <c r="D2006" s="29"/>
      <c r="E2006" s="29"/>
      <c r="F2006" s="29"/>
      <c r="G2006" s="29"/>
      <c r="H2006" s="29"/>
      <c r="I2006" s="29"/>
      <c r="J2006" s="29"/>
      <c r="K2006" s="29"/>
      <c r="L2006" s="29"/>
      <c r="M2006" s="29"/>
      <c r="N2006" s="29"/>
      <c r="O2006" s="29"/>
      <c r="P2006" s="29"/>
    </row>
    <row r="2007">
      <c r="A2007" s="111"/>
      <c r="B2007" s="112"/>
      <c r="C2007" s="29"/>
      <c r="D2007" s="29"/>
      <c r="E2007" s="29"/>
      <c r="F2007" s="29"/>
      <c r="G2007" s="29"/>
      <c r="H2007" s="29"/>
      <c r="I2007" s="29"/>
      <c r="J2007" s="29"/>
      <c r="K2007" s="29"/>
      <c r="L2007" s="29"/>
      <c r="M2007" s="29"/>
      <c r="N2007" s="29"/>
      <c r="O2007" s="29"/>
      <c r="P2007" s="29"/>
    </row>
    <row r="2008">
      <c r="A2008" s="111"/>
      <c r="B2008" s="112"/>
      <c r="C2008" s="29"/>
      <c r="D2008" s="29"/>
      <c r="E2008" s="29"/>
      <c r="F2008" s="29"/>
      <c r="G2008" s="29"/>
      <c r="H2008" s="29"/>
      <c r="I2008" s="29"/>
      <c r="J2008" s="29"/>
      <c r="K2008" s="29"/>
      <c r="L2008" s="29"/>
      <c r="M2008" s="29"/>
      <c r="N2008" s="29"/>
      <c r="O2008" s="29"/>
      <c r="P2008" s="29"/>
    </row>
    <row r="2009">
      <c r="A2009" s="111"/>
      <c r="B2009" s="112"/>
      <c r="C2009" s="29"/>
      <c r="D2009" s="29"/>
      <c r="E2009" s="29"/>
      <c r="F2009" s="29"/>
      <c r="G2009" s="29"/>
      <c r="H2009" s="29"/>
      <c r="I2009" s="29"/>
      <c r="J2009" s="29"/>
      <c r="K2009" s="29"/>
      <c r="L2009" s="29"/>
      <c r="M2009" s="29"/>
      <c r="N2009" s="29"/>
      <c r="O2009" s="29"/>
      <c r="P2009" s="29"/>
    </row>
    <row r="2010">
      <c r="A2010" s="111"/>
      <c r="B2010" s="112"/>
      <c r="C2010" s="29"/>
      <c r="D2010" s="29"/>
      <c r="E2010" s="29"/>
      <c r="F2010" s="29"/>
      <c r="G2010" s="29"/>
      <c r="H2010" s="29"/>
      <c r="I2010" s="29"/>
      <c r="J2010" s="29"/>
      <c r="K2010" s="29"/>
      <c r="L2010" s="29"/>
      <c r="M2010" s="29"/>
      <c r="N2010" s="29"/>
      <c r="O2010" s="29"/>
      <c r="P2010" s="29"/>
    </row>
    <row r="2011">
      <c r="A2011" s="111"/>
      <c r="B2011" s="112"/>
      <c r="C2011" s="29"/>
      <c r="D2011" s="29"/>
      <c r="E2011" s="29"/>
      <c r="F2011" s="29"/>
      <c r="G2011" s="29"/>
      <c r="H2011" s="29"/>
      <c r="I2011" s="29"/>
      <c r="J2011" s="29"/>
      <c r="K2011" s="29"/>
      <c r="L2011" s="29"/>
      <c r="M2011" s="29"/>
      <c r="N2011" s="29"/>
      <c r="O2011" s="29"/>
      <c r="P2011" s="29"/>
    </row>
    <row r="2012">
      <c r="A2012" s="111"/>
      <c r="B2012" s="112"/>
      <c r="C2012" s="29"/>
      <c r="D2012" s="29"/>
      <c r="E2012" s="29"/>
      <c r="F2012" s="29"/>
      <c r="G2012" s="29"/>
      <c r="H2012" s="29"/>
      <c r="I2012" s="29"/>
      <c r="J2012" s="29"/>
      <c r="K2012" s="29"/>
      <c r="L2012" s="29"/>
      <c r="M2012" s="29"/>
      <c r="N2012" s="29"/>
      <c r="O2012" s="29"/>
      <c r="P2012" s="29"/>
    </row>
    <row r="2013">
      <c r="A2013" s="111"/>
      <c r="B2013" s="112"/>
      <c r="C2013" s="29"/>
      <c r="D2013" s="29"/>
      <c r="E2013" s="29"/>
      <c r="F2013" s="29"/>
      <c r="G2013" s="29"/>
      <c r="H2013" s="29"/>
      <c r="I2013" s="29"/>
      <c r="J2013" s="29"/>
      <c r="K2013" s="29"/>
      <c r="L2013" s="29"/>
      <c r="M2013" s="29"/>
      <c r="N2013" s="29"/>
      <c r="O2013" s="29"/>
      <c r="P2013" s="29"/>
    </row>
    <row r="2014">
      <c r="A2014" s="111"/>
      <c r="B2014" s="112"/>
      <c r="C2014" s="29"/>
      <c r="D2014" s="29"/>
      <c r="E2014" s="29"/>
      <c r="F2014" s="29"/>
      <c r="G2014" s="29"/>
      <c r="H2014" s="29"/>
      <c r="I2014" s="29"/>
      <c r="J2014" s="29"/>
      <c r="K2014" s="29"/>
      <c r="L2014" s="29"/>
      <c r="M2014" s="29"/>
      <c r="N2014" s="29"/>
      <c r="O2014" s="29"/>
      <c r="P2014" s="29"/>
    </row>
    <row r="2015">
      <c r="A2015" s="111"/>
      <c r="B2015" s="112"/>
      <c r="C2015" s="29"/>
      <c r="D2015" s="29"/>
      <c r="E2015" s="29"/>
      <c r="F2015" s="29"/>
      <c r="G2015" s="29"/>
      <c r="H2015" s="29"/>
      <c r="I2015" s="29"/>
      <c r="J2015" s="29"/>
      <c r="K2015" s="29"/>
      <c r="L2015" s="29"/>
      <c r="M2015" s="29"/>
      <c r="N2015" s="29"/>
      <c r="O2015" s="29"/>
      <c r="P2015" s="29"/>
    </row>
    <row r="2016">
      <c r="A2016" s="111"/>
      <c r="B2016" s="112"/>
      <c r="C2016" s="29"/>
      <c r="D2016" s="29"/>
      <c r="E2016" s="29"/>
      <c r="F2016" s="29"/>
      <c r="G2016" s="29"/>
      <c r="H2016" s="29"/>
      <c r="I2016" s="29"/>
      <c r="J2016" s="29"/>
      <c r="K2016" s="29"/>
      <c r="L2016" s="29"/>
      <c r="M2016" s="29"/>
      <c r="N2016" s="29"/>
      <c r="O2016" s="29"/>
      <c r="P2016" s="29"/>
    </row>
    <row r="2017">
      <c r="A2017" s="111"/>
      <c r="B2017" s="112"/>
      <c r="C2017" s="29"/>
      <c r="D2017" s="29"/>
      <c r="E2017" s="29"/>
      <c r="F2017" s="29"/>
      <c r="G2017" s="29"/>
      <c r="H2017" s="29"/>
      <c r="I2017" s="29"/>
      <c r="J2017" s="29"/>
      <c r="K2017" s="29"/>
      <c r="L2017" s="29"/>
      <c r="M2017" s="29"/>
      <c r="N2017" s="29"/>
      <c r="O2017" s="29"/>
      <c r="P2017" s="29"/>
    </row>
    <row r="2018">
      <c r="A2018" s="111"/>
      <c r="B2018" s="112"/>
      <c r="C2018" s="29"/>
      <c r="D2018" s="29"/>
      <c r="E2018" s="29"/>
      <c r="F2018" s="29"/>
      <c r="G2018" s="29"/>
      <c r="H2018" s="29"/>
      <c r="I2018" s="29"/>
      <c r="J2018" s="29"/>
      <c r="K2018" s="29"/>
      <c r="L2018" s="29"/>
      <c r="M2018" s="29"/>
      <c r="N2018" s="29"/>
      <c r="O2018" s="29"/>
      <c r="P2018" s="29"/>
    </row>
  </sheetData>
  <conditionalFormatting sqref="A1:A297 A300:A2018">
    <cfRule type="notContainsBlanks" dxfId="0" priority="1">
      <formula>LEN(TRIM(A1))&gt;0</formula>
    </cfRule>
  </conditionalFormatting>
  <drawing r:id="rId1"/>
  <tableParts count="6"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1</v>
      </c>
      <c r="B2" s="16" t="s">
        <v>763</v>
      </c>
      <c r="C2" s="113" t="b">
        <v>1</v>
      </c>
      <c r="E2" s="113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</row>
    <row r="3">
      <c r="A3" s="1" t="s">
        <v>3</v>
      </c>
      <c r="B3" s="16" t="s">
        <v>763</v>
      </c>
      <c r="C3" s="113" t="b">
        <v>0</v>
      </c>
      <c r="E3" s="113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</row>
    <row r="4">
      <c r="A4" s="1" t="s">
        <v>764</v>
      </c>
      <c r="B4" s="16" t="s">
        <v>763</v>
      </c>
      <c r="C4" s="113" t="b">
        <v>1</v>
      </c>
      <c r="E4" s="113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</row>
    <row r="5">
      <c r="A5" s="1" t="s">
        <v>11</v>
      </c>
      <c r="B5" s="16" t="s">
        <v>763</v>
      </c>
      <c r="C5" s="113" t="b">
        <v>1</v>
      </c>
      <c r="E5" s="113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</row>
    <row r="6">
      <c r="A6" s="1" t="s">
        <v>765</v>
      </c>
      <c r="B6" s="16" t="s">
        <v>763</v>
      </c>
      <c r="C6" s="113" t="b">
        <v>1</v>
      </c>
      <c r="E6" s="113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</row>
    <row r="7">
      <c r="A7" s="1" t="s">
        <v>9</v>
      </c>
      <c r="B7" s="16" t="s">
        <v>763</v>
      </c>
      <c r="C7" s="113" t="b">
        <v>1</v>
      </c>
      <c r="E7" s="113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</row>
    <row r="8">
      <c r="A8" s="1" t="s">
        <v>766</v>
      </c>
      <c r="B8" s="16" t="s">
        <v>763</v>
      </c>
      <c r="C8" s="113" t="b">
        <v>1</v>
      </c>
      <c r="E8" s="113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</row>
    <row r="9">
      <c r="A9" s="1" t="s">
        <v>10</v>
      </c>
      <c r="B9" s="16" t="s">
        <v>763</v>
      </c>
      <c r="C9" s="113" t="b">
        <v>1</v>
      </c>
      <c r="E9" s="113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</row>
    <row r="10">
      <c r="A10" s="1" t="s">
        <v>2</v>
      </c>
      <c r="B10" s="16" t="s">
        <v>763</v>
      </c>
      <c r="C10" s="113" t="b">
        <v>0</v>
      </c>
      <c r="E10" s="113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</row>
    <row r="11">
      <c r="A11" s="1"/>
      <c r="C11" s="113"/>
      <c r="E11" s="113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</row>
    <row r="12">
      <c r="A12" s="1"/>
      <c r="C12" s="113"/>
      <c r="E12" s="113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</row>
    <row r="13">
      <c r="A13" s="1"/>
      <c r="C13" s="113"/>
      <c r="E13" s="113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</row>
    <row r="14">
      <c r="A14" s="1"/>
      <c r="C14" s="113"/>
      <c r="E14" s="113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</row>
    <row r="15">
      <c r="A15" s="1"/>
      <c r="C15" s="113"/>
      <c r="E15" s="113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</row>
    <row r="16">
      <c r="A16" s="1"/>
      <c r="C16" s="113"/>
      <c r="E16" s="113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</row>
    <row r="17">
      <c r="A17" s="1"/>
      <c r="C17" s="113"/>
      <c r="E17" s="113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</row>
    <row r="18">
      <c r="A18" s="1"/>
      <c r="C18" s="113"/>
      <c r="E18" s="113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</row>
    <row r="19">
      <c r="A19" s="1"/>
      <c r="C19" s="113"/>
      <c r="E19" s="113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</row>
    <row r="20">
      <c r="A20" s="1"/>
      <c r="C20" s="113"/>
      <c r="E20" s="113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</row>
    <row r="21">
      <c r="A21" s="1"/>
      <c r="C21" s="113"/>
      <c r="E21" s="113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</row>
    <row r="22">
      <c r="A22" s="1"/>
      <c r="C22" s="113"/>
      <c r="E22" s="113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</row>
    <row r="23">
      <c r="A23" s="1"/>
      <c r="C23" s="113"/>
      <c r="E23" s="113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</row>
    <row r="24">
      <c r="A24" s="1"/>
      <c r="C24" s="113"/>
      <c r="E24" s="113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</row>
    <row r="25">
      <c r="A25" s="1"/>
      <c r="C25" s="113"/>
      <c r="E25" s="113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</row>
    <row r="26">
      <c r="A26" s="1"/>
      <c r="C26" s="113"/>
      <c r="E26" s="113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</row>
    <row r="27">
      <c r="A27" s="1"/>
      <c r="C27" s="113"/>
      <c r="E27" s="113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</row>
    <row r="28">
      <c r="A28" s="1"/>
      <c r="C28" s="113"/>
      <c r="E28" s="113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</row>
    <row r="29">
      <c r="A29" s="1"/>
      <c r="C29" s="113"/>
      <c r="E29" s="113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</row>
    <row r="30">
      <c r="A30" s="1"/>
      <c r="C30" s="113"/>
      <c r="E30" s="113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</row>
    <row r="31">
      <c r="A31" s="1"/>
      <c r="C31" s="113"/>
      <c r="E31" s="113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</row>
    <row r="32">
      <c r="A32" s="1"/>
      <c r="C32" s="113"/>
      <c r="E32" s="113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</row>
    <row r="33">
      <c r="A33" s="1"/>
      <c r="C33" s="113"/>
      <c r="E33" s="113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</row>
    <row r="34">
      <c r="A34" s="1"/>
      <c r="C34" s="113"/>
      <c r="E34" s="113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</row>
    <row r="35">
      <c r="A35" s="1"/>
      <c r="C35" s="113"/>
      <c r="E35" s="113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</row>
    <row r="36">
      <c r="A36" s="1"/>
      <c r="C36" s="113"/>
      <c r="E36" s="113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</row>
    <row r="37">
      <c r="A37" s="1"/>
      <c r="C37" s="113"/>
      <c r="E37" s="113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</row>
    <row r="38">
      <c r="A38" s="1"/>
      <c r="C38" s="113"/>
      <c r="E38" s="113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</row>
    <row r="39">
      <c r="A39" s="1"/>
      <c r="C39" s="113"/>
      <c r="E39" s="113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</row>
    <row r="40">
      <c r="A40" s="1"/>
      <c r="C40" s="113"/>
      <c r="E40" s="113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</row>
    <row r="41">
      <c r="A41" s="1"/>
      <c r="C41" s="113"/>
      <c r="E41" s="113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</row>
    <row r="42">
      <c r="A42" s="1"/>
      <c r="C42" s="113"/>
      <c r="E42" s="113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</row>
    <row r="43">
      <c r="A43" s="1"/>
      <c r="C43" s="113"/>
      <c r="E43" s="113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</row>
    <row r="44">
      <c r="A44" s="1"/>
      <c r="C44" s="113"/>
      <c r="E44" s="113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</row>
    <row r="45">
      <c r="A45" s="1"/>
      <c r="C45" s="113"/>
      <c r="E45" s="113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</row>
    <row r="46">
      <c r="A46" s="1"/>
      <c r="C46" s="113"/>
      <c r="E46" s="113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</row>
    <row r="47">
      <c r="A47" s="1"/>
      <c r="C47" s="113"/>
      <c r="E47" s="113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</row>
    <row r="48">
      <c r="A48" s="1"/>
      <c r="C48" s="113"/>
      <c r="E48" s="113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</row>
    <row r="49">
      <c r="A49" s="1"/>
      <c r="C49" s="113"/>
      <c r="E49" s="113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</row>
    <row r="50">
      <c r="A50" s="1"/>
      <c r="C50" s="113"/>
      <c r="E50" s="113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</row>
    <row r="51">
      <c r="A51" s="1"/>
      <c r="C51" s="113"/>
      <c r="E51" s="113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</row>
    <row r="52">
      <c r="A52" s="1"/>
      <c r="C52" s="113"/>
      <c r="E52" s="113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</row>
    <row r="53">
      <c r="A53" s="1"/>
      <c r="C53" s="113"/>
      <c r="E53" s="113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</row>
    <row r="54">
      <c r="A54" s="1"/>
      <c r="C54" s="113"/>
      <c r="E54" s="113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114"/>
      <c r="Z54" s="114"/>
    </row>
    <row r="55">
      <c r="A55" s="1"/>
      <c r="C55" s="113"/>
      <c r="E55" s="113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</row>
    <row r="56">
      <c r="A56" s="1"/>
      <c r="C56" s="113"/>
      <c r="E56" s="113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</row>
    <row r="57">
      <c r="A57" s="1"/>
      <c r="C57" s="113"/>
      <c r="E57" s="113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</row>
    <row r="58">
      <c r="A58" s="1"/>
      <c r="C58" s="113"/>
      <c r="E58" s="113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</row>
    <row r="59">
      <c r="A59" s="1"/>
      <c r="C59" s="113"/>
      <c r="E59" s="113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</row>
    <row r="60">
      <c r="A60" s="1"/>
      <c r="C60" s="113"/>
      <c r="E60" s="113"/>
      <c r="F60" s="114"/>
      <c r="G60" s="114"/>
      <c r="H60" s="114"/>
      <c r="I60" s="114"/>
      <c r="J60" s="114"/>
      <c r="K60" s="114"/>
      <c r="L60" s="114"/>
      <c r="M60" s="114"/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</row>
    <row r="61">
      <c r="A61" s="1"/>
      <c r="C61" s="113"/>
      <c r="E61" s="113"/>
      <c r="F61" s="114"/>
      <c r="G61" s="114"/>
      <c r="H61" s="114"/>
      <c r="I61" s="114"/>
      <c r="J61" s="114"/>
      <c r="K61" s="114"/>
      <c r="L61" s="114"/>
      <c r="M61" s="114"/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</row>
    <row r="62">
      <c r="A62" s="1"/>
      <c r="C62" s="113"/>
      <c r="E62" s="113"/>
      <c r="F62" s="114"/>
      <c r="G62" s="114"/>
      <c r="H62" s="114"/>
      <c r="I62" s="114"/>
      <c r="J62" s="114"/>
      <c r="K62" s="114"/>
      <c r="L62" s="114"/>
      <c r="M62" s="114"/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</row>
    <row r="63">
      <c r="A63" s="1"/>
      <c r="C63" s="113"/>
      <c r="E63" s="113"/>
      <c r="F63" s="114"/>
      <c r="G63" s="114"/>
      <c r="H63" s="114"/>
      <c r="I63" s="114"/>
      <c r="J63" s="114"/>
      <c r="K63" s="114"/>
      <c r="L63" s="114"/>
      <c r="M63" s="114"/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</row>
    <row r="64">
      <c r="A64" s="1"/>
      <c r="C64" s="113"/>
      <c r="E64" s="113"/>
      <c r="F64" s="114"/>
      <c r="G64" s="114"/>
      <c r="H64" s="114"/>
      <c r="I64" s="114"/>
      <c r="J64" s="114"/>
      <c r="K64" s="114"/>
      <c r="L64" s="114"/>
      <c r="M64" s="114"/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</row>
    <row r="65">
      <c r="A65" s="1"/>
      <c r="C65" s="113"/>
      <c r="E65" s="113"/>
      <c r="F65" s="114"/>
      <c r="G65" s="114"/>
      <c r="H65" s="114"/>
      <c r="I65" s="114"/>
      <c r="J65" s="114"/>
      <c r="K65" s="114"/>
      <c r="L65" s="114"/>
      <c r="M65" s="114"/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</row>
    <row r="66">
      <c r="A66" s="1"/>
      <c r="C66" s="113"/>
      <c r="E66" s="113"/>
      <c r="F66" s="114"/>
      <c r="G66" s="114"/>
      <c r="H66" s="114"/>
      <c r="I66" s="114"/>
      <c r="J66" s="114"/>
      <c r="K66" s="114"/>
      <c r="L66" s="114"/>
      <c r="M66" s="114"/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</row>
    <row r="67">
      <c r="A67" s="1"/>
      <c r="C67" s="113"/>
      <c r="E67" s="113"/>
      <c r="F67" s="114"/>
      <c r="G67" s="114"/>
      <c r="H67" s="114"/>
      <c r="I67" s="114"/>
      <c r="J67" s="114"/>
      <c r="K67" s="114"/>
      <c r="L67" s="114"/>
      <c r="M67" s="114"/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</row>
    <row r="68">
      <c r="A68" s="1"/>
      <c r="C68" s="113"/>
      <c r="E68" s="113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</row>
    <row r="69">
      <c r="A69" s="1"/>
      <c r="C69" s="113"/>
      <c r="E69" s="113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</row>
    <row r="70">
      <c r="A70" s="1"/>
      <c r="C70" s="113"/>
      <c r="E70" s="113"/>
      <c r="F70" s="114"/>
      <c r="G70" s="114"/>
      <c r="H70" s="114"/>
      <c r="I70" s="114"/>
      <c r="J70" s="114"/>
      <c r="K70" s="114"/>
      <c r="L70" s="114"/>
      <c r="M70" s="114"/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</row>
    <row r="71">
      <c r="A71" s="1"/>
      <c r="C71" s="113"/>
      <c r="E71" s="113"/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</row>
    <row r="72">
      <c r="A72" s="1"/>
      <c r="C72" s="113"/>
      <c r="E72" s="113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</row>
    <row r="73">
      <c r="A73" s="1"/>
      <c r="C73" s="113"/>
      <c r="E73" s="113"/>
      <c r="F73" s="114"/>
      <c r="G73" s="114"/>
      <c r="H73" s="114"/>
      <c r="I73" s="114"/>
      <c r="J73" s="114"/>
      <c r="K73" s="114"/>
      <c r="L73" s="114"/>
      <c r="M73" s="114"/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</row>
    <row r="74">
      <c r="A74" s="1"/>
      <c r="C74" s="113"/>
      <c r="E74" s="113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</row>
    <row r="75">
      <c r="A75" s="1"/>
      <c r="C75" s="113"/>
      <c r="E75" s="113"/>
      <c r="F75" s="114"/>
      <c r="G75" s="114"/>
      <c r="H75" s="114"/>
      <c r="I75" s="114"/>
      <c r="J75" s="114"/>
      <c r="K75" s="114"/>
      <c r="L75" s="114"/>
      <c r="M75" s="114"/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</row>
    <row r="76">
      <c r="A76" s="1"/>
      <c r="C76" s="113"/>
      <c r="E76" s="113"/>
      <c r="F76" s="114"/>
      <c r="G76" s="114"/>
      <c r="H76" s="114"/>
      <c r="I76" s="114"/>
      <c r="J76" s="114"/>
      <c r="K76" s="114"/>
      <c r="L76" s="114"/>
      <c r="M76" s="114"/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</row>
    <row r="77">
      <c r="A77" s="1"/>
      <c r="C77" s="113"/>
      <c r="E77" s="113"/>
      <c r="F77" s="114"/>
      <c r="G77" s="114"/>
      <c r="H77" s="114"/>
      <c r="I77" s="114"/>
      <c r="J77" s="114"/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</row>
    <row r="78">
      <c r="A78" s="1"/>
      <c r="C78" s="113"/>
      <c r="E78" s="113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</row>
    <row r="79">
      <c r="A79" s="1"/>
      <c r="C79" s="113"/>
      <c r="E79" s="113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</row>
    <row r="80">
      <c r="A80" s="1"/>
      <c r="C80" s="113"/>
      <c r="E80" s="113"/>
      <c r="F80" s="114"/>
      <c r="G80" s="114"/>
      <c r="H80" s="114"/>
      <c r="I80" s="114"/>
      <c r="J80" s="114"/>
      <c r="K80" s="114"/>
      <c r="L80" s="114"/>
      <c r="M80" s="114"/>
      <c r="N80" s="114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</row>
    <row r="81">
      <c r="A81" s="1"/>
      <c r="C81" s="113"/>
      <c r="E81" s="113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</row>
    <row r="82">
      <c r="A82" s="1"/>
      <c r="C82" s="113"/>
      <c r="E82" s="113"/>
      <c r="F82" s="114"/>
      <c r="G82" s="114"/>
      <c r="H82" s="114"/>
      <c r="I82" s="114"/>
      <c r="J82" s="114"/>
      <c r="K82" s="114"/>
      <c r="L82" s="114"/>
      <c r="M82" s="114"/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</row>
    <row r="83">
      <c r="A83" s="1"/>
      <c r="C83" s="113"/>
      <c r="E83" s="113"/>
      <c r="F83" s="114"/>
      <c r="G83" s="114"/>
      <c r="H83" s="114"/>
      <c r="I83" s="114"/>
      <c r="J83" s="114"/>
      <c r="K83" s="114"/>
      <c r="L83" s="114"/>
      <c r="M83" s="114"/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</row>
    <row r="84">
      <c r="A84" s="1"/>
      <c r="C84" s="113"/>
      <c r="E84" s="113"/>
      <c r="F84" s="114"/>
      <c r="G84" s="114"/>
      <c r="H84" s="114"/>
      <c r="I84" s="114"/>
      <c r="J84" s="114"/>
      <c r="K84" s="114"/>
      <c r="L84" s="114"/>
      <c r="M84" s="114"/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</row>
    <row r="85">
      <c r="A85" s="1"/>
      <c r="C85" s="113"/>
      <c r="E85" s="113"/>
      <c r="F85" s="114"/>
      <c r="G85" s="114"/>
      <c r="H85" s="114"/>
      <c r="I85" s="114"/>
      <c r="J85" s="114"/>
      <c r="K85" s="114"/>
      <c r="L85" s="114"/>
      <c r="M85" s="114"/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</row>
    <row r="86">
      <c r="A86" s="1"/>
      <c r="C86" s="113"/>
      <c r="E86" s="113"/>
      <c r="F86" s="114"/>
      <c r="G86" s="114"/>
      <c r="H86" s="114"/>
      <c r="I86" s="114"/>
      <c r="J86" s="114"/>
      <c r="K86" s="114"/>
      <c r="L86" s="114"/>
      <c r="M86" s="114"/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</row>
    <row r="87">
      <c r="A87" s="1"/>
      <c r="C87" s="113"/>
      <c r="E87" s="113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</row>
    <row r="88">
      <c r="A88" s="1"/>
      <c r="C88" s="113"/>
      <c r="E88" s="113"/>
      <c r="F88" s="114"/>
      <c r="G88" s="114"/>
      <c r="H88" s="114"/>
      <c r="I88" s="114"/>
      <c r="J88" s="114"/>
      <c r="K88" s="114"/>
      <c r="L88" s="114"/>
      <c r="M88" s="114"/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</row>
    <row r="89">
      <c r="A89" s="1"/>
      <c r="C89" s="113"/>
      <c r="E89" s="113"/>
      <c r="F89" s="114"/>
      <c r="G89" s="114"/>
      <c r="H89" s="114"/>
      <c r="I89" s="114"/>
      <c r="J89" s="114"/>
      <c r="K89" s="114"/>
      <c r="L89" s="114"/>
      <c r="M89" s="114"/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</row>
    <row r="90">
      <c r="A90" s="1"/>
      <c r="C90" s="113"/>
      <c r="E90" s="113"/>
      <c r="F90" s="114"/>
      <c r="G90" s="114"/>
      <c r="H90" s="114"/>
      <c r="I90" s="114"/>
      <c r="J90" s="114"/>
      <c r="K90" s="114"/>
      <c r="L90" s="114"/>
      <c r="M90" s="114"/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</row>
    <row r="91">
      <c r="A91" s="1"/>
      <c r="C91" s="113"/>
      <c r="E91" s="113"/>
      <c r="F91" s="114"/>
      <c r="G91" s="114"/>
      <c r="H91" s="114"/>
      <c r="I91" s="114"/>
      <c r="J91" s="114"/>
      <c r="K91" s="114"/>
      <c r="L91" s="114"/>
      <c r="M91" s="114"/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</row>
    <row r="92">
      <c r="A92" s="1"/>
      <c r="C92" s="113"/>
      <c r="E92" s="113"/>
      <c r="F92" s="114"/>
      <c r="G92" s="114"/>
      <c r="H92" s="114"/>
      <c r="I92" s="114"/>
      <c r="J92" s="114"/>
      <c r="K92" s="114"/>
      <c r="L92" s="114"/>
      <c r="M92" s="114"/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</row>
    <row r="93">
      <c r="A93" s="1"/>
      <c r="C93" s="113"/>
      <c r="E93" s="113"/>
      <c r="F93" s="114"/>
      <c r="G93" s="114"/>
      <c r="H93" s="114"/>
      <c r="I93" s="114"/>
      <c r="J93" s="114"/>
      <c r="K93" s="114"/>
      <c r="L93" s="114"/>
      <c r="M93" s="114"/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</row>
    <row r="94">
      <c r="A94" s="1"/>
      <c r="C94" s="113"/>
      <c r="E94" s="113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</row>
    <row r="95">
      <c r="A95" s="1"/>
      <c r="C95" s="113"/>
      <c r="E95" s="113"/>
      <c r="F95" s="114"/>
      <c r="G95" s="114"/>
      <c r="H95" s="114"/>
      <c r="I95" s="114"/>
      <c r="J95" s="114"/>
      <c r="K95" s="114"/>
      <c r="L95" s="114"/>
      <c r="M95" s="114"/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</row>
    <row r="96">
      <c r="A96" s="1"/>
      <c r="C96" s="113"/>
      <c r="E96" s="113"/>
      <c r="F96" s="114"/>
      <c r="G96" s="114"/>
      <c r="H96" s="114"/>
      <c r="I96" s="114"/>
      <c r="J96" s="114"/>
      <c r="K96" s="114"/>
      <c r="L96" s="114"/>
      <c r="M96" s="114"/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</row>
    <row r="97">
      <c r="A97" s="1"/>
      <c r="C97" s="113"/>
      <c r="E97" s="113"/>
      <c r="F97" s="114"/>
      <c r="G97" s="114"/>
      <c r="H97" s="114"/>
      <c r="I97" s="114"/>
      <c r="J97" s="114"/>
      <c r="K97" s="114"/>
      <c r="L97" s="114"/>
      <c r="M97" s="114"/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</row>
    <row r="98">
      <c r="A98" s="1"/>
      <c r="C98" s="113"/>
      <c r="E98" s="113"/>
      <c r="F98" s="114"/>
      <c r="G98" s="114"/>
      <c r="H98" s="114"/>
      <c r="I98" s="114"/>
      <c r="J98" s="114"/>
      <c r="K98" s="114"/>
      <c r="L98" s="114"/>
      <c r="M98" s="114"/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</row>
    <row r="99">
      <c r="A99" s="1"/>
      <c r="C99" s="113"/>
      <c r="E99" s="113"/>
      <c r="F99" s="114"/>
      <c r="G99" s="114"/>
      <c r="H99" s="114"/>
      <c r="I99" s="114"/>
      <c r="J99" s="114"/>
      <c r="K99" s="114"/>
      <c r="L99" s="114"/>
      <c r="M99" s="114"/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</row>
    <row r="100">
      <c r="A100" s="1"/>
      <c r="C100" s="113"/>
      <c r="E100" s="113"/>
      <c r="F100" s="114"/>
      <c r="G100" s="114"/>
      <c r="H100" s="114"/>
      <c r="I100" s="114"/>
      <c r="J100" s="114"/>
      <c r="K100" s="114"/>
      <c r="L100" s="114"/>
      <c r="M100" s="114"/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</row>
    <row r="101">
      <c r="A101" s="1"/>
      <c r="C101" s="113"/>
      <c r="E101" s="113"/>
      <c r="F101" s="114"/>
      <c r="G101" s="114"/>
      <c r="H101" s="114"/>
      <c r="I101" s="114"/>
      <c r="J101" s="114"/>
      <c r="K101" s="114"/>
      <c r="L101" s="114"/>
      <c r="M101" s="114"/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</row>
    <row r="102">
      <c r="A102" s="1"/>
      <c r="C102" s="113"/>
      <c r="E102" s="113"/>
      <c r="F102" s="114"/>
      <c r="G102" s="114"/>
      <c r="H102" s="114"/>
      <c r="I102" s="114"/>
      <c r="J102" s="114"/>
      <c r="K102" s="114"/>
      <c r="L102" s="114"/>
      <c r="M102" s="114"/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</row>
    <row r="103">
      <c r="A103" s="1"/>
      <c r="C103" s="113"/>
      <c r="E103" s="113"/>
      <c r="F103" s="114"/>
      <c r="G103" s="114"/>
      <c r="H103" s="114"/>
      <c r="I103" s="114"/>
      <c r="J103" s="114"/>
      <c r="K103" s="114"/>
      <c r="L103" s="114"/>
      <c r="M103" s="114"/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</row>
    <row r="104">
      <c r="A104" s="1"/>
      <c r="C104" s="113"/>
      <c r="E104" s="113"/>
      <c r="F104" s="114"/>
      <c r="G104" s="114"/>
      <c r="H104" s="114"/>
      <c r="I104" s="114"/>
      <c r="J104" s="114"/>
      <c r="K104" s="114"/>
      <c r="L104" s="114"/>
      <c r="M104" s="114"/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</row>
    <row r="105">
      <c r="A105" s="1"/>
      <c r="C105" s="113"/>
      <c r="E105" s="113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</row>
    <row r="106">
      <c r="A106" s="1"/>
      <c r="C106" s="113"/>
      <c r="E106" s="113"/>
      <c r="F106" s="114"/>
      <c r="G106" s="114"/>
      <c r="H106" s="114"/>
      <c r="I106" s="114"/>
      <c r="J106" s="114"/>
      <c r="K106" s="114"/>
      <c r="L106" s="114"/>
      <c r="M106" s="114"/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</row>
    <row r="107">
      <c r="A107" s="1"/>
      <c r="C107" s="113"/>
      <c r="E107" s="113"/>
      <c r="F107" s="114"/>
      <c r="G107" s="114"/>
      <c r="H107" s="114"/>
      <c r="I107" s="114"/>
      <c r="J107" s="114"/>
      <c r="K107" s="114"/>
      <c r="L107" s="114"/>
      <c r="M107" s="114"/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</row>
    <row r="108">
      <c r="A108" s="1"/>
      <c r="C108" s="113"/>
      <c r="E108" s="113"/>
      <c r="F108" s="114"/>
      <c r="G108" s="114"/>
      <c r="H108" s="114"/>
      <c r="I108" s="114"/>
      <c r="J108" s="114"/>
      <c r="K108" s="114"/>
      <c r="L108" s="114"/>
      <c r="M108" s="114"/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</row>
    <row r="109">
      <c r="A109" s="1"/>
      <c r="C109" s="113"/>
      <c r="E109" s="113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</row>
    <row r="110">
      <c r="A110" s="1"/>
      <c r="C110" s="113"/>
      <c r="E110" s="113"/>
      <c r="F110" s="114"/>
      <c r="G110" s="114"/>
      <c r="H110" s="114"/>
      <c r="I110" s="114"/>
      <c r="J110" s="114"/>
      <c r="K110" s="114"/>
      <c r="L110" s="114"/>
      <c r="M110" s="114"/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</row>
    <row r="111">
      <c r="A111" s="1"/>
      <c r="C111" s="113"/>
      <c r="E111" s="113"/>
      <c r="F111" s="114"/>
      <c r="G111" s="114"/>
      <c r="H111" s="114"/>
      <c r="I111" s="114"/>
      <c r="J111" s="114"/>
      <c r="K111" s="114"/>
      <c r="L111" s="114"/>
      <c r="M111" s="114"/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</row>
    <row r="112">
      <c r="A112" s="1"/>
      <c r="C112" s="113"/>
      <c r="E112" s="113"/>
      <c r="F112" s="114"/>
      <c r="G112" s="114"/>
      <c r="H112" s="114"/>
      <c r="I112" s="114"/>
      <c r="J112" s="114"/>
      <c r="K112" s="114"/>
      <c r="L112" s="114"/>
      <c r="M112" s="114"/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</row>
    <row r="113">
      <c r="A113" s="1"/>
      <c r="C113" s="113"/>
      <c r="E113" s="113"/>
      <c r="F113" s="114"/>
      <c r="G113" s="114"/>
      <c r="H113" s="114"/>
      <c r="I113" s="114"/>
      <c r="J113" s="114"/>
      <c r="K113" s="114"/>
      <c r="L113" s="114"/>
      <c r="M113" s="114"/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</row>
    <row r="114">
      <c r="A114" s="1"/>
      <c r="C114" s="113"/>
      <c r="E114" s="113"/>
      <c r="F114" s="114"/>
      <c r="G114" s="114"/>
      <c r="H114" s="114"/>
      <c r="I114" s="114"/>
      <c r="J114" s="114"/>
      <c r="K114" s="114"/>
      <c r="L114" s="114"/>
      <c r="M114" s="114"/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</row>
    <row r="115">
      <c r="A115" s="1"/>
      <c r="C115" s="113"/>
      <c r="E115" s="113"/>
      <c r="F115" s="114"/>
      <c r="G115" s="114"/>
      <c r="H115" s="114"/>
      <c r="I115" s="114"/>
      <c r="J115" s="114"/>
      <c r="K115" s="114"/>
      <c r="L115" s="114"/>
      <c r="M115" s="114"/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</row>
    <row r="116">
      <c r="A116" s="1"/>
      <c r="C116" s="113"/>
      <c r="E116" s="113"/>
      <c r="F116" s="114"/>
      <c r="G116" s="114"/>
      <c r="H116" s="114"/>
      <c r="I116" s="114"/>
      <c r="J116" s="114"/>
      <c r="K116" s="114"/>
      <c r="L116" s="114"/>
      <c r="M116" s="114"/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</row>
    <row r="117">
      <c r="A117" s="1"/>
      <c r="C117" s="113"/>
      <c r="E117" s="113"/>
      <c r="F117" s="114"/>
      <c r="G117" s="114"/>
      <c r="H117" s="114"/>
      <c r="I117" s="114"/>
      <c r="J117" s="114"/>
      <c r="K117" s="114"/>
      <c r="L117" s="114"/>
      <c r="M117" s="114"/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</row>
    <row r="118">
      <c r="A118" s="1"/>
      <c r="C118" s="113"/>
      <c r="E118" s="113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</row>
    <row r="119">
      <c r="A119" s="1"/>
      <c r="C119" s="113"/>
      <c r="E119" s="113"/>
      <c r="F119" s="114"/>
      <c r="G119" s="114"/>
      <c r="H119" s="114"/>
      <c r="I119" s="114"/>
      <c r="J119" s="114"/>
      <c r="K119" s="114"/>
      <c r="L119" s="114"/>
      <c r="M119" s="114"/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</row>
    <row r="120">
      <c r="A120" s="1"/>
      <c r="C120" s="113"/>
      <c r="E120" s="113"/>
      <c r="F120" s="114"/>
      <c r="G120" s="114"/>
      <c r="H120" s="114"/>
      <c r="I120" s="114"/>
      <c r="J120" s="114"/>
      <c r="K120" s="114"/>
      <c r="L120" s="114"/>
      <c r="M120" s="114"/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</row>
    <row r="121">
      <c r="A121" s="1"/>
      <c r="C121" s="113"/>
      <c r="E121" s="113"/>
      <c r="F121" s="114"/>
      <c r="G121" s="114"/>
      <c r="H121" s="114"/>
      <c r="I121" s="114"/>
      <c r="J121" s="114"/>
      <c r="K121" s="114"/>
      <c r="L121" s="114"/>
      <c r="M121" s="114"/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</row>
    <row r="122">
      <c r="A122" s="1"/>
      <c r="C122" s="113"/>
      <c r="E122" s="113"/>
      <c r="F122" s="114"/>
      <c r="G122" s="114"/>
      <c r="H122" s="114"/>
      <c r="I122" s="114"/>
      <c r="J122" s="114"/>
      <c r="K122" s="114"/>
      <c r="L122" s="114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</row>
    <row r="123">
      <c r="A123" s="1"/>
      <c r="C123" s="113"/>
      <c r="E123" s="113"/>
      <c r="F123" s="114"/>
      <c r="G123" s="114"/>
      <c r="H123" s="114"/>
      <c r="I123" s="114"/>
      <c r="J123" s="114"/>
      <c r="K123" s="114"/>
      <c r="L123" s="114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</row>
    <row r="124">
      <c r="A124" s="1"/>
      <c r="C124" s="113"/>
      <c r="E124" s="113"/>
      <c r="F124" s="114"/>
      <c r="G124" s="114"/>
      <c r="H124" s="114"/>
      <c r="I124" s="114"/>
      <c r="J124" s="114"/>
      <c r="K124" s="114"/>
      <c r="L124" s="114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</row>
    <row r="125">
      <c r="A125" s="1"/>
      <c r="C125" s="113"/>
      <c r="E125" s="113"/>
      <c r="F125" s="114"/>
      <c r="G125" s="114"/>
      <c r="H125" s="114"/>
      <c r="I125" s="114"/>
      <c r="J125" s="114"/>
      <c r="K125" s="114"/>
      <c r="L125" s="114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</row>
    <row r="126">
      <c r="A126" s="1"/>
      <c r="C126" s="113"/>
      <c r="E126" s="113"/>
      <c r="F126" s="114"/>
      <c r="G126" s="114"/>
      <c r="H126" s="114"/>
      <c r="I126" s="114"/>
      <c r="J126" s="114"/>
      <c r="K126" s="114"/>
      <c r="L126" s="114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</row>
    <row r="127">
      <c r="A127" s="1"/>
      <c r="C127" s="113"/>
      <c r="E127" s="113"/>
      <c r="F127" s="114"/>
      <c r="G127" s="114"/>
      <c r="H127" s="114"/>
      <c r="I127" s="114"/>
      <c r="J127" s="114"/>
      <c r="K127" s="114"/>
      <c r="L127" s="114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</row>
    <row r="128">
      <c r="A128" s="1"/>
      <c r="C128" s="113"/>
      <c r="E128" s="113"/>
      <c r="F128" s="114"/>
      <c r="G128" s="114"/>
      <c r="H128" s="114"/>
      <c r="I128" s="114"/>
      <c r="J128" s="114"/>
      <c r="K128" s="114"/>
      <c r="L128" s="114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</row>
    <row r="129">
      <c r="A129" s="1"/>
      <c r="C129" s="113"/>
      <c r="E129" s="113"/>
      <c r="F129" s="114"/>
      <c r="G129" s="114"/>
      <c r="H129" s="114"/>
      <c r="I129" s="114"/>
      <c r="J129" s="114"/>
      <c r="K129" s="114"/>
      <c r="L129" s="114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</row>
    <row r="130">
      <c r="A130" s="1"/>
      <c r="C130" s="113"/>
      <c r="E130" s="113"/>
      <c r="F130" s="114"/>
      <c r="G130" s="114"/>
      <c r="H130" s="114"/>
      <c r="I130" s="114"/>
      <c r="J130" s="114"/>
      <c r="K130" s="114"/>
      <c r="L130" s="114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</row>
    <row r="131">
      <c r="A131" s="1"/>
      <c r="C131" s="113"/>
      <c r="E131" s="113"/>
      <c r="F131" s="114"/>
      <c r="G131" s="114"/>
      <c r="H131" s="114"/>
      <c r="I131" s="114"/>
      <c r="J131" s="114"/>
      <c r="K131" s="114"/>
      <c r="L131" s="114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</row>
    <row r="132">
      <c r="A132" s="1"/>
      <c r="C132" s="113"/>
      <c r="E132" s="113"/>
      <c r="F132" s="114"/>
      <c r="G132" s="114"/>
      <c r="H132" s="114"/>
      <c r="I132" s="114"/>
      <c r="J132" s="114"/>
      <c r="K132" s="114"/>
      <c r="L132" s="114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</row>
    <row r="133">
      <c r="A133" s="1"/>
      <c r="C133" s="113"/>
      <c r="E133" s="113"/>
      <c r="F133" s="114"/>
      <c r="G133" s="114"/>
      <c r="H133" s="114"/>
      <c r="I133" s="114"/>
      <c r="J133" s="114"/>
      <c r="K133" s="114"/>
      <c r="L133" s="114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</row>
    <row r="134">
      <c r="A134" s="1"/>
      <c r="C134" s="113"/>
      <c r="E134" s="113"/>
      <c r="F134" s="114"/>
      <c r="G134" s="114"/>
      <c r="H134" s="114"/>
      <c r="I134" s="114"/>
      <c r="J134" s="114"/>
      <c r="K134" s="114"/>
      <c r="L134" s="114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</row>
    <row r="135">
      <c r="A135" s="1"/>
      <c r="C135" s="113"/>
      <c r="E135" s="113"/>
      <c r="F135" s="114"/>
      <c r="G135" s="114"/>
      <c r="H135" s="114"/>
      <c r="I135" s="114"/>
      <c r="J135" s="114"/>
      <c r="K135" s="114"/>
      <c r="L135" s="114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</row>
    <row r="136">
      <c r="A136" s="1"/>
      <c r="C136" s="113"/>
      <c r="E136" s="113"/>
      <c r="F136" s="114"/>
      <c r="G136" s="114"/>
      <c r="H136" s="114"/>
      <c r="I136" s="114"/>
      <c r="J136" s="114"/>
      <c r="K136" s="114"/>
      <c r="L136" s="114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</row>
    <row r="137">
      <c r="A137" s="1"/>
      <c r="C137" s="113"/>
      <c r="E137" s="113"/>
      <c r="F137" s="114"/>
      <c r="G137" s="114"/>
      <c r="H137" s="114"/>
      <c r="I137" s="114"/>
      <c r="J137" s="114"/>
      <c r="K137" s="114"/>
      <c r="L137" s="114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</row>
    <row r="138">
      <c r="A138" s="1"/>
      <c r="C138" s="113"/>
      <c r="E138" s="113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</row>
    <row r="139">
      <c r="A139" s="1"/>
      <c r="C139" s="113"/>
      <c r="E139" s="113"/>
      <c r="F139" s="114"/>
      <c r="G139" s="114"/>
      <c r="H139" s="114"/>
      <c r="I139" s="114"/>
      <c r="J139" s="114"/>
      <c r="K139" s="114"/>
      <c r="L139" s="114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</row>
    <row r="140">
      <c r="A140" s="1"/>
      <c r="C140" s="113"/>
      <c r="E140" s="113"/>
      <c r="F140" s="114"/>
      <c r="G140" s="114"/>
      <c r="H140" s="114"/>
      <c r="I140" s="114"/>
      <c r="J140" s="114"/>
      <c r="K140" s="114"/>
      <c r="L140" s="114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</row>
    <row r="141">
      <c r="A141" s="1"/>
      <c r="C141" s="113"/>
      <c r="E141" s="113"/>
      <c r="F141" s="114"/>
      <c r="G141" s="114"/>
      <c r="H141" s="114"/>
      <c r="I141" s="114"/>
      <c r="J141" s="114"/>
      <c r="K141" s="114"/>
      <c r="L141" s="114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  <c r="Y141" s="114"/>
      <c r="Z141" s="114"/>
    </row>
    <row r="142">
      <c r="A142" s="1"/>
      <c r="C142" s="113"/>
      <c r="E142" s="113"/>
      <c r="F142" s="114"/>
      <c r="G142" s="114"/>
      <c r="H142" s="114"/>
      <c r="I142" s="114"/>
      <c r="J142" s="114"/>
      <c r="K142" s="114"/>
      <c r="L142" s="114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  <c r="Y142" s="114"/>
      <c r="Z142" s="114"/>
    </row>
    <row r="143">
      <c r="A143" s="1"/>
      <c r="C143" s="113"/>
      <c r="E143" s="113"/>
      <c r="F143" s="114"/>
      <c r="G143" s="114"/>
      <c r="H143" s="114"/>
      <c r="I143" s="114"/>
      <c r="J143" s="114"/>
      <c r="K143" s="114"/>
      <c r="L143" s="114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  <c r="Y143" s="114"/>
      <c r="Z143" s="114"/>
    </row>
    <row r="144">
      <c r="A144" s="1"/>
      <c r="C144" s="113"/>
      <c r="E144" s="113"/>
      <c r="F144" s="114"/>
      <c r="G144" s="114"/>
      <c r="H144" s="114"/>
      <c r="I144" s="114"/>
      <c r="J144" s="114"/>
      <c r="K144" s="114"/>
      <c r="L144" s="114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  <c r="Y144" s="114"/>
      <c r="Z144" s="114"/>
    </row>
    <row r="145">
      <c r="A145" s="1"/>
      <c r="C145" s="113"/>
      <c r="E145" s="113"/>
      <c r="F145" s="114"/>
      <c r="G145" s="114"/>
      <c r="H145" s="114"/>
      <c r="I145" s="114"/>
      <c r="J145" s="114"/>
      <c r="K145" s="114"/>
      <c r="L145" s="114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  <c r="Y145" s="114"/>
      <c r="Z145" s="114"/>
    </row>
    <row r="146">
      <c r="A146" s="1"/>
      <c r="C146" s="113"/>
      <c r="E146" s="113"/>
      <c r="F146" s="114"/>
      <c r="G146" s="114"/>
      <c r="H146" s="114"/>
      <c r="I146" s="114"/>
      <c r="J146" s="114"/>
      <c r="K146" s="114"/>
      <c r="L146" s="114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  <c r="Y146" s="114"/>
      <c r="Z146" s="114"/>
    </row>
    <row r="147">
      <c r="A147" s="1"/>
      <c r="C147" s="113"/>
      <c r="E147" s="113"/>
      <c r="F147" s="114"/>
      <c r="G147" s="114"/>
      <c r="H147" s="114"/>
      <c r="I147" s="114"/>
      <c r="J147" s="114"/>
      <c r="K147" s="114"/>
      <c r="L147" s="114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  <c r="Y147" s="114"/>
      <c r="Z147" s="114"/>
    </row>
    <row r="148">
      <c r="A148" s="1"/>
      <c r="C148" s="113"/>
      <c r="E148" s="113"/>
      <c r="F148" s="114"/>
      <c r="G148" s="114"/>
      <c r="H148" s="114"/>
      <c r="I148" s="114"/>
      <c r="J148" s="114"/>
      <c r="K148" s="114"/>
      <c r="L148" s="114"/>
      <c r="M148" s="114"/>
      <c r="N148" s="114"/>
      <c r="O148" s="114"/>
      <c r="P148" s="114"/>
      <c r="Q148" s="114"/>
      <c r="R148" s="114"/>
      <c r="S148" s="114"/>
      <c r="T148" s="114"/>
      <c r="U148" s="114"/>
      <c r="V148" s="114"/>
      <c r="W148" s="114"/>
      <c r="X148" s="114"/>
      <c r="Y148" s="114"/>
      <c r="Z148" s="114"/>
    </row>
    <row r="149">
      <c r="A149" s="1"/>
      <c r="C149" s="113"/>
      <c r="E149" s="113"/>
      <c r="F149" s="114"/>
      <c r="G149" s="114"/>
      <c r="H149" s="114"/>
      <c r="I149" s="114"/>
      <c r="J149" s="114"/>
      <c r="K149" s="114"/>
      <c r="L149" s="114"/>
      <c r="M149" s="114"/>
      <c r="N149" s="114"/>
      <c r="O149" s="114"/>
      <c r="P149" s="114"/>
      <c r="Q149" s="114"/>
      <c r="R149" s="114"/>
      <c r="S149" s="114"/>
      <c r="T149" s="114"/>
      <c r="U149" s="114"/>
      <c r="V149" s="114"/>
      <c r="W149" s="114"/>
      <c r="X149" s="114"/>
      <c r="Y149" s="114"/>
      <c r="Z149" s="114"/>
    </row>
    <row r="150">
      <c r="A150" s="1"/>
      <c r="C150" s="113"/>
      <c r="E150" s="113"/>
      <c r="F150" s="114"/>
      <c r="G150" s="114"/>
      <c r="H150" s="114"/>
      <c r="I150" s="114"/>
      <c r="J150" s="114"/>
      <c r="K150" s="114"/>
      <c r="L150" s="114"/>
      <c r="M150" s="114"/>
      <c r="N150" s="114"/>
      <c r="O150" s="114"/>
      <c r="P150" s="114"/>
      <c r="Q150" s="114"/>
      <c r="R150" s="114"/>
      <c r="S150" s="114"/>
      <c r="T150" s="114"/>
      <c r="U150" s="114"/>
      <c r="V150" s="114"/>
      <c r="W150" s="114"/>
      <c r="X150" s="114"/>
      <c r="Y150" s="114"/>
      <c r="Z150" s="114"/>
    </row>
    <row r="151">
      <c r="A151" s="1"/>
      <c r="C151" s="113"/>
      <c r="E151" s="113"/>
      <c r="F151" s="114"/>
      <c r="G151" s="114"/>
      <c r="H151" s="114"/>
      <c r="I151" s="114"/>
      <c r="J151" s="114"/>
      <c r="K151" s="114"/>
      <c r="L151" s="114"/>
      <c r="M151" s="114"/>
      <c r="N151" s="114"/>
      <c r="O151" s="114"/>
      <c r="P151" s="114"/>
      <c r="Q151" s="114"/>
      <c r="R151" s="114"/>
      <c r="S151" s="114"/>
      <c r="T151" s="114"/>
      <c r="U151" s="114"/>
      <c r="V151" s="114"/>
      <c r="W151" s="114"/>
      <c r="X151" s="114"/>
      <c r="Y151" s="114"/>
      <c r="Z151" s="114"/>
    </row>
    <row r="152">
      <c r="A152" s="1"/>
      <c r="C152" s="113"/>
      <c r="E152" s="113"/>
      <c r="F152" s="114"/>
      <c r="G152" s="114"/>
      <c r="H152" s="114"/>
      <c r="I152" s="114"/>
      <c r="J152" s="114"/>
      <c r="K152" s="114"/>
      <c r="L152" s="114"/>
      <c r="M152" s="114"/>
      <c r="N152" s="114"/>
      <c r="O152" s="114"/>
      <c r="P152" s="114"/>
      <c r="Q152" s="114"/>
      <c r="R152" s="114"/>
      <c r="S152" s="114"/>
      <c r="T152" s="114"/>
      <c r="U152" s="114"/>
      <c r="V152" s="114"/>
      <c r="W152" s="114"/>
      <c r="X152" s="114"/>
      <c r="Y152" s="114"/>
      <c r="Z152" s="114"/>
    </row>
    <row r="153">
      <c r="A153" s="1"/>
      <c r="C153" s="113"/>
      <c r="E153" s="113"/>
      <c r="F153" s="114"/>
      <c r="G153" s="114"/>
      <c r="H153" s="114"/>
      <c r="I153" s="114"/>
      <c r="J153" s="114"/>
      <c r="K153" s="114"/>
      <c r="L153" s="114"/>
      <c r="M153" s="114"/>
      <c r="N153" s="114"/>
      <c r="O153" s="114"/>
      <c r="P153" s="114"/>
      <c r="Q153" s="114"/>
      <c r="R153" s="114"/>
      <c r="S153" s="114"/>
      <c r="T153" s="114"/>
      <c r="U153" s="114"/>
      <c r="V153" s="114"/>
      <c r="W153" s="114"/>
      <c r="X153" s="114"/>
      <c r="Y153" s="114"/>
      <c r="Z153" s="114"/>
    </row>
    <row r="154">
      <c r="A154" s="1"/>
      <c r="C154" s="113"/>
      <c r="E154" s="113"/>
      <c r="F154" s="114"/>
      <c r="G154" s="114"/>
      <c r="H154" s="114"/>
      <c r="I154" s="114"/>
      <c r="J154" s="114"/>
      <c r="K154" s="114"/>
      <c r="L154" s="114"/>
      <c r="M154" s="114"/>
      <c r="N154" s="114"/>
      <c r="O154" s="114"/>
      <c r="P154" s="114"/>
      <c r="Q154" s="114"/>
      <c r="R154" s="114"/>
      <c r="S154" s="114"/>
      <c r="T154" s="114"/>
      <c r="U154" s="114"/>
      <c r="V154" s="114"/>
      <c r="W154" s="114"/>
      <c r="X154" s="114"/>
      <c r="Y154" s="114"/>
      <c r="Z154" s="114"/>
    </row>
    <row r="155">
      <c r="A155" s="1"/>
      <c r="C155" s="113"/>
      <c r="E155" s="113"/>
      <c r="F155" s="114"/>
      <c r="G155" s="114"/>
      <c r="H155" s="114"/>
      <c r="I155" s="114"/>
      <c r="J155" s="114"/>
      <c r="K155" s="114"/>
      <c r="L155" s="114"/>
      <c r="M155" s="114"/>
      <c r="N155" s="114"/>
      <c r="O155" s="114"/>
      <c r="P155" s="114"/>
      <c r="Q155" s="114"/>
      <c r="R155" s="114"/>
      <c r="S155" s="114"/>
      <c r="T155" s="114"/>
      <c r="U155" s="114"/>
      <c r="V155" s="114"/>
      <c r="W155" s="114"/>
      <c r="X155" s="114"/>
      <c r="Y155" s="114"/>
      <c r="Z155" s="114"/>
    </row>
    <row r="156">
      <c r="A156" s="1"/>
      <c r="C156" s="113"/>
      <c r="E156" s="113"/>
      <c r="F156" s="114"/>
      <c r="G156" s="114"/>
      <c r="H156" s="114"/>
      <c r="I156" s="114"/>
      <c r="J156" s="114"/>
      <c r="K156" s="114"/>
      <c r="L156" s="114"/>
      <c r="M156" s="114"/>
      <c r="N156" s="114"/>
      <c r="O156" s="114"/>
      <c r="P156" s="114"/>
      <c r="Q156" s="114"/>
      <c r="R156" s="114"/>
      <c r="S156" s="114"/>
      <c r="T156" s="114"/>
      <c r="U156" s="114"/>
      <c r="V156" s="114"/>
      <c r="W156" s="114"/>
      <c r="X156" s="114"/>
      <c r="Y156" s="114"/>
      <c r="Z156" s="114"/>
    </row>
    <row r="157">
      <c r="A157" s="1"/>
      <c r="C157" s="113"/>
      <c r="E157" s="113"/>
      <c r="F157" s="114"/>
      <c r="G157" s="114"/>
      <c r="H157" s="114"/>
      <c r="I157" s="114"/>
      <c r="J157" s="114"/>
      <c r="K157" s="114"/>
      <c r="L157" s="114"/>
      <c r="M157" s="114"/>
      <c r="N157" s="114"/>
      <c r="O157" s="114"/>
      <c r="P157" s="114"/>
      <c r="Q157" s="114"/>
      <c r="R157" s="114"/>
      <c r="S157" s="114"/>
      <c r="T157" s="114"/>
      <c r="U157" s="114"/>
      <c r="V157" s="114"/>
      <c r="W157" s="114"/>
      <c r="X157" s="114"/>
      <c r="Y157" s="114"/>
      <c r="Z157" s="114"/>
    </row>
    <row r="158">
      <c r="A158" s="1"/>
      <c r="C158" s="113"/>
      <c r="E158" s="113"/>
      <c r="F158" s="114"/>
      <c r="G158" s="114"/>
      <c r="H158" s="114"/>
      <c r="I158" s="114"/>
      <c r="J158" s="114"/>
      <c r="K158" s="114"/>
      <c r="L158" s="114"/>
      <c r="M158" s="114"/>
      <c r="N158" s="114"/>
      <c r="O158" s="114"/>
      <c r="P158" s="114"/>
      <c r="Q158" s="114"/>
      <c r="R158" s="114"/>
      <c r="S158" s="114"/>
      <c r="T158" s="114"/>
      <c r="U158" s="114"/>
      <c r="V158" s="114"/>
      <c r="W158" s="114"/>
      <c r="X158" s="114"/>
      <c r="Y158" s="114"/>
      <c r="Z158" s="114"/>
    </row>
    <row r="159">
      <c r="A159" s="1"/>
      <c r="C159" s="113"/>
      <c r="E159" s="113"/>
      <c r="F159" s="114"/>
      <c r="G159" s="114"/>
      <c r="H159" s="114"/>
      <c r="I159" s="114"/>
      <c r="J159" s="114"/>
      <c r="K159" s="114"/>
      <c r="L159" s="114"/>
      <c r="M159" s="114"/>
      <c r="N159" s="114"/>
      <c r="O159" s="114"/>
      <c r="P159" s="114"/>
      <c r="Q159" s="114"/>
      <c r="R159" s="114"/>
      <c r="S159" s="114"/>
      <c r="T159" s="114"/>
      <c r="U159" s="114"/>
      <c r="V159" s="114"/>
      <c r="W159" s="114"/>
      <c r="X159" s="114"/>
      <c r="Y159" s="114"/>
      <c r="Z159" s="114"/>
    </row>
    <row r="160">
      <c r="A160" s="1"/>
      <c r="C160" s="113"/>
      <c r="E160" s="113"/>
      <c r="F160" s="114"/>
      <c r="G160" s="114"/>
      <c r="H160" s="114"/>
      <c r="I160" s="114"/>
      <c r="J160" s="114"/>
      <c r="K160" s="114"/>
      <c r="L160" s="114"/>
      <c r="M160" s="114"/>
      <c r="N160" s="114"/>
      <c r="O160" s="114"/>
      <c r="P160" s="114"/>
      <c r="Q160" s="114"/>
      <c r="R160" s="114"/>
      <c r="S160" s="114"/>
      <c r="T160" s="114"/>
      <c r="U160" s="114"/>
      <c r="V160" s="114"/>
      <c r="W160" s="114"/>
      <c r="X160" s="114"/>
      <c r="Y160" s="114"/>
      <c r="Z160" s="114"/>
    </row>
    <row r="161">
      <c r="A161" s="1"/>
      <c r="C161" s="113"/>
      <c r="E161" s="113"/>
      <c r="F161" s="114"/>
      <c r="G161" s="114"/>
      <c r="H161" s="114"/>
      <c r="I161" s="114"/>
      <c r="J161" s="114"/>
      <c r="K161" s="114"/>
      <c r="L161" s="114"/>
      <c r="M161" s="114"/>
      <c r="N161" s="114"/>
      <c r="O161" s="114"/>
      <c r="P161" s="114"/>
      <c r="Q161" s="114"/>
      <c r="R161" s="114"/>
      <c r="S161" s="114"/>
      <c r="T161" s="114"/>
      <c r="U161" s="114"/>
      <c r="V161" s="114"/>
      <c r="W161" s="114"/>
      <c r="X161" s="114"/>
      <c r="Y161" s="114"/>
      <c r="Z161" s="114"/>
    </row>
    <row r="162">
      <c r="A162" s="1"/>
      <c r="C162" s="113"/>
      <c r="E162" s="113"/>
      <c r="F162" s="114"/>
      <c r="G162" s="114"/>
      <c r="H162" s="114"/>
      <c r="I162" s="114"/>
      <c r="J162" s="114"/>
      <c r="K162" s="114"/>
      <c r="L162" s="114"/>
      <c r="M162" s="114"/>
      <c r="N162" s="114"/>
      <c r="O162" s="114"/>
      <c r="P162" s="114"/>
      <c r="Q162" s="114"/>
      <c r="R162" s="114"/>
      <c r="S162" s="114"/>
      <c r="T162" s="114"/>
      <c r="U162" s="114"/>
      <c r="V162" s="114"/>
      <c r="W162" s="114"/>
      <c r="X162" s="114"/>
      <c r="Y162" s="114"/>
      <c r="Z162" s="114"/>
    </row>
    <row r="163">
      <c r="A163" s="1"/>
      <c r="C163" s="113"/>
      <c r="E163" s="113"/>
      <c r="F163" s="114"/>
      <c r="G163" s="114"/>
      <c r="H163" s="114"/>
      <c r="I163" s="114"/>
      <c r="J163" s="114"/>
      <c r="K163" s="114"/>
      <c r="L163" s="114"/>
      <c r="M163" s="114"/>
      <c r="N163" s="114"/>
      <c r="O163" s="114"/>
      <c r="P163" s="114"/>
      <c r="Q163" s="114"/>
      <c r="R163" s="114"/>
      <c r="S163" s="114"/>
      <c r="T163" s="114"/>
      <c r="U163" s="114"/>
      <c r="V163" s="114"/>
      <c r="W163" s="114"/>
      <c r="X163" s="114"/>
      <c r="Y163" s="114"/>
      <c r="Z163" s="114"/>
    </row>
    <row r="164">
      <c r="A164" s="1"/>
      <c r="C164" s="113"/>
      <c r="E164" s="113"/>
      <c r="F164" s="114"/>
      <c r="G164" s="114"/>
      <c r="H164" s="114"/>
      <c r="I164" s="114"/>
      <c r="J164" s="114"/>
      <c r="K164" s="114"/>
      <c r="L164" s="114"/>
      <c r="M164" s="114"/>
      <c r="N164" s="114"/>
      <c r="O164" s="114"/>
      <c r="P164" s="114"/>
      <c r="Q164" s="114"/>
      <c r="R164" s="114"/>
      <c r="S164" s="114"/>
      <c r="T164" s="114"/>
      <c r="U164" s="114"/>
      <c r="V164" s="114"/>
      <c r="W164" s="114"/>
      <c r="X164" s="114"/>
      <c r="Y164" s="114"/>
      <c r="Z164" s="114"/>
    </row>
    <row r="165">
      <c r="A165" s="1"/>
      <c r="C165" s="113"/>
      <c r="E165" s="113"/>
      <c r="F165" s="114"/>
      <c r="G165" s="114"/>
      <c r="H165" s="114"/>
      <c r="I165" s="114"/>
      <c r="J165" s="114"/>
      <c r="K165" s="114"/>
      <c r="L165" s="114"/>
      <c r="M165" s="114"/>
      <c r="N165" s="114"/>
      <c r="O165" s="114"/>
      <c r="P165" s="114"/>
      <c r="Q165" s="114"/>
      <c r="R165" s="114"/>
      <c r="S165" s="114"/>
      <c r="T165" s="114"/>
      <c r="U165" s="114"/>
      <c r="V165" s="114"/>
      <c r="W165" s="114"/>
      <c r="X165" s="114"/>
      <c r="Y165" s="114"/>
      <c r="Z165" s="114"/>
    </row>
    <row r="166">
      <c r="A166" s="1"/>
      <c r="C166" s="113"/>
      <c r="E166" s="113"/>
      <c r="F166" s="114"/>
      <c r="G166" s="114"/>
      <c r="H166" s="114"/>
      <c r="I166" s="114"/>
      <c r="J166" s="114"/>
      <c r="K166" s="114"/>
      <c r="L166" s="114"/>
      <c r="M166" s="114"/>
      <c r="N166" s="114"/>
      <c r="O166" s="114"/>
      <c r="P166" s="114"/>
      <c r="Q166" s="114"/>
      <c r="R166" s="114"/>
      <c r="S166" s="114"/>
      <c r="T166" s="114"/>
      <c r="U166" s="114"/>
      <c r="V166" s="114"/>
      <c r="W166" s="114"/>
      <c r="X166" s="114"/>
      <c r="Y166" s="114"/>
      <c r="Z166" s="114"/>
    </row>
    <row r="167">
      <c r="A167" s="1"/>
      <c r="C167" s="113"/>
      <c r="E167" s="113"/>
      <c r="F167" s="114"/>
      <c r="G167" s="114"/>
      <c r="H167" s="114"/>
      <c r="I167" s="114"/>
      <c r="J167" s="114"/>
      <c r="K167" s="114"/>
      <c r="L167" s="114"/>
      <c r="M167" s="114"/>
      <c r="N167" s="114"/>
      <c r="O167" s="114"/>
      <c r="P167" s="114"/>
      <c r="Q167" s="114"/>
      <c r="R167" s="114"/>
      <c r="S167" s="114"/>
      <c r="T167" s="114"/>
      <c r="U167" s="114"/>
      <c r="V167" s="114"/>
      <c r="W167" s="114"/>
      <c r="X167" s="114"/>
      <c r="Y167" s="114"/>
      <c r="Z167" s="114"/>
    </row>
    <row r="168">
      <c r="A168" s="1"/>
      <c r="C168" s="113"/>
      <c r="E168" s="113"/>
      <c r="F168" s="114"/>
      <c r="G168" s="114"/>
      <c r="H168" s="114"/>
      <c r="I168" s="114"/>
      <c r="J168" s="114"/>
      <c r="K168" s="114"/>
      <c r="L168" s="114"/>
      <c r="M168" s="114"/>
      <c r="N168" s="114"/>
      <c r="O168" s="114"/>
      <c r="P168" s="114"/>
      <c r="Q168" s="114"/>
      <c r="R168" s="114"/>
      <c r="S168" s="114"/>
      <c r="T168" s="114"/>
      <c r="U168" s="114"/>
      <c r="V168" s="114"/>
      <c r="W168" s="114"/>
      <c r="X168" s="114"/>
      <c r="Y168" s="114"/>
      <c r="Z168" s="114"/>
    </row>
    <row r="169">
      <c r="A169" s="1"/>
      <c r="C169" s="113"/>
      <c r="E169" s="113"/>
      <c r="F169" s="114"/>
      <c r="G169" s="114"/>
      <c r="H169" s="114"/>
      <c r="I169" s="114"/>
      <c r="J169" s="114"/>
      <c r="K169" s="114"/>
      <c r="L169" s="114"/>
      <c r="M169" s="114"/>
      <c r="N169" s="114"/>
      <c r="O169" s="114"/>
      <c r="P169" s="114"/>
      <c r="Q169" s="114"/>
      <c r="R169" s="114"/>
      <c r="S169" s="114"/>
      <c r="T169" s="114"/>
      <c r="U169" s="114"/>
      <c r="V169" s="114"/>
      <c r="W169" s="114"/>
      <c r="X169" s="114"/>
      <c r="Y169" s="114"/>
      <c r="Z169" s="114"/>
    </row>
    <row r="170">
      <c r="A170" s="1"/>
      <c r="C170" s="113"/>
      <c r="E170" s="113"/>
      <c r="F170" s="114"/>
      <c r="G170" s="114"/>
      <c r="H170" s="114"/>
      <c r="I170" s="114"/>
      <c r="J170" s="114"/>
      <c r="K170" s="114"/>
      <c r="L170" s="114"/>
      <c r="M170" s="114"/>
      <c r="N170" s="114"/>
      <c r="O170" s="114"/>
      <c r="P170" s="114"/>
      <c r="Q170" s="114"/>
      <c r="R170" s="114"/>
      <c r="S170" s="114"/>
      <c r="T170" s="114"/>
      <c r="U170" s="114"/>
      <c r="V170" s="114"/>
      <c r="W170" s="114"/>
      <c r="X170" s="114"/>
      <c r="Y170" s="114"/>
      <c r="Z170" s="114"/>
    </row>
    <row r="171">
      <c r="A171" s="1"/>
      <c r="C171" s="113"/>
      <c r="E171" s="113"/>
      <c r="F171" s="114"/>
      <c r="G171" s="114"/>
      <c r="H171" s="114"/>
      <c r="I171" s="114"/>
      <c r="J171" s="114"/>
      <c r="K171" s="114"/>
      <c r="L171" s="114"/>
      <c r="M171" s="114"/>
      <c r="N171" s="114"/>
      <c r="O171" s="114"/>
      <c r="P171" s="114"/>
      <c r="Q171" s="114"/>
      <c r="R171" s="114"/>
      <c r="S171" s="114"/>
      <c r="T171" s="114"/>
      <c r="U171" s="114"/>
      <c r="V171" s="114"/>
      <c r="W171" s="114"/>
      <c r="X171" s="114"/>
      <c r="Y171" s="114"/>
      <c r="Z171" s="114"/>
    </row>
    <row r="172">
      <c r="A172" s="1"/>
      <c r="C172" s="113"/>
      <c r="E172" s="113"/>
      <c r="F172" s="114"/>
      <c r="G172" s="114"/>
      <c r="H172" s="114"/>
      <c r="I172" s="114"/>
      <c r="J172" s="114"/>
      <c r="K172" s="114"/>
      <c r="L172" s="114"/>
      <c r="M172" s="114"/>
      <c r="N172" s="114"/>
      <c r="O172" s="114"/>
      <c r="P172" s="114"/>
      <c r="Q172" s="114"/>
      <c r="R172" s="114"/>
      <c r="S172" s="114"/>
      <c r="T172" s="114"/>
      <c r="U172" s="114"/>
      <c r="V172" s="114"/>
      <c r="W172" s="114"/>
      <c r="X172" s="114"/>
      <c r="Y172" s="114"/>
      <c r="Z172" s="114"/>
    </row>
    <row r="173">
      <c r="A173" s="1"/>
      <c r="C173" s="113"/>
      <c r="E173" s="113"/>
      <c r="F173" s="114"/>
      <c r="G173" s="114"/>
      <c r="H173" s="114"/>
      <c r="I173" s="114"/>
      <c r="J173" s="114"/>
      <c r="K173" s="114"/>
      <c r="L173" s="114"/>
      <c r="M173" s="114"/>
      <c r="N173" s="114"/>
      <c r="O173" s="114"/>
      <c r="P173" s="114"/>
      <c r="Q173" s="114"/>
      <c r="R173" s="114"/>
      <c r="S173" s="114"/>
      <c r="T173" s="114"/>
      <c r="U173" s="114"/>
      <c r="V173" s="114"/>
      <c r="W173" s="114"/>
      <c r="X173" s="114"/>
      <c r="Y173" s="114"/>
      <c r="Z173" s="114"/>
    </row>
    <row r="174">
      <c r="A174" s="1"/>
      <c r="C174" s="113"/>
      <c r="E174" s="113"/>
      <c r="F174" s="114"/>
      <c r="G174" s="114"/>
      <c r="H174" s="114"/>
      <c r="I174" s="114"/>
      <c r="J174" s="114"/>
      <c r="K174" s="114"/>
      <c r="L174" s="114"/>
      <c r="M174" s="114"/>
      <c r="N174" s="114"/>
      <c r="O174" s="114"/>
      <c r="P174" s="114"/>
      <c r="Q174" s="114"/>
      <c r="R174" s="114"/>
      <c r="S174" s="114"/>
      <c r="T174" s="114"/>
      <c r="U174" s="114"/>
      <c r="V174" s="114"/>
      <c r="W174" s="114"/>
      <c r="X174" s="114"/>
      <c r="Y174" s="114"/>
      <c r="Z174" s="114"/>
    </row>
    <row r="175">
      <c r="A175" s="1"/>
      <c r="C175" s="113"/>
      <c r="E175" s="113"/>
      <c r="F175" s="114"/>
      <c r="G175" s="114"/>
      <c r="H175" s="114"/>
      <c r="I175" s="114"/>
      <c r="J175" s="114"/>
      <c r="K175" s="114"/>
      <c r="L175" s="114"/>
      <c r="M175" s="114"/>
      <c r="N175" s="114"/>
      <c r="O175" s="114"/>
      <c r="P175" s="114"/>
      <c r="Q175" s="114"/>
      <c r="R175" s="114"/>
      <c r="S175" s="114"/>
      <c r="T175" s="114"/>
      <c r="U175" s="114"/>
      <c r="V175" s="114"/>
      <c r="W175" s="114"/>
      <c r="X175" s="114"/>
      <c r="Y175" s="114"/>
      <c r="Z175" s="114"/>
    </row>
    <row r="176">
      <c r="A176" s="1"/>
      <c r="C176" s="113"/>
      <c r="E176" s="113"/>
      <c r="F176" s="114"/>
      <c r="G176" s="114"/>
      <c r="H176" s="114"/>
      <c r="I176" s="114"/>
      <c r="J176" s="114"/>
      <c r="K176" s="114"/>
      <c r="L176" s="114"/>
      <c r="M176" s="114"/>
      <c r="N176" s="114"/>
      <c r="O176" s="114"/>
      <c r="P176" s="114"/>
      <c r="Q176" s="114"/>
      <c r="R176" s="114"/>
      <c r="S176" s="114"/>
      <c r="T176" s="114"/>
      <c r="U176" s="114"/>
      <c r="V176" s="114"/>
      <c r="W176" s="114"/>
      <c r="X176" s="114"/>
      <c r="Y176" s="114"/>
      <c r="Z176" s="114"/>
    </row>
    <row r="177">
      <c r="A177" s="1"/>
      <c r="C177" s="113"/>
      <c r="E177" s="113"/>
      <c r="F177" s="114"/>
      <c r="G177" s="114"/>
      <c r="H177" s="114"/>
      <c r="I177" s="114"/>
      <c r="J177" s="114"/>
      <c r="K177" s="114"/>
      <c r="L177" s="114"/>
      <c r="M177" s="114"/>
      <c r="N177" s="114"/>
      <c r="O177" s="114"/>
      <c r="P177" s="114"/>
      <c r="Q177" s="114"/>
      <c r="R177" s="114"/>
      <c r="S177" s="114"/>
      <c r="T177" s="114"/>
      <c r="U177" s="114"/>
      <c r="V177" s="114"/>
      <c r="W177" s="114"/>
      <c r="X177" s="114"/>
      <c r="Y177" s="114"/>
      <c r="Z177" s="114"/>
    </row>
    <row r="178">
      <c r="A178" s="1"/>
      <c r="C178" s="113"/>
      <c r="E178" s="113"/>
      <c r="F178" s="114"/>
      <c r="G178" s="114"/>
      <c r="H178" s="114"/>
      <c r="I178" s="114"/>
      <c r="J178" s="114"/>
      <c r="K178" s="114"/>
      <c r="L178" s="114"/>
      <c r="M178" s="114"/>
      <c r="N178" s="114"/>
      <c r="O178" s="114"/>
      <c r="P178" s="114"/>
      <c r="Q178" s="114"/>
      <c r="R178" s="114"/>
      <c r="S178" s="114"/>
      <c r="T178" s="114"/>
      <c r="U178" s="114"/>
      <c r="V178" s="114"/>
      <c r="W178" s="114"/>
      <c r="X178" s="114"/>
      <c r="Y178" s="114"/>
      <c r="Z178" s="114"/>
    </row>
    <row r="179">
      <c r="A179" s="1"/>
      <c r="C179" s="113"/>
      <c r="E179" s="113"/>
      <c r="F179" s="114"/>
      <c r="G179" s="114"/>
      <c r="H179" s="114"/>
      <c r="I179" s="114"/>
      <c r="J179" s="114"/>
      <c r="K179" s="114"/>
      <c r="L179" s="114"/>
      <c r="M179" s="114"/>
      <c r="N179" s="114"/>
      <c r="O179" s="114"/>
      <c r="P179" s="114"/>
      <c r="Q179" s="114"/>
      <c r="R179" s="114"/>
      <c r="S179" s="114"/>
      <c r="T179" s="114"/>
      <c r="U179" s="114"/>
      <c r="V179" s="114"/>
      <c r="W179" s="114"/>
      <c r="X179" s="114"/>
      <c r="Y179" s="114"/>
      <c r="Z179" s="114"/>
    </row>
    <row r="180">
      <c r="A180" s="1"/>
      <c r="C180" s="113"/>
      <c r="E180" s="113"/>
      <c r="F180" s="114"/>
      <c r="G180" s="114"/>
      <c r="H180" s="114"/>
      <c r="I180" s="114"/>
      <c r="J180" s="114"/>
      <c r="K180" s="114"/>
      <c r="L180" s="114"/>
      <c r="M180" s="114"/>
      <c r="N180" s="114"/>
      <c r="O180" s="114"/>
      <c r="P180" s="114"/>
      <c r="Q180" s="114"/>
      <c r="R180" s="114"/>
      <c r="S180" s="114"/>
      <c r="T180" s="114"/>
      <c r="U180" s="114"/>
      <c r="V180" s="114"/>
      <c r="W180" s="114"/>
      <c r="X180" s="114"/>
      <c r="Y180" s="114"/>
      <c r="Z180" s="114"/>
    </row>
    <row r="181">
      <c r="A181" s="1"/>
      <c r="C181" s="113"/>
      <c r="E181" s="113"/>
      <c r="F181" s="114"/>
      <c r="G181" s="114"/>
      <c r="H181" s="114"/>
      <c r="I181" s="114"/>
      <c r="J181" s="114"/>
      <c r="K181" s="114"/>
      <c r="L181" s="114"/>
      <c r="M181" s="114"/>
      <c r="N181" s="114"/>
      <c r="O181" s="114"/>
      <c r="P181" s="114"/>
      <c r="Q181" s="114"/>
      <c r="R181" s="114"/>
      <c r="S181" s="114"/>
      <c r="T181" s="114"/>
      <c r="U181" s="114"/>
      <c r="V181" s="114"/>
      <c r="W181" s="114"/>
      <c r="X181" s="114"/>
      <c r="Y181" s="114"/>
      <c r="Z181" s="114"/>
    </row>
    <row r="182">
      <c r="A182" s="1"/>
      <c r="C182" s="113"/>
      <c r="E182" s="113"/>
      <c r="F182" s="114"/>
      <c r="G182" s="114"/>
      <c r="H182" s="114"/>
      <c r="I182" s="114"/>
      <c r="J182" s="114"/>
      <c r="K182" s="114"/>
      <c r="L182" s="114"/>
      <c r="M182" s="114"/>
      <c r="N182" s="114"/>
      <c r="O182" s="114"/>
      <c r="P182" s="114"/>
      <c r="Q182" s="114"/>
      <c r="R182" s="114"/>
      <c r="S182" s="114"/>
      <c r="T182" s="114"/>
      <c r="U182" s="114"/>
      <c r="V182" s="114"/>
      <c r="W182" s="114"/>
      <c r="X182" s="114"/>
      <c r="Y182" s="114"/>
      <c r="Z182" s="114"/>
    </row>
    <row r="183">
      <c r="A183" s="1"/>
      <c r="C183" s="113"/>
      <c r="E183" s="113"/>
      <c r="F183" s="114"/>
      <c r="G183" s="114"/>
      <c r="H183" s="114"/>
      <c r="I183" s="114"/>
      <c r="J183" s="114"/>
      <c r="K183" s="114"/>
      <c r="L183" s="114"/>
      <c r="M183" s="114"/>
      <c r="N183" s="114"/>
      <c r="O183" s="114"/>
      <c r="P183" s="114"/>
      <c r="Q183" s="114"/>
      <c r="R183" s="114"/>
      <c r="S183" s="114"/>
      <c r="T183" s="114"/>
      <c r="U183" s="114"/>
      <c r="V183" s="114"/>
      <c r="W183" s="114"/>
      <c r="X183" s="114"/>
      <c r="Y183" s="114"/>
      <c r="Z183" s="114"/>
    </row>
    <row r="184">
      <c r="A184" s="1"/>
      <c r="C184" s="113"/>
      <c r="E184" s="113"/>
      <c r="F184" s="114"/>
      <c r="G184" s="114"/>
      <c r="H184" s="114"/>
      <c r="I184" s="114"/>
      <c r="J184" s="114"/>
      <c r="K184" s="114"/>
      <c r="L184" s="114"/>
      <c r="M184" s="114"/>
      <c r="N184" s="114"/>
      <c r="O184" s="114"/>
      <c r="P184" s="114"/>
      <c r="Q184" s="114"/>
      <c r="R184" s="114"/>
      <c r="S184" s="114"/>
      <c r="T184" s="114"/>
      <c r="U184" s="114"/>
      <c r="V184" s="114"/>
      <c r="W184" s="114"/>
      <c r="X184" s="114"/>
      <c r="Y184" s="114"/>
      <c r="Z184" s="114"/>
    </row>
    <row r="185">
      <c r="A185" s="1"/>
      <c r="C185" s="113"/>
      <c r="E185" s="113"/>
      <c r="F185" s="114"/>
      <c r="G185" s="114"/>
      <c r="H185" s="114"/>
      <c r="I185" s="114"/>
      <c r="J185" s="114"/>
      <c r="K185" s="114"/>
      <c r="L185" s="114"/>
      <c r="M185" s="114"/>
      <c r="N185" s="114"/>
      <c r="O185" s="114"/>
      <c r="P185" s="114"/>
      <c r="Q185" s="114"/>
      <c r="R185" s="114"/>
      <c r="S185" s="114"/>
      <c r="T185" s="114"/>
      <c r="U185" s="114"/>
      <c r="V185" s="114"/>
      <c r="W185" s="114"/>
      <c r="X185" s="114"/>
      <c r="Y185" s="114"/>
      <c r="Z185" s="114"/>
    </row>
    <row r="186">
      <c r="A186" s="1"/>
      <c r="C186" s="113"/>
      <c r="E186" s="113"/>
      <c r="F186" s="114"/>
      <c r="G186" s="114"/>
      <c r="H186" s="114"/>
      <c r="I186" s="114"/>
      <c r="J186" s="114"/>
      <c r="K186" s="114"/>
      <c r="L186" s="114"/>
      <c r="M186" s="114"/>
      <c r="N186" s="114"/>
      <c r="O186" s="114"/>
      <c r="P186" s="114"/>
      <c r="Q186" s="114"/>
      <c r="R186" s="114"/>
      <c r="S186" s="114"/>
      <c r="T186" s="114"/>
      <c r="U186" s="114"/>
      <c r="V186" s="114"/>
      <c r="W186" s="114"/>
      <c r="X186" s="114"/>
      <c r="Y186" s="114"/>
      <c r="Z186" s="114"/>
    </row>
    <row r="187">
      <c r="A187" s="1"/>
      <c r="C187" s="113"/>
      <c r="E187" s="113"/>
      <c r="F187" s="114"/>
      <c r="G187" s="114"/>
      <c r="H187" s="114"/>
      <c r="I187" s="114"/>
      <c r="J187" s="114"/>
      <c r="K187" s="114"/>
      <c r="L187" s="114"/>
      <c r="M187" s="114"/>
      <c r="N187" s="114"/>
      <c r="O187" s="114"/>
      <c r="P187" s="114"/>
      <c r="Q187" s="114"/>
      <c r="R187" s="114"/>
      <c r="S187" s="114"/>
      <c r="T187" s="114"/>
      <c r="U187" s="114"/>
      <c r="V187" s="114"/>
      <c r="W187" s="114"/>
      <c r="X187" s="114"/>
      <c r="Y187" s="114"/>
      <c r="Z187" s="114"/>
    </row>
    <row r="188">
      <c r="A188" s="1"/>
      <c r="C188" s="113"/>
      <c r="E188" s="113"/>
      <c r="F188" s="114"/>
      <c r="G188" s="114"/>
      <c r="H188" s="114"/>
      <c r="I188" s="114"/>
      <c r="J188" s="114"/>
      <c r="K188" s="114"/>
      <c r="L188" s="114"/>
      <c r="M188" s="114"/>
      <c r="N188" s="114"/>
      <c r="O188" s="114"/>
      <c r="P188" s="114"/>
      <c r="Q188" s="114"/>
      <c r="R188" s="114"/>
      <c r="S188" s="114"/>
      <c r="T188" s="114"/>
      <c r="U188" s="114"/>
      <c r="V188" s="114"/>
      <c r="W188" s="114"/>
      <c r="X188" s="114"/>
      <c r="Y188" s="114"/>
      <c r="Z188" s="114"/>
    </row>
    <row r="189">
      <c r="A189" s="1"/>
      <c r="C189" s="113"/>
      <c r="E189" s="113"/>
      <c r="F189" s="114"/>
      <c r="G189" s="114"/>
      <c r="H189" s="114"/>
      <c r="I189" s="114"/>
      <c r="J189" s="114"/>
      <c r="K189" s="114"/>
      <c r="L189" s="114"/>
      <c r="M189" s="114"/>
      <c r="N189" s="114"/>
      <c r="O189" s="114"/>
      <c r="P189" s="114"/>
      <c r="Q189" s="114"/>
      <c r="R189" s="114"/>
      <c r="S189" s="114"/>
      <c r="T189" s="114"/>
      <c r="U189" s="114"/>
      <c r="V189" s="114"/>
      <c r="W189" s="114"/>
      <c r="X189" s="114"/>
      <c r="Y189" s="114"/>
      <c r="Z189" s="114"/>
    </row>
    <row r="190">
      <c r="A190" s="1"/>
      <c r="C190" s="113"/>
      <c r="E190" s="113"/>
      <c r="F190" s="114"/>
      <c r="G190" s="114"/>
      <c r="H190" s="114"/>
      <c r="I190" s="114"/>
      <c r="J190" s="114"/>
      <c r="K190" s="114"/>
      <c r="L190" s="114"/>
      <c r="M190" s="114"/>
      <c r="N190" s="114"/>
      <c r="O190" s="114"/>
      <c r="P190" s="114"/>
      <c r="Q190" s="114"/>
      <c r="R190" s="114"/>
      <c r="S190" s="114"/>
      <c r="T190" s="114"/>
      <c r="U190" s="114"/>
      <c r="V190" s="114"/>
      <c r="W190" s="114"/>
      <c r="X190" s="114"/>
      <c r="Y190" s="114"/>
      <c r="Z190" s="114"/>
    </row>
    <row r="191">
      <c r="A191" s="1"/>
      <c r="C191" s="113"/>
      <c r="E191" s="113"/>
      <c r="F191" s="114"/>
      <c r="G191" s="114"/>
      <c r="H191" s="114"/>
      <c r="I191" s="114"/>
      <c r="J191" s="114"/>
      <c r="K191" s="114"/>
      <c r="L191" s="114"/>
      <c r="M191" s="114"/>
      <c r="N191" s="114"/>
      <c r="O191" s="114"/>
      <c r="P191" s="114"/>
      <c r="Q191" s="114"/>
      <c r="R191" s="114"/>
      <c r="S191" s="114"/>
      <c r="T191" s="114"/>
      <c r="U191" s="114"/>
      <c r="V191" s="114"/>
      <c r="W191" s="114"/>
      <c r="X191" s="114"/>
      <c r="Y191" s="114"/>
      <c r="Z191" s="114"/>
    </row>
    <row r="192">
      <c r="A192" s="1"/>
      <c r="C192" s="113"/>
      <c r="E192" s="113"/>
      <c r="F192" s="114"/>
      <c r="G192" s="114"/>
      <c r="H192" s="114"/>
      <c r="I192" s="114"/>
      <c r="J192" s="114"/>
      <c r="K192" s="114"/>
      <c r="L192" s="114"/>
      <c r="M192" s="114"/>
      <c r="N192" s="114"/>
      <c r="O192" s="114"/>
      <c r="P192" s="114"/>
      <c r="Q192" s="114"/>
      <c r="R192" s="114"/>
      <c r="S192" s="114"/>
      <c r="T192" s="114"/>
      <c r="U192" s="114"/>
      <c r="V192" s="114"/>
      <c r="W192" s="114"/>
      <c r="X192" s="114"/>
      <c r="Y192" s="114"/>
      <c r="Z192" s="114"/>
    </row>
    <row r="193">
      <c r="A193" s="1"/>
      <c r="C193" s="113"/>
      <c r="E193" s="113"/>
      <c r="F193" s="114"/>
      <c r="G193" s="114"/>
      <c r="H193" s="114"/>
      <c r="I193" s="114"/>
      <c r="J193" s="114"/>
      <c r="K193" s="114"/>
      <c r="L193" s="114"/>
      <c r="M193" s="114"/>
      <c r="N193" s="114"/>
      <c r="O193" s="114"/>
      <c r="P193" s="114"/>
      <c r="Q193" s="114"/>
      <c r="R193" s="114"/>
      <c r="S193" s="114"/>
      <c r="T193" s="114"/>
      <c r="U193" s="114"/>
      <c r="V193" s="114"/>
      <c r="W193" s="114"/>
      <c r="X193" s="114"/>
      <c r="Y193" s="114"/>
      <c r="Z193" s="114"/>
    </row>
    <row r="194">
      <c r="A194" s="1"/>
      <c r="C194" s="113"/>
      <c r="E194" s="113"/>
      <c r="F194" s="114"/>
      <c r="G194" s="114"/>
      <c r="H194" s="114"/>
      <c r="I194" s="114"/>
      <c r="J194" s="114"/>
      <c r="K194" s="114"/>
      <c r="L194" s="114"/>
      <c r="M194" s="114"/>
      <c r="N194" s="114"/>
      <c r="O194" s="114"/>
      <c r="P194" s="114"/>
      <c r="Q194" s="114"/>
      <c r="R194" s="114"/>
      <c r="S194" s="114"/>
      <c r="T194" s="114"/>
      <c r="U194" s="114"/>
      <c r="V194" s="114"/>
      <c r="W194" s="114"/>
      <c r="X194" s="114"/>
      <c r="Y194" s="114"/>
      <c r="Z194" s="114"/>
    </row>
    <row r="195">
      <c r="A195" s="1"/>
      <c r="C195" s="113"/>
      <c r="E195" s="113"/>
      <c r="F195" s="114"/>
      <c r="G195" s="114"/>
      <c r="H195" s="114"/>
      <c r="I195" s="114"/>
      <c r="J195" s="114"/>
      <c r="K195" s="114"/>
      <c r="L195" s="114"/>
      <c r="M195" s="114"/>
      <c r="N195" s="114"/>
      <c r="O195" s="114"/>
      <c r="P195" s="114"/>
      <c r="Q195" s="114"/>
      <c r="R195" s="114"/>
      <c r="S195" s="114"/>
      <c r="T195" s="114"/>
      <c r="U195" s="114"/>
      <c r="V195" s="114"/>
      <c r="W195" s="114"/>
      <c r="X195" s="114"/>
      <c r="Y195" s="114"/>
      <c r="Z195" s="114"/>
    </row>
    <row r="196">
      <c r="A196" s="1"/>
      <c r="C196" s="113"/>
      <c r="E196" s="113"/>
      <c r="F196" s="114"/>
      <c r="G196" s="114"/>
      <c r="H196" s="114"/>
      <c r="I196" s="114"/>
      <c r="J196" s="114"/>
      <c r="K196" s="114"/>
      <c r="L196" s="114"/>
      <c r="M196" s="114"/>
      <c r="N196" s="114"/>
      <c r="O196" s="114"/>
      <c r="P196" s="114"/>
      <c r="Q196" s="114"/>
      <c r="R196" s="114"/>
      <c r="S196" s="114"/>
      <c r="T196" s="114"/>
      <c r="U196" s="114"/>
      <c r="V196" s="114"/>
      <c r="W196" s="114"/>
      <c r="X196" s="114"/>
      <c r="Y196" s="114"/>
      <c r="Z196" s="114"/>
    </row>
    <row r="197">
      <c r="A197" s="1"/>
      <c r="C197" s="113"/>
      <c r="E197" s="113"/>
      <c r="F197" s="114"/>
      <c r="G197" s="114"/>
      <c r="H197" s="114"/>
      <c r="I197" s="114"/>
      <c r="J197" s="114"/>
      <c r="K197" s="114"/>
      <c r="L197" s="114"/>
      <c r="M197" s="114"/>
      <c r="N197" s="114"/>
      <c r="O197" s="114"/>
      <c r="P197" s="114"/>
      <c r="Q197" s="114"/>
      <c r="R197" s="114"/>
      <c r="S197" s="114"/>
      <c r="T197" s="114"/>
      <c r="U197" s="114"/>
      <c r="V197" s="114"/>
      <c r="W197" s="114"/>
      <c r="X197" s="114"/>
      <c r="Y197" s="114"/>
      <c r="Z197" s="114"/>
    </row>
    <row r="198">
      <c r="A198" s="1"/>
      <c r="C198" s="113"/>
      <c r="E198" s="113"/>
      <c r="F198" s="114"/>
      <c r="G198" s="114"/>
      <c r="H198" s="114"/>
      <c r="I198" s="114"/>
      <c r="J198" s="114"/>
      <c r="K198" s="114"/>
      <c r="L198" s="114"/>
      <c r="M198" s="114"/>
      <c r="N198" s="114"/>
      <c r="O198" s="114"/>
      <c r="P198" s="114"/>
      <c r="Q198" s="114"/>
      <c r="R198" s="114"/>
      <c r="S198" s="114"/>
      <c r="T198" s="114"/>
      <c r="U198" s="114"/>
      <c r="V198" s="114"/>
      <c r="W198" s="114"/>
      <c r="X198" s="114"/>
      <c r="Y198" s="114"/>
      <c r="Z198" s="114"/>
    </row>
    <row r="199">
      <c r="A199" s="1"/>
      <c r="C199" s="113"/>
      <c r="E199" s="113"/>
      <c r="F199" s="114"/>
      <c r="G199" s="114"/>
      <c r="H199" s="114"/>
      <c r="I199" s="114"/>
      <c r="J199" s="114"/>
      <c r="K199" s="114"/>
      <c r="L199" s="114"/>
      <c r="M199" s="114"/>
      <c r="N199" s="114"/>
      <c r="O199" s="114"/>
      <c r="P199" s="114"/>
      <c r="Q199" s="114"/>
      <c r="R199" s="114"/>
      <c r="S199" s="114"/>
      <c r="T199" s="114"/>
      <c r="U199" s="114"/>
      <c r="V199" s="114"/>
      <c r="W199" s="114"/>
      <c r="X199" s="114"/>
      <c r="Y199" s="114"/>
      <c r="Z199" s="114"/>
    </row>
    <row r="200">
      <c r="A200" s="1"/>
      <c r="C200" s="113"/>
      <c r="E200" s="113"/>
      <c r="F200" s="114"/>
      <c r="G200" s="114"/>
      <c r="H200" s="114"/>
      <c r="I200" s="114"/>
      <c r="J200" s="114"/>
      <c r="K200" s="114"/>
      <c r="L200" s="114"/>
      <c r="M200" s="114"/>
      <c r="N200" s="114"/>
      <c r="O200" s="114"/>
      <c r="P200" s="114"/>
      <c r="Q200" s="114"/>
      <c r="R200" s="114"/>
      <c r="S200" s="114"/>
      <c r="T200" s="114"/>
      <c r="U200" s="114"/>
      <c r="V200" s="114"/>
      <c r="W200" s="114"/>
      <c r="X200" s="114"/>
      <c r="Y200" s="114"/>
      <c r="Z200" s="114"/>
    </row>
    <row r="201">
      <c r="A201" s="1"/>
      <c r="C201" s="113"/>
      <c r="E201" s="113"/>
      <c r="F201" s="114"/>
      <c r="G201" s="114"/>
      <c r="H201" s="114"/>
      <c r="I201" s="114"/>
      <c r="J201" s="114"/>
      <c r="K201" s="114"/>
      <c r="L201" s="114"/>
      <c r="M201" s="114"/>
      <c r="N201" s="114"/>
      <c r="O201" s="114"/>
      <c r="P201" s="114"/>
      <c r="Q201" s="114"/>
      <c r="R201" s="114"/>
      <c r="S201" s="114"/>
      <c r="T201" s="114"/>
      <c r="U201" s="114"/>
      <c r="V201" s="114"/>
      <c r="W201" s="114"/>
      <c r="X201" s="114"/>
      <c r="Y201" s="114"/>
      <c r="Z201" s="114"/>
    </row>
    <row r="202">
      <c r="A202" s="1"/>
      <c r="C202" s="113"/>
      <c r="E202" s="113"/>
      <c r="F202" s="114"/>
      <c r="G202" s="114"/>
      <c r="H202" s="114"/>
      <c r="I202" s="114"/>
      <c r="J202" s="114"/>
      <c r="K202" s="114"/>
      <c r="L202" s="114"/>
      <c r="M202" s="114"/>
      <c r="N202" s="114"/>
      <c r="O202" s="114"/>
      <c r="P202" s="114"/>
      <c r="Q202" s="114"/>
      <c r="R202" s="114"/>
      <c r="S202" s="114"/>
      <c r="T202" s="114"/>
      <c r="U202" s="114"/>
      <c r="V202" s="114"/>
      <c r="W202" s="114"/>
      <c r="X202" s="114"/>
      <c r="Y202" s="114"/>
      <c r="Z202" s="114"/>
    </row>
    <row r="203">
      <c r="A203" s="1"/>
      <c r="C203" s="113"/>
      <c r="E203" s="113"/>
      <c r="F203" s="114"/>
      <c r="G203" s="114"/>
      <c r="H203" s="114"/>
      <c r="I203" s="114"/>
      <c r="J203" s="114"/>
      <c r="K203" s="114"/>
      <c r="L203" s="114"/>
      <c r="M203" s="114"/>
      <c r="N203" s="114"/>
      <c r="O203" s="114"/>
      <c r="P203" s="114"/>
      <c r="Q203" s="114"/>
      <c r="R203" s="114"/>
      <c r="S203" s="114"/>
      <c r="T203" s="114"/>
      <c r="U203" s="114"/>
      <c r="V203" s="114"/>
      <c r="W203" s="114"/>
      <c r="X203" s="114"/>
      <c r="Y203" s="114"/>
      <c r="Z203" s="114"/>
    </row>
    <row r="204">
      <c r="A204" s="1"/>
      <c r="C204" s="113"/>
      <c r="E204" s="113"/>
      <c r="F204" s="114"/>
      <c r="G204" s="114"/>
      <c r="H204" s="114"/>
      <c r="I204" s="114"/>
      <c r="J204" s="114"/>
      <c r="K204" s="114"/>
      <c r="L204" s="114"/>
      <c r="M204" s="114"/>
      <c r="N204" s="114"/>
      <c r="O204" s="114"/>
      <c r="P204" s="114"/>
      <c r="Q204" s="114"/>
      <c r="R204" s="114"/>
      <c r="S204" s="114"/>
      <c r="T204" s="114"/>
      <c r="U204" s="114"/>
      <c r="V204" s="114"/>
      <c r="W204" s="114"/>
      <c r="X204" s="114"/>
      <c r="Y204" s="114"/>
      <c r="Z204" s="114"/>
    </row>
    <row r="205">
      <c r="A205" s="1"/>
      <c r="C205" s="113"/>
      <c r="E205" s="113"/>
      <c r="F205" s="114"/>
      <c r="G205" s="114"/>
      <c r="H205" s="114"/>
      <c r="I205" s="114"/>
      <c r="J205" s="114"/>
      <c r="K205" s="114"/>
      <c r="L205" s="114"/>
      <c r="M205" s="114"/>
      <c r="N205" s="114"/>
      <c r="O205" s="114"/>
      <c r="P205" s="114"/>
      <c r="Q205" s="114"/>
      <c r="R205" s="114"/>
      <c r="S205" s="114"/>
      <c r="T205" s="114"/>
      <c r="U205" s="114"/>
      <c r="V205" s="114"/>
      <c r="W205" s="114"/>
      <c r="X205" s="114"/>
      <c r="Y205" s="114"/>
      <c r="Z205" s="114"/>
    </row>
    <row r="206">
      <c r="A206" s="1"/>
      <c r="C206" s="113"/>
      <c r="E206" s="113"/>
      <c r="F206" s="114"/>
      <c r="G206" s="114"/>
      <c r="H206" s="114"/>
      <c r="I206" s="114"/>
      <c r="J206" s="114"/>
      <c r="K206" s="114"/>
      <c r="L206" s="114"/>
      <c r="M206" s="114"/>
      <c r="N206" s="114"/>
      <c r="O206" s="114"/>
      <c r="P206" s="114"/>
      <c r="Q206" s="114"/>
      <c r="R206" s="114"/>
      <c r="S206" s="114"/>
      <c r="T206" s="114"/>
      <c r="U206" s="114"/>
      <c r="V206" s="114"/>
      <c r="W206" s="114"/>
      <c r="X206" s="114"/>
      <c r="Y206" s="114"/>
      <c r="Z206" s="114"/>
    </row>
    <row r="207">
      <c r="A207" s="1"/>
      <c r="C207" s="113"/>
      <c r="E207" s="113"/>
      <c r="F207" s="114"/>
      <c r="G207" s="114"/>
      <c r="H207" s="114"/>
      <c r="I207" s="114"/>
      <c r="J207" s="114"/>
      <c r="K207" s="114"/>
      <c r="L207" s="114"/>
      <c r="M207" s="114"/>
      <c r="N207" s="114"/>
      <c r="O207" s="114"/>
      <c r="P207" s="114"/>
      <c r="Q207" s="114"/>
      <c r="R207" s="114"/>
      <c r="S207" s="114"/>
      <c r="T207" s="114"/>
      <c r="U207" s="114"/>
      <c r="V207" s="114"/>
      <c r="W207" s="114"/>
      <c r="X207" s="114"/>
      <c r="Y207" s="114"/>
      <c r="Z207" s="114"/>
    </row>
    <row r="208">
      <c r="A208" s="1"/>
      <c r="C208" s="113"/>
      <c r="E208" s="113"/>
      <c r="F208" s="114"/>
      <c r="G208" s="114"/>
      <c r="H208" s="114"/>
      <c r="I208" s="114"/>
      <c r="J208" s="114"/>
      <c r="K208" s="114"/>
      <c r="L208" s="114"/>
      <c r="M208" s="114"/>
      <c r="N208" s="114"/>
      <c r="O208" s="114"/>
      <c r="P208" s="114"/>
      <c r="Q208" s="114"/>
      <c r="R208" s="114"/>
      <c r="S208" s="114"/>
      <c r="T208" s="114"/>
      <c r="U208" s="114"/>
      <c r="V208" s="114"/>
      <c r="W208" s="114"/>
      <c r="X208" s="114"/>
      <c r="Y208" s="114"/>
      <c r="Z208" s="114"/>
    </row>
    <row r="209">
      <c r="A209" s="1"/>
      <c r="C209" s="113"/>
      <c r="E209" s="113"/>
      <c r="F209" s="114"/>
      <c r="G209" s="114"/>
      <c r="H209" s="114"/>
      <c r="I209" s="114"/>
      <c r="J209" s="114"/>
      <c r="K209" s="114"/>
      <c r="L209" s="114"/>
      <c r="M209" s="114"/>
      <c r="N209" s="114"/>
      <c r="O209" s="114"/>
      <c r="P209" s="114"/>
      <c r="Q209" s="114"/>
      <c r="R209" s="114"/>
      <c r="S209" s="114"/>
      <c r="T209" s="114"/>
      <c r="U209" s="114"/>
      <c r="V209" s="114"/>
      <c r="W209" s="114"/>
      <c r="X209" s="114"/>
      <c r="Y209" s="114"/>
      <c r="Z209" s="114"/>
    </row>
    <row r="210">
      <c r="A210" s="1"/>
      <c r="C210" s="113"/>
      <c r="E210" s="113"/>
      <c r="F210" s="114"/>
      <c r="G210" s="114"/>
      <c r="H210" s="114"/>
      <c r="I210" s="114"/>
      <c r="J210" s="114"/>
      <c r="K210" s="114"/>
      <c r="L210" s="114"/>
      <c r="M210" s="114"/>
      <c r="N210" s="114"/>
      <c r="O210" s="114"/>
      <c r="P210" s="114"/>
      <c r="Q210" s="114"/>
      <c r="R210" s="114"/>
      <c r="S210" s="114"/>
      <c r="T210" s="114"/>
      <c r="U210" s="114"/>
      <c r="V210" s="114"/>
      <c r="W210" s="114"/>
      <c r="X210" s="114"/>
      <c r="Y210" s="114"/>
      <c r="Z210" s="114"/>
    </row>
    <row r="211">
      <c r="A211" s="1"/>
      <c r="C211" s="113"/>
      <c r="E211" s="113"/>
      <c r="F211" s="114"/>
      <c r="G211" s="114"/>
      <c r="H211" s="114"/>
      <c r="I211" s="114"/>
      <c r="J211" s="114"/>
      <c r="K211" s="114"/>
      <c r="L211" s="114"/>
      <c r="M211" s="114"/>
      <c r="N211" s="114"/>
      <c r="O211" s="114"/>
      <c r="P211" s="114"/>
      <c r="Q211" s="114"/>
      <c r="R211" s="114"/>
      <c r="S211" s="114"/>
      <c r="T211" s="114"/>
      <c r="U211" s="114"/>
      <c r="V211" s="114"/>
      <c r="W211" s="114"/>
      <c r="X211" s="114"/>
      <c r="Y211" s="114"/>
      <c r="Z211" s="114"/>
    </row>
    <row r="212">
      <c r="A212" s="1"/>
      <c r="C212" s="113"/>
      <c r="E212" s="113"/>
      <c r="F212" s="114"/>
      <c r="G212" s="114"/>
      <c r="H212" s="114"/>
      <c r="I212" s="114"/>
      <c r="J212" s="114"/>
      <c r="K212" s="114"/>
      <c r="L212" s="114"/>
      <c r="M212" s="114"/>
      <c r="N212" s="114"/>
      <c r="O212" s="114"/>
      <c r="P212" s="114"/>
      <c r="Q212" s="114"/>
      <c r="R212" s="114"/>
      <c r="S212" s="114"/>
      <c r="T212" s="114"/>
      <c r="U212" s="114"/>
      <c r="V212" s="114"/>
      <c r="W212" s="114"/>
      <c r="X212" s="114"/>
      <c r="Y212" s="114"/>
      <c r="Z212" s="114"/>
    </row>
    <row r="213">
      <c r="A213" s="1"/>
      <c r="C213" s="113"/>
      <c r="E213" s="113"/>
      <c r="F213" s="114"/>
      <c r="G213" s="114"/>
      <c r="H213" s="114"/>
      <c r="I213" s="114"/>
      <c r="J213" s="114"/>
      <c r="K213" s="114"/>
      <c r="L213" s="114"/>
      <c r="M213" s="114"/>
      <c r="N213" s="114"/>
      <c r="O213" s="114"/>
      <c r="P213" s="114"/>
      <c r="Q213" s="114"/>
      <c r="R213" s="114"/>
      <c r="S213" s="114"/>
      <c r="T213" s="114"/>
      <c r="U213" s="114"/>
      <c r="V213" s="114"/>
      <c r="W213" s="114"/>
      <c r="X213" s="114"/>
      <c r="Y213" s="114"/>
      <c r="Z213" s="114"/>
    </row>
    <row r="214">
      <c r="A214" s="1"/>
      <c r="C214" s="113"/>
      <c r="E214" s="113"/>
      <c r="F214" s="114"/>
      <c r="G214" s="114"/>
      <c r="H214" s="114"/>
      <c r="I214" s="114"/>
      <c r="J214" s="114"/>
      <c r="K214" s="114"/>
      <c r="L214" s="114"/>
      <c r="M214" s="114"/>
      <c r="N214" s="114"/>
      <c r="O214" s="114"/>
      <c r="P214" s="114"/>
      <c r="Q214" s="114"/>
      <c r="R214" s="114"/>
      <c r="S214" s="114"/>
      <c r="T214" s="114"/>
      <c r="U214" s="114"/>
      <c r="V214" s="114"/>
      <c r="W214" s="114"/>
      <c r="X214" s="114"/>
      <c r="Y214" s="114"/>
      <c r="Z214" s="114"/>
    </row>
    <row r="215">
      <c r="A215" s="1"/>
      <c r="C215" s="113"/>
      <c r="E215" s="113"/>
      <c r="F215" s="114"/>
      <c r="G215" s="114"/>
      <c r="H215" s="114"/>
      <c r="I215" s="114"/>
      <c r="J215" s="114"/>
      <c r="K215" s="114"/>
      <c r="L215" s="114"/>
      <c r="M215" s="114"/>
      <c r="N215" s="114"/>
      <c r="O215" s="114"/>
      <c r="P215" s="114"/>
      <c r="Q215" s="114"/>
      <c r="R215" s="114"/>
      <c r="S215" s="114"/>
      <c r="T215" s="114"/>
      <c r="U215" s="114"/>
      <c r="V215" s="114"/>
      <c r="W215" s="114"/>
      <c r="X215" s="114"/>
      <c r="Y215" s="114"/>
      <c r="Z215" s="114"/>
    </row>
    <row r="216">
      <c r="A216" s="1"/>
      <c r="C216" s="113"/>
      <c r="E216" s="113"/>
      <c r="F216" s="114"/>
      <c r="G216" s="114"/>
      <c r="H216" s="114"/>
      <c r="I216" s="114"/>
      <c r="J216" s="114"/>
      <c r="K216" s="114"/>
      <c r="L216" s="114"/>
      <c r="M216" s="114"/>
      <c r="N216" s="114"/>
      <c r="O216" s="114"/>
      <c r="P216" s="114"/>
      <c r="Q216" s="114"/>
      <c r="R216" s="114"/>
      <c r="S216" s="114"/>
      <c r="T216" s="114"/>
      <c r="U216" s="114"/>
      <c r="V216" s="114"/>
      <c r="W216" s="114"/>
      <c r="X216" s="114"/>
      <c r="Y216" s="114"/>
      <c r="Z216" s="114"/>
    </row>
    <row r="217">
      <c r="A217" s="1"/>
      <c r="C217" s="113"/>
      <c r="E217" s="113"/>
      <c r="F217" s="114"/>
      <c r="G217" s="114"/>
      <c r="H217" s="114"/>
      <c r="I217" s="114"/>
      <c r="J217" s="114"/>
      <c r="K217" s="114"/>
      <c r="L217" s="114"/>
      <c r="M217" s="114"/>
      <c r="N217" s="114"/>
      <c r="O217" s="114"/>
      <c r="P217" s="114"/>
      <c r="Q217" s="114"/>
      <c r="R217" s="114"/>
      <c r="S217" s="114"/>
      <c r="T217" s="114"/>
      <c r="U217" s="114"/>
      <c r="V217" s="114"/>
      <c r="W217" s="114"/>
      <c r="X217" s="114"/>
      <c r="Y217" s="114"/>
      <c r="Z217" s="114"/>
    </row>
    <row r="218">
      <c r="A218" s="1"/>
      <c r="C218" s="113"/>
      <c r="E218" s="113"/>
      <c r="F218" s="114"/>
      <c r="G218" s="114"/>
      <c r="H218" s="114"/>
      <c r="I218" s="114"/>
      <c r="J218" s="114"/>
      <c r="K218" s="114"/>
      <c r="L218" s="114"/>
      <c r="M218" s="114"/>
      <c r="N218" s="114"/>
      <c r="O218" s="114"/>
      <c r="P218" s="114"/>
      <c r="Q218" s="114"/>
      <c r="R218" s="114"/>
      <c r="S218" s="114"/>
      <c r="T218" s="114"/>
      <c r="U218" s="114"/>
      <c r="V218" s="114"/>
      <c r="W218" s="114"/>
      <c r="X218" s="114"/>
      <c r="Y218" s="114"/>
      <c r="Z218" s="114"/>
    </row>
    <row r="219">
      <c r="A219" s="1"/>
      <c r="C219" s="113"/>
      <c r="E219" s="113"/>
      <c r="F219" s="114"/>
      <c r="G219" s="114"/>
      <c r="H219" s="114"/>
      <c r="I219" s="114"/>
      <c r="J219" s="114"/>
      <c r="K219" s="114"/>
      <c r="L219" s="114"/>
      <c r="M219" s="114"/>
      <c r="N219" s="114"/>
      <c r="O219" s="114"/>
      <c r="P219" s="114"/>
      <c r="Q219" s="114"/>
      <c r="R219" s="114"/>
      <c r="S219" s="114"/>
      <c r="T219" s="114"/>
      <c r="U219" s="114"/>
      <c r="V219" s="114"/>
      <c r="W219" s="114"/>
      <c r="X219" s="114"/>
      <c r="Y219" s="114"/>
      <c r="Z219" s="114"/>
    </row>
    <row r="220">
      <c r="A220" s="1"/>
      <c r="C220" s="113"/>
      <c r="E220" s="113"/>
      <c r="F220" s="114"/>
      <c r="G220" s="114"/>
      <c r="H220" s="114"/>
      <c r="I220" s="114"/>
      <c r="J220" s="114"/>
      <c r="K220" s="114"/>
      <c r="L220" s="114"/>
      <c r="M220" s="114"/>
      <c r="N220" s="114"/>
      <c r="O220" s="114"/>
      <c r="P220" s="114"/>
      <c r="Q220" s="114"/>
      <c r="R220" s="114"/>
      <c r="S220" s="114"/>
      <c r="T220" s="114"/>
      <c r="U220" s="114"/>
      <c r="V220" s="114"/>
      <c r="W220" s="114"/>
      <c r="X220" s="114"/>
      <c r="Y220" s="114"/>
      <c r="Z220" s="114"/>
    </row>
    <row r="221">
      <c r="A221" s="1"/>
      <c r="C221" s="113"/>
      <c r="E221" s="113"/>
      <c r="F221" s="114"/>
      <c r="G221" s="114"/>
      <c r="H221" s="114"/>
      <c r="I221" s="114"/>
      <c r="J221" s="114"/>
      <c r="K221" s="114"/>
      <c r="L221" s="114"/>
      <c r="M221" s="114"/>
      <c r="N221" s="114"/>
      <c r="O221" s="114"/>
      <c r="P221" s="114"/>
      <c r="Q221" s="114"/>
      <c r="R221" s="114"/>
      <c r="S221" s="114"/>
      <c r="T221" s="114"/>
      <c r="U221" s="114"/>
      <c r="V221" s="114"/>
      <c r="W221" s="114"/>
      <c r="X221" s="114"/>
      <c r="Y221" s="114"/>
      <c r="Z221" s="114"/>
    </row>
    <row r="222">
      <c r="A222" s="1"/>
      <c r="C222" s="113"/>
      <c r="E222" s="113"/>
      <c r="F222" s="114"/>
      <c r="G222" s="114"/>
      <c r="H222" s="114"/>
      <c r="I222" s="114"/>
      <c r="J222" s="114"/>
      <c r="K222" s="114"/>
      <c r="L222" s="114"/>
      <c r="M222" s="114"/>
      <c r="N222" s="114"/>
      <c r="O222" s="114"/>
      <c r="P222" s="114"/>
      <c r="Q222" s="114"/>
      <c r="R222" s="114"/>
      <c r="S222" s="114"/>
      <c r="T222" s="114"/>
      <c r="U222" s="114"/>
      <c r="V222" s="114"/>
      <c r="W222" s="114"/>
      <c r="X222" s="114"/>
      <c r="Y222" s="114"/>
      <c r="Z222" s="114"/>
    </row>
    <row r="223">
      <c r="A223" s="1"/>
      <c r="C223" s="113"/>
      <c r="E223" s="113"/>
      <c r="F223" s="114"/>
      <c r="G223" s="114"/>
      <c r="H223" s="114"/>
      <c r="I223" s="114"/>
      <c r="J223" s="114"/>
      <c r="K223" s="114"/>
      <c r="L223" s="114"/>
      <c r="M223" s="114"/>
      <c r="N223" s="114"/>
      <c r="O223" s="114"/>
      <c r="P223" s="114"/>
      <c r="Q223" s="114"/>
      <c r="R223" s="114"/>
      <c r="S223" s="114"/>
      <c r="T223" s="114"/>
      <c r="U223" s="114"/>
      <c r="V223" s="114"/>
      <c r="W223" s="114"/>
      <c r="X223" s="114"/>
      <c r="Y223" s="114"/>
      <c r="Z223" s="114"/>
    </row>
    <row r="224">
      <c r="A224" s="1"/>
      <c r="C224" s="113"/>
      <c r="E224" s="113"/>
      <c r="F224" s="114"/>
      <c r="G224" s="114"/>
      <c r="H224" s="114"/>
      <c r="I224" s="114"/>
      <c r="J224" s="114"/>
      <c r="K224" s="114"/>
      <c r="L224" s="114"/>
      <c r="M224" s="114"/>
      <c r="N224" s="114"/>
      <c r="O224" s="114"/>
      <c r="P224" s="114"/>
      <c r="Q224" s="114"/>
      <c r="R224" s="114"/>
      <c r="S224" s="114"/>
      <c r="T224" s="114"/>
      <c r="U224" s="114"/>
      <c r="V224" s="114"/>
      <c r="W224" s="114"/>
      <c r="X224" s="114"/>
      <c r="Y224" s="114"/>
      <c r="Z224" s="114"/>
    </row>
    <row r="225">
      <c r="A225" s="1"/>
      <c r="C225" s="113"/>
      <c r="E225" s="113"/>
      <c r="F225" s="114"/>
      <c r="G225" s="114"/>
      <c r="H225" s="114"/>
      <c r="I225" s="114"/>
      <c r="J225" s="114"/>
      <c r="K225" s="114"/>
      <c r="L225" s="114"/>
      <c r="M225" s="114"/>
      <c r="N225" s="114"/>
      <c r="O225" s="114"/>
      <c r="P225" s="114"/>
      <c r="Q225" s="114"/>
      <c r="R225" s="114"/>
      <c r="S225" s="114"/>
      <c r="T225" s="114"/>
      <c r="U225" s="114"/>
      <c r="V225" s="114"/>
      <c r="W225" s="114"/>
      <c r="X225" s="114"/>
      <c r="Y225" s="114"/>
      <c r="Z225" s="114"/>
    </row>
    <row r="226">
      <c r="A226" s="1"/>
      <c r="C226" s="113"/>
      <c r="E226" s="113"/>
      <c r="F226" s="114"/>
      <c r="G226" s="114"/>
      <c r="H226" s="114"/>
      <c r="I226" s="114"/>
      <c r="J226" s="114"/>
      <c r="K226" s="114"/>
      <c r="L226" s="114"/>
      <c r="M226" s="114"/>
      <c r="N226" s="114"/>
      <c r="O226" s="114"/>
      <c r="P226" s="114"/>
      <c r="Q226" s="114"/>
      <c r="R226" s="114"/>
      <c r="S226" s="114"/>
      <c r="T226" s="114"/>
      <c r="U226" s="114"/>
      <c r="V226" s="114"/>
      <c r="W226" s="114"/>
      <c r="X226" s="114"/>
      <c r="Y226" s="114"/>
      <c r="Z226" s="114"/>
    </row>
    <row r="227">
      <c r="A227" s="1"/>
      <c r="C227" s="113"/>
      <c r="E227" s="113"/>
      <c r="F227" s="114"/>
      <c r="G227" s="114"/>
      <c r="H227" s="114"/>
      <c r="I227" s="114"/>
      <c r="J227" s="114"/>
      <c r="K227" s="114"/>
      <c r="L227" s="114"/>
      <c r="M227" s="114"/>
      <c r="N227" s="114"/>
      <c r="O227" s="114"/>
      <c r="P227" s="114"/>
      <c r="Q227" s="114"/>
      <c r="R227" s="114"/>
      <c r="S227" s="114"/>
      <c r="T227" s="114"/>
      <c r="U227" s="114"/>
      <c r="V227" s="114"/>
      <c r="W227" s="114"/>
      <c r="X227" s="114"/>
      <c r="Y227" s="114"/>
      <c r="Z227" s="114"/>
    </row>
    <row r="228">
      <c r="A228" s="1"/>
      <c r="C228" s="113"/>
      <c r="E228" s="113"/>
      <c r="F228" s="114"/>
      <c r="G228" s="114"/>
      <c r="H228" s="114"/>
      <c r="I228" s="114"/>
      <c r="J228" s="114"/>
      <c r="K228" s="114"/>
      <c r="L228" s="114"/>
      <c r="M228" s="114"/>
      <c r="N228" s="114"/>
      <c r="O228" s="114"/>
      <c r="P228" s="114"/>
      <c r="Q228" s="114"/>
      <c r="R228" s="114"/>
      <c r="S228" s="114"/>
      <c r="T228" s="114"/>
      <c r="U228" s="114"/>
      <c r="V228" s="114"/>
      <c r="W228" s="114"/>
      <c r="X228" s="114"/>
      <c r="Y228" s="114"/>
      <c r="Z228" s="114"/>
    </row>
    <row r="229">
      <c r="A229" s="1"/>
      <c r="C229" s="113"/>
      <c r="E229" s="113"/>
      <c r="F229" s="114"/>
      <c r="G229" s="114"/>
      <c r="H229" s="114"/>
      <c r="I229" s="114"/>
      <c r="J229" s="114"/>
      <c r="K229" s="114"/>
      <c r="L229" s="114"/>
      <c r="M229" s="114"/>
      <c r="N229" s="114"/>
      <c r="O229" s="114"/>
      <c r="P229" s="114"/>
      <c r="Q229" s="114"/>
      <c r="R229" s="114"/>
      <c r="S229" s="114"/>
      <c r="T229" s="114"/>
      <c r="U229" s="114"/>
      <c r="V229" s="114"/>
      <c r="W229" s="114"/>
      <c r="X229" s="114"/>
      <c r="Y229" s="114"/>
      <c r="Z229" s="114"/>
    </row>
    <row r="230">
      <c r="A230" s="1"/>
      <c r="C230" s="113"/>
      <c r="E230" s="113"/>
      <c r="F230" s="114"/>
      <c r="G230" s="114"/>
      <c r="H230" s="114"/>
      <c r="I230" s="114"/>
      <c r="J230" s="114"/>
      <c r="K230" s="114"/>
      <c r="L230" s="114"/>
      <c r="M230" s="114"/>
      <c r="N230" s="114"/>
      <c r="O230" s="114"/>
      <c r="P230" s="114"/>
      <c r="Q230" s="114"/>
      <c r="R230" s="114"/>
      <c r="S230" s="114"/>
      <c r="T230" s="114"/>
      <c r="U230" s="114"/>
      <c r="V230" s="114"/>
      <c r="W230" s="114"/>
      <c r="X230" s="114"/>
      <c r="Y230" s="114"/>
      <c r="Z230" s="114"/>
    </row>
    <row r="231">
      <c r="A231" s="1"/>
      <c r="C231" s="113"/>
      <c r="E231" s="113"/>
      <c r="F231" s="114"/>
      <c r="G231" s="114"/>
      <c r="H231" s="114"/>
      <c r="I231" s="114"/>
      <c r="J231" s="114"/>
      <c r="K231" s="114"/>
      <c r="L231" s="114"/>
      <c r="M231" s="114"/>
      <c r="N231" s="114"/>
      <c r="O231" s="114"/>
      <c r="P231" s="114"/>
      <c r="Q231" s="114"/>
      <c r="R231" s="114"/>
      <c r="S231" s="114"/>
      <c r="T231" s="114"/>
      <c r="U231" s="114"/>
      <c r="V231" s="114"/>
      <c r="W231" s="114"/>
      <c r="X231" s="114"/>
      <c r="Y231" s="114"/>
      <c r="Z231" s="114"/>
    </row>
    <row r="232">
      <c r="A232" s="1"/>
      <c r="C232" s="113"/>
      <c r="E232" s="113"/>
      <c r="F232" s="114"/>
      <c r="G232" s="114"/>
      <c r="H232" s="114"/>
      <c r="I232" s="114"/>
      <c r="J232" s="114"/>
      <c r="K232" s="114"/>
      <c r="L232" s="114"/>
      <c r="M232" s="114"/>
      <c r="N232" s="114"/>
      <c r="O232" s="114"/>
      <c r="P232" s="114"/>
      <c r="Q232" s="114"/>
      <c r="R232" s="114"/>
      <c r="S232" s="114"/>
      <c r="T232" s="114"/>
      <c r="U232" s="114"/>
      <c r="V232" s="114"/>
      <c r="W232" s="114"/>
      <c r="X232" s="114"/>
      <c r="Y232" s="114"/>
      <c r="Z232" s="114"/>
    </row>
    <row r="233">
      <c r="A233" s="1"/>
      <c r="C233" s="113"/>
      <c r="E233" s="113"/>
      <c r="F233" s="114"/>
      <c r="G233" s="114"/>
      <c r="H233" s="114"/>
      <c r="I233" s="114"/>
      <c r="J233" s="114"/>
      <c r="K233" s="114"/>
      <c r="L233" s="114"/>
      <c r="M233" s="114"/>
      <c r="N233" s="114"/>
      <c r="O233" s="114"/>
      <c r="P233" s="114"/>
      <c r="Q233" s="114"/>
      <c r="R233" s="114"/>
      <c r="S233" s="114"/>
      <c r="T233" s="114"/>
      <c r="U233" s="114"/>
      <c r="V233" s="114"/>
      <c r="W233" s="114"/>
      <c r="X233" s="114"/>
      <c r="Y233" s="114"/>
      <c r="Z233" s="114"/>
    </row>
    <row r="234">
      <c r="A234" s="1"/>
      <c r="C234" s="113"/>
      <c r="E234" s="113"/>
      <c r="F234" s="114"/>
      <c r="G234" s="114"/>
      <c r="H234" s="114"/>
      <c r="I234" s="114"/>
      <c r="J234" s="114"/>
      <c r="K234" s="114"/>
      <c r="L234" s="114"/>
      <c r="M234" s="114"/>
      <c r="N234" s="114"/>
      <c r="O234" s="114"/>
      <c r="P234" s="114"/>
      <c r="Q234" s="114"/>
      <c r="R234" s="114"/>
      <c r="S234" s="114"/>
      <c r="T234" s="114"/>
      <c r="U234" s="114"/>
      <c r="V234" s="114"/>
      <c r="W234" s="114"/>
      <c r="X234" s="114"/>
      <c r="Y234" s="114"/>
      <c r="Z234" s="114"/>
    </row>
    <row r="235">
      <c r="A235" s="1"/>
      <c r="C235" s="113"/>
      <c r="E235" s="113"/>
      <c r="F235" s="114"/>
      <c r="G235" s="114"/>
      <c r="H235" s="114"/>
      <c r="I235" s="114"/>
      <c r="J235" s="114"/>
      <c r="K235" s="114"/>
      <c r="L235" s="114"/>
      <c r="M235" s="114"/>
      <c r="N235" s="114"/>
      <c r="O235" s="114"/>
      <c r="P235" s="114"/>
      <c r="Q235" s="114"/>
      <c r="R235" s="114"/>
      <c r="S235" s="114"/>
      <c r="T235" s="114"/>
      <c r="U235" s="114"/>
      <c r="V235" s="114"/>
      <c r="W235" s="114"/>
      <c r="X235" s="114"/>
      <c r="Y235" s="114"/>
      <c r="Z235" s="114"/>
    </row>
    <row r="236">
      <c r="A236" s="1"/>
      <c r="C236" s="113"/>
      <c r="E236" s="113"/>
      <c r="F236" s="114"/>
      <c r="G236" s="114"/>
      <c r="H236" s="114"/>
      <c r="I236" s="114"/>
      <c r="J236" s="114"/>
      <c r="K236" s="114"/>
      <c r="L236" s="114"/>
      <c r="M236" s="114"/>
      <c r="N236" s="114"/>
      <c r="O236" s="114"/>
      <c r="P236" s="114"/>
      <c r="Q236" s="114"/>
      <c r="R236" s="114"/>
      <c r="S236" s="114"/>
      <c r="T236" s="114"/>
      <c r="U236" s="114"/>
      <c r="V236" s="114"/>
      <c r="W236" s="114"/>
      <c r="X236" s="114"/>
      <c r="Y236" s="114"/>
      <c r="Z236" s="114"/>
    </row>
    <row r="237">
      <c r="A237" s="1"/>
      <c r="C237" s="113"/>
      <c r="E237" s="113"/>
      <c r="F237" s="114"/>
      <c r="G237" s="114"/>
      <c r="H237" s="114"/>
      <c r="I237" s="114"/>
      <c r="J237" s="114"/>
      <c r="K237" s="114"/>
      <c r="L237" s="114"/>
      <c r="M237" s="114"/>
      <c r="N237" s="114"/>
      <c r="O237" s="114"/>
      <c r="P237" s="114"/>
      <c r="Q237" s="114"/>
      <c r="R237" s="114"/>
      <c r="S237" s="114"/>
      <c r="T237" s="114"/>
      <c r="U237" s="114"/>
      <c r="V237" s="114"/>
      <c r="W237" s="114"/>
      <c r="X237" s="114"/>
      <c r="Y237" s="114"/>
      <c r="Z237" s="114"/>
    </row>
    <row r="238">
      <c r="A238" s="1"/>
      <c r="C238" s="113"/>
      <c r="E238" s="113"/>
      <c r="F238" s="114"/>
      <c r="G238" s="114"/>
      <c r="H238" s="114"/>
      <c r="I238" s="114"/>
      <c r="J238" s="114"/>
      <c r="K238" s="114"/>
      <c r="L238" s="114"/>
      <c r="M238" s="114"/>
      <c r="N238" s="114"/>
      <c r="O238" s="114"/>
      <c r="P238" s="114"/>
      <c r="Q238" s="114"/>
      <c r="R238" s="114"/>
      <c r="S238" s="114"/>
      <c r="T238" s="114"/>
      <c r="U238" s="114"/>
      <c r="V238" s="114"/>
      <c r="W238" s="114"/>
      <c r="X238" s="114"/>
      <c r="Y238" s="114"/>
      <c r="Z238" s="114"/>
    </row>
    <row r="239">
      <c r="A239" s="1"/>
      <c r="C239" s="113"/>
      <c r="E239" s="113"/>
      <c r="F239" s="114"/>
      <c r="G239" s="114"/>
      <c r="H239" s="114"/>
      <c r="I239" s="114"/>
      <c r="J239" s="114"/>
      <c r="K239" s="114"/>
      <c r="L239" s="114"/>
      <c r="M239" s="114"/>
      <c r="N239" s="114"/>
      <c r="O239" s="114"/>
      <c r="P239" s="114"/>
      <c r="Q239" s="114"/>
      <c r="R239" s="114"/>
      <c r="S239" s="114"/>
      <c r="T239" s="114"/>
      <c r="U239" s="114"/>
      <c r="V239" s="114"/>
      <c r="W239" s="114"/>
      <c r="X239" s="114"/>
      <c r="Y239" s="114"/>
      <c r="Z239" s="114"/>
    </row>
    <row r="240">
      <c r="A240" s="1"/>
      <c r="C240" s="113"/>
      <c r="E240" s="113"/>
      <c r="F240" s="114"/>
      <c r="G240" s="114"/>
      <c r="H240" s="114"/>
      <c r="I240" s="114"/>
      <c r="J240" s="114"/>
      <c r="K240" s="114"/>
      <c r="L240" s="114"/>
      <c r="M240" s="114"/>
      <c r="N240" s="114"/>
      <c r="O240" s="114"/>
      <c r="P240" s="114"/>
      <c r="Q240" s="114"/>
      <c r="R240" s="114"/>
      <c r="S240" s="114"/>
      <c r="T240" s="114"/>
      <c r="U240" s="114"/>
      <c r="V240" s="114"/>
      <c r="W240" s="114"/>
      <c r="X240" s="114"/>
      <c r="Y240" s="114"/>
      <c r="Z240" s="114"/>
    </row>
    <row r="241">
      <c r="A241" s="1"/>
      <c r="C241" s="113"/>
      <c r="E241" s="113"/>
      <c r="F241" s="114"/>
      <c r="G241" s="114"/>
      <c r="H241" s="114"/>
      <c r="I241" s="114"/>
      <c r="J241" s="114"/>
      <c r="K241" s="114"/>
      <c r="L241" s="114"/>
      <c r="M241" s="114"/>
      <c r="N241" s="114"/>
      <c r="O241" s="114"/>
      <c r="P241" s="114"/>
      <c r="Q241" s="114"/>
      <c r="R241" s="114"/>
      <c r="S241" s="114"/>
      <c r="T241" s="114"/>
      <c r="U241" s="114"/>
      <c r="V241" s="114"/>
      <c r="W241" s="114"/>
      <c r="X241" s="114"/>
      <c r="Y241" s="114"/>
      <c r="Z241" s="114"/>
    </row>
    <row r="242">
      <c r="A242" s="1"/>
      <c r="C242" s="113"/>
      <c r="E242" s="113"/>
      <c r="F242" s="114"/>
      <c r="G242" s="114"/>
      <c r="H242" s="114"/>
      <c r="I242" s="114"/>
      <c r="J242" s="114"/>
      <c r="K242" s="114"/>
      <c r="L242" s="114"/>
      <c r="M242" s="114"/>
      <c r="N242" s="114"/>
      <c r="O242" s="114"/>
      <c r="P242" s="114"/>
      <c r="Q242" s="114"/>
      <c r="R242" s="114"/>
      <c r="S242" s="114"/>
      <c r="T242" s="114"/>
      <c r="U242" s="114"/>
      <c r="V242" s="114"/>
      <c r="W242" s="114"/>
      <c r="X242" s="114"/>
      <c r="Y242" s="114"/>
      <c r="Z242" s="114"/>
    </row>
    <row r="243">
      <c r="A243" s="1"/>
      <c r="C243" s="113"/>
      <c r="E243" s="113"/>
      <c r="F243" s="114"/>
      <c r="G243" s="114"/>
      <c r="H243" s="114"/>
      <c r="I243" s="114"/>
      <c r="J243" s="114"/>
      <c r="K243" s="114"/>
      <c r="L243" s="114"/>
      <c r="M243" s="114"/>
      <c r="N243" s="114"/>
      <c r="O243" s="114"/>
      <c r="P243" s="114"/>
      <c r="Q243" s="114"/>
      <c r="R243" s="114"/>
      <c r="S243" s="114"/>
      <c r="T243" s="114"/>
      <c r="U243" s="114"/>
      <c r="V243" s="114"/>
      <c r="W243" s="114"/>
      <c r="X243" s="114"/>
      <c r="Y243" s="114"/>
      <c r="Z243" s="114"/>
    </row>
    <row r="244">
      <c r="A244" s="1"/>
      <c r="C244" s="113"/>
      <c r="E244" s="113"/>
      <c r="F244" s="114"/>
      <c r="G244" s="114"/>
      <c r="H244" s="114"/>
      <c r="I244" s="114"/>
      <c r="J244" s="114"/>
      <c r="K244" s="114"/>
      <c r="L244" s="114"/>
      <c r="M244" s="114"/>
      <c r="N244" s="114"/>
      <c r="O244" s="114"/>
      <c r="P244" s="114"/>
      <c r="Q244" s="114"/>
      <c r="R244" s="114"/>
      <c r="S244" s="114"/>
      <c r="T244" s="114"/>
      <c r="U244" s="114"/>
      <c r="V244" s="114"/>
      <c r="W244" s="114"/>
      <c r="X244" s="114"/>
      <c r="Y244" s="114"/>
      <c r="Z244" s="114"/>
    </row>
    <row r="245">
      <c r="A245" s="1"/>
      <c r="C245" s="113"/>
      <c r="E245" s="113"/>
      <c r="F245" s="114"/>
      <c r="G245" s="114"/>
      <c r="H245" s="114"/>
      <c r="I245" s="114"/>
      <c r="J245" s="114"/>
      <c r="K245" s="114"/>
      <c r="L245" s="114"/>
      <c r="M245" s="114"/>
      <c r="N245" s="114"/>
      <c r="O245" s="114"/>
      <c r="P245" s="114"/>
      <c r="Q245" s="114"/>
      <c r="R245" s="114"/>
      <c r="S245" s="114"/>
      <c r="T245" s="114"/>
      <c r="U245" s="114"/>
      <c r="V245" s="114"/>
      <c r="W245" s="114"/>
      <c r="X245" s="114"/>
      <c r="Y245" s="114"/>
      <c r="Z245" s="114"/>
    </row>
    <row r="246">
      <c r="A246" s="1"/>
      <c r="C246" s="113"/>
      <c r="E246" s="113"/>
      <c r="F246" s="114"/>
      <c r="G246" s="114"/>
      <c r="H246" s="114"/>
      <c r="I246" s="114"/>
      <c r="J246" s="114"/>
      <c r="K246" s="114"/>
      <c r="L246" s="114"/>
      <c r="M246" s="114"/>
      <c r="N246" s="114"/>
      <c r="O246" s="114"/>
      <c r="P246" s="114"/>
      <c r="Q246" s="114"/>
      <c r="R246" s="114"/>
      <c r="S246" s="114"/>
      <c r="T246" s="114"/>
      <c r="U246" s="114"/>
      <c r="V246" s="114"/>
      <c r="W246" s="114"/>
      <c r="X246" s="114"/>
      <c r="Y246" s="114"/>
      <c r="Z246" s="114"/>
    </row>
    <row r="247">
      <c r="A247" s="1"/>
      <c r="C247" s="113"/>
      <c r="E247" s="113"/>
      <c r="F247" s="114"/>
      <c r="G247" s="114"/>
      <c r="H247" s="114"/>
      <c r="I247" s="114"/>
      <c r="J247" s="114"/>
      <c r="K247" s="114"/>
      <c r="L247" s="114"/>
      <c r="M247" s="114"/>
      <c r="N247" s="114"/>
      <c r="O247" s="114"/>
      <c r="P247" s="114"/>
      <c r="Q247" s="114"/>
      <c r="R247" s="114"/>
      <c r="S247" s="114"/>
      <c r="T247" s="114"/>
      <c r="U247" s="114"/>
      <c r="V247" s="114"/>
      <c r="W247" s="114"/>
      <c r="X247" s="114"/>
      <c r="Y247" s="114"/>
      <c r="Z247" s="114"/>
    </row>
    <row r="248">
      <c r="A248" s="1"/>
      <c r="C248" s="113"/>
      <c r="E248" s="113"/>
      <c r="F248" s="114"/>
      <c r="G248" s="114"/>
      <c r="H248" s="114"/>
      <c r="I248" s="114"/>
      <c r="J248" s="114"/>
      <c r="K248" s="114"/>
      <c r="L248" s="114"/>
      <c r="M248" s="114"/>
      <c r="N248" s="114"/>
      <c r="O248" s="114"/>
      <c r="P248" s="114"/>
      <c r="Q248" s="114"/>
      <c r="R248" s="114"/>
      <c r="S248" s="114"/>
      <c r="T248" s="114"/>
      <c r="U248" s="114"/>
      <c r="V248" s="114"/>
      <c r="W248" s="114"/>
      <c r="X248" s="114"/>
      <c r="Y248" s="114"/>
      <c r="Z248" s="114"/>
    </row>
    <row r="249">
      <c r="A249" s="1"/>
      <c r="C249" s="113"/>
      <c r="E249" s="113"/>
      <c r="F249" s="114"/>
      <c r="G249" s="114"/>
      <c r="H249" s="114"/>
      <c r="I249" s="114"/>
      <c r="J249" s="114"/>
      <c r="K249" s="114"/>
      <c r="L249" s="114"/>
      <c r="M249" s="114"/>
      <c r="N249" s="114"/>
      <c r="O249" s="114"/>
      <c r="P249" s="114"/>
      <c r="Q249" s="114"/>
      <c r="R249" s="114"/>
      <c r="S249" s="114"/>
      <c r="T249" s="114"/>
      <c r="U249" s="114"/>
      <c r="V249" s="114"/>
      <c r="W249" s="114"/>
      <c r="X249" s="114"/>
      <c r="Y249" s="114"/>
      <c r="Z249" s="114"/>
    </row>
    <row r="250">
      <c r="A250" s="1"/>
      <c r="C250" s="113"/>
      <c r="E250" s="113"/>
      <c r="F250" s="114"/>
      <c r="G250" s="114"/>
      <c r="H250" s="114"/>
      <c r="I250" s="114"/>
      <c r="J250" s="114"/>
      <c r="K250" s="114"/>
      <c r="L250" s="114"/>
      <c r="M250" s="114"/>
      <c r="N250" s="114"/>
      <c r="O250" s="114"/>
      <c r="P250" s="114"/>
      <c r="Q250" s="114"/>
      <c r="R250" s="114"/>
      <c r="S250" s="114"/>
      <c r="T250" s="114"/>
      <c r="U250" s="114"/>
      <c r="V250" s="114"/>
      <c r="W250" s="114"/>
      <c r="X250" s="114"/>
      <c r="Y250" s="114"/>
      <c r="Z250" s="114"/>
    </row>
    <row r="251">
      <c r="A251" s="1"/>
      <c r="C251" s="113"/>
      <c r="E251" s="113"/>
      <c r="F251" s="114"/>
      <c r="G251" s="114"/>
      <c r="H251" s="114"/>
      <c r="I251" s="114"/>
      <c r="J251" s="114"/>
      <c r="K251" s="114"/>
      <c r="L251" s="114"/>
      <c r="M251" s="114"/>
      <c r="N251" s="114"/>
      <c r="O251" s="114"/>
      <c r="P251" s="114"/>
      <c r="Q251" s="114"/>
      <c r="R251" s="114"/>
      <c r="S251" s="114"/>
      <c r="T251" s="114"/>
      <c r="U251" s="114"/>
      <c r="V251" s="114"/>
      <c r="W251" s="114"/>
      <c r="X251" s="114"/>
      <c r="Y251" s="114"/>
      <c r="Z251" s="114"/>
    </row>
    <row r="252">
      <c r="A252" s="1"/>
      <c r="C252" s="113"/>
      <c r="E252" s="113"/>
      <c r="F252" s="114"/>
      <c r="G252" s="114"/>
      <c r="H252" s="114"/>
      <c r="I252" s="114"/>
      <c r="J252" s="114"/>
      <c r="K252" s="114"/>
      <c r="L252" s="114"/>
      <c r="M252" s="114"/>
      <c r="N252" s="114"/>
      <c r="O252" s="114"/>
      <c r="P252" s="114"/>
      <c r="Q252" s="114"/>
      <c r="R252" s="114"/>
      <c r="S252" s="114"/>
      <c r="T252" s="114"/>
      <c r="U252" s="114"/>
      <c r="V252" s="114"/>
      <c r="W252" s="114"/>
      <c r="X252" s="114"/>
      <c r="Y252" s="114"/>
      <c r="Z252" s="114"/>
    </row>
    <row r="253">
      <c r="A253" s="1"/>
      <c r="C253" s="113"/>
      <c r="E253" s="113"/>
      <c r="F253" s="114"/>
      <c r="G253" s="114"/>
      <c r="H253" s="114"/>
      <c r="I253" s="114"/>
      <c r="J253" s="114"/>
      <c r="K253" s="114"/>
      <c r="L253" s="114"/>
      <c r="M253" s="114"/>
      <c r="N253" s="114"/>
      <c r="O253" s="114"/>
      <c r="P253" s="114"/>
      <c r="Q253" s="114"/>
      <c r="R253" s="114"/>
      <c r="S253" s="114"/>
      <c r="T253" s="114"/>
      <c r="U253" s="114"/>
      <c r="V253" s="114"/>
      <c r="W253" s="114"/>
      <c r="X253" s="114"/>
      <c r="Y253" s="114"/>
      <c r="Z253" s="114"/>
    </row>
    <row r="254">
      <c r="A254" s="1"/>
      <c r="C254" s="113"/>
      <c r="E254" s="113"/>
      <c r="F254" s="114"/>
      <c r="G254" s="114"/>
      <c r="H254" s="114"/>
      <c r="I254" s="114"/>
      <c r="J254" s="114"/>
      <c r="K254" s="114"/>
      <c r="L254" s="114"/>
      <c r="M254" s="114"/>
      <c r="N254" s="114"/>
      <c r="O254" s="114"/>
      <c r="P254" s="114"/>
      <c r="Q254" s="114"/>
      <c r="R254" s="114"/>
      <c r="S254" s="114"/>
      <c r="T254" s="114"/>
      <c r="U254" s="114"/>
      <c r="V254" s="114"/>
      <c r="W254" s="114"/>
      <c r="X254" s="114"/>
      <c r="Y254" s="114"/>
      <c r="Z254" s="114"/>
    </row>
    <row r="255">
      <c r="A255" s="1"/>
      <c r="C255" s="113"/>
      <c r="E255" s="113"/>
      <c r="F255" s="114"/>
      <c r="G255" s="114"/>
      <c r="H255" s="114"/>
      <c r="I255" s="114"/>
      <c r="J255" s="114"/>
      <c r="K255" s="114"/>
      <c r="L255" s="114"/>
      <c r="M255" s="114"/>
      <c r="N255" s="114"/>
      <c r="O255" s="114"/>
      <c r="P255" s="114"/>
      <c r="Q255" s="114"/>
      <c r="R255" s="114"/>
      <c r="S255" s="114"/>
      <c r="T255" s="114"/>
      <c r="U255" s="114"/>
      <c r="V255" s="114"/>
      <c r="W255" s="114"/>
      <c r="X255" s="114"/>
      <c r="Y255" s="114"/>
      <c r="Z255" s="114"/>
    </row>
    <row r="256">
      <c r="A256" s="1"/>
      <c r="C256" s="113"/>
      <c r="E256" s="113"/>
      <c r="F256" s="114"/>
      <c r="G256" s="114"/>
      <c r="H256" s="114"/>
      <c r="I256" s="114"/>
      <c r="J256" s="114"/>
      <c r="K256" s="114"/>
      <c r="L256" s="114"/>
      <c r="M256" s="114"/>
      <c r="N256" s="114"/>
      <c r="O256" s="114"/>
      <c r="P256" s="114"/>
      <c r="Q256" s="114"/>
      <c r="R256" s="114"/>
      <c r="S256" s="114"/>
      <c r="T256" s="114"/>
      <c r="U256" s="114"/>
      <c r="V256" s="114"/>
      <c r="W256" s="114"/>
      <c r="X256" s="114"/>
      <c r="Y256" s="114"/>
      <c r="Z256" s="114"/>
    </row>
    <row r="257">
      <c r="A257" s="1"/>
      <c r="C257" s="113"/>
      <c r="E257" s="113"/>
      <c r="F257" s="114"/>
      <c r="G257" s="114"/>
      <c r="H257" s="114"/>
      <c r="I257" s="114"/>
      <c r="J257" s="114"/>
      <c r="K257" s="114"/>
      <c r="L257" s="114"/>
      <c r="M257" s="114"/>
      <c r="N257" s="114"/>
      <c r="O257" s="114"/>
      <c r="P257" s="114"/>
      <c r="Q257" s="114"/>
      <c r="R257" s="114"/>
      <c r="S257" s="114"/>
      <c r="T257" s="114"/>
      <c r="U257" s="114"/>
      <c r="V257" s="114"/>
      <c r="W257" s="114"/>
      <c r="X257" s="114"/>
      <c r="Y257" s="114"/>
      <c r="Z257" s="114"/>
    </row>
    <row r="258">
      <c r="A258" s="1"/>
      <c r="C258" s="113"/>
      <c r="E258" s="113"/>
      <c r="F258" s="114"/>
      <c r="G258" s="114"/>
      <c r="H258" s="114"/>
      <c r="I258" s="114"/>
      <c r="J258" s="114"/>
      <c r="K258" s="114"/>
      <c r="L258" s="114"/>
      <c r="M258" s="114"/>
      <c r="N258" s="114"/>
      <c r="O258" s="114"/>
      <c r="P258" s="114"/>
      <c r="Q258" s="114"/>
      <c r="R258" s="114"/>
      <c r="S258" s="114"/>
      <c r="T258" s="114"/>
      <c r="U258" s="114"/>
      <c r="V258" s="114"/>
      <c r="W258" s="114"/>
      <c r="X258" s="114"/>
      <c r="Y258" s="114"/>
      <c r="Z258" s="114"/>
    </row>
    <row r="259">
      <c r="A259" s="1"/>
      <c r="C259" s="113"/>
      <c r="E259" s="113"/>
      <c r="F259" s="114"/>
      <c r="G259" s="114"/>
      <c r="H259" s="114"/>
      <c r="I259" s="114"/>
      <c r="J259" s="114"/>
      <c r="K259" s="114"/>
      <c r="L259" s="114"/>
      <c r="M259" s="114"/>
      <c r="N259" s="114"/>
      <c r="O259" s="114"/>
      <c r="P259" s="114"/>
      <c r="Q259" s="114"/>
      <c r="R259" s="114"/>
      <c r="S259" s="114"/>
      <c r="T259" s="114"/>
      <c r="U259" s="114"/>
      <c r="V259" s="114"/>
      <c r="W259" s="114"/>
      <c r="X259" s="114"/>
      <c r="Y259" s="114"/>
      <c r="Z259" s="114"/>
    </row>
    <row r="260">
      <c r="A260" s="1"/>
      <c r="C260" s="113"/>
      <c r="E260" s="113"/>
      <c r="F260" s="114"/>
      <c r="G260" s="114"/>
      <c r="H260" s="114"/>
      <c r="I260" s="114"/>
      <c r="J260" s="114"/>
      <c r="K260" s="114"/>
      <c r="L260" s="114"/>
      <c r="M260" s="114"/>
      <c r="N260" s="114"/>
      <c r="O260" s="114"/>
      <c r="P260" s="114"/>
      <c r="Q260" s="114"/>
      <c r="R260" s="114"/>
      <c r="S260" s="114"/>
      <c r="T260" s="114"/>
      <c r="U260" s="114"/>
      <c r="V260" s="114"/>
      <c r="W260" s="114"/>
      <c r="X260" s="114"/>
      <c r="Y260" s="114"/>
      <c r="Z260" s="114"/>
    </row>
    <row r="261">
      <c r="A261" s="1"/>
      <c r="C261" s="113"/>
      <c r="E261" s="113"/>
      <c r="F261" s="114"/>
      <c r="G261" s="114"/>
      <c r="H261" s="114"/>
      <c r="I261" s="114"/>
      <c r="J261" s="114"/>
      <c r="K261" s="114"/>
      <c r="L261" s="114"/>
      <c r="M261" s="114"/>
      <c r="N261" s="114"/>
      <c r="O261" s="114"/>
      <c r="P261" s="114"/>
      <c r="Q261" s="114"/>
      <c r="R261" s="114"/>
      <c r="S261" s="114"/>
      <c r="T261" s="114"/>
      <c r="U261" s="114"/>
      <c r="V261" s="114"/>
      <c r="W261" s="114"/>
      <c r="X261" s="114"/>
      <c r="Y261" s="114"/>
      <c r="Z261" s="114"/>
    </row>
    <row r="262">
      <c r="A262" s="1"/>
      <c r="C262" s="113"/>
      <c r="E262" s="113"/>
      <c r="F262" s="114"/>
      <c r="G262" s="114"/>
      <c r="H262" s="114"/>
      <c r="I262" s="114"/>
      <c r="J262" s="114"/>
      <c r="K262" s="114"/>
      <c r="L262" s="114"/>
      <c r="M262" s="114"/>
      <c r="N262" s="114"/>
      <c r="O262" s="114"/>
      <c r="P262" s="114"/>
      <c r="Q262" s="114"/>
      <c r="R262" s="114"/>
      <c r="S262" s="114"/>
      <c r="T262" s="114"/>
      <c r="U262" s="114"/>
      <c r="V262" s="114"/>
      <c r="W262" s="114"/>
      <c r="X262" s="114"/>
      <c r="Y262" s="114"/>
      <c r="Z262" s="114"/>
    </row>
    <row r="263">
      <c r="A263" s="1"/>
      <c r="C263" s="113"/>
      <c r="E263" s="113"/>
      <c r="F263" s="114"/>
      <c r="G263" s="114"/>
      <c r="H263" s="114"/>
      <c r="I263" s="114"/>
      <c r="J263" s="114"/>
      <c r="K263" s="114"/>
      <c r="L263" s="114"/>
      <c r="M263" s="114"/>
      <c r="N263" s="114"/>
      <c r="O263" s="114"/>
      <c r="P263" s="114"/>
      <c r="Q263" s="114"/>
      <c r="R263" s="114"/>
      <c r="S263" s="114"/>
      <c r="T263" s="114"/>
      <c r="U263" s="114"/>
      <c r="V263" s="114"/>
      <c r="W263" s="114"/>
      <c r="X263" s="114"/>
      <c r="Y263" s="114"/>
      <c r="Z263" s="114"/>
    </row>
    <row r="264">
      <c r="A264" s="1"/>
      <c r="C264" s="113"/>
      <c r="E264" s="113"/>
      <c r="F264" s="114"/>
      <c r="G264" s="114"/>
      <c r="H264" s="114"/>
      <c r="I264" s="114"/>
      <c r="J264" s="114"/>
      <c r="K264" s="114"/>
      <c r="L264" s="114"/>
      <c r="M264" s="114"/>
      <c r="N264" s="114"/>
      <c r="O264" s="114"/>
      <c r="P264" s="114"/>
      <c r="Q264" s="114"/>
      <c r="R264" s="114"/>
      <c r="S264" s="114"/>
      <c r="T264" s="114"/>
      <c r="U264" s="114"/>
      <c r="V264" s="114"/>
      <c r="W264" s="114"/>
      <c r="X264" s="114"/>
      <c r="Y264" s="114"/>
      <c r="Z264" s="114"/>
    </row>
    <row r="265">
      <c r="A265" s="1"/>
      <c r="C265" s="113"/>
      <c r="E265" s="113"/>
      <c r="F265" s="114"/>
      <c r="G265" s="114"/>
      <c r="H265" s="114"/>
      <c r="I265" s="114"/>
      <c r="J265" s="114"/>
      <c r="K265" s="114"/>
      <c r="L265" s="114"/>
      <c r="M265" s="114"/>
      <c r="N265" s="114"/>
      <c r="O265" s="114"/>
      <c r="P265" s="114"/>
      <c r="Q265" s="114"/>
      <c r="R265" s="114"/>
      <c r="S265" s="114"/>
      <c r="T265" s="114"/>
      <c r="U265" s="114"/>
      <c r="V265" s="114"/>
      <c r="W265" s="114"/>
      <c r="X265" s="114"/>
      <c r="Y265" s="114"/>
      <c r="Z265" s="114"/>
    </row>
    <row r="266">
      <c r="A266" s="1"/>
      <c r="C266" s="113"/>
      <c r="E266" s="113"/>
      <c r="F266" s="114"/>
      <c r="G266" s="114"/>
      <c r="H266" s="114"/>
      <c r="I266" s="114"/>
      <c r="J266" s="114"/>
      <c r="K266" s="114"/>
      <c r="L266" s="114"/>
      <c r="M266" s="114"/>
      <c r="N266" s="114"/>
      <c r="O266" s="114"/>
      <c r="P266" s="114"/>
      <c r="Q266" s="114"/>
      <c r="R266" s="114"/>
      <c r="S266" s="114"/>
      <c r="T266" s="114"/>
      <c r="U266" s="114"/>
      <c r="V266" s="114"/>
      <c r="W266" s="114"/>
      <c r="X266" s="114"/>
      <c r="Y266" s="114"/>
      <c r="Z266" s="114"/>
    </row>
    <row r="267">
      <c r="A267" s="1"/>
      <c r="C267" s="113"/>
      <c r="E267" s="113"/>
      <c r="F267" s="114"/>
      <c r="G267" s="114"/>
      <c r="H267" s="114"/>
      <c r="I267" s="114"/>
      <c r="J267" s="114"/>
      <c r="K267" s="114"/>
      <c r="L267" s="114"/>
      <c r="M267" s="114"/>
      <c r="N267" s="114"/>
      <c r="O267" s="114"/>
      <c r="P267" s="114"/>
      <c r="Q267" s="114"/>
      <c r="R267" s="114"/>
      <c r="S267" s="114"/>
      <c r="T267" s="114"/>
      <c r="U267" s="114"/>
      <c r="V267" s="114"/>
      <c r="W267" s="114"/>
      <c r="X267" s="114"/>
      <c r="Y267" s="114"/>
      <c r="Z267" s="114"/>
    </row>
    <row r="268">
      <c r="A268" s="1"/>
      <c r="C268" s="113"/>
      <c r="E268" s="113"/>
      <c r="F268" s="114"/>
      <c r="G268" s="114"/>
      <c r="H268" s="114"/>
      <c r="I268" s="114"/>
      <c r="J268" s="114"/>
      <c r="K268" s="114"/>
      <c r="L268" s="114"/>
      <c r="M268" s="114"/>
      <c r="N268" s="114"/>
      <c r="O268" s="114"/>
      <c r="P268" s="114"/>
      <c r="Q268" s="114"/>
      <c r="R268" s="114"/>
      <c r="S268" s="114"/>
      <c r="T268" s="114"/>
      <c r="U268" s="114"/>
      <c r="V268" s="114"/>
      <c r="W268" s="114"/>
      <c r="X268" s="114"/>
      <c r="Y268" s="114"/>
      <c r="Z268" s="114"/>
    </row>
    <row r="269">
      <c r="A269" s="1"/>
      <c r="C269" s="113"/>
      <c r="E269" s="113"/>
      <c r="F269" s="114"/>
      <c r="G269" s="114"/>
      <c r="H269" s="114"/>
      <c r="I269" s="114"/>
      <c r="J269" s="114"/>
      <c r="K269" s="114"/>
      <c r="L269" s="114"/>
      <c r="M269" s="114"/>
      <c r="N269" s="114"/>
      <c r="O269" s="114"/>
      <c r="P269" s="114"/>
      <c r="Q269" s="114"/>
      <c r="R269" s="114"/>
      <c r="S269" s="114"/>
      <c r="T269" s="114"/>
      <c r="U269" s="114"/>
      <c r="V269" s="114"/>
      <c r="W269" s="114"/>
      <c r="X269" s="114"/>
      <c r="Y269" s="114"/>
      <c r="Z269" s="114"/>
    </row>
    <row r="270">
      <c r="A270" s="1"/>
      <c r="C270" s="113"/>
      <c r="E270" s="113"/>
      <c r="F270" s="114"/>
      <c r="G270" s="114"/>
      <c r="H270" s="114"/>
      <c r="I270" s="114"/>
      <c r="J270" s="114"/>
      <c r="K270" s="114"/>
      <c r="L270" s="114"/>
      <c r="M270" s="114"/>
      <c r="N270" s="114"/>
      <c r="O270" s="114"/>
      <c r="P270" s="114"/>
      <c r="Q270" s="114"/>
      <c r="R270" s="114"/>
      <c r="S270" s="114"/>
      <c r="T270" s="114"/>
      <c r="U270" s="114"/>
      <c r="V270" s="114"/>
      <c r="W270" s="114"/>
      <c r="X270" s="114"/>
      <c r="Y270" s="114"/>
      <c r="Z270" s="114"/>
    </row>
    <row r="271">
      <c r="A271" s="1"/>
      <c r="C271" s="113"/>
      <c r="E271" s="113"/>
      <c r="F271" s="114"/>
      <c r="G271" s="114"/>
      <c r="H271" s="114"/>
      <c r="I271" s="114"/>
      <c r="J271" s="114"/>
      <c r="K271" s="114"/>
      <c r="L271" s="114"/>
      <c r="M271" s="114"/>
      <c r="N271" s="114"/>
      <c r="O271" s="114"/>
      <c r="P271" s="114"/>
      <c r="Q271" s="114"/>
      <c r="R271" s="114"/>
      <c r="S271" s="114"/>
      <c r="T271" s="114"/>
      <c r="U271" s="114"/>
      <c r="V271" s="114"/>
      <c r="W271" s="114"/>
      <c r="X271" s="114"/>
      <c r="Y271" s="114"/>
      <c r="Z271" s="114"/>
    </row>
    <row r="272">
      <c r="A272" s="1"/>
      <c r="C272" s="113"/>
      <c r="E272" s="113"/>
      <c r="F272" s="114"/>
      <c r="G272" s="114"/>
      <c r="H272" s="114"/>
      <c r="I272" s="114"/>
      <c r="J272" s="114"/>
      <c r="K272" s="114"/>
      <c r="L272" s="114"/>
      <c r="M272" s="114"/>
      <c r="N272" s="114"/>
      <c r="O272" s="114"/>
      <c r="P272" s="114"/>
      <c r="Q272" s="114"/>
      <c r="R272" s="114"/>
      <c r="S272" s="114"/>
      <c r="T272" s="114"/>
      <c r="U272" s="114"/>
      <c r="V272" s="114"/>
      <c r="W272" s="114"/>
      <c r="X272" s="114"/>
      <c r="Y272" s="114"/>
      <c r="Z272" s="114"/>
    </row>
    <row r="273">
      <c r="A273" s="1"/>
      <c r="C273" s="113"/>
      <c r="E273" s="113"/>
      <c r="F273" s="114"/>
      <c r="G273" s="114"/>
      <c r="H273" s="114"/>
      <c r="I273" s="114"/>
      <c r="J273" s="114"/>
      <c r="K273" s="114"/>
      <c r="L273" s="114"/>
      <c r="M273" s="114"/>
      <c r="N273" s="114"/>
      <c r="O273" s="114"/>
      <c r="P273" s="114"/>
      <c r="Q273" s="114"/>
      <c r="R273" s="114"/>
      <c r="S273" s="114"/>
      <c r="T273" s="114"/>
      <c r="U273" s="114"/>
      <c r="V273" s="114"/>
      <c r="W273" s="114"/>
      <c r="X273" s="114"/>
      <c r="Y273" s="114"/>
      <c r="Z273" s="114"/>
    </row>
    <row r="274">
      <c r="A274" s="1"/>
      <c r="C274" s="113"/>
      <c r="E274" s="113"/>
      <c r="F274" s="114"/>
      <c r="G274" s="114"/>
      <c r="H274" s="114"/>
      <c r="I274" s="114"/>
      <c r="J274" s="114"/>
      <c r="K274" s="114"/>
      <c r="L274" s="114"/>
      <c r="M274" s="114"/>
      <c r="N274" s="114"/>
      <c r="O274" s="114"/>
      <c r="P274" s="114"/>
      <c r="Q274" s="114"/>
      <c r="R274" s="114"/>
      <c r="S274" s="114"/>
      <c r="T274" s="114"/>
      <c r="U274" s="114"/>
      <c r="V274" s="114"/>
      <c r="W274" s="114"/>
      <c r="X274" s="114"/>
      <c r="Y274" s="114"/>
      <c r="Z274" s="114"/>
    </row>
    <row r="275">
      <c r="A275" s="1"/>
      <c r="C275" s="113"/>
      <c r="E275" s="113"/>
      <c r="F275" s="114"/>
      <c r="G275" s="114"/>
      <c r="H275" s="114"/>
      <c r="I275" s="114"/>
      <c r="J275" s="114"/>
      <c r="K275" s="114"/>
      <c r="L275" s="114"/>
      <c r="M275" s="114"/>
      <c r="N275" s="114"/>
      <c r="O275" s="114"/>
      <c r="P275" s="114"/>
      <c r="Q275" s="114"/>
      <c r="R275" s="114"/>
      <c r="S275" s="114"/>
      <c r="T275" s="114"/>
      <c r="U275" s="114"/>
      <c r="V275" s="114"/>
      <c r="W275" s="114"/>
      <c r="X275" s="114"/>
      <c r="Y275" s="114"/>
      <c r="Z275" s="114"/>
    </row>
    <row r="276">
      <c r="A276" s="1"/>
      <c r="C276" s="113"/>
      <c r="E276" s="113"/>
      <c r="F276" s="114"/>
      <c r="G276" s="114"/>
      <c r="H276" s="114"/>
      <c r="I276" s="114"/>
      <c r="J276" s="114"/>
      <c r="K276" s="114"/>
      <c r="L276" s="114"/>
      <c r="M276" s="114"/>
      <c r="N276" s="114"/>
      <c r="O276" s="114"/>
      <c r="P276" s="114"/>
      <c r="Q276" s="114"/>
      <c r="R276" s="114"/>
      <c r="S276" s="114"/>
      <c r="T276" s="114"/>
      <c r="U276" s="114"/>
      <c r="V276" s="114"/>
      <c r="W276" s="114"/>
      <c r="X276" s="114"/>
      <c r="Y276" s="114"/>
      <c r="Z276" s="114"/>
    </row>
    <row r="277">
      <c r="A277" s="1"/>
      <c r="C277" s="113"/>
      <c r="E277" s="113"/>
      <c r="F277" s="114"/>
      <c r="G277" s="114"/>
      <c r="H277" s="114"/>
      <c r="I277" s="114"/>
      <c r="J277" s="114"/>
      <c r="K277" s="114"/>
      <c r="L277" s="114"/>
      <c r="M277" s="114"/>
      <c r="N277" s="114"/>
      <c r="O277" s="114"/>
      <c r="P277" s="114"/>
      <c r="Q277" s="114"/>
      <c r="R277" s="114"/>
      <c r="S277" s="114"/>
      <c r="T277" s="114"/>
      <c r="U277" s="114"/>
      <c r="V277" s="114"/>
      <c r="W277" s="114"/>
      <c r="X277" s="114"/>
      <c r="Y277" s="114"/>
      <c r="Z277" s="114"/>
    </row>
    <row r="278">
      <c r="A278" s="1"/>
      <c r="C278" s="113"/>
      <c r="E278" s="113"/>
      <c r="F278" s="114"/>
      <c r="G278" s="114"/>
      <c r="H278" s="114"/>
      <c r="I278" s="114"/>
      <c r="J278" s="114"/>
      <c r="K278" s="114"/>
      <c r="L278" s="114"/>
      <c r="M278" s="114"/>
      <c r="N278" s="114"/>
      <c r="O278" s="114"/>
      <c r="P278" s="114"/>
      <c r="Q278" s="114"/>
      <c r="R278" s="114"/>
      <c r="S278" s="114"/>
      <c r="T278" s="114"/>
      <c r="U278" s="114"/>
      <c r="V278" s="114"/>
      <c r="W278" s="114"/>
      <c r="X278" s="114"/>
      <c r="Y278" s="114"/>
      <c r="Z278" s="114"/>
    </row>
    <row r="279">
      <c r="A279" s="1"/>
      <c r="C279" s="113"/>
      <c r="E279" s="113"/>
      <c r="F279" s="114"/>
      <c r="G279" s="114"/>
      <c r="H279" s="114"/>
      <c r="I279" s="114"/>
      <c r="J279" s="114"/>
      <c r="K279" s="114"/>
      <c r="L279" s="114"/>
      <c r="M279" s="114"/>
      <c r="N279" s="114"/>
      <c r="O279" s="114"/>
      <c r="P279" s="114"/>
      <c r="Q279" s="114"/>
      <c r="R279" s="114"/>
      <c r="S279" s="114"/>
      <c r="T279" s="114"/>
      <c r="U279" s="114"/>
      <c r="V279" s="114"/>
      <c r="W279" s="114"/>
      <c r="X279" s="114"/>
      <c r="Y279" s="114"/>
      <c r="Z279" s="114"/>
    </row>
    <row r="280">
      <c r="A280" s="1"/>
      <c r="C280" s="113"/>
      <c r="E280" s="113"/>
      <c r="F280" s="114"/>
      <c r="G280" s="114"/>
      <c r="H280" s="114"/>
      <c r="I280" s="114"/>
      <c r="J280" s="114"/>
      <c r="K280" s="114"/>
      <c r="L280" s="114"/>
      <c r="M280" s="114"/>
      <c r="N280" s="114"/>
      <c r="O280" s="114"/>
      <c r="P280" s="114"/>
      <c r="Q280" s="114"/>
      <c r="R280" s="114"/>
      <c r="S280" s="114"/>
      <c r="T280" s="114"/>
      <c r="U280" s="114"/>
      <c r="V280" s="114"/>
      <c r="W280" s="114"/>
      <c r="X280" s="114"/>
      <c r="Y280" s="114"/>
      <c r="Z280" s="114"/>
    </row>
    <row r="281">
      <c r="A281" s="1"/>
      <c r="C281" s="113"/>
      <c r="E281" s="113"/>
      <c r="F281" s="114"/>
      <c r="G281" s="114"/>
      <c r="H281" s="114"/>
      <c r="I281" s="114"/>
      <c r="J281" s="114"/>
      <c r="K281" s="114"/>
      <c r="L281" s="114"/>
      <c r="M281" s="114"/>
      <c r="N281" s="114"/>
      <c r="O281" s="114"/>
      <c r="P281" s="114"/>
      <c r="Q281" s="114"/>
      <c r="R281" s="114"/>
      <c r="S281" s="114"/>
      <c r="T281" s="114"/>
      <c r="U281" s="114"/>
      <c r="V281" s="114"/>
      <c r="W281" s="114"/>
      <c r="X281" s="114"/>
      <c r="Y281" s="114"/>
      <c r="Z281" s="114"/>
    </row>
    <row r="282">
      <c r="A282" s="1"/>
      <c r="C282" s="113"/>
      <c r="E282" s="113"/>
      <c r="F282" s="114"/>
      <c r="G282" s="114"/>
      <c r="H282" s="114"/>
      <c r="I282" s="114"/>
      <c r="J282" s="114"/>
      <c r="K282" s="114"/>
      <c r="L282" s="114"/>
      <c r="M282" s="114"/>
      <c r="N282" s="114"/>
      <c r="O282" s="114"/>
      <c r="P282" s="114"/>
      <c r="Q282" s="114"/>
      <c r="R282" s="114"/>
      <c r="S282" s="114"/>
      <c r="T282" s="114"/>
      <c r="U282" s="114"/>
      <c r="V282" s="114"/>
      <c r="W282" s="114"/>
      <c r="X282" s="114"/>
      <c r="Y282" s="114"/>
      <c r="Z282" s="114"/>
    </row>
    <row r="283">
      <c r="A283" s="1"/>
      <c r="C283" s="113"/>
      <c r="E283" s="113"/>
      <c r="F283" s="114"/>
      <c r="G283" s="114"/>
      <c r="H283" s="114"/>
      <c r="I283" s="114"/>
      <c r="J283" s="114"/>
      <c r="K283" s="114"/>
      <c r="L283" s="114"/>
      <c r="M283" s="114"/>
      <c r="N283" s="114"/>
      <c r="O283" s="114"/>
      <c r="P283" s="114"/>
      <c r="Q283" s="114"/>
      <c r="R283" s="114"/>
      <c r="S283" s="114"/>
      <c r="T283" s="114"/>
      <c r="U283" s="114"/>
      <c r="V283" s="114"/>
      <c r="W283" s="114"/>
      <c r="X283" s="114"/>
      <c r="Y283" s="114"/>
      <c r="Z283" s="114"/>
    </row>
    <row r="284">
      <c r="A284" s="1"/>
      <c r="C284" s="113"/>
      <c r="E284" s="113"/>
      <c r="F284" s="114"/>
      <c r="G284" s="114"/>
      <c r="H284" s="114"/>
      <c r="I284" s="114"/>
      <c r="J284" s="114"/>
      <c r="K284" s="114"/>
      <c r="L284" s="114"/>
      <c r="M284" s="114"/>
      <c r="N284" s="114"/>
      <c r="O284" s="114"/>
      <c r="P284" s="114"/>
      <c r="Q284" s="114"/>
      <c r="R284" s="114"/>
      <c r="S284" s="114"/>
      <c r="T284" s="114"/>
      <c r="U284" s="114"/>
      <c r="V284" s="114"/>
      <c r="W284" s="114"/>
      <c r="X284" s="114"/>
      <c r="Y284" s="114"/>
      <c r="Z284" s="114"/>
    </row>
    <row r="285">
      <c r="A285" s="1"/>
      <c r="C285" s="113"/>
      <c r="E285" s="113"/>
      <c r="F285" s="114"/>
      <c r="G285" s="114"/>
      <c r="H285" s="114"/>
      <c r="I285" s="114"/>
      <c r="J285" s="114"/>
      <c r="K285" s="114"/>
      <c r="L285" s="114"/>
      <c r="M285" s="114"/>
      <c r="N285" s="114"/>
      <c r="O285" s="114"/>
      <c r="P285" s="114"/>
      <c r="Q285" s="114"/>
      <c r="R285" s="114"/>
      <c r="S285" s="114"/>
      <c r="T285" s="114"/>
      <c r="U285" s="114"/>
      <c r="V285" s="114"/>
      <c r="W285" s="114"/>
      <c r="X285" s="114"/>
      <c r="Y285" s="114"/>
      <c r="Z285" s="114"/>
    </row>
    <row r="286">
      <c r="A286" s="1"/>
      <c r="C286" s="113"/>
      <c r="E286" s="113"/>
      <c r="F286" s="114"/>
      <c r="G286" s="114"/>
      <c r="H286" s="114"/>
      <c r="I286" s="114"/>
      <c r="J286" s="114"/>
      <c r="K286" s="114"/>
      <c r="L286" s="114"/>
      <c r="M286" s="114"/>
      <c r="N286" s="114"/>
      <c r="O286" s="114"/>
      <c r="P286" s="114"/>
      <c r="Q286" s="114"/>
      <c r="R286" s="114"/>
      <c r="S286" s="114"/>
      <c r="T286" s="114"/>
      <c r="U286" s="114"/>
      <c r="V286" s="114"/>
      <c r="W286" s="114"/>
      <c r="X286" s="114"/>
      <c r="Y286" s="114"/>
      <c r="Z286" s="114"/>
    </row>
    <row r="287">
      <c r="A287" s="1"/>
      <c r="C287" s="113"/>
      <c r="E287" s="113"/>
      <c r="F287" s="114"/>
      <c r="G287" s="114"/>
      <c r="H287" s="114"/>
      <c r="I287" s="114"/>
      <c r="J287" s="114"/>
      <c r="K287" s="114"/>
      <c r="L287" s="114"/>
      <c r="M287" s="114"/>
      <c r="N287" s="114"/>
      <c r="O287" s="114"/>
      <c r="P287" s="114"/>
      <c r="Q287" s="114"/>
      <c r="R287" s="114"/>
      <c r="S287" s="114"/>
      <c r="T287" s="114"/>
      <c r="U287" s="114"/>
      <c r="V287" s="114"/>
      <c r="W287" s="114"/>
      <c r="X287" s="114"/>
      <c r="Y287" s="114"/>
      <c r="Z287" s="114"/>
    </row>
    <row r="288">
      <c r="A288" s="1"/>
      <c r="C288" s="113"/>
      <c r="E288" s="113"/>
      <c r="F288" s="114"/>
      <c r="G288" s="114"/>
      <c r="H288" s="114"/>
      <c r="I288" s="114"/>
      <c r="J288" s="114"/>
      <c r="K288" s="114"/>
      <c r="L288" s="114"/>
      <c r="M288" s="114"/>
      <c r="N288" s="114"/>
      <c r="O288" s="114"/>
      <c r="P288" s="114"/>
      <c r="Q288" s="114"/>
      <c r="R288" s="114"/>
      <c r="S288" s="114"/>
      <c r="T288" s="114"/>
      <c r="U288" s="114"/>
      <c r="V288" s="114"/>
      <c r="W288" s="114"/>
      <c r="X288" s="114"/>
      <c r="Y288" s="114"/>
      <c r="Z288" s="114"/>
    </row>
    <row r="289">
      <c r="A289" s="1"/>
      <c r="C289" s="113"/>
      <c r="E289" s="113"/>
      <c r="F289" s="114"/>
      <c r="G289" s="114"/>
      <c r="H289" s="114"/>
      <c r="I289" s="114"/>
      <c r="J289" s="114"/>
      <c r="K289" s="114"/>
      <c r="L289" s="114"/>
      <c r="M289" s="114"/>
      <c r="N289" s="114"/>
      <c r="O289" s="114"/>
      <c r="P289" s="114"/>
      <c r="Q289" s="114"/>
      <c r="R289" s="114"/>
      <c r="S289" s="114"/>
      <c r="T289" s="114"/>
      <c r="U289" s="114"/>
      <c r="V289" s="114"/>
      <c r="W289" s="114"/>
      <c r="X289" s="114"/>
      <c r="Y289" s="114"/>
      <c r="Z289" s="114"/>
    </row>
    <row r="290">
      <c r="A290" s="1"/>
      <c r="C290" s="113"/>
      <c r="E290" s="113"/>
      <c r="F290" s="114"/>
      <c r="G290" s="114"/>
      <c r="H290" s="114"/>
      <c r="I290" s="114"/>
      <c r="J290" s="114"/>
      <c r="K290" s="114"/>
      <c r="L290" s="114"/>
      <c r="M290" s="114"/>
      <c r="N290" s="114"/>
      <c r="O290" s="114"/>
      <c r="P290" s="114"/>
      <c r="Q290" s="114"/>
      <c r="R290" s="114"/>
      <c r="S290" s="114"/>
      <c r="T290" s="114"/>
      <c r="U290" s="114"/>
      <c r="V290" s="114"/>
      <c r="W290" s="114"/>
      <c r="X290" s="114"/>
      <c r="Y290" s="114"/>
      <c r="Z290" s="114"/>
    </row>
    <row r="291">
      <c r="A291" s="1"/>
      <c r="C291" s="113"/>
      <c r="E291" s="113"/>
      <c r="F291" s="114"/>
      <c r="G291" s="114"/>
      <c r="H291" s="114"/>
      <c r="I291" s="114"/>
      <c r="J291" s="114"/>
      <c r="K291" s="114"/>
      <c r="L291" s="114"/>
      <c r="M291" s="114"/>
      <c r="N291" s="114"/>
      <c r="O291" s="114"/>
      <c r="P291" s="114"/>
      <c r="Q291" s="114"/>
      <c r="R291" s="114"/>
      <c r="S291" s="114"/>
      <c r="T291" s="114"/>
      <c r="U291" s="114"/>
      <c r="V291" s="114"/>
      <c r="W291" s="114"/>
      <c r="X291" s="114"/>
      <c r="Y291" s="114"/>
      <c r="Z291" s="114"/>
    </row>
    <row r="292">
      <c r="A292" s="1"/>
      <c r="C292" s="113"/>
      <c r="E292" s="113"/>
      <c r="F292" s="114"/>
      <c r="G292" s="114"/>
      <c r="H292" s="114"/>
      <c r="I292" s="114"/>
      <c r="J292" s="114"/>
      <c r="K292" s="114"/>
      <c r="L292" s="114"/>
      <c r="M292" s="114"/>
      <c r="N292" s="114"/>
      <c r="O292" s="114"/>
      <c r="P292" s="114"/>
      <c r="Q292" s="114"/>
      <c r="R292" s="114"/>
      <c r="S292" s="114"/>
      <c r="T292" s="114"/>
      <c r="U292" s="114"/>
      <c r="V292" s="114"/>
      <c r="W292" s="114"/>
      <c r="X292" s="114"/>
      <c r="Y292" s="114"/>
      <c r="Z292" s="114"/>
    </row>
    <row r="293">
      <c r="A293" s="1"/>
      <c r="C293" s="113"/>
      <c r="E293" s="113"/>
      <c r="F293" s="114"/>
      <c r="G293" s="114"/>
      <c r="H293" s="114"/>
      <c r="I293" s="114"/>
      <c r="J293" s="114"/>
      <c r="K293" s="114"/>
      <c r="L293" s="114"/>
      <c r="M293" s="114"/>
      <c r="N293" s="114"/>
      <c r="O293" s="114"/>
      <c r="P293" s="114"/>
      <c r="Q293" s="114"/>
      <c r="R293" s="114"/>
      <c r="S293" s="114"/>
      <c r="T293" s="114"/>
      <c r="U293" s="114"/>
      <c r="V293" s="114"/>
      <c r="W293" s="114"/>
      <c r="X293" s="114"/>
      <c r="Y293" s="114"/>
      <c r="Z293" s="114"/>
    </row>
    <row r="294">
      <c r="A294" s="1"/>
      <c r="C294" s="113"/>
      <c r="E294" s="113"/>
      <c r="F294" s="114"/>
      <c r="G294" s="114"/>
      <c r="H294" s="114"/>
      <c r="I294" s="114"/>
      <c r="J294" s="114"/>
      <c r="K294" s="114"/>
      <c r="L294" s="114"/>
      <c r="M294" s="114"/>
      <c r="N294" s="114"/>
      <c r="O294" s="114"/>
      <c r="P294" s="114"/>
      <c r="Q294" s="114"/>
      <c r="R294" s="114"/>
      <c r="S294" s="114"/>
      <c r="T294" s="114"/>
      <c r="U294" s="114"/>
      <c r="V294" s="114"/>
      <c r="W294" s="114"/>
      <c r="X294" s="114"/>
      <c r="Y294" s="114"/>
      <c r="Z294" s="114"/>
    </row>
    <row r="295">
      <c r="A295" s="1"/>
      <c r="C295" s="113"/>
      <c r="E295" s="113"/>
      <c r="F295" s="114"/>
      <c r="G295" s="114"/>
      <c r="H295" s="114"/>
      <c r="I295" s="114"/>
      <c r="J295" s="114"/>
      <c r="K295" s="114"/>
      <c r="L295" s="114"/>
      <c r="M295" s="114"/>
      <c r="N295" s="114"/>
      <c r="O295" s="114"/>
      <c r="P295" s="114"/>
      <c r="Q295" s="114"/>
      <c r="R295" s="114"/>
      <c r="S295" s="114"/>
      <c r="T295" s="114"/>
      <c r="U295" s="114"/>
      <c r="V295" s="114"/>
      <c r="W295" s="114"/>
      <c r="X295" s="114"/>
      <c r="Y295" s="114"/>
      <c r="Z295" s="114"/>
    </row>
    <row r="296">
      <c r="A296" s="1"/>
      <c r="C296" s="113"/>
      <c r="E296" s="113"/>
      <c r="F296" s="114"/>
      <c r="G296" s="114"/>
      <c r="H296" s="114"/>
      <c r="I296" s="114"/>
      <c r="J296" s="114"/>
      <c r="K296" s="114"/>
      <c r="L296" s="114"/>
      <c r="M296" s="114"/>
      <c r="N296" s="114"/>
      <c r="O296" s="114"/>
      <c r="P296" s="114"/>
      <c r="Q296" s="114"/>
      <c r="R296" s="114"/>
      <c r="S296" s="114"/>
      <c r="T296" s="114"/>
      <c r="U296" s="114"/>
      <c r="V296" s="114"/>
      <c r="W296" s="114"/>
      <c r="X296" s="114"/>
      <c r="Y296" s="114"/>
      <c r="Z296" s="114"/>
    </row>
    <row r="297">
      <c r="A297" s="1"/>
      <c r="C297" s="113"/>
      <c r="E297" s="113"/>
      <c r="F297" s="114"/>
      <c r="G297" s="114"/>
      <c r="H297" s="114"/>
      <c r="I297" s="114"/>
      <c r="J297" s="114"/>
      <c r="K297" s="114"/>
      <c r="L297" s="114"/>
      <c r="M297" s="114"/>
      <c r="N297" s="114"/>
      <c r="O297" s="114"/>
      <c r="P297" s="114"/>
      <c r="Q297" s="114"/>
      <c r="R297" s="114"/>
      <c r="S297" s="114"/>
      <c r="T297" s="114"/>
      <c r="U297" s="114"/>
      <c r="V297" s="114"/>
      <c r="W297" s="114"/>
      <c r="X297" s="114"/>
      <c r="Y297" s="114"/>
      <c r="Z297" s="114"/>
    </row>
    <row r="298">
      <c r="A298" s="1"/>
      <c r="C298" s="113"/>
      <c r="E298" s="113"/>
      <c r="F298" s="114"/>
      <c r="G298" s="114"/>
      <c r="H298" s="114"/>
      <c r="I298" s="114"/>
      <c r="J298" s="114"/>
      <c r="K298" s="114"/>
      <c r="L298" s="114"/>
      <c r="M298" s="114"/>
      <c r="N298" s="114"/>
      <c r="O298" s="114"/>
      <c r="P298" s="114"/>
      <c r="Q298" s="114"/>
      <c r="R298" s="114"/>
      <c r="S298" s="114"/>
      <c r="T298" s="114"/>
      <c r="U298" s="114"/>
      <c r="V298" s="114"/>
      <c r="W298" s="114"/>
      <c r="X298" s="114"/>
      <c r="Y298" s="114"/>
      <c r="Z298" s="114"/>
    </row>
    <row r="299">
      <c r="A299" s="1"/>
      <c r="C299" s="113"/>
      <c r="E299" s="113"/>
      <c r="F299" s="114"/>
      <c r="G299" s="114"/>
      <c r="H299" s="114"/>
      <c r="I299" s="114"/>
      <c r="J299" s="114"/>
      <c r="K299" s="114"/>
      <c r="L299" s="114"/>
      <c r="M299" s="114"/>
      <c r="N299" s="114"/>
      <c r="O299" s="114"/>
      <c r="P299" s="114"/>
      <c r="Q299" s="114"/>
      <c r="R299" s="114"/>
      <c r="S299" s="114"/>
      <c r="T299" s="114"/>
      <c r="U299" s="114"/>
      <c r="V299" s="114"/>
      <c r="W299" s="114"/>
      <c r="X299" s="114"/>
      <c r="Y299" s="114"/>
      <c r="Z299" s="114"/>
    </row>
    <row r="300">
      <c r="A300" s="1"/>
      <c r="C300" s="113"/>
      <c r="E300" s="113"/>
      <c r="F300" s="114"/>
      <c r="G300" s="114"/>
      <c r="H300" s="114"/>
      <c r="I300" s="114"/>
      <c r="J300" s="114"/>
      <c r="K300" s="114"/>
      <c r="L300" s="114"/>
      <c r="M300" s="114"/>
      <c r="N300" s="114"/>
      <c r="O300" s="114"/>
      <c r="P300" s="114"/>
      <c r="Q300" s="114"/>
      <c r="R300" s="114"/>
      <c r="S300" s="114"/>
      <c r="T300" s="114"/>
      <c r="U300" s="114"/>
      <c r="V300" s="114"/>
      <c r="W300" s="114"/>
      <c r="X300" s="114"/>
      <c r="Y300" s="114"/>
      <c r="Z300" s="114"/>
    </row>
    <row r="301">
      <c r="A301" s="1"/>
      <c r="C301" s="113"/>
      <c r="E301" s="113"/>
      <c r="F301" s="114"/>
      <c r="G301" s="114"/>
      <c r="H301" s="114"/>
      <c r="I301" s="114"/>
      <c r="J301" s="114"/>
      <c r="K301" s="114"/>
      <c r="L301" s="114"/>
      <c r="M301" s="114"/>
      <c r="N301" s="114"/>
      <c r="O301" s="114"/>
      <c r="P301" s="114"/>
      <c r="Q301" s="114"/>
      <c r="R301" s="114"/>
      <c r="S301" s="114"/>
      <c r="T301" s="114"/>
      <c r="U301" s="114"/>
      <c r="V301" s="114"/>
      <c r="W301" s="114"/>
      <c r="X301" s="114"/>
      <c r="Y301" s="114"/>
      <c r="Z301" s="114"/>
    </row>
    <row r="302">
      <c r="A302" s="1"/>
      <c r="C302" s="113"/>
      <c r="E302" s="113"/>
      <c r="F302" s="114"/>
      <c r="G302" s="114"/>
      <c r="H302" s="114"/>
      <c r="I302" s="114"/>
      <c r="J302" s="114"/>
      <c r="K302" s="114"/>
      <c r="L302" s="114"/>
      <c r="M302" s="114"/>
      <c r="N302" s="114"/>
      <c r="O302" s="114"/>
      <c r="P302" s="114"/>
      <c r="Q302" s="114"/>
      <c r="R302" s="114"/>
      <c r="S302" s="114"/>
      <c r="T302" s="114"/>
      <c r="U302" s="114"/>
      <c r="V302" s="114"/>
      <c r="W302" s="114"/>
      <c r="X302" s="114"/>
      <c r="Y302" s="114"/>
      <c r="Z302" s="114"/>
    </row>
    <row r="303">
      <c r="A303" s="1"/>
      <c r="C303" s="113"/>
      <c r="E303" s="113"/>
      <c r="F303" s="114"/>
      <c r="G303" s="114"/>
      <c r="H303" s="114"/>
      <c r="I303" s="114"/>
      <c r="J303" s="114"/>
      <c r="K303" s="114"/>
      <c r="L303" s="114"/>
      <c r="M303" s="114"/>
      <c r="N303" s="114"/>
      <c r="O303" s="114"/>
      <c r="P303" s="114"/>
      <c r="Q303" s="114"/>
      <c r="R303" s="114"/>
      <c r="S303" s="114"/>
      <c r="T303" s="114"/>
      <c r="U303" s="114"/>
      <c r="V303" s="114"/>
      <c r="W303" s="114"/>
      <c r="X303" s="114"/>
      <c r="Y303" s="114"/>
      <c r="Z303" s="114"/>
    </row>
    <row r="304">
      <c r="A304" s="1"/>
      <c r="C304" s="113"/>
      <c r="E304" s="113"/>
      <c r="F304" s="114"/>
      <c r="G304" s="114"/>
      <c r="H304" s="114"/>
      <c r="I304" s="114"/>
      <c r="J304" s="114"/>
      <c r="K304" s="114"/>
      <c r="L304" s="114"/>
      <c r="M304" s="114"/>
      <c r="N304" s="114"/>
      <c r="O304" s="114"/>
      <c r="P304" s="114"/>
      <c r="Q304" s="114"/>
      <c r="R304" s="114"/>
      <c r="S304" s="114"/>
      <c r="T304" s="114"/>
      <c r="U304" s="114"/>
      <c r="V304" s="114"/>
      <c r="W304" s="114"/>
      <c r="X304" s="114"/>
      <c r="Y304" s="114"/>
      <c r="Z304" s="114"/>
    </row>
    <row r="305">
      <c r="A305" s="1"/>
      <c r="C305" s="113"/>
      <c r="E305" s="113"/>
      <c r="F305" s="114"/>
      <c r="G305" s="114"/>
      <c r="H305" s="114"/>
      <c r="I305" s="114"/>
      <c r="J305" s="114"/>
      <c r="K305" s="114"/>
      <c r="L305" s="114"/>
      <c r="M305" s="114"/>
      <c r="N305" s="114"/>
      <c r="O305" s="114"/>
      <c r="P305" s="114"/>
      <c r="Q305" s="114"/>
      <c r="R305" s="114"/>
      <c r="S305" s="114"/>
      <c r="T305" s="114"/>
      <c r="U305" s="114"/>
      <c r="V305" s="114"/>
      <c r="W305" s="114"/>
      <c r="X305" s="114"/>
      <c r="Y305" s="114"/>
      <c r="Z305" s="114"/>
    </row>
    <row r="306">
      <c r="A306" s="1"/>
      <c r="C306" s="113"/>
      <c r="E306" s="113"/>
      <c r="F306" s="114"/>
      <c r="G306" s="114"/>
      <c r="H306" s="114"/>
      <c r="I306" s="114"/>
      <c r="J306" s="114"/>
      <c r="K306" s="114"/>
      <c r="L306" s="114"/>
      <c r="M306" s="114"/>
      <c r="N306" s="114"/>
      <c r="O306" s="114"/>
      <c r="P306" s="114"/>
      <c r="Q306" s="114"/>
      <c r="R306" s="114"/>
      <c r="S306" s="114"/>
      <c r="T306" s="114"/>
      <c r="U306" s="114"/>
      <c r="V306" s="114"/>
      <c r="W306" s="114"/>
      <c r="X306" s="114"/>
      <c r="Y306" s="114"/>
      <c r="Z306" s="114"/>
    </row>
    <row r="307">
      <c r="A307" s="1"/>
      <c r="C307" s="113"/>
      <c r="E307" s="113"/>
      <c r="F307" s="114"/>
      <c r="G307" s="114"/>
      <c r="H307" s="114"/>
      <c r="I307" s="114"/>
      <c r="J307" s="114"/>
      <c r="K307" s="114"/>
      <c r="L307" s="114"/>
      <c r="M307" s="114"/>
      <c r="N307" s="114"/>
      <c r="O307" s="114"/>
      <c r="P307" s="114"/>
      <c r="Q307" s="114"/>
      <c r="R307" s="114"/>
      <c r="S307" s="114"/>
      <c r="T307" s="114"/>
      <c r="U307" s="114"/>
      <c r="V307" s="114"/>
      <c r="W307" s="114"/>
      <c r="X307" s="114"/>
      <c r="Y307" s="114"/>
      <c r="Z307" s="114"/>
    </row>
    <row r="308">
      <c r="A308" s="1"/>
      <c r="C308" s="113"/>
      <c r="E308" s="113"/>
      <c r="F308" s="114"/>
      <c r="G308" s="114"/>
      <c r="H308" s="114"/>
      <c r="I308" s="114"/>
      <c r="J308" s="114"/>
      <c r="K308" s="114"/>
      <c r="L308" s="114"/>
      <c r="M308" s="114"/>
      <c r="N308" s="114"/>
      <c r="O308" s="114"/>
      <c r="P308" s="114"/>
      <c r="Q308" s="114"/>
      <c r="R308" s="114"/>
      <c r="S308" s="114"/>
      <c r="T308" s="114"/>
      <c r="U308" s="114"/>
      <c r="V308" s="114"/>
      <c r="W308" s="114"/>
      <c r="X308" s="114"/>
      <c r="Y308" s="114"/>
      <c r="Z308" s="114"/>
    </row>
    <row r="309">
      <c r="A309" s="1"/>
      <c r="C309" s="113"/>
      <c r="E309" s="113"/>
      <c r="F309" s="114"/>
      <c r="G309" s="114"/>
      <c r="H309" s="114"/>
      <c r="I309" s="114"/>
      <c r="J309" s="114"/>
      <c r="K309" s="114"/>
      <c r="L309" s="114"/>
      <c r="M309" s="114"/>
      <c r="N309" s="114"/>
      <c r="O309" s="114"/>
      <c r="P309" s="114"/>
      <c r="Q309" s="114"/>
      <c r="R309" s="114"/>
      <c r="S309" s="114"/>
      <c r="T309" s="114"/>
      <c r="U309" s="114"/>
      <c r="V309" s="114"/>
      <c r="W309" s="114"/>
      <c r="X309" s="114"/>
      <c r="Y309" s="114"/>
      <c r="Z309" s="114"/>
    </row>
    <row r="310">
      <c r="A310" s="1"/>
      <c r="C310" s="113"/>
      <c r="E310" s="113"/>
      <c r="F310" s="114"/>
      <c r="G310" s="114"/>
      <c r="H310" s="114"/>
      <c r="I310" s="114"/>
      <c r="J310" s="114"/>
      <c r="K310" s="114"/>
      <c r="L310" s="114"/>
      <c r="M310" s="114"/>
      <c r="N310" s="114"/>
      <c r="O310" s="114"/>
      <c r="P310" s="114"/>
      <c r="Q310" s="114"/>
      <c r="R310" s="114"/>
      <c r="S310" s="114"/>
      <c r="T310" s="114"/>
      <c r="U310" s="114"/>
      <c r="V310" s="114"/>
      <c r="W310" s="114"/>
      <c r="X310" s="114"/>
      <c r="Y310" s="114"/>
      <c r="Z310" s="114"/>
    </row>
    <row r="311">
      <c r="A311" s="1"/>
      <c r="C311" s="113"/>
      <c r="E311" s="113"/>
      <c r="F311" s="114"/>
      <c r="G311" s="114"/>
      <c r="H311" s="114"/>
      <c r="I311" s="114"/>
      <c r="J311" s="114"/>
      <c r="K311" s="114"/>
      <c r="L311" s="114"/>
      <c r="M311" s="114"/>
      <c r="N311" s="114"/>
      <c r="O311" s="114"/>
      <c r="P311" s="114"/>
      <c r="Q311" s="114"/>
      <c r="R311" s="114"/>
      <c r="S311" s="114"/>
      <c r="T311" s="114"/>
      <c r="U311" s="114"/>
      <c r="V311" s="114"/>
      <c r="W311" s="114"/>
      <c r="X311" s="114"/>
      <c r="Y311" s="114"/>
      <c r="Z311" s="114"/>
    </row>
    <row r="312">
      <c r="A312" s="1"/>
      <c r="C312" s="113"/>
      <c r="E312" s="113"/>
      <c r="F312" s="114"/>
      <c r="G312" s="114"/>
      <c r="H312" s="114"/>
      <c r="I312" s="114"/>
      <c r="J312" s="114"/>
      <c r="K312" s="114"/>
      <c r="L312" s="114"/>
      <c r="M312" s="114"/>
      <c r="N312" s="114"/>
      <c r="O312" s="114"/>
      <c r="P312" s="114"/>
      <c r="Q312" s="114"/>
      <c r="R312" s="114"/>
      <c r="S312" s="114"/>
      <c r="T312" s="114"/>
      <c r="U312" s="114"/>
      <c r="V312" s="114"/>
      <c r="W312" s="114"/>
      <c r="X312" s="114"/>
      <c r="Y312" s="114"/>
      <c r="Z312" s="114"/>
    </row>
    <row r="313">
      <c r="A313" s="1"/>
      <c r="C313" s="113"/>
      <c r="E313" s="113"/>
      <c r="F313" s="114"/>
      <c r="G313" s="114"/>
      <c r="H313" s="114"/>
      <c r="I313" s="114"/>
      <c r="J313" s="114"/>
      <c r="K313" s="114"/>
      <c r="L313" s="114"/>
      <c r="M313" s="114"/>
      <c r="N313" s="114"/>
      <c r="O313" s="114"/>
      <c r="P313" s="114"/>
      <c r="Q313" s="114"/>
      <c r="R313" s="114"/>
      <c r="S313" s="114"/>
      <c r="T313" s="114"/>
      <c r="U313" s="114"/>
      <c r="V313" s="114"/>
      <c r="W313" s="114"/>
      <c r="X313" s="114"/>
      <c r="Y313" s="114"/>
      <c r="Z313" s="114"/>
    </row>
    <row r="314">
      <c r="A314" s="1"/>
      <c r="C314" s="113"/>
      <c r="E314" s="113"/>
      <c r="F314" s="114"/>
      <c r="G314" s="114"/>
      <c r="H314" s="114"/>
      <c r="I314" s="114"/>
      <c r="J314" s="114"/>
      <c r="K314" s="114"/>
      <c r="L314" s="114"/>
      <c r="M314" s="114"/>
      <c r="N314" s="114"/>
      <c r="O314" s="114"/>
      <c r="P314" s="114"/>
      <c r="Q314" s="114"/>
      <c r="R314" s="114"/>
      <c r="S314" s="114"/>
      <c r="T314" s="114"/>
      <c r="U314" s="114"/>
      <c r="V314" s="114"/>
      <c r="W314" s="114"/>
      <c r="X314" s="114"/>
      <c r="Y314" s="114"/>
      <c r="Z314" s="114"/>
    </row>
    <row r="315">
      <c r="A315" s="1"/>
      <c r="C315" s="113"/>
      <c r="E315" s="113"/>
      <c r="F315" s="114"/>
      <c r="G315" s="114"/>
      <c r="H315" s="114"/>
      <c r="I315" s="114"/>
      <c r="J315" s="114"/>
      <c r="K315" s="114"/>
      <c r="L315" s="114"/>
      <c r="M315" s="114"/>
      <c r="N315" s="114"/>
      <c r="O315" s="114"/>
      <c r="P315" s="114"/>
      <c r="Q315" s="114"/>
      <c r="R315" s="114"/>
      <c r="S315" s="114"/>
      <c r="T315" s="114"/>
      <c r="U315" s="114"/>
      <c r="V315" s="114"/>
      <c r="W315" s="114"/>
      <c r="X315" s="114"/>
      <c r="Y315" s="114"/>
      <c r="Z315" s="114"/>
    </row>
    <row r="316">
      <c r="A316" s="1"/>
      <c r="C316" s="113"/>
      <c r="E316" s="113"/>
      <c r="F316" s="114"/>
      <c r="G316" s="114"/>
      <c r="H316" s="114"/>
      <c r="I316" s="114"/>
      <c r="J316" s="114"/>
      <c r="K316" s="114"/>
      <c r="L316" s="114"/>
      <c r="M316" s="114"/>
      <c r="N316" s="114"/>
      <c r="O316" s="114"/>
      <c r="P316" s="114"/>
      <c r="Q316" s="114"/>
      <c r="R316" s="114"/>
      <c r="S316" s="114"/>
      <c r="T316" s="114"/>
      <c r="U316" s="114"/>
      <c r="V316" s="114"/>
      <c r="W316" s="114"/>
      <c r="X316" s="114"/>
      <c r="Y316" s="114"/>
      <c r="Z316" s="114"/>
    </row>
    <row r="317">
      <c r="A317" s="1"/>
      <c r="C317" s="113"/>
      <c r="E317" s="113"/>
      <c r="F317" s="114"/>
      <c r="G317" s="114"/>
      <c r="H317" s="114"/>
      <c r="I317" s="114"/>
      <c r="J317" s="114"/>
      <c r="K317" s="114"/>
      <c r="L317" s="114"/>
      <c r="M317" s="114"/>
      <c r="N317" s="114"/>
      <c r="O317" s="114"/>
      <c r="P317" s="114"/>
      <c r="Q317" s="114"/>
      <c r="R317" s="114"/>
      <c r="S317" s="114"/>
      <c r="T317" s="114"/>
      <c r="U317" s="114"/>
      <c r="V317" s="114"/>
      <c r="W317" s="114"/>
      <c r="X317" s="114"/>
      <c r="Y317" s="114"/>
      <c r="Z317" s="114"/>
    </row>
    <row r="318">
      <c r="A318" s="1"/>
      <c r="C318" s="113"/>
      <c r="E318" s="113"/>
      <c r="F318" s="114"/>
      <c r="G318" s="114"/>
      <c r="H318" s="114"/>
      <c r="I318" s="114"/>
      <c r="J318" s="114"/>
      <c r="K318" s="114"/>
      <c r="L318" s="114"/>
      <c r="M318" s="114"/>
      <c r="N318" s="114"/>
      <c r="O318" s="114"/>
      <c r="P318" s="114"/>
      <c r="Q318" s="114"/>
      <c r="R318" s="114"/>
      <c r="S318" s="114"/>
      <c r="T318" s="114"/>
      <c r="U318" s="114"/>
      <c r="V318" s="114"/>
      <c r="W318" s="114"/>
      <c r="X318" s="114"/>
      <c r="Y318" s="114"/>
      <c r="Z318" s="114"/>
    </row>
    <row r="319">
      <c r="A319" s="1"/>
      <c r="C319" s="113"/>
      <c r="E319" s="113"/>
      <c r="F319" s="114"/>
      <c r="G319" s="114"/>
      <c r="H319" s="114"/>
      <c r="I319" s="114"/>
      <c r="J319" s="114"/>
      <c r="K319" s="114"/>
      <c r="L319" s="114"/>
      <c r="M319" s="114"/>
      <c r="N319" s="114"/>
      <c r="O319" s="114"/>
      <c r="P319" s="114"/>
      <c r="Q319" s="114"/>
      <c r="R319" s="114"/>
      <c r="S319" s="114"/>
      <c r="T319" s="114"/>
      <c r="U319" s="114"/>
      <c r="V319" s="114"/>
      <c r="W319" s="114"/>
      <c r="X319" s="114"/>
      <c r="Y319" s="114"/>
      <c r="Z319" s="114"/>
    </row>
    <row r="320">
      <c r="A320" s="1"/>
      <c r="C320" s="113"/>
      <c r="E320" s="113"/>
      <c r="F320" s="114"/>
      <c r="G320" s="114"/>
      <c r="H320" s="114"/>
      <c r="I320" s="114"/>
      <c r="J320" s="114"/>
      <c r="K320" s="114"/>
      <c r="L320" s="114"/>
      <c r="M320" s="114"/>
      <c r="N320" s="114"/>
      <c r="O320" s="114"/>
      <c r="P320" s="114"/>
      <c r="Q320" s="114"/>
      <c r="R320" s="114"/>
      <c r="S320" s="114"/>
      <c r="T320" s="114"/>
      <c r="U320" s="114"/>
      <c r="V320" s="114"/>
      <c r="W320" s="114"/>
      <c r="X320" s="114"/>
      <c r="Y320" s="114"/>
      <c r="Z320" s="114"/>
    </row>
    <row r="321">
      <c r="A321" s="1"/>
      <c r="C321" s="113"/>
      <c r="E321" s="113"/>
      <c r="F321" s="114"/>
      <c r="G321" s="114"/>
      <c r="H321" s="114"/>
      <c r="I321" s="114"/>
      <c r="J321" s="114"/>
      <c r="K321" s="114"/>
      <c r="L321" s="114"/>
      <c r="M321" s="114"/>
      <c r="N321" s="114"/>
      <c r="O321" s="114"/>
      <c r="P321" s="114"/>
      <c r="Q321" s="114"/>
      <c r="R321" s="114"/>
      <c r="S321" s="114"/>
      <c r="T321" s="114"/>
      <c r="U321" s="114"/>
      <c r="V321" s="114"/>
      <c r="W321" s="114"/>
      <c r="X321" s="114"/>
      <c r="Y321" s="114"/>
      <c r="Z321" s="114"/>
    </row>
    <row r="322">
      <c r="A322" s="1"/>
      <c r="C322" s="113"/>
      <c r="E322" s="113"/>
      <c r="F322" s="114"/>
      <c r="G322" s="114"/>
      <c r="H322" s="114"/>
      <c r="I322" s="114"/>
      <c r="J322" s="114"/>
      <c r="K322" s="114"/>
      <c r="L322" s="114"/>
      <c r="M322" s="114"/>
      <c r="N322" s="114"/>
      <c r="O322" s="114"/>
      <c r="P322" s="114"/>
      <c r="Q322" s="114"/>
      <c r="R322" s="114"/>
      <c r="S322" s="114"/>
      <c r="T322" s="114"/>
      <c r="U322" s="114"/>
      <c r="V322" s="114"/>
      <c r="W322" s="114"/>
      <c r="X322" s="114"/>
      <c r="Y322" s="114"/>
      <c r="Z322" s="114"/>
    </row>
    <row r="323">
      <c r="A323" s="1"/>
      <c r="C323" s="113"/>
      <c r="E323" s="113"/>
      <c r="F323" s="114"/>
      <c r="G323" s="114"/>
      <c r="H323" s="114"/>
      <c r="I323" s="114"/>
      <c r="J323" s="114"/>
      <c r="K323" s="114"/>
      <c r="L323" s="114"/>
      <c r="M323" s="114"/>
      <c r="N323" s="114"/>
      <c r="O323" s="114"/>
      <c r="P323" s="114"/>
      <c r="Q323" s="114"/>
      <c r="R323" s="114"/>
      <c r="S323" s="114"/>
      <c r="T323" s="114"/>
      <c r="U323" s="114"/>
      <c r="V323" s="114"/>
      <c r="W323" s="114"/>
      <c r="X323" s="114"/>
      <c r="Y323" s="114"/>
      <c r="Z323" s="114"/>
    </row>
    <row r="324">
      <c r="A324" s="1"/>
      <c r="C324" s="113"/>
      <c r="E324" s="113"/>
      <c r="F324" s="114"/>
      <c r="G324" s="114"/>
      <c r="H324" s="114"/>
      <c r="I324" s="114"/>
      <c r="J324" s="114"/>
      <c r="K324" s="114"/>
      <c r="L324" s="114"/>
      <c r="M324" s="114"/>
      <c r="N324" s="114"/>
      <c r="O324" s="114"/>
      <c r="P324" s="114"/>
      <c r="Q324" s="114"/>
      <c r="R324" s="114"/>
      <c r="S324" s="114"/>
      <c r="T324" s="114"/>
      <c r="U324" s="114"/>
      <c r="V324" s="114"/>
      <c r="W324" s="114"/>
      <c r="X324" s="114"/>
      <c r="Y324" s="114"/>
      <c r="Z324" s="114"/>
    </row>
    <row r="325">
      <c r="A325" s="1"/>
      <c r="C325" s="113"/>
      <c r="E325" s="113"/>
      <c r="F325" s="114"/>
      <c r="G325" s="114"/>
      <c r="H325" s="114"/>
      <c r="I325" s="114"/>
      <c r="J325" s="114"/>
      <c r="K325" s="114"/>
      <c r="L325" s="114"/>
      <c r="M325" s="114"/>
      <c r="N325" s="114"/>
      <c r="O325" s="114"/>
      <c r="P325" s="114"/>
      <c r="Q325" s="114"/>
      <c r="R325" s="114"/>
      <c r="S325" s="114"/>
      <c r="T325" s="114"/>
      <c r="U325" s="114"/>
      <c r="V325" s="114"/>
      <c r="W325" s="114"/>
      <c r="X325" s="114"/>
      <c r="Y325" s="114"/>
      <c r="Z325" s="114"/>
    </row>
    <row r="326">
      <c r="A326" s="1"/>
      <c r="C326" s="113"/>
      <c r="E326" s="113"/>
      <c r="F326" s="114"/>
      <c r="G326" s="114"/>
      <c r="H326" s="114"/>
      <c r="I326" s="114"/>
      <c r="J326" s="114"/>
      <c r="K326" s="114"/>
      <c r="L326" s="114"/>
      <c r="M326" s="114"/>
      <c r="N326" s="114"/>
      <c r="O326" s="114"/>
      <c r="P326" s="114"/>
      <c r="Q326" s="114"/>
      <c r="R326" s="114"/>
      <c r="S326" s="114"/>
      <c r="T326" s="114"/>
      <c r="U326" s="114"/>
      <c r="V326" s="114"/>
      <c r="W326" s="114"/>
      <c r="X326" s="114"/>
      <c r="Y326" s="114"/>
      <c r="Z326" s="114"/>
    </row>
    <row r="327">
      <c r="A327" s="1"/>
      <c r="C327" s="113"/>
      <c r="E327" s="113"/>
      <c r="F327" s="114"/>
      <c r="G327" s="114"/>
      <c r="H327" s="114"/>
      <c r="I327" s="114"/>
      <c r="J327" s="114"/>
      <c r="K327" s="114"/>
      <c r="L327" s="114"/>
      <c r="M327" s="114"/>
      <c r="N327" s="114"/>
      <c r="O327" s="114"/>
      <c r="P327" s="114"/>
      <c r="Q327" s="114"/>
      <c r="R327" s="114"/>
      <c r="S327" s="114"/>
      <c r="T327" s="114"/>
      <c r="U327" s="114"/>
      <c r="V327" s="114"/>
      <c r="W327" s="114"/>
      <c r="X327" s="114"/>
      <c r="Y327" s="114"/>
      <c r="Z327" s="114"/>
    </row>
    <row r="328">
      <c r="A328" s="1"/>
      <c r="C328" s="113"/>
      <c r="E328" s="113"/>
      <c r="F328" s="114"/>
      <c r="G328" s="114"/>
      <c r="H328" s="114"/>
      <c r="I328" s="114"/>
      <c r="J328" s="114"/>
      <c r="K328" s="114"/>
      <c r="L328" s="114"/>
      <c r="M328" s="114"/>
      <c r="N328" s="114"/>
      <c r="O328" s="114"/>
      <c r="P328" s="114"/>
      <c r="Q328" s="114"/>
      <c r="R328" s="114"/>
      <c r="S328" s="114"/>
      <c r="T328" s="114"/>
      <c r="U328" s="114"/>
      <c r="V328" s="114"/>
      <c r="W328" s="114"/>
      <c r="X328" s="114"/>
      <c r="Y328" s="114"/>
      <c r="Z328" s="114"/>
    </row>
    <row r="329">
      <c r="A329" s="1"/>
      <c r="C329" s="113"/>
      <c r="E329" s="113"/>
      <c r="F329" s="114"/>
      <c r="G329" s="114"/>
      <c r="H329" s="114"/>
      <c r="I329" s="114"/>
      <c r="J329" s="114"/>
      <c r="K329" s="114"/>
      <c r="L329" s="114"/>
      <c r="M329" s="114"/>
      <c r="N329" s="114"/>
      <c r="O329" s="114"/>
      <c r="P329" s="114"/>
      <c r="Q329" s="114"/>
      <c r="R329" s="114"/>
      <c r="S329" s="114"/>
      <c r="T329" s="114"/>
      <c r="U329" s="114"/>
      <c r="V329" s="114"/>
      <c r="W329" s="114"/>
      <c r="X329" s="114"/>
      <c r="Y329" s="114"/>
      <c r="Z329" s="114"/>
    </row>
    <row r="330">
      <c r="A330" s="1"/>
      <c r="C330" s="113"/>
      <c r="E330" s="113"/>
      <c r="F330" s="114"/>
      <c r="G330" s="114"/>
      <c r="H330" s="114"/>
      <c r="I330" s="114"/>
      <c r="J330" s="114"/>
      <c r="K330" s="114"/>
      <c r="L330" s="114"/>
      <c r="M330" s="114"/>
      <c r="N330" s="114"/>
      <c r="O330" s="114"/>
      <c r="P330" s="114"/>
      <c r="Q330" s="114"/>
      <c r="R330" s="114"/>
      <c r="S330" s="114"/>
      <c r="T330" s="114"/>
      <c r="U330" s="114"/>
      <c r="V330" s="114"/>
      <c r="W330" s="114"/>
      <c r="X330" s="114"/>
      <c r="Y330" s="114"/>
      <c r="Z330" s="114"/>
    </row>
    <row r="331">
      <c r="A331" s="1"/>
      <c r="C331" s="113"/>
      <c r="E331" s="113"/>
      <c r="F331" s="114"/>
      <c r="G331" s="114"/>
      <c r="H331" s="114"/>
      <c r="I331" s="114"/>
      <c r="J331" s="114"/>
      <c r="K331" s="114"/>
      <c r="L331" s="114"/>
      <c r="M331" s="114"/>
      <c r="N331" s="114"/>
      <c r="O331" s="114"/>
      <c r="P331" s="114"/>
      <c r="Q331" s="114"/>
      <c r="R331" s="114"/>
      <c r="S331" s="114"/>
      <c r="T331" s="114"/>
      <c r="U331" s="114"/>
      <c r="V331" s="114"/>
      <c r="W331" s="114"/>
      <c r="X331" s="114"/>
      <c r="Y331" s="114"/>
      <c r="Z331" s="114"/>
    </row>
    <row r="332">
      <c r="A332" s="1"/>
      <c r="C332" s="113"/>
      <c r="E332" s="113"/>
      <c r="F332" s="114"/>
      <c r="G332" s="114"/>
      <c r="H332" s="114"/>
      <c r="I332" s="114"/>
      <c r="J332" s="114"/>
      <c r="K332" s="114"/>
      <c r="L332" s="114"/>
      <c r="M332" s="114"/>
      <c r="N332" s="114"/>
      <c r="O332" s="114"/>
      <c r="P332" s="114"/>
      <c r="Q332" s="114"/>
      <c r="R332" s="114"/>
      <c r="S332" s="114"/>
      <c r="T332" s="114"/>
      <c r="U332" s="114"/>
      <c r="V332" s="114"/>
      <c r="W332" s="114"/>
      <c r="X332" s="114"/>
      <c r="Y332" s="114"/>
      <c r="Z332" s="114"/>
    </row>
    <row r="333">
      <c r="A333" s="1"/>
      <c r="C333" s="113"/>
      <c r="E333" s="113"/>
      <c r="F333" s="114"/>
      <c r="G333" s="114"/>
      <c r="H333" s="114"/>
      <c r="I333" s="114"/>
      <c r="J333" s="114"/>
      <c r="K333" s="114"/>
      <c r="L333" s="114"/>
      <c r="M333" s="114"/>
      <c r="N333" s="114"/>
      <c r="O333" s="114"/>
      <c r="P333" s="114"/>
      <c r="Q333" s="114"/>
      <c r="R333" s="114"/>
      <c r="S333" s="114"/>
      <c r="T333" s="114"/>
      <c r="U333" s="114"/>
      <c r="V333" s="114"/>
      <c r="W333" s="114"/>
      <c r="X333" s="114"/>
      <c r="Y333" s="114"/>
      <c r="Z333" s="114"/>
    </row>
    <row r="334">
      <c r="A334" s="1"/>
      <c r="C334" s="113"/>
      <c r="E334" s="113"/>
      <c r="F334" s="114"/>
      <c r="G334" s="114"/>
      <c r="H334" s="114"/>
      <c r="I334" s="114"/>
      <c r="J334" s="114"/>
      <c r="K334" s="114"/>
      <c r="L334" s="114"/>
      <c r="M334" s="114"/>
      <c r="N334" s="114"/>
      <c r="O334" s="114"/>
      <c r="P334" s="114"/>
      <c r="Q334" s="114"/>
      <c r="R334" s="114"/>
      <c r="S334" s="114"/>
      <c r="T334" s="114"/>
      <c r="U334" s="114"/>
      <c r="V334" s="114"/>
      <c r="W334" s="114"/>
      <c r="X334" s="114"/>
      <c r="Y334" s="114"/>
      <c r="Z334" s="114"/>
    </row>
    <row r="335">
      <c r="A335" s="1"/>
      <c r="C335" s="113"/>
      <c r="E335" s="113"/>
      <c r="F335" s="114"/>
      <c r="G335" s="114"/>
      <c r="H335" s="114"/>
      <c r="I335" s="114"/>
      <c r="J335" s="114"/>
      <c r="K335" s="114"/>
      <c r="L335" s="114"/>
      <c r="M335" s="114"/>
      <c r="N335" s="114"/>
      <c r="O335" s="114"/>
      <c r="P335" s="114"/>
      <c r="Q335" s="114"/>
      <c r="R335" s="114"/>
      <c r="S335" s="114"/>
      <c r="T335" s="114"/>
      <c r="U335" s="114"/>
      <c r="V335" s="114"/>
      <c r="W335" s="114"/>
      <c r="X335" s="114"/>
      <c r="Y335" s="114"/>
      <c r="Z335" s="114"/>
    </row>
    <row r="336">
      <c r="A336" s="1"/>
      <c r="C336" s="113"/>
      <c r="E336" s="113"/>
      <c r="F336" s="114"/>
      <c r="G336" s="114"/>
      <c r="H336" s="114"/>
      <c r="I336" s="114"/>
      <c r="J336" s="114"/>
      <c r="K336" s="114"/>
      <c r="L336" s="114"/>
      <c r="M336" s="114"/>
      <c r="N336" s="114"/>
      <c r="O336" s="114"/>
      <c r="P336" s="114"/>
      <c r="Q336" s="114"/>
      <c r="R336" s="114"/>
      <c r="S336" s="114"/>
      <c r="T336" s="114"/>
      <c r="U336" s="114"/>
      <c r="V336" s="114"/>
      <c r="W336" s="114"/>
      <c r="X336" s="114"/>
      <c r="Y336" s="114"/>
      <c r="Z336" s="114"/>
    </row>
    <row r="337">
      <c r="A337" s="1"/>
      <c r="C337" s="113"/>
      <c r="E337" s="113"/>
      <c r="F337" s="114"/>
      <c r="G337" s="114"/>
      <c r="H337" s="114"/>
      <c r="I337" s="114"/>
      <c r="J337" s="114"/>
      <c r="K337" s="114"/>
      <c r="L337" s="114"/>
      <c r="M337" s="114"/>
      <c r="N337" s="114"/>
      <c r="O337" s="114"/>
      <c r="P337" s="114"/>
      <c r="Q337" s="114"/>
      <c r="R337" s="114"/>
      <c r="S337" s="114"/>
      <c r="T337" s="114"/>
      <c r="U337" s="114"/>
      <c r="V337" s="114"/>
      <c r="W337" s="114"/>
      <c r="X337" s="114"/>
      <c r="Y337" s="114"/>
      <c r="Z337" s="114"/>
    </row>
    <row r="338">
      <c r="A338" s="1"/>
      <c r="C338" s="113"/>
      <c r="E338" s="113"/>
      <c r="F338" s="114"/>
      <c r="G338" s="114"/>
      <c r="H338" s="114"/>
      <c r="I338" s="114"/>
      <c r="J338" s="114"/>
      <c r="K338" s="114"/>
      <c r="L338" s="114"/>
      <c r="M338" s="114"/>
      <c r="N338" s="114"/>
      <c r="O338" s="114"/>
      <c r="P338" s="114"/>
      <c r="Q338" s="114"/>
      <c r="R338" s="114"/>
      <c r="S338" s="114"/>
      <c r="T338" s="114"/>
      <c r="U338" s="114"/>
      <c r="V338" s="114"/>
      <c r="W338" s="114"/>
      <c r="X338" s="114"/>
      <c r="Y338" s="114"/>
      <c r="Z338" s="114"/>
    </row>
    <row r="339">
      <c r="A339" s="1"/>
      <c r="C339" s="113"/>
      <c r="E339" s="113"/>
      <c r="F339" s="114"/>
      <c r="G339" s="114"/>
      <c r="H339" s="114"/>
      <c r="I339" s="114"/>
      <c r="J339" s="114"/>
      <c r="K339" s="114"/>
      <c r="L339" s="114"/>
      <c r="M339" s="114"/>
      <c r="N339" s="114"/>
      <c r="O339" s="114"/>
      <c r="P339" s="114"/>
      <c r="Q339" s="114"/>
      <c r="R339" s="114"/>
      <c r="S339" s="114"/>
      <c r="T339" s="114"/>
      <c r="U339" s="114"/>
      <c r="V339" s="114"/>
      <c r="W339" s="114"/>
      <c r="X339" s="114"/>
      <c r="Y339" s="114"/>
      <c r="Z339" s="114"/>
    </row>
    <row r="340">
      <c r="A340" s="1"/>
      <c r="C340" s="113"/>
      <c r="E340" s="113"/>
      <c r="F340" s="114"/>
      <c r="G340" s="114"/>
      <c r="H340" s="114"/>
      <c r="I340" s="114"/>
      <c r="J340" s="114"/>
      <c r="K340" s="114"/>
      <c r="L340" s="114"/>
      <c r="M340" s="114"/>
      <c r="N340" s="114"/>
      <c r="O340" s="114"/>
      <c r="P340" s="114"/>
      <c r="Q340" s="114"/>
      <c r="R340" s="114"/>
      <c r="S340" s="114"/>
      <c r="T340" s="114"/>
      <c r="U340" s="114"/>
      <c r="V340" s="114"/>
      <c r="W340" s="114"/>
      <c r="X340" s="114"/>
      <c r="Y340" s="114"/>
      <c r="Z340" s="114"/>
    </row>
    <row r="341">
      <c r="A341" s="1"/>
      <c r="C341" s="113"/>
      <c r="E341" s="113"/>
      <c r="F341" s="114"/>
      <c r="G341" s="114"/>
      <c r="H341" s="114"/>
      <c r="I341" s="114"/>
      <c r="J341" s="114"/>
      <c r="K341" s="114"/>
      <c r="L341" s="114"/>
      <c r="M341" s="114"/>
      <c r="N341" s="114"/>
      <c r="O341" s="114"/>
      <c r="P341" s="114"/>
      <c r="Q341" s="114"/>
      <c r="R341" s="114"/>
      <c r="S341" s="114"/>
      <c r="T341" s="114"/>
      <c r="U341" s="114"/>
      <c r="V341" s="114"/>
      <c r="W341" s="114"/>
      <c r="X341" s="114"/>
      <c r="Y341" s="114"/>
      <c r="Z341" s="114"/>
    </row>
    <row r="342">
      <c r="A342" s="1"/>
      <c r="C342" s="113"/>
      <c r="E342" s="113"/>
      <c r="F342" s="114"/>
      <c r="G342" s="114"/>
      <c r="H342" s="114"/>
      <c r="I342" s="114"/>
      <c r="J342" s="114"/>
      <c r="K342" s="114"/>
      <c r="L342" s="114"/>
      <c r="M342" s="114"/>
      <c r="N342" s="114"/>
      <c r="O342" s="114"/>
      <c r="P342" s="114"/>
      <c r="Q342" s="114"/>
      <c r="R342" s="114"/>
      <c r="S342" s="114"/>
      <c r="T342" s="114"/>
      <c r="U342" s="114"/>
      <c r="V342" s="114"/>
      <c r="W342" s="114"/>
      <c r="X342" s="114"/>
      <c r="Y342" s="114"/>
      <c r="Z342" s="114"/>
    </row>
    <row r="343">
      <c r="A343" s="1"/>
      <c r="C343" s="113"/>
      <c r="E343" s="113"/>
      <c r="F343" s="114"/>
      <c r="G343" s="114"/>
      <c r="H343" s="114"/>
      <c r="I343" s="114"/>
      <c r="J343" s="114"/>
      <c r="K343" s="114"/>
      <c r="L343" s="114"/>
      <c r="M343" s="114"/>
      <c r="N343" s="114"/>
      <c r="O343" s="114"/>
      <c r="P343" s="114"/>
      <c r="Q343" s="114"/>
      <c r="R343" s="114"/>
      <c r="S343" s="114"/>
      <c r="T343" s="114"/>
      <c r="U343" s="114"/>
      <c r="V343" s="114"/>
      <c r="W343" s="114"/>
      <c r="X343" s="114"/>
      <c r="Y343" s="114"/>
      <c r="Z343" s="114"/>
    </row>
    <row r="344">
      <c r="A344" s="1"/>
      <c r="C344" s="113"/>
      <c r="E344" s="113"/>
      <c r="F344" s="114"/>
      <c r="G344" s="114"/>
      <c r="H344" s="114"/>
      <c r="I344" s="114"/>
      <c r="J344" s="114"/>
      <c r="K344" s="114"/>
      <c r="L344" s="114"/>
      <c r="M344" s="114"/>
      <c r="N344" s="114"/>
      <c r="O344" s="114"/>
      <c r="P344" s="114"/>
      <c r="Q344" s="114"/>
      <c r="R344" s="114"/>
      <c r="S344" s="114"/>
      <c r="T344" s="114"/>
      <c r="U344" s="114"/>
      <c r="V344" s="114"/>
      <c r="W344" s="114"/>
      <c r="X344" s="114"/>
      <c r="Y344" s="114"/>
      <c r="Z344" s="114"/>
    </row>
    <row r="345">
      <c r="A345" s="1"/>
      <c r="C345" s="113"/>
      <c r="E345" s="113"/>
      <c r="F345" s="114"/>
      <c r="G345" s="114"/>
      <c r="H345" s="114"/>
      <c r="I345" s="114"/>
      <c r="J345" s="114"/>
      <c r="K345" s="114"/>
      <c r="L345" s="114"/>
      <c r="M345" s="114"/>
      <c r="N345" s="114"/>
      <c r="O345" s="114"/>
      <c r="P345" s="114"/>
      <c r="Q345" s="114"/>
      <c r="R345" s="114"/>
      <c r="S345" s="114"/>
      <c r="T345" s="114"/>
      <c r="U345" s="114"/>
      <c r="V345" s="114"/>
      <c r="W345" s="114"/>
      <c r="X345" s="114"/>
      <c r="Y345" s="114"/>
      <c r="Z345" s="114"/>
    </row>
    <row r="346">
      <c r="A346" s="1"/>
      <c r="C346" s="113"/>
      <c r="E346" s="113"/>
      <c r="F346" s="114"/>
      <c r="G346" s="114"/>
      <c r="H346" s="114"/>
      <c r="I346" s="114"/>
      <c r="J346" s="114"/>
      <c r="K346" s="114"/>
      <c r="L346" s="114"/>
      <c r="M346" s="114"/>
      <c r="N346" s="114"/>
      <c r="O346" s="114"/>
      <c r="P346" s="114"/>
      <c r="Q346" s="114"/>
      <c r="R346" s="114"/>
      <c r="S346" s="114"/>
      <c r="T346" s="114"/>
      <c r="U346" s="114"/>
      <c r="V346" s="114"/>
      <c r="W346" s="114"/>
      <c r="X346" s="114"/>
      <c r="Y346" s="114"/>
      <c r="Z346" s="114"/>
    </row>
    <row r="347">
      <c r="A347" s="1"/>
      <c r="C347" s="113"/>
      <c r="E347" s="113"/>
      <c r="F347" s="114"/>
      <c r="G347" s="114"/>
      <c r="H347" s="114"/>
      <c r="I347" s="114"/>
      <c r="J347" s="114"/>
      <c r="K347" s="114"/>
      <c r="L347" s="114"/>
      <c r="M347" s="114"/>
      <c r="N347" s="114"/>
      <c r="O347" s="114"/>
      <c r="P347" s="114"/>
      <c r="Q347" s="114"/>
      <c r="R347" s="114"/>
      <c r="S347" s="114"/>
      <c r="T347" s="114"/>
      <c r="U347" s="114"/>
      <c r="V347" s="114"/>
      <c r="W347" s="114"/>
      <c r="X347" s="114"/>
      <c r="Y347" s="114"/>
      <c r="Z347" s="114"/>
    </row>
    <row r="348">
      <c r="A348" s="1"/>
      <c r="C348" s="113"/>
      <c r="E348" s="113"/>
      <c r="F348" s="114"/>
      <c r="G348" s="114"/>
      <c r="H348" s="114"/>
      <c r="I348" s="114"/>
      <c r="J348" s="114"/>
      <c r="K348" s="114"/>
      <c r="L348" s="114"/>
      <c r="M348" s="114"/>
      <c r="N348" s="114"/>
      <c r="O348" s="114"/>
      <c r="P348" s="114"/>
      <c r="Q348" s="114"/>
      <c r="R348" s="114"/>
      <c r="S348" s="114"/>
      <c r="T348" s="114"/>
      <c r="U348" s="114"/>
      <c r="V348" s="114"/>
      <c r="W348" s="114"/>
      <c r="X348" s="114"/>
      <c r="Y348" s="114"/>
      <c r="Z348" s="114"/>
    </row>
    <row r="349">
      <c r="A349" s="1"/>
      <c r="C349" s="113"/>
      <c r="E349" s="113"/>
      <c r="F349" s="114"/>
      <c r="G349" s="114"/>
      <c r="H349" s="114"/>
      <c r="I349" s="114"/>
      <c r="J349" s="114"/>
      <c r="K349" s="114"/>
      <c r="L349" s="114"/>
      <c r="M349" s="114"/>
      <c r="N349" s="114"/>
      <c r="O349" s="114"/>
      <c r="P349" s="114"/>
      <c r="Q349" s="114"/>
      <c r="R349" s="114"/>
      <c r="S349" s="114"/>
      <c r="T349" s="114"/>
      <c r="U349" s="114"/>
      <c r="V349" s="114"/>
      <c r="W349" s="114"/>
      <c r="X349" s="114"/>
      <c r="Y349" s="114"/>
      <c r="Z349" s="114"/>
    </row>
    <row r="350">
      <c r="A350" s="1"/>
      <c r="C350" s="113"/>
      <c r="E350" s="113"/>
      <c r="F350" s="114"/>
      <c r="G350" s="114"/>
      <c r="H350" s="114"/>
      <c r="I350" s="114"/>
      <c r="J350" s="114"/>
      <c r="K350" s="114"/>
      <c r="L350" s="114"/>
      <c r="M350" s="114"/>
      <c r="N350" s="114"/>
      <c r="O350" s="114"/>
      <c r="P350" s="114"/>
      <c r="Q350" s="114"/>
      <c r="R350" s="114"/>
      <c r="S350" s="114"/>
      <c r="T350" s="114"/>
      <c r="U350" s="114"/>
      <c r="V350" s="114"/>
      <c r="W350" s="114"/>
      <c r="X350" s="114"/>
      <c r="Y350" s="114"/>
      <c r="Z350" s="114"/>
    </row>
    <row r="351">
      <c r="A351" s="1"/>
      <c r="C351" s="113"/>
      <c r="E351" s="113"/>
      <c r="F351" s="114"/>
      <c r="G351" s="114"/>
      <c r="H351" s="114"/>
      <c r="I351" s="114"/>
      <c r="J351" s="114"/>
      <c r="K351" s="114"/>
      <c r="L351" s="114"/>
      <c r="M351" s="114"/>
      <c r="N351" s="114"/>
      <c r="O351" s="114"/>
      <c r="P351" s="114"/>
      <c r="Q351" s="114"/>
      <c r="R351" s="114"/>
      <c r="S351" s="114"/>
      <c r="T351" s="114"/>
      <c r="U351" s="114"/>
      <c r="V351" s="114"/>
      <c r="W351" s="114"/>
      <c r="X351" s="114"/>
      <c r="Y351" s="114"/>
      <c r="Z351" s="114"/>
    </row>
    <row r="352">
      <c r="A352" s="1"/>
      <c r="C352" s="113"/>
      <c r="E352" s="113"/>
      <c r="F352" s="114"/>
      <c r="G352" s="114"/>
      <c r="H352" s="114"/>
      <c r="I352" s="114"/>
      <c r="J352" s="114"/>
      <c r="K352" s="114"/>
      <c r="L352" s="114"/>
      <c r="M352" s="114"/>
      <c r="N352" s="114"/>
      <c r="O352" s="114"/>
      <c r="P352" s="114"/>
      <c r="Q352" s="114"/>
      <c r="R352" s="114"/>
      <c r="S352" s="114"/>
      <c r="T352" s="114"/>
      <c r="U352" s="114"/>
      <c r="V352" s="114"/>
      <c r="W352" s="114"/>
      <c r="X352" s="114"/>
      <c r="Y352" s="114"/>
      <c r="Z352" s="114"/>
    </row>
    <row r="353">
      <c r="A353" s="1"/>
      <c r="C353" s="113"/>
      <c r="E353" s="113"/>
      <c r="F353" s="114"/>
      <c r="G353" s="114"/>
      <c r="H353" s="114"/>
      <c r="I353" s="114"/>
      <c r="J353" s="114"/>
      <c r="K353" s="114"/>
      <c r="L353" s="114"/>
      <c r="M353" s="114"/>
      <c r="N353" s="114"/>
      <c r="O353" s="114"/>
      <c r="P353" s="114"/>
      <c r="Q353" s="114"/>
      <c r="R353" s="114"/>
      <c r="S353" s="114"/>
      <c r="T353" s="114"/>
      <c r="U353" s="114"/>
      <c r="V353" s="114"/>
      <c r="W353" s="114"/>
      <c r="X353" s="114"/>
      <c r="Y353" s="114"/>
      <c r="Z353" s="114"/>
    </row>
    <row r="354">
      <c r="A354" s="1"/>
      <c r="C354" s="113"/>
      <c r="E354" s="113"/>
      <c r="F354" s="114"/>
      <c r="G354" s="114"/>
      <c r="H354" s="114"/>
      <c r="I354" s="114"/>
      <c r="J354" s="114"/>
      <c r="K354" s="114"/>
      <c r="L354" s="114"/>
      <c r="M354" s="114"/>
      <c r="N354" s="114"/>
      <c r="O354" s="114"/>
      <c r="P354" s="114"/>
      <c r="Q354" s="114"/>
      <c r="R354" s="114"/>
      <c r="S354" s="114"/>
      <c r="T354" s="114"/>
      <c r="U354" s="114"/>
      <c r="V354" s="114"/>
      <c r="W354" s="114"/>
      <c r="X354" s="114"/>
      <c r="Y354" s="114"/>
      <c r="Z354" s="114"/>
    </row>
    <row r="355">
      <c r="A355" s="1"/>
      <c r="C355" s="113"/>
      <c r="E355" s="113"/>
      <c r="F355" s="114"/>
      <c r="G355" s="114"/>
      <c r="H355" s="114"/>
      <c r="I355" s="114"/>
      <c r="J355" s="114"/>
      <c r="K355" s="114"/>
      <c r="L355" s="114"/>
      <c r="M355" s="114"/>
      <c r="N355" s="114"/>
      <c r="O355" s="114"/>
      <c r="P355" s="114"/>
      <c r="Q355" s="114"/>
      <c r="R355" s="114"/>
      <c r="S355" s="114"/>
      <c r="T355" s="114"/>
      <c r="U355" s="114"/>
      <c r="V355" s="114"/>
      <c r="W355" s="114"/>
      <c r="X355" s="114"/>
      <c r="Y355" s="114"/>
      <c r="Z355" s="114"/>
    </row>
    <row r="356">
      <c r="A356" s="1"/>
      <c r="C356" s="113"/>
      <c r="E356" s="113"/>
      <c r="F356" s="114"/>
      <c r="G356" s="114"/>
      <c r="H356" s="114"/>
      <c r="I356" s="114"/>
      <c r="J356" s="114"/>
      <c r="K356" s="114"/>
      <c r="L356" s="114"/>
      <c r="M356" s="114"/>
      <c r="N356" s="114"/>
      <c r="O356" s="114"/>
      <c r="P356" s="114"/>
      <c r="Q356" s="114"/>
      <c r="R356" s="114"/>
      <c r="S356" s="114"/>
      <c r="T356" s="114"/>
      <c r="U356" s="114"/>
      <c r="V356" s="114"/>
      <c r="W356" s="114"/>
      <c r="X356" s="114"/>
      <c r="Y356" s="114"/>
      <c r="Z356" s="114"/>
    </row>
    <row r="357">
      <c r="A357" s="1"/>
      <c r="C357" s="113"/>
      <c r="E357" s="113"/>
      <c r="F357" s="114"/>
      <c r="G357" s="114"/>
      <c r="H357" s="114"/>
      <c r="I357" s="114"/>
      <c r="J357" s="114"/>
      <c r="K357" s="114"/>
      <c r="L357" s="114"/>
      <c r="M357" s="114"/>
      <c r="N357" s="114"/>
      <c r="O357" s="114"/>
      <c r="P357" s="114"/>
      <c r="Q357" s="114"/>
      <c r="R357" s="114"/>
      <c r="S357" s="114"/>
      <c r="T357" s="114"/>
      <c r="U357" s="114"/>
      <c r="V357" s="114"/>
      <c r="W357" s="114"/>
      <c r="X357" s="114"/>
      <c r="Y357" s="114"/>
      <c r="Z357" s="114"/>
    </row>
    <row r="358">
      <c r="A358" s="1"/>
      <c r="C358" s="113"/>
      <c r="E358" s="113"/>
      <c r="F358" s="114"/>
      <c r="G358" s="114"/>
      <c r="H358" s="114"/>
      <c r="I358" s="114"/>
      <c r="J358" s="114"/>
      <c r="K358" s="114"/>
      <c r="L358" s="114"/>
      <c r="M358" s="114"/>
      <c r="N358" s="114"/>
      <c r="O358" s="114"/>
      <c r="P358" s="114"/>
      <c r="Q358" s="114"/>
      <c r="R358" s="114"/>
      <c r="S358" s="114"/>
      <c r="T358" s="114"/>
      <c r="U358" s="114"/>
      <c r="V358" s="114"/>
      <c r="W358" s="114"/>
      <c r="X358" s="114"/>
      <c r="Y358" s="114"/>
      <c r="Z358" s="114"/>
    </row>
    <row r="359">
      <c r="A359" s="1"/>
      <c r="C359" s="113"/>
      <c r="E359" s="113"/>
      <c r="F359" s="114"/>
      <c r="G359" s="114"/>
      <c r="H359" s="114"/>
      <c r="I359" s="114"/>
      <c r="J359" s="114"/>
      <c r="K359" s="114"/>
      <c r="L359" s="114"/>
      <c r="M359" s="114"/>
      <c r="N359" s="114"/>
      <c r="O359" s="114"/>
      <c r="P359" s="114"/>
      <c r="Q359" s="114"/>
      <c r="R359" s="114"/>
      <c r="S359" s="114"/>
      <c r="T359" s="114"/>
      <c r="U359" s="114"/>
      <c r="V359" s="114"/>
      <c r="W359" s="114"/>
      <c r="X359" s="114"/>
      <c r="Y359" s="114"/>
      <c r="Z359" s="114"/>
    </row>
    <row r="360">
      <c r="A360" s="1"/>
      <c r="C360" s="113"/>
      <c r="E360" s="113"/>
      <c r="F360" s="114"/>
      <c r="G360" s="114"/>
      <c r="H360" s="114"/>
      <c r="I360" s="114"/>
      <c r="J360" s="114"/>
      <c r="K360" s="114"/>
      <c r="L360" s="114"/>
      <c r="M360" s="114"/>
      <c r="N360" s="114"/>
      <c r="O360" s="114"/>
      <c r="P360" s="114"/>
      <c r="Q360" s="114"/>
      <c r="R360" s="114"/>
      <c r="S360" s="114"/>
      <c r="T360" s="114"/>
      <c r="U360" s="114"/>
      <c r="V360" s="114"/>
      <c r="W360" s="114"/>
      <c r="X360" s="114"/>
      <c r="Y360" s="114"/>
      <c r="Z360" s="114"/>
    </row>
    <row r="361">
      <c r="A361" s="1"/>
      <c r="C361" s="113"/>
      <c r="E361" s="113"/>
      <c r="F361" s="114"/>
      <c r="G361" s="114"/>
      <c r="H361" s="114"/>
      <c r="I361" s="114"/>
      <c r="J361" s="114"/>
      <c r="K361" s="114"/>
      <c r="L361" s="114"/>
      <c r="M361" s="114"/>
      <c r="N361" s="114"/>
      <c r="O361" s="114"/>
      <c r="P361" s="114"/>
      <c r="Q361" s="114"/>
      <c r="R361" s="114"/>
      <c r="S361" s="114"/>
      <c r="T361" s="114"/>
      <c r="U361" s="114"/>
      <c r="V361" s="114"/>
      <c r="W361" s="114"/>
      <c r="X361" s="114"/>
      <c r="Y361" s="114"/>
      <c r="Z361" s="114"/>
    </row>
    <row r="362">
      <c r="A362" s="1"/>
      <c r="C362" s="113"/>
      <c r="E362" s="113"/>
      <c r="F362" s="114"/>
      <c r="G362" s="114"/>
      <c r="H362" s="114"/>
      <c r="I362" s="114"/>
      <c r="J362" s="114"/>
      <c r="K362" s="114"/>
      <c r="L362" s="114"/>
      <c r="M362" s="114"/>
      <c r="N362" s="114"/>
      <c r="O362" s="114"/>
      <c r="P362" s="114"/>
      <c r="Q362" s="114"/>
      <c r="R362" s="114"/>
      <c r="S362" s="114"/>
      <c r="T362" s="114"/>
      <c r="U362" s="114"/>
      <c r="V362" s="114"/>
      <c r="W362" s="114"/>
      <c r="X362" s="114"/>
      <c r="Y362" s="114"/>
      <c r="Z362" s="114"/>
    </row>
    <row r="363">
      <c r="A363" s="1"/>
      <c r="C363" s="113"/>
      <c r="E363" s="113"/>
      <c r="F363" s="114"/>
      <c r="G363" s="114"/>
      <c r="H363" s="114"/>
      <c r="I363" s="114"/>
      <c r="J363" s="114"/>
      <c r="K363" s="114"/>
      <c r="L363" s="114"/>
      <c r="M363" s="114"/>
      <c r="N363" s="114"/>
      <c r="O363" s="114"/>
      <c r="P363" s="114"/>
      <c r="Q363" s="114"/>
      <c r="R363" s="114"/>
      <c r="S363" s="114"/>
      <c r="T363" s="114"/>
      <c r="U363" s="114"/>
      <c r="V363" s="114"/>
      <c r="W363" s="114"/>
      <c r="X363" s="114"/>
      <c r="Y363" s="114"/>
      <c r="Z363" s="114"/>
    </row>
    <row r="364">
      <c r="A364" s="1"/>
      <c r="C364" s="113"/>
      <c r="E364" s="113"/>
      <c r="F364" s="114"/>
      <c r="G364" s="114"/>
      <c r="H364" s="114"/>
      <c r="I364" s="114"/>
      <c r="J364" s="114"/>
      <c r="K364" s="114"/>
      <c r="L364" s="114"/>
      <c r="M364" s="114"/>
      <c r="N364" s="114"/>
      <c r="O364" s="114"/>
      <c r="P364" s="114"/>
      <c r="Q364" s="114"/>
      <c r="R364" s="114"/>
      <c r="S364" s="114"/>
      <c r="T364" s="114"/>
      <c r="U364" s="114"/>
      <c r="V364" s="114"/>
      <c r="W364" s="114"/>
      <c r="X364" s="114"/>
      <c r="Y364" s="114"/>
      <c r="Z364" s="114"/>
    </row>
    <row r="365">
      <c r="A365" s="1"/>
      <c r="C365" s="113"/>
      <c r="E365" s="113"/>
      <c r="F365" s="114"/>
      <c r="G365" s="114"/>
      <c r="H365" s="114"/>
      <c r="I365" s="114"/>
      <c r="J365" s="114"/>
      <c r="K365" s="114"/>
      <c r="L365" s="114"/>
      <c r="M365" s="114"/>
      <c r="N365" s="114"/>
      <c r="O365" s="114"/>
      <c r="P365" s="114"/>
      <c r="Q365" s="114"/>
      <c r="R365" s="114"/>
      <c r="S365" s="114"/>
      <c r="T365" s="114"/>
      <c r="U365" s="114"/>
      <c r="V365" s="114"/>
      <c r="W365" s="114"/>
      <c r="X365" s="114"/>
      <c r="Y365" s="114"/>
      <c r="Z365" s="114"/>
    </row>
    <row r="366">
      <c r="A366" s="1"/>
      <c r="C366" s="113"/>
      <c r="E366" s="113"/>
      <c r="F366" s="114"/>
      <c r="G366" s="114"/>
      <c r="H366" s="114"/>
      <c r="I366" s="114"/>
      <c r="J366" s="114"/>
      <c r="K366" s="114"/>
      <c r="L366" s="114"/>
      <c r="M366" s="114"/>
      <c r="N366" s="114"/>
      <c r="O366" s="114"/>
      <c r="P366" s="114"/>
      <c r="Q366" s="114"/>
      <c r="R366" s="114"/>
      <c r="S366" s="114"/>
      <c r="T366" s="114"/>
      <c r="U366" s="114"/>
      <c r="V366" s="114"/>
      <c r="W366" s="114"/>
      <c r="X366" s="114"/>
      <c r="Y366" s="114"/>
      <c r="Z366" s="114"/>
    </row>
    <row r="367">
      <c r="A367" s="1"/>
      <c r="C367" s="113"/>
      <c r="E367" s="113"/>
      <c r="F367" s="114"/>
      <c r="G367" s="114"/>
      <c r="H367" s="114"/>
      <c r="I367" s="114"/>
      <c r="J367" s="114"/>
      <c r="K367" s="114"/>
      <c r="L367" s="114"/>
      <c r="M367" s="114"/>
      <c r="N367" s="114"/>
      <c r="O367" s="114"/>
      <c r="P367" s="114"/>
      <c r="Q367" s="114"/>
      <c r="R367" s="114"/>
      <c r="S367" s="114"/>
      <c r="T367" s="114"/>
      <c r="U367" s="114"/>
      <c r="V367" s="114"/>
      <c r="W367" s="114"/>
      <c r="X367" s="114"/>
      <c r="Y367" s="114"/>
      <c r="Z367" s="114"/>
    </row>
    <row r="368">
      <c r="A368" s="1"/>
      <c r="C368" s="113"/>
      <c r="E368" s="113"/>
      <c r="F368" s="114"/>
      <c r="G368" s="114"/>
      <c r="H368" s="114"/>
      <c r="I368" s="114"/>
      <c r="J368" s="114"/>
      <c r="K368" s="114"/>
      <c r="L368" s="114"/>
      <c r="M368" s="114"/>
      <c r="N368" s="114"/>
      <c r="O368" s="114"/>
      <c r="P368" s="114"/>
      <c r="Q368" s="114"/>
      <c r="R368" s="114"/>
      <c r="S368" s="114"/>
      <c r="T368" s="114"/>
      <c r="U368" s="114"/>
      <c r="V368" s="114"/>
      <c r="W368" s="114"/>
      <c r="X368" s="114"/>
      <c r="Y368" s="114"/>
      <c r="Z368" s="114"/>
    </row>
    <row r="369">
      <c r="A369" s="1"/>
      <c r="C369" s="113"/>
      <c r="E369" s="113"/>
      <c r="F369" s="114"/>
      <c r="G369" s="114"/>
      <c r="H369" s="114"/>
      <c r="I369" s="114"/>
      <c r="J369" s="114"/>
      <c r="K369" s="114"/>
      <c r="L369" s="114"/>
      <c r="M369" s="114"/>
      <c r="N369" s="114"/>
      <c r="O369" s="114"/>
      <c r="P369" s="114"/>
      <c r="Q369" s="114"/>
      <c r="R369" s="114"/>
      <c r="S369" s="114"/>
      <c r="T369" s="114"/>
      <c r="U369" s="114"/>
      <c r="V369" s="114"/>
      <c r="W369" s="114"/>
      <c r="X369" s="114"/>
      <c r="Y369" s="114"/>
      <c r="Z369" s="114"/>
    </row>
    <row r="370">
      <c r="A370" s="1"/>
      <c r="C370" s="113"/>
      <c r="E370" s="113"/>
      <c r="F370" s="114"/>
      <c r="G370" s="114"/>
      <c r="H370" s="114"/>
      <c r="I370" s="114"/>
      <c r="J370" s="114"/>
      <c r="K370" s="114"/>
      <c r="L370" s="114"/>
      <c r="M370" s="114"/>
      <c r="N370" s="114"/>
      <c r="O370" s="114"/>
      <c r="P370" s="114"/>
      <c r="Q370" s="114"/>
      <c r="R370" s="114"/>
      <c r="S370" s="114"/>
      <c r="T370" s="114"/>
      <c r="U370" s="114"/>
      <c r="V370" s="114"/>
      <c r="W370" s="114"/>
      <c r="X370" s="114"/>
      <c r="Y370" s="114"/>
      <c r="Z370" s="114"/>
    </row>
    <row r="371">
      <c r="A371" s="1"/>
      <c r="C371" s="113"/>
      <c r="E371" s="113"/>
      <c r="F371" s="114"/>
      <c r="G371" s="114"/>
      <c r="H371" s="114"/>
      <c r="I371" s="114"/>
      <c r="J371" s="114"/>
      <c r="K371" s="114"/>
      <c r="L371" s="114"/>
      <c r="M371" s="114"/>
      <c r="N371" s="114"/>
      <c r="O371" s="114"/>
      <c r="P371" s="114"/>
      <c r="Q371" s="114"/>
      <c r="R371" s="114"/>
      <c r="S371" s="114"/>
      <c r="T371" s="114"/>
      <c r="U371" s="114"/>
      <c r="V371" s="114"/>
      <c r="W371" s="114"/>
      <c r="X371" s="114"/>
      <c r="Y371" s="114"/>
      <c r="Z371" s="114"/>
    </row>
    <row r="372">
      <c r="A372" s="1"/>
      <c r="C372" s="113"/>
      <c r="E372" s="113"/>
      <c r="F372" s="114"/>
      <c r="G372" s="114"/>
      <c r="H372" s="114"/>
      <c r="I372" s="114"/>
      <c r="J372" s="114"/>
      <c r="K372" s="114"/>
      <c r="L372" s="114"/>
      <c r="M372" s="114"/>
      <c r="N372" s="114"/>
      <c r="O372" s="114"/>
      <c r="P372" s="114"/>
      <c r="Q372" s="114"/>
      <c r="R372" s="114"/>
      <c r="S372" s="114"/>
      <c r="T372" s="114"/>
      <c r="U372" s="114"/>
      <c r="V372" s="114"/>
      <c r="W372" s="114"/>
      <c r="X372" s="114"/>
      <c r="Y372" s="114"/>
      <c r="Z372" s="114"/>
    </row>
    <row r="373">
      <c r="A373" s="1"/>
      <c r="C373" s="113"/>
      <c r="E373" s="113"/>
      <c r="F373" s="114"/>
      <c r="G373" s="114"/>
      <c r="H373" s="114"/>
      <c r="I373" s="114"/>
      <c r="J373" s="114"/>
      <c r="K373" s="114"/>
      <c r="L373" s="114"/>
      <c r="M373" s="114"/>
      <c r="N373" s="114"/>
      <c r="O373" s="114"/>
      <c r="P373" s="114"/>
      <c r="Q373" s="114"/>
      <c r="R373" s="114"/>
      <c r="S373" s="114"/>
      <c r="T373" s="114"/>
      <c r="U373" s="114"/>
      <c r="V373" s="114"/>
      <c r="W373" s="114"/>
      <c r="X373" s="114"/>
      <c r="Y373" s="114"/>
      <c r="Z373" s="114"/>
    </row>
    <row r="374">
      <c r="A374" s="1"/>
      <c r="C374" s="113"/>
      <c r="E374" s="113"/>
      <c r="F374" s="114"/>
      <c r="G374" s="114"/>
      <c r="H374" s="114"/>
      <c r="I374" s="114"/>
      <c r="J374" s="114"/>
      <c r="K374" s="114"/>
      <c r="L374" s="114"/>
      <c r="M374" s="114"/>
      <c r="N374" s="114"/>
      <c r="O374" s="114"/>
      <c r="P374" s="114"/>
      <c r="Q374" s="114"/>
      <c r="R374" s="114"/>
      <c r="S374" s="114"/>
      <c r="T374" s="114"/>
      <c r="U374" s="114"/>
      <c r="V374" s="114"/>
      <c r="W374" s="114"/>
      <c r="X374" s="114"/>
      <c r="Y374" s="114"/>
      <c r="Z374" s="114"/>
    </row>
    <row r="375">
      <c r="A375" s="1"/>
      <c r="C375" s="113"/>
      <c r="E375" s="113"/>
      <c r="F375" s="114"/>
      <c r="G375" s="114"/>
      <c r="H375" s="114"/>
      <c r="I375" s="114"/>
      <c r="J375" s="114"/>
      <c r="K375" s="114"/>
      <c r="L375" s="114"/>
      <c r="M375" s="114"/>
      <c r="N375" s="114"/>
      <c r="O375" s="114"/>
      <c r="P375" s="114"/>
      <c r="Q375" s="114"/>
      <c r="R375" s="114"/>
      <c r="S375" s="114"/>
      <c r="T375" s="114"/>
      <c r="U375" s="114"/>
      <c r="V375" s="114"/>
      <c r="W375" s="114"/>
      <c r="X375" s="114"/>
      <c r="Y375" s="114"/>
      <c r="Z375" s="114"/>
    </row>
    <row r="376">
      <c r="A376" s="1"/>
      <c r="C376" s="113"/>
      <c r="E376" s="113"/>
      <c r="F376" s="114"/>
      <c r="G376" s="114"/>
      <c r="H376" s="114"/>
      <c r="I376" s="114"/>
      <c r="J376" s="114"/>
      <c r="K376" s="114"/>
      <c r="L376" s="114"/>
      <c r="M376" s="114"/>
      <c r="N376" s="114"/>
      <c r="O376" s="114"/>
      <c r="P376" s="114"/>
      <c r="Q376" s="114"/>
      <c r="R376" s="114"/>
      <c r="S376" s="114"/>
      <c r="T376" s="114"/>
      <c r="U376" s="114"/>
      <c r="V376" s="114"/>
      <c r="W376" s="114"/>
      <c r="X376" s="114"/>
      <c r="Y376" s="114"/>
      <c r="Z376" s="114"/>
    </row>
    <row r="377">
      <c r="A377" s="1"/>
      <c r="C377" s="113"/>
      <c r="E377" s="113"/>
      <c r="F377" s="114"/>
      <c r="G377" s="114"/>
      <c r="H377" s="114"/>
      <c r="I377" s="114"/>
      <c r="J377" s="114"/>
      <c r="K377" s="114"/>
      <c r="L377" s="114"/>
      <c r="M377" s="114"/>
      <c r="N377" s="114"/>
      <c r="O377" s="114"/>
      <c r="P377" s="114"/>
      <c r="Q377" s="114"/>
      <c r="R377" s="114"/>
      <c r="S377" s="114"/>
      <c r="T377" s="114"/>
      <c r="U377" s="114"/>
      <c r="V377" s="114"/>
      <c r="W377" s="114"/>
      <c r="X377" s="114"/>
      <c r="Y377" s="114"/>
      <c r="Z377" s="114"/>
    </row>
    <row r="378">
      <c r="A378" s="1"/>
      <c r="C378" s="113"/>
      <c r="E378" s="113"/>
      <c r="F378" s="114"/>
      <c r="G378" s="114"/>
      <c r="H378" s="114"/>
      <c r="I378" s="114"/>
      <c r="J378" s="114"/>
      <c r="K378" s="114"/>
      <c r="L378" s="114"/>
      <c r="M378" s="114"/>
      <c r="N378" s="114"/>
      <c r="O378" s="114"/>
      <c r="P378" s="114"/>
      <c r="Q378" s="114"/>
      <c r="R378" s="114"/>
      <c r="S378" s="114"/>
      <c r="T378" s="114"/>
      <c r="U378" s="114"/>
      <c r="V378" s="114"/>
      <c r="W378" s="114"/>
      <c r="X378" s="114"/>
      <c r="Y378" s="114"/>
      <c r="Z378" s="114"/>
    </row>
    <row r="379">
      <c r="A379" s="1"/>
      <c r="C379" s="113"/>
      <c r="E379" s="113"/>
      <c r="F379" s="114"/>
      <c r="G379" s="114"/>
      <c r="H379" s="114"/>
      <c r="I379" s="114"/>
      <c r="J379" s="114"/>
      <c r="K379" s="114"/>
      <c r="L379" s="114"/>
      <c r="M379" s="114"/>
      <c r="N379" s="114"/>
      <c r="O379" s="114"/>
      <c r="P379" s="114"/>
      <c r="Q379" s="114"/>
      <c r="R379" s="114"/>
      <c r="S379" s="114"/>
      <c r="T379" s="114"/>
      <c r="U379" s="114"/>
      <c r="V379" s="114"/>
      <c r="W379" s="114"/>
      <c r="X379" s="114"/>
      <c r="Y379" s="114"/>
      <c r="Z379" s="114"/>
    </row>
    <row r="380">
      <c r="A380" s="1"/>
      <c r="C380" s="113"/>
      <c r="E380" s="113"/>
      <c r="F380" s="114"/>
      <c r="G380" s="114"/>
      <c r="H380" s="114"/>
      <c r="I380" s="114"/>
      <c r="J380" s="114"/>
      <c r="K380" s="114"/>
      <c r="L380" s="114"/>
      <c r="M380" s="114"/>
      <c r="N380" s="114"/>
      <c r="O380" s="114"/>
      <c r="P380" s="114"/>
      <c r="Q380" s="114"/>
      <c r="R380" s="114"/>
      <c r="S380" s="114"/>
      <c r="T380" s="114"/>
      <c r="U380" s="114"/>
      <c r="V380" s="114"/>
      <c r="W380" s="114"/>
      <c r="X380" s="114"/>
      <c r="Y380" s="114"/>
      <c r="Z380" s="114"/>
    </row>
    <row r="381">
      <c r="A381" s="1"/>
      <c r="C381" s="113"/>
      <c r="E381" s="113"/>
      <c r="F381" s="114"/>
      <c r="G381" s="114"/>
      <c r="H381" s="114"/>
      <c r="I381" s="114"/>
      <c r="J381" s="114"/>
      <c r="K381" s="114"/>
      <c r="L381" s="114"/>
      <c r="M381" s="114"/>
      <c r="N381" s="114"/>
      <c r="O381" s="114"/>
      <c r="P381" s="114"/>
      <c r="Q381" s="114"/>
      <c r="R381" s="114"/>
      <c r="S381" s="114"/>
      <c r="T381" s="114"/>
      <c r="U381" s="114"/>
      <c r="V381" s="114"/>
      <c r="W381" s="114"/>
      <c r="X381" s="114"/>
      <c r="Y381" s="114"/>
      <c r="Z381" s="114"/>
    </row>
    <row r="382">
      <c r="A382" s="1"/>
      <c r="C382" s="113"/>
      <c r="E382" s="113"/>
      <c r="F382" s="114"/>
      <c r="G382" s="114"/>
      <c r="H382" s="114"/>
      <c r="I382" s="114"/>
      <c r="J382" s="114"/>
      <c r="K382" s="114"/>
      <c r="L382" s="114"/>
      <c r="M382" s="114"/>
      <c r="N382" s="114"/>
      <c r="O382" s="114"/>
      <c r="P382" s="114"/>
      <c r="Q382" s="114"/>
      <c r="R382" s="114"/>
      <c r="S382" s="114"/>
      <c r="T382" s="114"/>
      <c r="U382" s="114"/>
      <c r="V382" s="114"/>
      <c r="W382" s="114"/>
      <c r="X382" s="114"/>
      <c r="Y382" s="114"/>
      <c r="Z382" s="114"/>
    </row>
    <row r="383">
      <c r="A383" s="1"/>
      <c r="C383" s="113"/>
      <c r="E383" s="113"/>
      <c r="F383" s="114"/>
      <c r="G383" s="114"/>
      <c r="H383" s="114"/>
      <c r="I383" s="114"/>
      <c r="J383" s="114"/>
      <c r="K383" s="114"/>
      <c r="L383" s="114"/>
      <c r="M383" s="114"/>
      <c r="N383" s="114"/>
      <c r="O383" s="114"/>
      <c r="P383" s="114"/>
      <c r="Q383" s="114"/>
      <c r="R383" s="114"/>
      <c r="S383" s="114"/>
      <c r="T383" s="114"/>
      <c r="U383" s="114"/>
      <c r="V383" s="114"/>
      <c r="W383" s="114"/>
      <c r="X383" s="114"/>
      <c r="Y383" s="114"/>
      <c r="Z383" s="114"/>
    </row>
    <row r="384">
      <c r="A384" s="1"/>
      <c r="C384" s="113"/>
      <c r="E384" s="113"/>
      <c r="F384" s="114"/>
      <c r="G384" s="114"/>
      <c r="H384" s="114"/>
      <c r="I384" s="114"/>
      <c r="J384" s="114"/>
      <c r="K384" s="114"/>
      <c r="L384" s="114"/>
      <c r="M384" s="114"/>
      <c r="N384" s="114"/>
      <c r="O384" s="114"/>
      <c r="P384" s="114"/>
      <c r="Q384" s="114"/>
      <c r="R384" s="114"/>
      <c r="S384" s="114"/>
      <c r="T384" s="114"/>
      <c r="U384" s="114"/>
      <c r="V384" s="114"/>
      <c r="W384" s="114"/>
      <c r="X384" s="114"/>
      <c r="Y384" s="114"/>
      <c r="Z384" s="114"/>
    </row>
    <row r="385">
      <c r="A385" s="1"/>
      <c r="C385" s="113"/>
      <c r="E385" s="113"/>
      <c r="F385" s="114"/>
      <c r="G385" s="114"/>
      <c r="H385" s="114"/>
      <c r="I385" s="114"/>
      <c r="J385" s="114"/>
      <c r="K385" s="114"/>
      <c r="L385" s="114"/>
      <c r="M385" s="114"/>
      <c r="N385" s="114"/>
      <c r="O385" s="114"/>
      <c r="P385" s="114"/>
      <c r="Q385" s="114"/>
      <c r="R385" s="114"/>
      <c r="S385" s="114"/>
      <c r="T385" s="114"/>
      <c r="U385" s="114"/>
      <c r="V385" s="114"/>
      <c r="W385" s="114"/>
      <c r="X385" s="114"/>
      <c r="Y385" s="114"/>
      <c r="Z385" s="114"/>
    </row>
    <row r="386">
      <c r="A386" s="1"/>
      <c r="C386" s="113"/>
      <c r="E386" s="113"/>
      <c r="F386" s="114"/>
      <c r="G386" s="114"/>
      <c r="H386" s="114"/>
      <c r="I386" s="114"/>
      <c r="J386" s="114"/>
      <c r="K386" s="114"/>
      <c r="L386" s="114"/>
      <c r="M386" s="114"/>
      <c r="N386" s="114"/>
      <c r="O386" s="114"/>
      <c r="P386" s="114"/>
      <c r="Q386" s="114"/>
      <c r="R386" s="114"/>
      <c r="S386" s="114"/>
      <c r="T386" s="114"/>
      <c r="U386" s="114"/>
      <c r="V386" s="114"/>
      <c r="W386" s="114"/>
      <c r="X386" s="114"/>
      <c r="Y386" s="114"/>
      <c r="Z386" s="114"/>
    </row>
    <row r="387">
      <c r="A387" s="1"/>
      <c r="C387" s="113"/>
      <c r="E387" s="113"/>
      <c r="F387" s="114"/>
      <c r="G387" s="114"/>
      <c r="H387" s="114"/>
      <c r="I387" s="114"/>
      <c r="J387" s="114"/>
      <c r="K387" s="114"/>
      <c r="L387" s="114"/>
      <c r="M387" s="114"/>
      <c r="N387" s="114"/>
      <c r="O387" s="114"/>
      <c r="P387" s="114"/>
      <c r="Q387" s="114"/>
      <c r="R387" s="114"/>
      <c r="S387" s="114"/>
      <c r="T387" s="114"/>
      <c r="U387" s="114"/>
      <c r="V387" s="114"/>
      <c r="W387" s="114"/>
      <c r="X387" s="114"/>
      <c r="Y387" s="114"/>
      <c r="Z387" s="114"/>
    </row>
    <row r="388">
      <c r="A388" s="1"/>
      <c r="C388" s="113"/>
      <c r="E388" s="113"/>
      <c r="F388" s="114"/>
      <c r="G388" s="114"/>
      <c r="H388" s="114"/>
      <c r="I388" s="114"/>
      <c r="J388" s="114"/>
      <c r="K388" s="114"/>
      <c r="L388" s="114"/>
      <c r="M388" s="114"/>
      <c r="N388" s="114"/>
      <c r="O388" s="114"/>
      <c r="P388" s="114"/>
      <c r="Q388" s="114"/>
      <c r="R388" s="114"/>
      <c r="S388" s="114"/>
      <c r="T388" s="114"/>
      <c r="U388" s="114"/>
      <c r="V388" s="114"/>
      <c r="W388" s="114"/>
      <c r="X388" s="114"/>
      <c r="Y388" s="114"/>
      <c r="Z388" s="114"/>
    </row>
    <row r="389">
      <c r="A389" s="1"/>
      <c r="C389" s="113"/>
      <c r="E389" s="113"/>
      <c r="F389" s="114"/>
      <c r="G389" s="114"/>
      <c r="H389" s="114"/>
      <c r="I389" s="114"/>
      <c r="J389" s="114"/>
      <c r="K389" s="114"/>
      <c r="L389" s="114"/>
      <c r="M389" s="114"/>
      <c r="N389" s="114"/>
      <c r="O389" s="114"/>
      <c r="P389" s="114"/>
      <c r="Q389" s="114"/>
      <c r="R389" s="114"/>
      <c r="S389" s="114"/>
      <c r="T389" s="114"/>
      <c r="U389" s="114"/>
      <c r="V389" s="114"/>
      <c r="W389" s="114"/>
      <c r="X389" s="114"/>
      <c r="Y389" s="114"/>
      <c r="Z389" s="114"/>
    </row>
    <row r="390">
      <c r="A390" s="1"/>
      <c r="C390" s="113"/>
      <c r="E390" s="113"/>
      <c r="F390" s="114"/>
      <c r="G390" s="114"/>
      <c r="H390" s="114"/>
      <c r="I390" s="114"/>
      <c r="J390" s="114"/>
      <c r="K390" s="114"/>
      <c r="L390" s="114"/>
      <c r="M390" s="114"/>
      <c r="N390" s="114"/>
      <c r="O390" s="114"/>
      <c r="P390" s="114"/>
      <c r="Q390" s="114"/>
      <c r="R390" s="114"/>
      <c r="S390" s="114"/>
      <c r="T390" s="114"/>
      <c r="U390" s="114"/>
      <c r="V390" s="114"/>
      <c r="W390" s="114"/>
      <c r="X390" s="114"/>
      <c r="Y390" s="114"/>
      <c r="Z390" s="114"/>
    </row>
    <row r="391">
      <c r="A391" s="1"/>
      <c r="C391" s="113"/>
      <c r="E391" s="113"/>
      <c r="F391" s="114"/>
      <c r="G391" s="114"/>
      <c r="H391" s="114"/>
      <c r="I391" s="114"/>
      <c r="J391" s="114"/>
      <c r="K391" s="114"/>
      <c r="L391" s="114"/>
      <c r="M391" s="114"/>
      <c r="N391" s="114"/>
      <c r="O391" s="114"/>
      <c r="P391" s="114"/>
      <c r="Q391" s="114"/>
      <c r="R391" s="114"/>
      <c r="S391" s="114"/>
      <c r="T391" s="114"/>
      <c r="U391" s="114"/>
      <c r="V391" s="114"/>
      <c r="W391" s="114"/>
      <c r="X391" s="114"/>
      <c r="Y391" s="114"/>
      <c r="Z391" s="114"/>
    </row>
    <row r="392">
      <c r="A392" s="1"/>
      <c r="C392" s="113"/>
      <c r="E392" s="113"/>
      <c r="F392" s="114"/>
      <c r="G392" s="114"/>
      <c r="H392" s="114"/>
      <c r="I392" s="114"/>
      <c r="J392" s="114"/>
      <c r="K392" s="114"/>
      <c r="L392" s="114"/>
      <c r="M392" s="114"/>
      <c r="N392" s="114"/>
      <c r="O392" s="114"/>
      <c r="P392" s="114"/>
      <c r="Q392" s="114"/>
      <c r="R392" s="114"/>
      <c r="S392" s="114"/>
      <c r="T392" s="114"/>
      <c r="U392" s="114"/>
      <c r="V392" s="114"/>
      <c r="W392" s="114"/>
      <c r="X392" s="114"/>
      <c r="Y392" s="114"/>
      <c r="Z392" s="114"/>
    </row>
    <row r="393">
      <c r="A393" s="1"/>
      <c r="C393" s="113"/>
      <c r="E393" s="113"/>
      <c r="F393" s="114"/>
      <c r="G393" s="114"/>
      <c r="H393" s="114"/>
      <c r="I393" s="114"/>
      <c r="J393" s="114"/>
      <c r="K393" s="114"/>
      <c r="L393" s="114"/>
      <c r="M393" s="114"/>
      <c r="N393" s="114"/>
      <c r="O393" s="114"/>
      <c r="P393" s="114"/>
      <c r="Q393" s="114"/>
      <c r="R393" s="114"/>
      <c r="S393" s="114"/>
      <c r="T393" s="114"/>
      <c r="U393" s="114"/>
      <c r="V393" s="114"/>
      <c r="W393" s="114"/>
      <c r="X393" s="114"/>
      <c r="Y393" s="114"/>
      <c r="Z393" s="114"/>
    </row>
    <row r="394">
      <c r="A394" s="1"/>
      <c r="C394" s="113"/>
      <c r="E394" s="113"/>
      <c r="F394" s="114"/>
      <c r="G394" s="114"/>
      <c r="H394" s="114"/>
      <c r="I394" s="114"/>
      <c r="J394" s="114"/>
      <c r="K394" s="114"/>
      <c r="L394" s="114"/>
      <c r="M394" s="114"/>
      <c r="N394" s="114"/>
      <c r="O394" s="114"/>
      <c r="P394" s="114"/>
      <c r="Q394" s="114"/>
      <c r="R394" s="114"/>
      <c r="S394" s="114"/>
      <c r="T394" s="114"/>
      <c r="U394" s="114"/>
      <c r="V394" s="114"/>
      <c r="W394" s="114"/>
      <c r="X394" s="114"/>
      <c r="Y394" s="114"/>
      <c r="Z394" s="114"/>
    </row>
    <row r="395">
      <c r="A395" s="1"/>
      <c r="C395" s="113"/>
      <c r="E395" s="113"/>
      <c r="F395" s="114"/>
      <c r="G395" s="114"/>
      <c r="H395" s="114"/>
      <c r="I395" s="114"/>
      <c r="J395" s="114"/>
      <c r="K395" s="114"/>
      <c r="L395" s="114"/>
      <c r="M395" s="114"/>
      <c r="N395" s="114"/>
      <c r="O395" s="114"/>
      <c r="P395" s="114"/>
      <c r="Q395" s="114"/>
      <c r="R395" s="114"/>
      <c r="S395" s="114"/>
      <c r="T395" s="114"/>
      <c r="U395" s="114"/>
      <c r="V395" s="114"/>
      <c r="W395" s="114"/>
      <c r="X395" s="114"/>
      <c r="Y395" s="114"/>
      <c r="Z395" s="114"/>
    </row>
    <row r="396">
      <c r="A396" s="1"/>
      <c r="C396" s="113"/>
      <c r="E396" s="113"/>
      <c r="F396" s="114"/>
      <c r="G396" s="114"/>
      <c r="H396" s="114"/>
      <c r="I396" s="114"/>
      <c r="J396" s="114"/>
      <c r="K396" s="114"/>
      <c r="L396" s="114"/>
      <c r="M396" s="114"/>
      <c r="N396" s="114"/>
      <c r="O396" s="114"/>
      <c r="P396" s="114"/>
      <c r="Q396" s="114"/>
      <c r="R396" s="114"/>
      <c r="S396" s="114"/>
      <c r="T396" s="114"/>
      <c r="U396" s="114"/>
      <c r="V396" s="114"/>
      <c r="W396" s="114"/>
      <c r="X396" s="114"/>
      <c r="Y396" s="114"/>
      <c r="Z396" s="114"/>
    </row>
    <row r="397">
      <c r="A397" s="1"/>
      <c r="C397" s="113"/>
      <c r="E397" s="113"/>
      <c r="F397" s="114"/>
      <c r="G397" s="114"/>
      <c r="H397" s="114"/>
      <c r="I397" s="114"/>
      <c r="J397" s="114"/>
      <c r="K397" s="114"/>
      <c r="L397" s="114"/>
      <c r="M397" s="114"/>
      <c r="N397" s="114"/>
      <c r="O397" s="114"/>
      <c r="P397" s="114"/>
      <c r="Q397" s="114"/>
      <c r="R397" s="114"/>
      <c r="S397" s="114"/>
      <c r="T397" s="114"/>
      <c r="U397" s="114"/>
      <c r="V397" s="114"/>
      <c r="W397" s="114"/>
      <c r="X397" s="114"/>
      <c r="Y397" s="114"/>
      <c r="Z397" s="114"/>
    </row>
    <row r="398">
      <c r="A398" s="1"/>
      <c r="C398" s="113"/>
      <c r="E398" s="113"/>
      <c r="F398" s="114"/>
      <c r="G398" s="114"/>
      <c r="H398" s="114"/>
      <c r="I398" s="114"/>
      <c r="J398" s="114"/>
      <c r="K398" s="114"/>
      <c r="L398" s="114"/>
      <c r="M398" s="114"/>
      <c r="N398" s="114"/>
      <c r="O398" s="114"/>
      <c r="P398" s="114"/>
      <c r="Q398" s="114"/>
      <c r="R398" s="114"/>
      <c r="S398" s="114"/>
      <c r="T398" s="114"/>
      <c r="U398" s="114"/>
      <c r="V398" s="114"/>
      <c r="W398" s="114"/>
      <c r="X398" s="114"/>
      <c r="Y398" s="114"/>
      <c r="Z398" s="114"/>
    </row>
    <row r="399">
      <c r="A399" s="1"/>
      <c r="C399" s="113"/>
      <c r="E399" s="113"/>
      <c r="F399" s="114"/>
      <c r="G399" s="114"/>
      <c r="H399" s="114"/>
      <c r="I399" s="114"/>
      <c r="J399" s="114"/>
      <c r="K399" s="114"/>
      <c r="L399" s="114"/>
      <c r="M399" s="114"/>
      <c r="N399" s="114"/>
      <c r="O399" s="114"/>
      <c r="P399" s="114"/>
      <c r="Q399" s="114"/>
      <c r="R399" s="114"/>
      <c r="S399" s="114"/>
      <c r="T399" s="114"/>
      <c r="U399" s="114"/>
      <c r="V399" s="114"/>
      <c r="W399" s="114"/>
      <c r="X399" s="114"/>
      <c r="Y399" s="114"/>
      <c r="Z399" s="114"/>
    </row>
    <row r="400">
      <c r="A400" s="1"/>
      <c r="C400" s="113"/>
      <c r="E400" s="113"/>
      <c r="F400" s="114"/>
      <c r="G400" s="114"/>
      <c r="H400" s="114"/>
      <c r="I400" s="114"/>
      <c r="J400" s="114"/>
      <c r="K400" s="114"/>
      <c r="L400" s="114"/>
      <c r="M400" s="114"/>
      <c r="N400" s="114"/>
      <c r="O400" s="114"/>
      <c r="P400" s="114"/>
      <c r="Q400" s="114"/>
      <c r="R400" s="114"/>
      <c r="S400" s="114"/>
      <c r="T400" s="114"/>
      <c r="U400" s="114"/>
      <c r="V400" s="114"/>
      <c r="W400" s="114"/>
      <c r="X400" s="114"/>
      <c r="Y400" s="114"/>
      <c r="Z400" s="114"/>
    </row>
    <row r="401">
      <c r="A401" s="1"/>
      <c r="C401" s="113"/>
      <c r="E401" s="113"/>
      <c r="F401" s="114"/>
      <c r="G401" s="114"/>
      <c r="H401" s="114"/>
      <c r="I401" s="114"/>
      <c r="J401" s="114"/>
      <c r="K401" s="114"/>
      <c r="L401" s="114"/>
      <c r="M401" s="114"/>
      <c r="N401" s="114"/>
      <c r="O401" s="114"/>
      <c r="P401" s="114"/>
      <c r="Q401" s="114"/>
      <c r="R401" s="114"/>
      <c r="S401" s="114"/>
      <c r="T401" s="114"/>
      <c r="U401" s="114"/>
      <c r="V401" s="114"/>
      <c r="W401" s="114"/>
      <c r="X401" s="114"/>
      <c r="Y401" s="114"/>
      <c r="Z401" s="114"/>
    </row>
    <row r="402">
      <c r="A402" s="1"/>
      <c r="C402" s="113"/>
      <c r="E402" s="113"/>
      <c r="F402" s="114"/>
      <c r="G402" s="114"/>
      <c r="H402" s="114"/>
      <c r="I402" s="114"/>
      <c r="J402" s="114"/>
      <c r="K402" s="114"/>
      <c r="L402" s="114"/>
      <c r="M402" s="114"/>
      <c r="N402" s="114"/>
      <c r="O402" s="114"/>
      <c r="P402" s="114"/>
      <c r="Q402" s="114"/>
      <c r="R402" s="114"/>
      <c r="S402" s="114"/>
      <c r="T402" s="114"/>
      <c r="U402" s="114"/>
      <c r="V402" s="114"/>
      <c r="W402" s="114"/>
      <c r="X402" s="114"/>
      <c r="Y402" s="114"/>
      <c r="Z402" s="114"/>
    </row>
    <row r="403">
      <c r="A403" s="1"/>
      <c r="C403" s="113"/>
      <c r="E403" s="113"/>
      <c r="F403" s="114"/>
      <c r="G403" s="114"/>
      <c r="H403" s="114"/>
      <c r="I403" s="114"/>
      <c r="J403" s="114"/>
      <c r="K403" s="114"/>
      <c r="L403" s="114"/>
      <c r="M403" s="114"/>
      <c r="N403" s="114"/>
      <c r="O403" s="114"/>
      <c r="P403" s="114"/>
      <c r="Q403" s="114"/>
      <c r="R403" s="114"/>
      <c r="S403" s="114"/>
      <c r="T403" s="114"/>
      <c r="U403" s="114"/>
      <c r="V403" s="114"/>
      <c r="W403" s="114"/>
      <c r="X403" s="114"/>
      <c r="Y403" s="114"/>
      <c r="Z403" s="114"/>
    </row>
    <row r="404">
      <c r="A404" s="1"/>
      <c r="C404" s="113"/>
      <c r="E404" s="113"/>
      <c r="F404" s="114"/>
      <c r="G404" s="114"/>
      <c r="H404" s="114"/>
      <c r="I404" s="114"/>
      <c r="J404" s="114"/>
      <c r="K404" s="114"/>
      <c r="L404" s="114"/>
      <c r="M404" s="114"/>
      <c r="N404" s="114"/>
      <c r="O404" s="114"/>
      <c r="P404" s="114"/>
      <c r="Q404" s="114"/>
      <c r="R404" s="114"/>
      <c r="S404" s="114"/>
      <c r="T404" s="114"/>
      <c r="U404" s="114"/>
      <c r="V404" s="114"/>
      <c r="W404" s="114"/>
      <c r="X404" s="114"/>
      <c r="Y404" s="114"/>
      <c r="Z404" s="114"/>
    </row>
    <row r="405">
      <c r="A405" s="1"/>
      <c r="C405" s="113"/>
      <c r="E405" s="113"/>
      <c r="F405" s="114"/>
      <c r="G405" s="114"/>
      <c r="H405" s="114"/>
      <c r="I405" s="114"/>
      <c r="J405" s="114"/>
      <c r="K405" s="114"/>
      <c r="L405" s="114"/>
      <c r="M405" s="114"/>
      <c r="N405" s="114"/>
      <c r="O405" s="114"/>
      <c r="P405" s="114"/>
      <c r="Q405" s="114"/>
      <c r="R405" s="114"/>
      <c r="S405" s="114"/>
      <c r="T405" s="114"/>
      <c r="U405" s="114"/>
      <c r="V405" s="114"/>
      <c r="W405" s="114"/>
      <c r="X405" s="114"/>
      <c r="Y405" s="114"/>
      <c r="Z405" s="114"/>
    </row>
    <row r="406">
      <c r="A406" s="1"/>
      <c r="C406" s="113"/>
      <c r="E406" s="113"/>
      <c r="F406" s="114"/>
      <c r="G406" s="114"/>
      <c r="H406" s="114"/>
      <c r="I406" s="114"/>
      <c r="J406" s="114"/>
      <c r="K406" s="114"/>
      <c r="L406" s="114"/>
      <c r="M406" s="114"/>
      <c r="N406" s="114"/>
      <c r="O406" s="114"/>
      <c r="P406" s="114"/>
      <c r="Q406" s="114"/>
      <c r="R406" s="114"/>
      <c r="S406" s="114"/>
      <c r="T406" s="114"/>
      <c r="U406" s="114"/>
      <c r="V406" s="114"/>
      <c r="W406" s="114"/>
      <c r="X406" s="114"/>
      <c r="Y406" s="114"/>
      <c r="Z406" s="114"/>
    </row>
    <row r="407">
      <c r="A407" s="1"/>
      <c r="C407" s="113"/>
      <c r="E407" s="113"/>
      <c r="F407" s="114"/>
      <c r="G407" s="114"/>
      <c r="H407" s="114"/>
      <c r="I407" s="114"/>
      <c r="J407" s="114"/>
      <c r="K407" s="114"/>
      <c r="L407" s="114"/>
      <c r="M407" s="114"/>
      <c r="N407" s="114"/>
      <c r="O407" s="114"/>
      <c r="P407" s="114"/>
      <c r="Q407" s="114"/>
      <c r="R407" s="114"/>
      <c r="S407" s="114"/>
      <c r="T407" s="114"/>
      <c r="U407" s="114"/>
      <c r="V407" s="114"/>
      <c r="W407" s="114"/>
      <c r="X407" s="114"/>
      <c r="Y407" s="114"/>
      <c r="Z407" s="114"/>
    </row>
    <row r="408">
      <c r="A408" s="1"/>
      <c r="C408" s="113"/>
      <c r="E408" s="113"/>
      <c r="F408" s="114"/>
      <c r="G408" s="114"/>
      <c r="H408" s="114"/>
      <c r="I408" s="114"/>
      <c r="J408" s="114"/>
      <c r="K408" s="114"/>
      <c r="L408" s="114"/>
      <c r="M408" s="114"/>
      <c r="N408" s="114"/>
      <c r="O408" s="114"/>
      <c r="P408" s="114"/>
      <c r="Q408" s="114"/>
      <c r="R408" s="114"/>
      <c r="S408" s="114"/>
      <c r="T408" s="114"/>
      <c r="U408" s="114"/>
      <c r="V408" s="114"/>
      <c r="W408" s="114"/>
      <c r="X408" s="114"/>
      <c r="Y408" s="114"/>
      <c r="Z408" s="114"/>
    </row>
    <row r="409">
      <c r="A409" s="1"/>
      <c r="C409" s="113"/>
      <c r="E409" s="113"/>
      <c r="F409" s="114"/>
      <c r="G409" s="114"/>
      <c r="H409" s="114"/>
      <c r="I409" s="114"/>
      <c r="J409" s="114"/>
      <c r="K409" s="114"/>
      <c r="L409" s="114"/>
      <c r="M409" s="114"/>
      <c r="N409" s="114"/>
      <c r="O409" s="114"/>
      <c r="P409" s="114"/>
      <c r="Q409" s="114"/>
      <c r="R409" s="114"/>
      <c r="S409" s="114"/>
      <c r="T409" s="114"/>
      <c r="U409" s="114"/>
      <c r="V409" s="114"/>
      <c r="W409" s="114"/>
      <c r="X409" s="114"/>
      <c r="Y409" s="114"/>
      <c r="Z409" s="114"/>
    </row>
    <row r="410">
      <c r="A410" s="1"/>
      <c r="C410" s="113"/>
      <c r="E410" s="113"/>
      <c r="F410" s="114"/>
      <c r="G410" s="114"/>
      <c r="H410" s="114"/>
      <c r="I410" s="114"/>
      <c r="J410" s="114"/>
      <c r="K410" s="114"/>
      <c r="L410" s="114"/>
      <c r="M410" s="114"/>
      <c r="N410" s="114"/>
      <c r="O410" s="114"/>
      <c r="P410" s="114"/>
      <c r="Q410" s="114"/>
      <c r="R410" s="114"/>
      <c r="S410" s="114"/>
      <c r="T410" s="114"/>
      <c r="U410" s="114"/>
      <c r="V410" s="114"/>
      <c r="W410" s="114"/>
      <c r="X410" s="114"/>
      <c r="Y410" s="114"/>
      <c r="Z410" s="114"/>
    </row>
    <row r="411">
      <c r="A411" s="1"/>
      <c r="C411" s="113"/>
      <c r="E411" s="113"/>
      <c r="F411" s="114"/>
      <c r="G411" s="114"/>
      <c r="H411" s="114"/>
      <c r="I411" s="114"/>
      <c r="J411" s="114"/>
      <c r="K411" s="114"/>
      <c r="L411" s="114"/>
      <c r="M411" s="114"/>
      <c r="N411" s="114"/>
      <c r="O411" s="114"/>
      <c r="P411" s="114"/>
      <c r="Q411" s="114"/>
      <c r="R411" s="114"/>
      <c r="S411" s="114"/>
      <c r="T411" s="114"/>
      <c r="U411" s="114"/>
      <c r="V411" s="114"/>
      <c r="W411" s="114"/>
      <c r="X411" s="114"/>
      <c r="Y411" s="114"/>
      <c r="Z411" s="114"/>
    </row>
    <row r="412">
      <c r="A412" s="1"/>
      <c r="C412" s="113"/>
      <c r="E412" s="113"/>
      <c r="F412" s="114"/>
      <c r="G412" s="114"/>
      <c r="H412" s="114"/>
      <c r="I412" s="114"/>
      <c r="J412" s="114"/>
      <c r="K412" s="114"/>
      <c r="L412" s="114"/>
      <c r="M412" s="114"/>
      <c r="N412" s="114"/>
      <c r="O412" s="114"/>
      <c r="P412" s="114"/>
      <c r="Q412" s="114"/>
      <c r="R412" s="114"/>
      <c r="S412" s="114"/>
      <c r="T412" s="114"/>
      <c r="U412" s="114"/>
      <c r="V412" s="114"/>
      <c r="W412" s="114"/>
      <c r="X412" s="114"/>
      <c r="Y412" s="114"/>
      <c r="Z412" s="114"/>
    </row>
    <row r="413">
      <c r="A413" s="1"/>
      <c r="C413" s="113"/>
      <c r="E413" s="113"/>
      <c r="F413" s="114"/>
      <c r="G413" s="114"/>
      <c r="H413" s="114"/>
      <c r="I413" s="114"/>
      <c r="J413" s="114"/>
      <c r="K413" s="114"/>
      <c r="L413" s="114"/>
      <c r="M413" s="114"/>
      <c r="N413" s="114"/>
      <c r="O413" s="114"/>
      <c r="P413" s="114"/>
      <c r="Q413" s="114"/>
      <c r="R413" s="114"/>
      <c r="S413" s="114"/>
      <c r="T413" s="114"/>
      <c r="U413" s="114"/>
      <c r="V413" s="114"/>
      <c r="W413" s="114"/>
      <c r="X413" s="114"/>
      <c r="Y413" s="114"/>
      <c r="Z413" s="114"/>
    </row>
    <row r="414">
      <c r="A414" s="1"/>
      <c r="C414" s="113"/>
      <c r="E414" s="113"/>
      <c r="F414" s="114"/>
      <c r="G414" s="114"/>
      <c r="H414" s="114"/>
      <c r="I414" s="114"/>
      <c r="J414" s="114"/>
      <c r="K414" s="114"/>
      <c r="L414" s="114"/>
      <c r="M414" s="114"/>
      <c r="N414" s="114"/>
      <c r="O414" s="114"/>
      <c r="P414" s="114"/>
      <c r="Q414" s="114"/>
      <c r="R414" s="114"/>
      <c r="S414" s="114"/>
      <c r="T414" s="114"/>
      <c r="U414" s="114"/>
      <c r="V414" s="114"/>
      <c r="W414" s="114"/>
      <c r="X414" s="114"/>
      <c r="Y414" s="114"/>
      <c r="Z414" s="114"/>
    </row>
    <row r="415">
      <c r="A415" s="1"/>
      <c r="C415" s="113"/>
      <c r="E415" s="113"/>
      <c r="F415" s="114"/>
      <c r="G415" s="114"/>
      <c r="H415" s="114"/>
      <c r="I415" s="114"/>
      <c r="J415" s="114"/>
      <c r="K415" s="114"/>
      <c r="L415" s="114"/>
      <c r="M415" s="114"/>
      <c r="N415" s="114"/>
      <c r="O415" s="114"/>
      <c r="P415" s="114"/>
      <c r="Q415" s="114"/>
      <c r="R415" s="114"/>
      <c r="S415" s="114"/>
      <c r="T415" s="114"/>
      <c r="U415" s="114"/>
      <c r="V415" s="114"/>
      <c r="W415" s="114"/>
      <c r="X415" s="114"/>
      <c r="Y415" s="114"/>
      <c r="Z415" s="114"/>
    </row>
    <row r="416">
      <c r="A416" s="1"/>
      <c r="C416" s="113"/>
      <c r="E416" s="113"/>
      <c r="F416" s="114"/>
      <c r="G416" s="114"/>
      <c r="H416" s="114"/>
      <c r="I416" s="114"/>
      <c r="J416" s="114"/>
      <c r="K416" s="114"/>
      <c r="L416" s="114"/>
      <c r="M416" s="114"/>
      <c r="N416" s="114"/>
      <c r="O416" s="114"/>
      <c r="P416" s="114"/>
      <c r="Q416" s="114"/>
      <c r="R416" s="114"/>
      <c r="S416" s="114"/>
      <c r="T416" s="114"/>
      <c r="U416" s="114"/>
      <c r="V416" s="114"/>
      <c r="W416" s="114"/>
      <c r="X416" s="114"/>
      <c r="Y416" s="114"/>
      <c r="Z416" s="114"/>
    </row>
    <row r="417">
      <c r="A417" s="1"/>
      <c r="C417" s="113"/>
      <c r="E417" s="113"/>
      <c r="F417" s="114"/>
      <c r="G417" s="114"/>
      <c r="H417" s="114"/>
      <c r="I417" s="114"/>
      <c r="J417" s="114"/>
      <c r="K417" s="114"/>
      <c r="L417" s="114"/>
      <c r="M417" s="114"/>
      <c r="N417" s="114"/>
      <c r="O417" s="114"/>
      <c r="P417" s="114"/>
      <c r="Q417" s="114"/>
      <c r="R417" s="114"/>
      <c r="S417" s="114"/>
      <c r="T417" s="114"/>
      <c r="U417" s="114"/>
      <c r="V417" s="114"/>
      <c r="W417" s="114"/>
      <c r="X417" s="114"/>
      <c r="Y417" s="114"/>
      <c r="Z417" s="114"/>
    </row>
    <row r="418">
      <c r="A418" s="1"/>
      <c r="C418" s="113"/>
      <c r="E418" s="113"/>
      <c r="F418" s="114"/>
      <c r="G418" s="114"/>
      <c r="H418" s="114"/>
      <c r="I418" s="114"/>
      <c r="J418" s="114"/>
      <c r="K418" s="114"/>
      <c r="L418" s="114"/>
      <c r="M418" s="114"/>
      <c r="N418" s="114"/>
      <c r="O418" s="114"/>
      <c r="P418" s="114"/>
      <c r="Q418" s="114"/>
      <c r="R418" s="114"/>
      <c r="S418" s="114"/>
      <c r="T418" s="114"/>
      <c r="U418" s="114"/>
      <c r="V418" s="114"/>
      <c r="W418" s="114"/>
      <c r="X418" s="114"/>
      <c r="Y418" s="114"/>
      <c r="Z418" s="114"/>
    </row>
    <row r="419">
      <c r="A419" s="1"/>
      <c r="C419" s="113"/>
      <c r="E419" s="113"/>
      <c r="F419" s="114"/>
      <c r="G419" s="114"/>
      <c r="H419" s="114"/>
      <c r="I419" s="114"/>
      <c r="J419" s="114"/>
      <c r="K419" s="114"/>
      <c r="L419" s="114"/>
      <c r="M419" s="114"/>
      <c r="N419" s="114"/>
      <c r="O419" s="114"/>
      <c r="P419" s="114"/>
      <c r="Q419" s="114"/>
      <c r="R419" s="114"/>
      <c r="S419" s="114"/>
      <c r="T419" s="114"/>
      <c r="U419" s="114"/>
      <c r="V419" s="114"/>
      <c r="W419" s="114"/>
      <c r="X419" s="114"/>
      <c r="Y419" s="114"/>
      <c r="Z419" s="114"/>
    </row>
    <row r="420">
      <c r="A420" s="1"/>
      <c r="C420" s="113"/>
      <c r="E420" s="113"/>
      <c r="F420" s="114"/>
      <c r="G420" s="114"/>
      <c r="H420" s="114"/>
      <c r="I420" s="114"/>
      <c r="J420" s="114"/>
      <c r="K420" s="114"/>
      <c r="L420" s="114"/>
      <c r="M420" s="114"/>
      <c r="N420" s="114"/>
      <c r="O420" s="114"/>
      <c r="P420" s="114"/>
      <c r="Q420" s="114"/>
      <c r="R420" s="114"/>
      <c r="S420" s="114"/>
      <c r="T420" s="114"/>
      <c r="U420" s="114"/>
      <c r="V420" s="114"/>
      <c r="W420" s="114"/>
      <c r="X420" s="114"/>
      <c r="Y420" s="114"/>
      <c r="Z420" s="114"/>
    </row>
    <row r="421">
      <c r="A421" s="1"/>
      <c r="C421" s="113"/>
      <c r="E421" s="113"/>
      <c r="F421" s="114"/>
      <c r="G421" s="114"/>
      <c r="H421" s="114"/>
      <c r="I421" s="114"/>
      <c r="J421" s="114"/>
      <c r="K421" s="114"/>
      <c r="L421" s="114"/>
      <c r="M421" s="114"/>
      <c r="N421" s="114"/>
      <c r="O421" s="114"/>
      <c r="P421" s="114"/>
      <c r="Q421" s="114"/>
      <c r="R421" s="114"/>
      <c r="S421" s="114"/>
      <c r="T421" s="114"/>
      <c r="U421" s="114"/>
      <c r="V421" s="114"/>
      <c r="W421" s="114"/>
      <c r="X421" s="114"/>
      <c r="Y421" s="114"/>
      <c r="Z421" s="114"/>
    </row>
    <row r="422">
      <c r="A422" s="1"/>
      <c r="C422" s="113"/>
      <c r="E422" s="113"/>
      <c r="F422" s="114"/>
      <c r="G422" s="114"/>
      <c r="H422" s="114"/>
      <c r="I422" s="114"/>
      <c r="J422" s="114"/>
      <c r="K422" s="114"/>
      <c r="L422" s="114"/>
      <c r="M422" s="114"/>
      <c r="N422" s="114"/>
      <c r="O422" s="114"/>
      <c r="P422" s="114"/>
      <c r="Q422" s="114"/>
      <c r="R422" s="114"/>
      <c r="S422" s="114"/>
      <c r="T422" s="114"/>
      <c r="U422" s="114"/>
      <c r="V422" s="114"/>
      <c r="W422" s="114"/>
      <c r="X422" s="114"/>
      <c r="Y422" s="114"/>
      <c r="Z422" s="114"/>
    </row>
    <row r="423">
      <c r="A423" s="1"/>
      <c r="C423" s="113"/>
      <c r="E423" s="113"/>
      <c r="F423" s="114"/>
      <c r="G423" s="114"/>
      <c r="H423" s="114"/>
      <c r="I423" s="114"/>
      <c r="J423" s="114"/>
      <c r="K423" s="114"/>
      <c r="L423" s="114"/>
      <c r="M423" s="114"/>
      <c r="N423" s="114"/>
      <c r="O423" s="114"/>
      <c r="P423" s="114"/>
      <c r="Q423" s="114"/>
      <c r="R423" s="114"/>
      <c r="S423" s="114"/>
      <c r="T423" s="114"/>
      <c r="U423" s="114"/>
      <c r="V423" s="114"/>
      <c r="W423" s="114"/>
      <c r="X423" s="114"/>
      <c r="Y423" s="114"/>
      <c r="Z423" s="114"/>
    </row>
    <row r="424">
      <c r="A424" s="1"/>
      <c r="C424" s="113"/>
      <c r="E424" s="113"/>
      <c r="F424" s="114"/>
      <c r="G424" s="114"/>
      <c r="H424" s="114"/>
      <c r="I424" s="114"/>
      <c r="J424" s="114"/>
      <c r="K424" s="114"/>
      <c r="L424" s="114"/>
      <c r="M424" s="114"/>
      <c r="N424" s="114"/>
      <c r="O424" s="114"/>
      <c r="P424" s="114"/>
      <c r="Q424" s="114"/>
      <c r="R424" s="114"/>
      <c r="S424" s="114"/>
      <c r="T424" s="114"/>
      <c r="U424" s="114"/>
      <c r="V424" s="114"/>
      <c r="W424" s="114"/>
      <c r="X424" s="114"/>
      <c r="Y424" s="114"/>
      <c r="Z424" s="114"/>
    </row>
    <row r="425">
      <c r="A425" s="1"/>
      <c r="C425" s="113"/>
      <c r="E425" s="113"/>
      <c r="F425" s="114"/>
      <c r="G425" s="114"/>
      <c r="H425" s="114"/>
      <c r="I425" s="114"/>
      <c r="J425" s="114"/>
      <c r="K425" s="114"/>
      <c r="L425" s="114"/>
      <c r="M425" s="114"/>
      <c r="N425" s="114"/>
      <c r="O425" s="114"/>
      <c r="P425" s="114"/>
      <c r="Q425" s="114"/>
      <c r="R425" s="114"/>
      <c r="S425" s="114"/>
      <c r="T425" s="114"/>
      <c r="U425" s="114"/>
      <c r="V425" s="114"/>
      <c r="W425" s="114"/>
      <c r="X425" s="114"/>
      <c r="Y425" s="114"/>
      <c r="Z425" s="114"/>
    </row>
    <row r="426">
      <c r="A426" s="1"/>
      <c r="C426" s="113"/>
      <c r="E426" s="113"/>
      <c r="F426" s="114"/>
      <c r="G426" s="114"/>
      <c r="H426" s="114"/>
      <c r="I426" s="114"/>
      <c r="J426" s="114"/>
      <c r="K426" s="114"/>
      <c r="L426" s="114"/>
      <c r="M426" s="114"/>
      <c r="N426" s="114"/>
      <c r="O426" s="114"/>
      <c r="P426" s="114"/>
      <c r="Q426" s="114"/>
      <c r="R426" s="114"/>
      <c r="S426" s="114"/>
      <c r="T426" s="114"/>
      <c r="U426" s="114"/>
      <c r="V426" s="114"/>
      <c r="W426" s="114"/>
      <c r="X426" s="114"/>
      <c r="Y426" s="114"/>
      <c r="Z426" s="114"/>
    </row>
    <row r="427">
      <c r="A427" s="1"/>
      <c r="C427" s="113"/>
      <c r="E427" s="113"/>
      <c r="F427" s="114"/>
      <c r="G427" s="114"/>
      <c r="H427" s="114"/>
      <c r="I427" s="114"/>
      <c r="J427" s="114"/>
      <c r="K427" s="114"/>
      <c r="L427" s="114"/>
      <c r="M427" s="114"/>
      <c r="N427" s="114"/>
      <c r="O427" s="114"/>
      <c r="P427" s="114"/>
      <c r="Q427" s="114"/>
      <c r="R427" s="114"/>
      <c r="S427" s="114"/>
      <c r="T427" s="114"/>
      <c r="U427" s="114"/>
      <c r="V427" s="114"/>
      <c r="W427" s="114"/>
      <c r="X427" s="114"/>
      <c r="Y427" s="114"/>
      <c r="Z427" s="114"/>
    </row>
    <row r="428">
      <c r="A428" s="1"/>
      <c r="C428" s="113"/>
      <c r="E428" s="113"/>
      <c r="F428" s="114"/>
      <c r="G428" s="114"/>
      <c r="H428" s="114"/>
      <c r="I428" s="114"/>
      <c r="J428" s="114"/>
      <c r="K428" s="114"/>
      <c r="L428" s="114"/>
      <c r="M428" s="114"/>
      <c r="N428" s="114"/>
      <c r="O428" s="114"/>
      <c r="P428" s="114"/>
      <c r="Q428" s="114"/>
      <c r="R428" s="114"/>
      <c r="S428" s="114"/>
      <c r="T428" s="114"/>
      <c r="U428" s="114"/>
      <c r="V428" s="114"/>
      <c r="W428" s="114"/>
      <c r="X428" s="114"/>
      <c r="Y428" s="114"/>
      <c r="Z428" s="114"/>
    </row>
    <row r="429">
      <c r="A429" s="1"/>
      <c r="C429" s="113"/>
      <c r="E429" s="113"/>
      <c r="F429" s="114"/>
      <c r="G429" s="114"/>
      <c r="H429" s="114"/>
      <c r="I429" s="114"/>
      <c r="J429" s="114"/>
      <c r="K429" s="114"/>
      <c r="L429" s="114"/>
      <c r="M429" s="114"/>
      <c r="N429" s="114"/>
      <c r="O429" s="114"/>
      <c r="P429" s="114"/>
      <c r="Q429" s="114"/>
      <c r="R429" s="114"/>
      <c r="S429" s="114"/>
      <c r="T429" s="114"/>
      <c r="U429" s="114"/>
      <c r="V429" s="114"/>
      <c r="W429" s="114"/>
      <c r="X429" s="114"/>
      <c r="Y429" s="114"/>
      <c r="Z429" s="114"/>
    </row>
    <row r="430">
      <c r="A430" s="1"/>
      <c r="C430" s="113"/>
      <c r="E430" s="113"/>
      <c r="F430" s="114"/>
      <c r="G430" s="114"/>
      <c r="H430" s="114"/>
      <c r="I430" s="114"/>
      <c r="J430" s="114"/>
      <c r="K430" s="114"/>
      <c r="L430" s="114"/>
      <c r="M430" s="114"/>
      <c r="N430" s="114"/>
      <c r="O430" s="114"/>
      <c r="P430" s="114"/>
      <c r="Q430" s="114"/>
      <c r="R430" s="114"/>
      <c r="S430" s="114"/>
      <c r="T430" s="114"/>
      <c r="U430" s="114"/>
      <c r="V430" s="114"/>
      <c r="W430" s="114"/>
      <c r="X430" s="114"/>
      <c r="Y430" s="114"/>
      <c r="Z430" s="114"/>
    </row>
    <row r="431">
      <c r="A431" s="1"/>
      <c r="C431" s="113"/>
      <c r="E431" s="113"/>
      <c r="F431" s="114"/>
      <c r="G431" s="114"/>
      <c r="H431" s="114"/>
      <c r="I431" s="114"/>
      <c r="J431" s="114"/>
      <c r="K431" s="114"/>
      <c r="L431" s="114"/>
      <c r="M431" s="114"/>
      <c r="N431" s="114"/>
      <c r="O431" s="114"/>
      <c r="P431" s="114"/>
      <c r="Q431" s="114"/>
      <c r="R431" s="114"/>
      <c r="S431" s="114"/>
      <c r="T431" s="114"/>
      <c r="U431" s="114"/>
      <c r="V431" s="114"/>
      <c r="W431" s="114"/>
      <c r="X431" s="114"/>
      <c r="Y431" s="114"/>
      <c r="Z431" s="114"/>
    </row>
    <row r="432">
      <c r="A432" s="1"/>
      <c r="C432" s="113"/>
      <c r="E432" s="113"/>
      <c r="F432" s="114"/>
      <c r="G432" s="114"/>
      <c r="H432" s="114"/>
      <c r="I432" s="114"/>
      <c r="J432" s="114"/>
      <c r="K432" s="114"/>
      <c r="L432" s="114"/>
      <c r="M432" s="114"/>
      <c r="N432" s="114"/>
      <c r="O432" s="114"/>
      <c r="P432" s="114"/>
      <c r="Q432" s="114"/>
      <c r="R432" s="114"/>
      <c r="S432" s="114"/>
      <c r="T432" s="114"/>
      <c r="U432" s="114"/>
      <c r="V432" s="114"/>
      <c r="W432" s="114"/>
      <c r="X432" s="114"/>
      <c r="Y432" s="114"/>
      <c r="Z432" s="114"/>
    </row>
    <row r="433">
      <c r="A433" s="1"/>
      <c r="C433" s="113"/>
      <c r="E433" s="113"/>
      <c r="F433" s="114"/>
      <c r="G433" s="114"/>
      <c r="H433" s="114"/>
      <c r="I433" s="114"/>
      <c r="J433" s="114"/>
      <c r="K433" s="114"/>
      <c r="L433" s="114"/>
      <c r="M433" s="114"/>
      <c r="N433" s="114"/>
      <c r="O433" s="114"/>
      <c r="P433" s="114"/>
      <c r="Q433" s="114"/>
      <c r="R433" s="114"/>
      <c r="S433" s="114"/>
      <c r="T433" s="114"/>
      <c r="U433" s="114"/>
      <c r="V433" s="114"/>
      <c r="W433" s="114"/>
      <c r="X433" s="114"/>
      <c r="Y433" s="114"/>
      <c r="Z433" s="114"/>
    </row>
    <row r="434">
      <c r="A434" s="1"/>
      <c r="C434" s="113"/>
      <c r="E434" s="113"/>
      <c r="F434" s="114"/>
      <c r="G434" s="114"/>
      <c r="H434" s="114"/>
      <c r="I434" s="114"/>
      <c r="J434" s="114"/>
      <c r="K434" s="114"/>
      <c r="L434" s="114"/>
      <c r="M434" s="114"/>
      <c r="N434" s="114"/>
      <c r="O434" s="114"/>
      <c r="P434" s="114"/>
      <c r="Q434" s="114"/>
      <c r="R434" s="114"/>
      <c r="S434" s="114"/>
      <c r="T434" s="114"/>
      <c r="U434" s="114"/>
      <c r="V434" s="114"/>
      <c r="W434" s="114"/>
      <c r="X434" s="114"/>
      <c r="Y434" s="114"/>
      <c r="Z434" s="114"/>
    </row>
    <row r="435">
      <c r="A435" s="1"/>
      <c r="C435" s="113"/>
      <c r="E435" s="113"/>
      <c r="F435" s="114"/>
      <c r="G435" s="114"/>
      <c r="H435" s="114"/>
      <c r="I435" s="114"/>
      <c r="J435" s="114"/>
      <c r="K435" s="114"/>
      <c r="L435" s="114"/>
      <c r="M435" s="114"/>
      <c r="N435" s="114"/>
      <c r="O435" s="114"/>
      <c r="P435" s="114"/>
      <c r="Q435" s="114"/>
      <c r="R435" s="114"/>
      <c r="S435" s="114"/>
      <c r="T435" s="114"/>
      <c r="U435" s="114"/>
      <c r="V435" s="114"/>
      <c r="W435" s="114"/>
      <c r="X435" s="114"/>
      <c r="Y435" s="114"/>
      <c r="Z435" s="114"/>
    </row>
    <row r="436">
      <c r="A436" s="1"/>
      <c r="C436" s="113"/>
      <c r="E436" s="113"/>
      <c r="F436" s="114"/>
      <c r="G436" s="114"/>
      <c r="H436" s="114"/>
      <c r="I436" s="114"/>
      <c r="J436" s="114"/>
      <c r="K436" s="114"/>
      <c r="L436" s="114"/>
      <c r="M436" s="114"/>
      <c r="N436" s="114"/>
      <c r="O436" s="114"/>
      <c r="P436" s="114"/>
      <c r="Q436" s="114"/>
      <c r="R436" s="114"/>
      <c r="S436" s="114"/>
      <c r="T436" s="114"/>
      <c r="U436" s="114"/>
      <c r="V436" s="114"/>
      <c r="W436" s="114"/>
      <c r="X436" s="114"/>
      <c r="Y436" s="114"/>
      <c r="Z436" s="114"/>
    </row>
    <row r="437">
      <c r="A437" s="1"/>
      <c r="C437" s="113"/>
      <c r="E437" s="113"/>
      <c r="F437" s="114"/>
      <c r="G437" s="114"/>
      <c r="H437" s="114"/>
      <c r="I437" s="114"/>
      <c r="J437" s="114"/>
      <c r="K437" s="114"/>
      <c r="L437" s="114"/>
      <c r="M437" s="114"/>
      <c r="N437" s="114"/>
      <c r="O437" s="114"/>
      <c r="P437" s="114"/>
      <c r="Q437" s="114"/>
      <c r="R437" s="114"/>
      <c r="S437" s="114"/>
      <c r="T437" s="114"/>
      <c r="U437" s="114"/>
      <c r="V437" s="114"/>
      <c r="W437" s="114"/>
      <c r="X437" s="114"/>
      <c r="Y437" s="114"/>
      <c r="Z437" s="114"/>
    </row>
    <row r="438">
      <c r="A438" s="1"/>
      <c r="C438" s="113"/>
      <c r="E438" s="113"/>
      <c r="F438" s="114"/>
      <c r="G438" s="114"/>
      <c r="H438" s="114"/>
      <c r="I438" s="114"/>
      <c r="J438" s="114"/>
      <c r="K438" s="114"/>
      <c r="L438" s="114"/>
      <c r="M438" s="114"/>
      <c r="N438" s="114"/>
      <c r="O438" s="114"/>
      <c r="P438" s="114"/>
      <c r="Q438" s="114"/>
      <c r="R438" s="114"/>
      <c r="S438" s="114"/>
      <c r="T438" s="114"/>
      <c r="U438" s="114"/>
      <c r="V438" s="114"/>
      <c r="W438" s="114"/>
      <c r="X438" s="114"/>
      <c r="Y438" s="114"/>
      <c r="Z438" s="114"/>
    </row>
    <row r="439">
      <c r="A439" s="1"/>
      <c r="C439" s="113"/>
      <c r="E439" s="113"/>
      <c r="F439" s="114"/>
      <c r="G439" s="114"/>
      <c r="H439" s="114"/>
      <c r="I439" s="114"/>
      <c r="J439" s="114"/>
      <c r="K439" s="114"/>
      <c r="L439" s="114"/>
      <c r="M439" s="114"/>
      <c r="N439" s="114"/>
      <c r="O439" s="114"/>
      <c r="P439" s="114"/>
      <c r="Q439" s="114"/>
      <c r="R439" s="114"/>
      <c r="S439" s="114"/>
      <c r="T439" s="114"/>
      <c r="U439" s="114"/>
      <c r="V439" s="114"/>
      <c r="W439" s="114"/>
      <c r="X439" s="114"/>
      <c r="Y439" s="114"/>
      <c r="Z439" s="114"/>
    </row>
    <row r="440">
      <c r="A440" s="1"/>
      <c r="C440" s="113"/>
      <c r="E440" s="113"/>
      <c r="F440" s="114"/>
      <c r="G440" s="114"/>
      <c r="H440" s="114"/>
      <c r="I440" s="114"/>
      <c r="J440" s="114"/>
      <c r="K440" s="114"/>
      <c r="L440" s="114"/>
      <c r="M440" s="114"/>
      <c r="N440" s="114"/>
      <c r="O440" s="114"/>
      <c r="P440" s="114"/>
      <c r="Q440" s="114"/>
      <c r="R440" s="114"/>
      <c r="S440" s="114"/>
      <c r="T440" s="114"/>
      <c r="U440" s="114"/>
      <c r="V440" s="114"/>
      <c r="W440" s="114"/>
      <c r="X440" s="114"/>
      <c r="Y440" s="114"/>
      <c r="Z440" s="114"/>
    </row>
    <row r="441">
      <c r="A441" s="1"/>
      <c r="C441" s="113"/>
      <c r="E441" s="113"/>
      <c r="F441" s="114"/>
      <c r="G441" s="114"/>
      <c r="H441" s="114"/>
      <c r="I441" s="114"/>
      <c r="J441" s="114"/>
      <c r="K441" s="114"/>
      <c r="L441" s="114"/>
      <c r="M441" s="114"/>
      <c r="N441" s="114"/>
      <c r="O441" s="114"/>
      <c r="P441" s="114"/>
      <c r="Q441" s="114"/>
      <c r="R441" s="114"/>
      <c r="S441" s="114"/>
      <c r="T441" s="114"/>
      <c r="U441" s="114"/>
      <c r="V441" s="114"/>
      <c r="W441" s="114"/>
      <c r="X441" s="114"/>
      <c r="Y441" s="114"/>
      <c r="Z441" s="114"/>
    </row>
    <row r="442">
      <c r="A442" s="1"/>
      <c r="C442" s="113"/>
      <c r="E442" s="113"/>
      <c r="F442" s="114"/>
      <c r="G442" s="114"/>
      <c r="H442" s="114"/>
      <c r="I442" s="114"/>
      <c r="J442" s="114"/>
      <c r="K442" s="114"/>
      <c r="L442" s="114"/>
      <c r="M442" s="114"/>
      <c r="N442" s="114"/>
      <c r="O442" s="114"/>
      <c r="P442" s="114"/>
      <c r="Q442" s="114"/>
      <c r="R442" s="114"/>
      <c r="S442" s="114"/>
      <c r="T442" s="114"/>
      <c r="U442" s="114"/>
      <c r="V442" s="114"/>
      <c r="W442" s="114"/>
      <c r="X442" s="114"/>
      <c r="Y442" s="114"/>
      <c r="Z442" s="114"/>
    </row>
    <row r="443">
      <c r="A443" s="1"/>
      <c r="C443" s="113"/>
      <c r="E443" s="113"/>
      <c r="F443" s="114"/>
      <c r="G443" s="114"/>
      <c r="H443" s="114"/>
      <c r="I443" s="114"/>
      <c r="J443" s="114"/>
      <c r="K443" s="114"/>
      <c r="L443" s="114"/>
      <c r="M443" s="114"/>
      <c r="N443" s="114"/>
      <c r="O443" s="114"/>
      <c r="P443" s="114"/>
      <c r="Q443" s="114"/>
      <c r="R443" s="114"/>
      <c r="S443" s="114"/>
      <c r="T443" s="114"/>
      <c r="U443" s="114"/>
      <c r="V443" s="114"/>
      <c r="W443" s="114"/>
      <c r="X443" s="114"/>
      <c r="Y443" s="114"/>
      <c r="Z443" s="114"/>
    </row>
    <row r="444">
      <c r="A444" s="1"/>
      <c r="C444" s="113"/>
      <c r="E444" s="113"/>
      <c r="F444" s="114"/>
      <c r="G444" s="114"/>
      <c r="H444" s="114"/>
      <c r="I444" s="114"/>
      <c r="J444" s="114"/>
      <c r="K444" s="114"/>
      <c r="L444" s="114"/>
      <c r="M444" s="114"/>
      <c r="N444" s="114"/>
      <c r="O444" s="114"/>
      <c r="P444" s="114"/>
      <c r="Q444" s="114"/>
      <c r="R444" s="114"/>
      <c r="S444" s="114"/>
      <c r="T444" s="114"/>
      <c r="U444" s="114"/>
      <c r="V444" s="114"/>
      <c r="W444" s="114"/>
      <c r="X444" s="114"/>
      <c r="Y444" s="114"/>
      <c r="Z444" s="114"/>
    </row>
    <row r="445">
      <c r="A445" s="1"/>
      <c r="C445" s="113"/>
      <c r="E445" s="113"/>
      <c r="F445" s="114"/>
      <c r="G445" s="114"/>
      <c r="H445" s="114"/>
      <c r="I445" s="114"/>
      <c r="J445" s="114"/>
      <c r="K445" s="114"/>
      <c r="L445" s="114"/>
      <c r="M445" s="114"/>
      <c r="N445" s="114"/>
      <c r="O445" s="114"/>
      <c r="P445" s="114"/>
      <c r="Q445" s="114"/>
      <c r="R445" s="114"/>
      <c r="S445" s="114"/>
      <c r="T445" s="114"/>
      <c r="U445" s="114"/>
      <c r="V445" s="114"/>
      <c r="W445" s="114"/>
      <c r="X445" s="114"/>
      <c r="Y445" s="114"/>
      <c r="Z445" s="114"/>
    </row>
    <row r="446">
      <c r="A446" s="1"/>
      <c r="C446" s="113"/>
      <c r="E446" s="113"/>
      <c r="F446" s="114"/>
      <c r="G446" s="114"/>
      <c r="H446" s="114"/>
      <c r="I446" s="114"/>
      <c r="J446" s="114"/>
      <c r="K446" s="114"/>
      <c r="L446" s="114"/>
      <c r="M446" s="114"/>
      <c r="N446" s="114"/>
      <c r="O446" s="114"/>
      <c r="P446" s="114"/>
      <c r="Q446" s="114"/>
      <c r="R446" s="114"/>
      <c r="S446" s="114"/>
      <c r="T446" s="114"/>
      <c r="U446" s="114"/>
      <c r="V446" s="114"/>
      <c r="W446" s="114"/>
      <c r="X446" s="114"/>
      <c r="Y446" s="114"/>
      <c r="Z446" s="114"/>
    </row>
    <row r="447">
      <c r="A447" s="1"/>
      <c r="C447" s="113"/>
      <c r="E447" s="113"/>
      <c r="F447" s="114"/>
      <c r="G447" s="114"/>
      <c r="H447" s="114"/>
      <c r="I447" s="114"/>
      <c r="J447" s="114"/>
      <c r="K447" s="114"/>
      <c r="L447" s="114"/>
      <c r="M447" s="114"/>
      <c r="N447" s="114"/>
      <c r="O447" s="114"/>
      <c r="P447" s="114"/>
      <c r="Q447" s="114"/>
      <c r="R447" s="114"/>
      <c r="S447" s="114"/>
      <c r="T447" s="114"/>
      <c r="U447" s="114"/>
      <c r="V447" s="114"/>
      <c r="W447" s="114"/>
      <c r="X447" s="114"/>
      <c r="Y447" s="114"/>
      <c r="Z447" s="114"/>
    </row>
    <row r="448">
      <c r="A448" s="1"/>
      <c r="C448" s="113"/>
      <c r="E448" s="113"/>
      <c r="F448" s="114"/>
      <c r="G448" s="114"/>
      <c r="H448" s="114"/>
      <c r="I448" s="114"/>
      <c r="J448" s="114"/>
      <c r="K448" s="114"/>
      <c r="L448" s="114"/>
      <c r="M448" s="114"/>
      <c r="N448" s="114"/>
      <c r="O448" s="114"/>
      <c r="P448" s="114"/>
      <c r="Q448" s="114"/>
      <c r="R448" s="114"/>
      <c r="S448" s="114"/>
      <c r="T448" s="114"/>
      <c r="U448" s="114"/>
      <c r="V448" s="114"/>
      <c r="W448" s="114"/>
      <c r="X448" s="114"/>
      <c r="Y448" s="114"/>
      <c r="Z448" s="114"/>
    </row>
    <row r="449">
      <c r="A449" s="1"/>
      <c r="C449" s="113"/>
      <c r="E449" s="113"/>
      <c r="F449" s="114"/>
      <c r="G449" s="114"/>
      <c r="H449" s="114"/>
      <c r="I449" s="114"/>
      <c r="J449" s="114"/>
      <c r="K449" s="114"/>
      <c r="L449" s="114"/>
      <c r="M449" s="114"/>
      <c r="N449" s="114"/>
      <c r="O449" s="114"/>
      <c r="P449" s="114"/>
      <c r="Q449" s="114"/>
      <c r="R449" s="114"/>
      <c r="S449" s="114"/>
      <c r="T449" s="114"/>
      <c r="U449" s="114"/>
      <c r="V449" s="114"/>
      <c r="W449" s="114"/>
      <c r="X449" s="114"/>
      <c r="Y449" s="114"/>
      <c r="Z449" s="114"/>
    </row>
    <row r="450">
      <c r="A450" s="1"/>
      <c r="C450" s="113"/>
      <c r="E450" s="113"/>
      <c r="F450" s="114"/>
      <c r="G450" s="114"/>
      <c r="H450" s="114"/>
      <c r="I450" s="114"/>
      <c r="J450" s="114"/>
      <c r="K450" s="114"/>
      <c r="L450" s="114"/>
      <c r="M450" s="114"/>
      <c r="N450" s="114"/>
      <c r="O450" s="114"/>
      <c r="P450" s="114"/>
      <c r="Q450" s="114"/>
      <c r="R450" s="114"/>
      <c r="S450" s="114"/>
      <c r="T450" s="114"/>
      <c r="U450" s="114"/>
      <c r="V450" s="114"/>
      <c r="W450" s="114"/>
      <c r="X450" s="114"/>
      <c r="Y450" s="114"/>
      <c r="Z450" s="114"/>
    </row>
    <row r="451">
      <c r="A451" s="1"/>
      <c r="C451" s="113"/>
      <c r="E451" s="113"/>
      <c r="F451" s="114"/>
      <c r="G451" s="114"/>
      <c r="H451" s="114"/>
      <c r="I451" s="114"/>
      <c r="J451" s="114"/>
      <c r="K451" s="114"/>
      <c r="L451" s="114"/>
      <c r="M451" s="114"/>
      <c r="N451" s="114"/>
      <c r="O451" s="114"/>
      <c r="P451" s="114"/>
      <c r="Q451" s="114"/>
      <c r="R451" s="114"/>
      <c r="S451" s="114"/>
      <c r="T451" s="114"/>
      <c r="U451" s="114"/>
      <c r="V451" s="114"/>
      <c r="W451" s="114"/>
      <c r="X451" s="114"/>
      <c r="Y451" s="114"/>
      <c r="Z451" s="114"/>
    </row>
    <row r="452">
      <c r="A452" s="1"/>
      <c r="C452" s="113"/>
      <c r="E452" s="113"/>
      <c r="F452" s="114"/>
      <c r="G452" s="114"/>
      <c r="H452" s="114"/>
      <c r="I452" s="114"/>
      <c r="J452" s="114"/>
      <c r="K452" s="114"/>
      <c r="L452" s="114"/>
      <c r="M452" s="114"/>
      <c r="N452" s="114"/>
      <c r="O452" s="114"/>
      <c r="P452" s="114"/>
      <c r="Q452" s="114"/>
      <c r="R452" s="114"/>
      <c r="S452" s="114"/>
      <c r="T452" s="114"/>
      <c r="U452" s="114"/>
      <c r="V452" s="114"/>
      <c r="W452" s="114"/>
      <c r="X452" s="114"/>
      <c r="Y452" s="114"/>
      <c r="Z452" s="114"/>
    </row>
    <row r="453">
      <c r="A453" s="1"/>
      <c r="C453" s="113"/>
      <c r="E453" s="113"/>
      <c r="F453" s="114"/>
      <c r="G453" s="114"/>
      <c r="H453" s="114"/>
      <c r="I453" s="114"/>
      <c r="J453" s="114"/>
      <c r="K453" s="114"/>
      <c r="L453" s="114"/>
      <c r="M453" s="114"/>
      <c r="N453" s="114"/>
      <c r="O453" s="114"/>
      <c r="P453" s="114"/>
      <c r="Q453" s="114"/>
      <c r="R453" s="114"/>
      <c r="S453" s="114"/>
      <c r="T453" s="114"/>
      <c r="U453" s="114"/>
      <c r="V453" s="114"/>
      <c r="W453" s="114"/>
      <c r="X453" s="114"/>
      <c r="Y453" s="114"/>
      <c r="Z453" s="114"/>
    </row>
    <row r="454">
      <c r="A454" s="1"/>
      <c r="C454" s="113"/>
      <c r="E454" s="113"/>
      <c r="F454" s="114"/>
      <c r="G454" s="114"/>
      <c r="H454" s="114"/>
      <c r="I454" s="114"/>
      <c r="J454" s="114"/>
      <c r="K454" s="114"/>
      <c r="L454" s="114"/>
      <c r="M454" s="114"/>
      <c r="N454" s="114"/>
      <c r="O454" s="114"/>
      <c r="P454" s="114"/>
      <c r="Q454" s="114"/>
      <c r="R454" s="114"/>
      <c r="S454" s="114"/>
      <c r="T454" s="114"/>
      <c r="U454" s="114"/>
      <c r="V454" s="114"/>
      <c r="W454" s="114"/>
      <c r="X454" s="114"/>
      <c r="Y454" s="114"/>
      <c r="Z454" s="114"/>
    </row>
    <row r="455">
      <c r="A455" s="1"/>
      <c r="C455" s="113"/>
      <c r="E455" s="113"/>
      <c r="F455" s="114"/>
      <c r="G455" s="114"/>
      <c r="H455" s="114"/>
      <c r="I455" s="114"/>
      <c r="J455" s="114"/>
      <c r="K455" s="114"/>
      <c r="L455" s="114"/>
      <c r="M455" s="114"/>
      <c r="N455" s="114"/>
      <c r="O455" s="114"/>
      <c r="P455" s="114"/>
      <c r="Q455" s="114"/>
      <c r="R455" s="114"/>
      <c r="S455" s="114"/>
      <c r="T455" s="114"/>
      <c r="U455" s="114"/>
      <c r="V455" s="114"/>
      <c r="W455" s="114"/>
      <c r="X455" s="114"/>
      <c r="Y455" s="114"/>
      <c r="Z455" s="114"/>
    </row>
    <row r="456">
      <c r="A456" s="1"/>
      <c r="C456" s="113"/>
      <c r="E456" s="113"/>
      <c r="F456" s="114"/>
      <c r="G456" s="114"/>
      <c r="H456" s="114"/>
      <c r="I456" s="114"/>
      <c r="J456" s="114"/>
      <c r="K456" s="114"/>
      <c r="L456" s="114"/>
      <c r="M456" s="114"/>
      <c r="N456" s="114"/>
      <c r="O456" s="114"/>
      <c r="P456" s="114"/>
      <c r="Q456" s="114"/>
      <c r="R456" s="114"/>
      <c r="S456" s="114"/>
      <c r="T456" s="114"/>
      <c r="U456" s="114"/>
      <c r="V456" s="114"/>
      <c r="W456" s="114"/>
      <c r="X456" s="114"/>
      <c r="Y456" s="114"/>
      <c r="Z456" s="114"/>
    </row>
    <row r="457">
      <c r="A457" s="1"/>
      <c r="C457" s="113"/>
      <c r="E457" s="113"/>
      <c r="F457" s="114"/>
      <c r="G457" s="114"/>
      <c r="H457" s="114"/>
      <c r="I457" s="114"/>
      <c r="J457" s="114"/>
      <c r="K457" s="114"/>
      <c r="L457" s="114"/>
      <c r="M457" s="114"/>
      <c r="N457" s="114"/>
      <c r="O457" s="114"/>
      <c r="P457" s="114"/>
      <c r="Q457" s="114"/>
      <c r="R457" s="114"/>
      <c r="S457" s="114"/>
      <c r="T457" s="114"/>
      <c r="U457" s="114"/>
      <c r="V457" s="114"/>
      <c r="W457" s="114"/>
      <c r="X457" s="114"/>
      <c r="Y457" s="114"/>
      <c r="Z457" s="114"/>
    </row>
    <row r="458">
      <c r="A458" s="1"/>
      <c r="C458" s="113"/>
      <c r="E458" s="113"/>
      <c r="F458" s="114"/>
      <c r="G458" s="114"/>
      <c r="H458" s="114"/>
      <c r="I458" s="114"/>
      <c r="J458" s="114"/>
      <c r="K458" s="114"/>
      <c r="L458" s="114"/>
      <c r="M458" s="114"/>
      <c r="N458" s="114"/>
      <c r="O458" s="114"/>
      <c r="P458" s="114"/>
      <c r="Q458" s="114"/>
      <c r="R458" s="114"/>
      <c r="S458" s="114"/>
      <c r="T458" s="114"/>
      <c r="U458" s="114"/>
      <c r="V458" s="114"/>
      <c r="W458" s="114"/>
      <c r="X458" s="114"/>
      <c r="Y458" s="114"/>
      <c r="Z458" s="114"/>
    </row>
    <row r="459">
      <c r="A459" s="1"/>
      <c r="C459" s="113"/>
      <c r="E459" s="113"/>
      <c r="F459" s="114"/>
      <c r="G459" s="114"/>
      <c r="H459" s="114"/>
      <c r="I459" s="114"/>
      <c r="J459" s="114"/>
      <c r="K459" s="114"/>
      <c r="L459" s="114"/>
      <c r="M459" s="114"/>
      <c r="N459" s="114"/>
      <c r="O459" s="114"/>
      <c r="P459" s="114"/>
      <c r="Q459" s="114"/>
      <c r="R459" s="114"/>
      <c r="S459" s="114"/>
      <c r="T459" s="114"/>
      <c r="U459" s="114"/>
      <c r="V459" s="114"/>
      <c r="W459" s="114"/>
      <c r="X459" s="114"/>
      <c r="Y459" s="114"/>
      <c r="Z459" s="114"/>
    </row>
    <row r="460">
      <c r="A460" s="1"/>
      <c r="C460" s="113"/>
      <c r="E460" s="113"/>
      <c r="F460" s="114"/>
      <c r="G460" s="114"/>
      <c r="H460" s="114"/>
      <c r="I460" s="114"/>
      <c r="J460" s="114"/>
      <c r="K460" s="114"/>
      <c r="L460" s="114"/>
      <c r="M460" s="114"/>
      <c r="N460" s="114"/>
      <c r="O460" s="114"/>
      <c r="P460" s="114"/>
      <c r="Q460" s="114"/>
      <c r="R460" s="114"/>
      <c r="S460" s="114"/>
      <c r="T460" s="114"/>
      <c r="U460" s="114"/>
      <c r="V460" s="114"/>
      <c r="W460" s="114"/>
      <c r="X460" s="114"/>
      <c r="Y460" s="114"/>
      <c r="Z460" s="114"/>
    </row>
    <row r="461">
      <c r="A461" s="1"/>
      <c r="C461" s="113"/>
      <c r="E461" s="113"/>
      <c r="F461" s="114"/>
      <c r="G461" s="114"/>
      <c r="H461" s="114"/>
      <c r="I461" s="114"/>
      <c r="J461" s="114"/>
      <c r="K461" s="114"/>
      <c r="L461" s="114"/>
      <c r="M461" s="114"/>
      <c r="N461" s="114"/>
      <c r="O461" s="114"/>
      <c r="P461" s="114"/>
      <c r="Q461" s="114"/>
      <c r="R461" s="114"/>
      <c r="S461" s="114"/>
      <c r="T461" s="114"/>
      <c r="U461" s="114"/>
      <c r="V461" s="114"/>
      <c r="W461" s="114"/>
      <c r="X461" s="114"/>
      <c r="Y461" s="114"/>
      <c r="Z461" s="114"/>
    </row>
    <row r="462">
      <c r="A462" s="1"/>
      <c r="C462" s="113"/>
      <c r="E462" s="113"/>
      <c r="F462" s="114"/>
      <c r="G462" s="114"/>
      <c r="H462" s="114"/>
      <c r="I462" s="114"/>
      <c r="J462" s="114"/>
      <c r="K462" s="114"/>
      <c r="L462" s="114"/>
      <c r="M462" s="114"/>
      <c r="N462" s="114"/>
      <c r="O462" s="114"/>
      <c r="P462" s="114"/>
      <c r="Q462" s="114"/>
      <c r="R462" s="114"/>
      <c r="S462" s="114"/>
      <c r="T462" s="114"/>
      <c r="U462" s="114"/>
      <c r="V462" s="114"/>
      <c r="W462" s="114"/>
      <c r="X462" s="114"/>
      <c r="Y462" s="114"/>
      <c r="Z462" s="114"/>
    </row>
    <row r="463">
      <c r="A463" s="1"/>
      <c r="C463" s="113"/>
      <c r="E463" s="113"/>
      <c r="F463" s="114"/>
      <c r="G463" s="114"/>
      <c r="H463" s="114"/>
      <c r="I463" s="114"/>
      <c r="J463" s="114"/>
      <c r="K463" s="114"/>
      <c r="L463" s="114"/>
      <c r="M463" s="114"/>
      <c r="N463" s="114"/>
      <c r="O463" s="114"/>
      <c r="P463" s="114"/>
      <c r="Q463" s="114"/>
      <c r="R463" s="114"/>
      <c r="S463" s="114"/>
      <c r="T463" s="114"/>
      <c r="U463" s="114"/>
      <c r="V463" s="114"/>
      <c r="W463" s="114"/>
      <c r="X463" s="114"/>
      <c r="Y463" s="114"/>
      <c r="Z463" s="114"/>
    </row>
    <row r="464">
      <c r="A464" s="1"/>
      <c r="C464" s="113"/>
      <c r="E464" s="113"/>
      <c r="F464" s="114"/>
      <c r="G464" s="114"/>
      <c r="H464" s="114"/>
      <c r="I464" s="114"/>
      <c r="J464" s="114"/>
      <c r="K464" s="114"/>
      <c r="L464" s="114"/>
      <c r="M464" s="114"/>
      <c r="N464" s="114"/>
      <c r="O464" s="114"/>
      <c r="P464" s="114"/>
      <c r="Q464" s="114"/>
      <c r="R464" s="114"/>
      <c r="S464" s="114"/>
      <c r="T464" s="114"/>
      <c r="U464" s="114"/>
      <c r="V464" s="114"/>
      <c r="W464" s="114"/>
      <c r="X464" s="114"/>
      <c r="Y464" s="114"/>
      <c r="Z464" s="114"/>
    </row>
    <row r="465">
      <c r="A465" s="1"/>
      <c r="C465" s="113"/>
      <c r="E465" s="113"/>
      <c r="F465" s="114"/>
      <c r="G465" s="114"/>
      <c r="H465" s="114"/>
      <c r="I465" s="114"/>
      <c r="J465" s="114"/>
      <c r="K465" s="114"/>
      <c r="L465" s="114"/>
      <c r="M465" s="114"/>
      <c r="N465" s="114"/>
      <c r="O465" s="114"/>
      <c r="P465" s="114"/>
      <c r="Q465" s="114"/>
      <c r="R465" s="114"/>
      <c r="S465" s="114"/>
      <c r="T465" s="114"/>
      <c r="U465" s="114"/>
      <c r="V465" s="114"/>
      <c r="W465" s="114"/>
      <c r="X465" s="114"/>
      <c r="Y465" s="114"/>
      <c r="Z465" s="114"/>
    </row>
    <row r="466">
      <c r="A466" s="1"/>
      <c r="C466" s="113"/>
      <c r="E466" s="113"/>
      <c r="F466" s="114"/>
      <c r="G466" s="114"/>
      <c r="H466" s="114"/>
      <c r="I466" s="114"/>
      <c r="J466" s="114"/>
      <c r="K466" s="114"/>
      <c r="L466" s="114"/>
      <c r="M466" s="114"/>
      <c r="N466" s="114"/>
      <c r="O466" s="114"/>
      <c r="P466" s="114"/>
      <c r="Q466" s="114"/>
      <c r="R466" s="114"/>
      <c r="S466" s="114"/>
      <c r="T466" s="114"/>
      <c r="U466" s="114"/>
      <c r="V466" s="114"/>
      <c r="W466" s="114"/>
      <c r="X466" s="114"/>
      <c r="Y466" s="114"/>
      <c r="Z466" s="114"/>
    </row>
    <row r="467">
      <c r="A467" s="1"/>
      <c r="C467" s="113"/>
      <c r="E467" s="113"/>
      <c r="F467" s="114"/>
      <c r="G467" s="114"/>
      <c r="H467" s="114"/>
      <c r="I467" s="114"/>
      <c r="J467" s="114"/>
      <c r="K467" s="114"/>
      <c r="L467" s="114"/>
      <c r="M467" s="114"/>
      <c r="N467" s="114"/>
      <c r="O467" s="114"/>
      <c r="P467" s="114"/>
      <c r="Q467" s="114"/>
      <c r="R467" s="114"/>
      <c r="S467" s="114"/>
      <c r="T467" s="114"/>
      <c r="U467" s="114"/>
      <c r="V467" s="114"/>
      <c r="W467" s="114"/>
      <c r="X467" s="114"/>
      <c r="Y467" s="114"/>
      <c r="Z467" s="114"/>
    </row>
    <row r="468">
      <c r="A468" s="1"/>
      <c r="C468" s="113"/>
      <c r="E468" s="113"/>
      <c r="F468" s="114"/>
      <c r="G468" s="114"/>
      <c r="H468" s="114"/>
      <c r="I468" s="114"/>
      <c r="J468" s="114"/>
      <c r="K468" s="114"/>
      <c r="L468" s="114"/>
      <c r="M468" s="114"/>
      <c r="N468" s="114"/>
      <c r="O468" s="114"/>
      <c r="P468" s="114"/>
      <c r="Q468" s="114"/>
      <c r="R468" s="114"/>
      <c r="S468" s="114"/>
      <c r="T468" s="114"/>
      <c r="U468" s="114"/>
      <c r="V468" s="114"/>
      <c r="W468" s="114"/>
      <c r="X468" s="114"/>
      <c r="Y468" s="114"/>
      <c r="Z468" s="114"/>
    </row>
    <row r="469">
      <c r="A469" s="1"/>
      <c r="C469" s="113"/>
      <c r="E469" s="113"/>
      <c r="F469" s="114"/>
      <c r="G469" s="114"/>
      <c r="H469" s="114"/>
      <c r="I469" s="114"/>
      <c r="J469" s="114"/>
      <c r="K469" s="114"/>
      <c r="L469" s="114"/>
      <c r="M469" s="114"/>
      <c r="N469" s="114"/>
      <c r="O469" s="114"/>
      <c r="P469" s="114"/>
      <c r="Q469" s="114"/>
      <c r="R469" s="114"/>
      <c r="S469" s="114"/>
      <c r="T469" s="114"/>
      <c r="U469" s="114"/>
      <c r="V469" s="114"/>
      <c r="W469" s="114"/>
      <c r="X469" s="114"/>
      <c r="Y469" s="114"/>
      <c r="Z469" s="114"/>
    </row>
    <row r="470">
      <c r="A470" s="1"/>
      <c r="C470" s="113"/>
      <c r="E470" s="113"/>
      <c r="F470" s="114"/>
      <c r="G470" s="114"/>
      <c r="H470" s="114"/>
      <c r="I470" s="114"/>
      <c r="J470" s="114"/>
      <c r="K470" s="114"/>
      <c r="L470" s="114"/>
      <c r="M470" s="114"/>
      <c r="N470" s="114"/>
      <c r="O470" s="114"/>
      <c r="P470" s="114"/>
      <c r="Q470" s="114"/>
      <c r="R470" s="114"/>
      <c r="S470" s="114"/>
      <c r="T470" s="114"/>
      <c r="U470" s="114"/>
      <c r="V470" s="114"/>
      <c r="W470" s="114"/>
      <c r="X470" s="114"/>
      <c r="Y470" s="114"/>
      <c r="Z470" s="114"/>
    </row>
    <row r="471">
      <c r="A471" s="1"/>
      <c r="C471" s="113"/>
      <c r="E471" s="113"/>
      <c r="F471" s="114"/>
      <c r="G471" s="114"/>
      <c r="H471" s="114"/>
      <c r="I471" s="114"/>
      <c r="J471" s="114"/>
      <c r="K471" s="114"/>
      <c r="L471" s="114"/>
      <c r="M471" s="114"/>
      <c r="N471" s="114"/>
      <c r="O471" s="114"/>
      <c r="P471" s="114"/>
      <c r="Q471" s="114"/>
      <c r="R471" s="114"/>
      <c r="S471" s="114"/>
      <c r="T471" s="114"/>
      <c r="U471" s="114"/>
      <c r="V471" s="114"/>
      <c r="W471" s="114"/>
      <c r="X471" s="114"/>
      <c r="Y471" s="114"/>
      <c r="Z471" s="114"/>
    </row>
    <row r="472">
      <c r="A472" s="1"/>
      <c r="C472" s="113"/>
      <c r="E472" s="113"/>
      <c r="F472" s="114"/>
      <c r="G472" s="114"/>
      <c r="H472" s="114"/>
      <c r="I472" s="114"/>
      <c r="J472" s="114"/>
      <c r="K472" s="114"/>
      <c r="L472" s="114"/>
      <c r="M472" s="114"/>
      <c r="N472" s="114"/>
      <c r="O472" s="114"/>
      <c r="P472" s="114"/>
      <c r="Q472" s="114"/>
      <c r="R472" s="114"/>
      <c r="S472" s="114"/>
      <c r="T472" s="114"/>
      <c r="U472" s="114"/>
      <c r="V472" s="114"/>
      <c r="W472" s="114"/>
      <c r="X472" s="114"/>
      <c r="Y472" s="114"/>
      <c r="Z472" s="114"/>
    </row>
    <row r="473">
      <c r="A473" s="1"/>
      <c r="C473" s="113"/>
      <c r="E473" s="113"/>
      <c r="F473" s="114"/>
      <c r="G473" s="114"/>
      <c r="H473" s="114"/>
      <c r="I473" s="114"/>
      <c r="J473" s="114"/>
      <c r="K473" s="114"/>
      <c r="L473" s="114"/>
      <c r="M473" s="114"/>
      <c r="N473" s="114"/>
      <c r="O473" s="114"/>
      <c r="P473" s="114"/>
      <c r="Q473" s="114"/>
      <c r="R473" s="114"/>
      <c r="S473" s="114"/>
      <c r="T473" s="114"/>
      <c r="U473" s="114"/>
      <c r="V473" s="114"/>
      <c r="W473" s="114"/>
      <c r="X473" s="114"/>
      <c r="Y473" s="114"/>
      <c r="Z473" s="114"/>
    </row>
    <row r="474">
      <c r="A474" s="1"/>
      <c r="C474" s="113"/>
      <c r="E474" s="113"/>
      <c r="F474" s="114"/>
      <c r="G474" s="114"/>
      <c r="H474" s="114"/>
      <c r="I474" s="114"/>
      <c r="J474" s="114"/>
      <c r="K474" s="114"/>
      <c r="L474" s="114"/>
      <c r="M474" s="114"/>
      <c r="N474" s="114"/>
      <c r="O474" s="114"/>
      <c r="P474" s="114"/>
      <c r="Q474" s="114"/>
      <c r="R474" s="114"/>
      <c r="S474" s="114"/>
      <c r="T474" s="114"/>
      <c r="U474" s="114"/>
      <c r="V474" s="114"/>
      <c r="W474" s="114"/>
      <c r="X474" s="114"/>
      <c r="Y474" s="114"/>
      <c r="Z474" s="114"/>
    </row>
    <row r="475">
      <c r="A475" s="1"/>
      <c r="C475" s="113"/>
      <c r="E475" s="113"/>
      <c r="F475" s="114"/>
      <c r="G475" s="114"/>
      <c r="H475" s="114"/>
      <c r="I475" s="114"/>
      <c r="J475" s="114"/>
      <c r="K475" s="114"/>
      <c r="L475" s="114"/>
      <c r="M475" s="114"/>
      <c r="N475" s="114"/>
      <c r="O475" s="114"/>
      <c r="P475" s="114"/>
      <c r="Q475" s="114"/>
      <c r="R475" s="114"/>
      <c r="S475" s="114"/>
      <c r="T475" s="114"/>
      <c r="U475" s="114"/>
      <c r="V475" s="114"/>
      <c r="W475" s="114"/>
      <c r="X475" s="114"/>
      <c r="Y475" s="114"/>
      <c r="Z475" s="114"/>
    </row>
    <row r="476">
      <c r="A476" s="1"/>
      <c r="C476" s="113"/>
      <c r="E476" s="113"/>
      <c r="F476" s="114"/>
      <c r="G476" s="114"/>
      <c r="H476" s="114"/>
      <c r="I476" s="114"/>
      <c r="J476" s="114"/>
      <c r="K476" s="114"/>
      <c r="L476" s="114"/>
      <c r="M476" s="114"/>
      <c r="N476" s="114"/>
      <c r="O476" s="114"/>
      <c r="P476" s="114"/>
      <c r="Q476" s="114"/>
      <c r="R476" s="114"/>
      <c r="S476" s="114"/>
      <c r="T476" s="114"/>
      <c r="U476" s="114"/>
      <c r="V476" s="114"/>
      <c r="W476" s="114"/>
      <c r="X476" s="114"/>
      <c r="Y476" s="114"/>
      <c r="Z476" s="114"/>
    </row>
    <row r="477">
      <c r="A477" s="1"/>
      <c r="C477" s="113"/>
      <c r="E477" s="113"/>
      <c r="F477" s="114"/>
      <c r="G477" s="114"/>
      <c r="H477" s="114"/>
      <c r="I477" s="114"/>
      <c r="J477" s="114"/>
      <c r="K477" s="114"/>
      <c r="L477" s="114"/>
      <c r="M477" s="114"/>
      <c r="N477" s="114"/>
      <c r="O477" s="114"/>
      <c r="P477" s="114"/>
      <c r="Q477" s="114"/>
      <c r="R477" s="114"/>
      <c r="S477" s="114"/>
      <c r="T477" s="114"/>
      <c r="U477" s="114"/>
      <c r="V477" s="114"/>
      <c r="W477" s="114"/>
      <c r="X477" s="114"/>
      <c r="Y477" s="114"/>
      <c r="Z477" s="114"/>
    </row>
    <row r="478">
      <c r="A478" s="1"/>
      <c r="C478" s="113"/>
      <c r="E478" s="113"/>
      <c r="F478" s="114"/>
      <c r="G478" s="114"/>
      <c r="H478" s="114"/>
      <c r="I478" s="114"/>
      <c r="J478" s="114"/>
      <c r="K478" s="114"/>
      <c r="L478" s="114"/>
      <c r="M478" s="114"/>
      <c r="N478" s="114"/>
      <c r="O478" s="114"/>
      <c r="P478" s="114"/>
      <c r="Q478" s="114"/>
      <c r="R478" s="114"/>
      <c r="S478" s="114"/>
      <c r="T478" s="114"/>
      <c r="U478" s="114"/>
      <c r="V478" s="114"/>
      <c r="W478" s="114"/>
      <c r="X478" s="114"/>
      <c r="Y478" s="114"/>
      <c r="Z478" s="114"/>
    </row>
    <row r="479">
      <c r="A479" s="1"/>
      <c r="C479" s="113"/>
      <c r="E479" s="113"/>
      <c r="F479" s="114"/>
      <c r="G479" s="114"/>
      <c r="H479" s="114"/>
      <c r="I479" s="114"/>
      <c r="J479" s="114"/>
      <c r="K479" s="114"/>
      <c r="L479" s="114"/>
      <c r="M479" s="114"/>
      <c r="N479" s="114"/>
      <c r="O479" s="114"/>
      <c r="P479" s="114"/>
      <c r="Q479" s="114"/>
      <c r="R479" s="114"/>
      <c r="S479" s="114"/>
      <c r="T479" s="114"/>
      <c r="U479" s="114"/>
      <c r="V479" s="114"/>
      <c r="W479" s="114"/>
      <c r="X479" s="114"/>
      <c r="Y479" s="114"/>
      <c r="Z479" s="114"/>
    </row>
    <row r="480">
      <c r="A480" s="1"/>
      <c r="C480" s="113"/>
      <c r="E480" s="113"/>
      <c r="F480" s="114"/>
      <c r="G480" s="114"/>
      <c r="H480" s="114"/>
      <c r="I480" s="114"/>
      <c r="J480" s="114"/>
      <c r="K480" s="114"/>
      <c r="L480" s="114"/>
      <c r="M480" s="114"/>
      <c r="N480" s="114"/>
      <c r="O480" s="114"/>
      <c r="P480" s="114"/>
      <c r="Q480" s="114"/>
      <c r="R480" s="114"/>
      <c r="S480" s="114"/>
      <c r="T480" s="114"/>
      <c r="U480" s="114"/>
      <c r="V480" s="114"/>
      <c r="W480" s="114"/>
      <c r="X480" s="114"/>
      <c r="Y480" s="114"/>
      <c r="Z480" s="114"/>
    </row>
    <row r="481">
      <c r="A481" s="1"/>
      <c r="C481" s="113"/>
      <c r="E481" s="113"/>
      <c r="F481" s="114"/>
      <c r="G481" s="114"/>
      <c r="H481" s="114"/>
      <c r="I481" s="114"/>
      <c r="J481" s="114"/>
      <c r="K481" s="114"/>
      <c r="L481" s="114"/>
      <c r="M481" s="114"/>
      <c r="N481" s="114"/>
      <c r="O481" s="114"/>
      <c r="P481" s="114"/>
      <c r="Q481" s="114"/>
      <c r="R481" s="114"/>
      <c r="S481" s="114"/>
      <c r="T481" s="114"/>
      <c r="U481" s="114"/>
      <c r="V481" s="114"/>
      <c r="W481" s="114"/>
      <c r="X481" s="114"/>
      <c r="Y481" s="114"/>
      <c r="Z481" s="114"/>
    </row>
    <row r="482">
      <c r="A482" s="1"/>
      <c r="C482" s="113"/>
      <c r="E482" s="113"/>
      <c r="F482" s="114"/>
      <c r="G482" s="114"/>
      <c r="H482" s="114"/>
      <c r="I482" s="114"/>
      <c r="J482" s="114"/>
      <c r="K482" s="114"/>
      <c r="L482" s="114"/>
      <c r="M482" s="114"/>
      <c r="N482" s="114"/>
      <c r="O482" s="114"/>
      <c r="P482" s="114"/>
      <c r="Q482" s="114"/>
      <c r="R482" s="114"/>
      <c r="S482" s="114"/>
      <c r="T482" s="114"/>
      <c r="U482" s="114"/>
      <c r="V482" s="114"/>
      <c r="W482" s="114"/>
      <c r="X482" s="114"/>
      <c r="Y482" s="114"/>
      <c r="Z482" s="114"/>
    </row>
    <row r="483">
      <c r="A483" s="1"/>
      <c r="C483" s="113"/>
      <c r="E483" s="113"/>
      <c r="F483" s="114"/>
      <c r="G483" s="114"/>
      <c r="H483" s="114"/>
      <c r="I483" s="114"/>
      <c r="J483" s="114"/>
      <c r="K483" s="114"/>
      <c r="L483" s="114"/>
      <c r="M483" s="114"/>
      <c r="N483" s="114"/>
      <c r="O483" s="114"/>
      <c r="P483" s="114"/>
      <c r="Q483" s="114"/>
      <c r="R483" s="114"/>
      <c r="S483" s="114"/>
      <c r="T483" s="114"/>
      <c r="U483" s="114"/>
      <c r="V483" s="114"/>
      <c r="W483" s="114"/>
      <c r="X483" s="114"/>
      <c r="Y483" s="114"/>
      <c r="Z483" s="114"/>
    </row>
    <row r="484">
      <c r="A484" s="1"/>
      <c r="C484" s="113"/>
      <c r="E484" s="113"/>
      <c r="F484" s="114"/>
      <c r="G484" s="114"/>
      <c r="H484" s="114"/>
      <c r="I484" s="114"/>
      <c r="J484" s="114"/>
      <c r="K484" s="114"/>
      <c r="L484" s="114"/>
      <c r="M484" s="114"/>
      <c r="N484" s="114"/>
      <c r="O484" s="114"/>
      <c r="P484" s="114"/>
      <c r="Q484" s="114"/>
      <c r="R484" s="114"/>
      <c r="S484" s="114"/>
      <c r="T484" s="114"/>
      <c r="U484" s="114"/>
      <c r="V484" s="114"/>
      <c r="W484" s="114"/>
      <c r="X484" s="114"/>
      <c r="Y484" s="114"/>
      <c r="Z484" s="114"/>
    </row>
    <row r="485">
      <c r="A485" s="1"/>
      <c r="C485" s="113"/>
      <c r="E485" s="113"/>
      <c r="F485" s="114"/>
      <c r="G485" s="114"/>
      <c r="H485" s="114"/>
      <c r="I485" s="114"/>
      <c r="J485" s="114"/>
      <c r="K485" s="114"/>
      <c r="L485" s="114"/>
      <c r="M485" s="114"/>
      <c r="N485" s="114"/>
      <c r="O485" s="114"/>
      <c r="P485" s="114"/>
      <c r="Q485" s="114"/>
      <c r="R485" s="114"/>
      <c r="S485" s="114"/>
      <c r="T485" s="114"/>
      <c r="U485" s="114"/>
      <c r="V485" s="114"/>
      <c r="W485" s="114"/>
      <c r="X485" s="114"/>
      <c r="Y485" s="114"/>
      <c r="Z485" s="114"/>
    </row>
    <row r="486">
      <c r="A486" s="1"/>
      <c r="C486" s="113"/>
      <c r="E486" s="113"/>
      <c r="F486" s="114"/>
      <c r="G486" s="114"/>
      <c r="H486" s="114"/>
      <c r="I486" s="114"/>
      <c r="J486" s="114"/>
      <c r="K486" s="114"/>
      <c r="L486" s="114"/>
      <c r="M486" s="114"/>
      <c r="N486" s="114"/>
      <c r="O486" s="114"/>
      <c r="P486" s="114"/>
      <c r="Q486" s="114"/>
      <c r="R486" s="114"/>
      <c r="S486" s="114"/>
      <c r="T486" s="114"/>
      <c r="U486" s="114"/>
      <c r="V486" s="114"/>
      <c r="W486" s="114"/>
      <c r="X486" s="114"/>
      <c r="Y486" s="114"/>
      <c r="Z486" s="114"/>
    </row>
    <row r="487">
      <c r="A487" s="1"/>
      <c r="B487" s="114"/>
      <c r="C487" s="114"/>
      <c r="D487" s="114"/>
      <c r="E487" s="114"/>
      <c r="F487" s="114"/>
      <c r="G487" s="114"/>
      <c r="H487" s="114"/>
      <c r="I487" s="114"/>
      <c r="J487" s="114"/>
      <c r="K487" s="114"/>
      <c r="L487" s="114"/>
      <c r="M487" s="114"/>
      <c r="N487" s="114"/>
      <c r="O487" s="114"/>
      <c r="P487" s="114"/>
      <c r="Q487" s="114"/>
      <c r="R487" s="114"/>
      <c r="S487" s="114"/>
      <c r="T487" s="114"/>
      <c r="U487" s="114"/>
      <c r="V487" s="114"/>
      <c r="W487" s="114"/>
      <c r="X487" s="114"/>
      <c r="Y487" s="114"/>
      <c r="Z487" s="114"/>
    </row>
    <row r="488">
      <c r="A488" s="1"/>
      <c r="B488" s="114"/>
      <c r="C488" s="114"/>
      <c r="D488" s="114"/>
      <c r="E488" s="114"/>
      <c r="F488" s="114"/>
      <c r="G488" s="114"/>
      <c r="H488" s="114"/>
      <c r="I488" s="114"/>
      <c r="J488" s="114"/>
      <c r="K488" s="114"/>
      <c r="L488" s="114"/>
      <c r="M488" s="114"/>
      <c r="N488" s="114"/>
      <c r="O488" s="114"/>
      <c r="P488" s="114"/>
      <c r="Q488" s="114"/>
      <c r="R488" s="114"/>
      <c r="S488" s="114"/>
      <c r="T488" s="114"/>
      <c r="U488" s="114"/>
      <c r="V488" s="114"/>
      <c r="W488" s="114"/>
      <c r="X488" s="114"/>
      <c r="Y488" s="114"/>
      <c r="Z488" s="114"/>
    </row>
    <row r="489">
      <c r="A489" s="1"/>
      <c r="B489" s="114"/>
      <c r="C489" s="114"/>
      <c r="D489" s="114"/>
      <c r="E489" s="114"/>
      <c r="F489" s="114"/>
      <c r="G489" s="114"/>
      <c r="H489" s="114"/>
      <c r="I489" s="114"/>
      <c r="J489" s="114"/>
      <c r="K489" s="114"/>
      <c r="L489" s="114"/>
      <c r="M489" s="114"/>
      <c r="N489" s="114"/>
      <c r="O489" s="114"/>
      <c r="P489" s="114"/>
      <c r="Q489" s="114"/>
      <c r="R489" s="114"/>
      <c r="S489" s="114"/>
      <c r="T489" s="114"/>
      <c r="U489" s="114"/>
      <c r="V489" s="114"/>
      <c r="W489" s="114"/>
      <c r="X489" s="114"/>
      <c r="Y489" s="114"/>
      <c r="Z489" s="114"/>
    </row>
    <row r="490">
      <c r="A490" s="1"/>
      <c r="B490" s="114"/>
      <c r="C490" s="114"/>
      <c r="D490" s="114"/>
      <c r="E490" s="114"/>
      <c r="F490" s="114"/>
      <c r="G490" s="114"/>
      <c r="H490" s="114"/>
      <c r="I490" s="114"/>
      <c r="J490" s="114"/>
      <c r="K490" s="114"/>
      <c r="L490" s="114"/>
      <c r="M490" s="114"/>
      <c r="N490" s="114"/>
      <c r="O490" s="114"/>
      <c r="P490" s="114"/>
      <c r="Q490" s="114"/>
      <c r="R490" s="114"/>
      <c r="S490" s="114"/>
      <c r="T490" s="114"/>
      <c r="U490" s="114"/>
      <c r="V490" s="114"/>
      <c r="W490" s="114"/>
      <c r="X490" s="114"/>
      <c r="Y490" s="114"/>
      <c r="Z490" s="114"/>
    </row>
    <row r="491">
      <c r="A491" s="1"/>
      <c r="B491" s="114"/>
      <c r="C491" s="114"/>
      <c r="D491" s="114"/>
      <c r="E491" s="114"/>
      <c r="F491" s="114"/>
      <c r="G491" s="114"/>
      <c r="H491" s="114"/>
      <c r="I491" s="114"/>
      <c r="J491" s="114"/>
      <c r="K491" s="114"/>
      <c r="L491" s="114"/>
      <c r="M491" s="114"/>
      <c r="N491" s="114"/>
      <c r="O491" s="114"/>
      <c r="P491" s="114"/>
      <c r="Q491" s="114"/>
      <c r="R491" s="114"/>
      <c r="S491" s="114"/>
      <c r="T491" s="114"/>
      <c r="U491" s="114"/>
      <c r="V491" s="114"/>
      <c r="W491" s="114"/>
      <c r="X491" s="114"/>
      <c r="Y491" s="114"/>
      <c r="Z491" s="114"/>
    </row>
    <row r="492">
      <c r="A492" s="1"/>
      <c r="B492" s="114"/>
      <c r="C492" s="114"/>
      <c r="D492" s="114"/>
      <c r="E492" s="114"/>
      <c r="F492" s="114"/>
      <c r="G492" s="114"/>
      <c r="H492" s="114"/>
      <c r="I492" s="114"/>
      <c r="J492" s="114"/>
      <c r="K492" s="114"/>
      <c r="L492" s="114"/>
      <c r="M492" s="114"/>
      <c r="N492" s="114"/>
      <c r="O492" s="114"/>
      <c r="P492" s="114"/>
      <c r="Q492" s="114"/>
      <c r="R492" s="114"/>
      <c r="S492" s="114"/>
      <c r="T492" s="114"/>
      <c r="U492" s="114"/>
      <c r="V492" s="114"/>
      <c r="W492" s="114"/>
      <c r="X492" s="114"/>
      <c r="Y492" s="114"/>
      <c r="Z492" s="114"/>
    </row>
    <row r="493">
      <c r="A493" s="1"/>
      <c r="B493" s="114"/>
      <c r="C493" s="114"/>
      <c r="D493" s="114"/>
      <c r="E493" s="114"/>
      <c r="F493" s="114"/>
      <c r="G493" s="114"/>
      <c r="H493" s="114"/>
      <c r="I493" s="114"/>
      <c r="J493" s="114"/>
      <c r="K493" s="114"/>
      <c r="L493" s="114"/>
      <c r="M493" s="114"/>
      <c r="N493" s="114"/>
      <c r="O493" s="114"/>
      <c r="P493" s="114"/>
      <c r="Q493" s="114"/>
      <c r="R493" s="114"/>
      <c r="S493" s="114"/>
      <c r="T493" s="114"/>
      <c r="U493" s="114"/>
      <c r="V493" s="114"/>
      <c r="W493" s="114"/>
      <c r="X493" s="114"/>
      <c r="Y493" s="114"/>
      <c r="Z493" s="114"/>
    </row>
    <row r="494">
      <c r="A494" s="1"/>
      <c r="B494" s="114"/>
      <c r="C494" s="114"/>
      <c r="D494" s="114"/>
      <c r="E494" s="114"/>
      <c r="F494" s="114"/>
      <c r="G494" s="114"/>
      <c r="H494" s="114"/>
      <c r="I494" s="114"/>
      <c r="J494" s="114"/>
      <c r="K494" s="114"/>
      <c r="L494" s="114"/>
      <c r="M494" s="114"/>
      <c r="N494" s="114"/>
      <c r="O494" s="114"/>
      <c r="P494" s="114"/>
      <c r="Q494" s="114"/>
      <c r="R494" s="114"/>
      <c r="S494" s="114"/>
      <c r="T494" s="114"/>
      <c r="U494" s="114"/>
      <c r="V494" s="114"/>
      <c r="W494" s="114"/>
      <c r="X494" s="114"/>
      <c r="Y494" s="114"/>
      <c r="Z494" s="114"/>
    </row>
    <row r="495">
      <c r="A495" s="1"/>
      <c r="B495" s="114"/>
      <c r="C495" s="114"/>
      <c r="D495" s="114"/>
      <c r="E495" s="114"/>
      <c r="F495" s="114"/>
      <c r="G495" s="114"/>
      <c r="H495" s="114"/>
      <c r="I495" s="114"/>
      <c r="J495" s="114"/>
      <c r="K495" s="114"/>
      <c r="L495" s="114"/>
      <c r="M495" s="114"/>
      <c r="N495" s="114"/>
      <c r="O495" s="114"/>
      <c r="P495" s="114"/>
      <c r="Q495" s="114"/>
      <c r="R495" s="114"/>
      <c r="S495" s="114"/>
      <c r="T495" s="114"/>
      <c r="U495" s="114"/>
      <c r="V495" s="114"/>
      <c r="W495" s="114"/>
      <c r="X495" s="114"/>
      <c r="Y495" s="114"/>
      <c r="Z495" s="114"/>
    </row>
    <row r="496">
      <c r="A496" s="1"/>
      <c r="B496" s="114"/>
      <c r="C496" s="114"/>
      <c r="D496" s="114"/>
      <c r="E496" s="114"/>
      <c r="F496" s="114"/>
      <c r="G496" s="114"/>
      <c r="H496" s="114"/>
      <c r="I496" s="114"/>
      <c r="J496" s="114"/>
      <c r="K496" s="114"/>
      <c r="L496" s="114"/>
      <c r="M496" s="114"/>
      <c r="N496" s="114"/>
      <c r="O496" s="114"/>
      <c r="P496" s="114"/>
      <c r="Q496" s="114"/>
      <c r="R496" s="114"/>
      <c r="S496" s="114"/>
      <c r="T496" s="114"/>
      <c r="U496" s="114"/>
      <c r="V496" s="114"/>
      <c r="W496" s="114"/>
      <c r="X496" s="114"/>
      <c r="Y496" s="114"/>
      <c r="Z496" s="114"/>
    </row>
    <row r="497">
      <c r="A497" s="1"/>
      <c r="B497" s="114"/>
      <c r="C497" s="114"/>
      <c r="D497" s="114"/>
      <c r="E497" s="114"/>
      <c r="F497" s="114"/>
      <c r="G497" s="114"/>
      <c r="H497" s="114"/>
      <c r="I497" s="114"/>
      <c r="J497" s="114"/>
      <c r="K497" s="114"/>
      <c r="L497" s="114"/>
      <c r="M497" s="114"/>
      <c r="N497" s="114"/>
      <c r="O497" s="114"/>
      <c r="P497" s="114"/>
      <c r="Q497" s="114"/>
      <c r="R497" s="114"/>
      <c r="S497" s="114"/>
      <c r="T497" s="114"/>
      <c r="U497" s="114"/>
      <c r="V497" s="114"/>
      <c r="W497" s="114"/>
      <c r="X497" s="114"/>
      <c r="Y497" s="114"/>
      <c r="Z497" s="114"/>
    </row>
    <row r="498">
      <c r="A498" s="1"/>
      <c r="B498" s="114"/>
      <c r="C498" s="114"/>
      <c r="D498" s="114"/>
      <c r="E498" s="114"/>
      <c r="F498" s="114"/>
      <c r="G498" s="114"/>
      <c r="H498" s="114"/>
      <c r="I498" s="114"/>
      <c r="J498" s="114"/>
      <c r="K498" s="114"/>
      <c r="L498" s="114"/>
      <c r="M498" s="114"/>
      <c r="N498" s="114"/>
      <c r="O498" s="114"/>
      <c r="P498" s="114"/>
      <c r="Q498" s="114"/>
      <c r="R498" s="114"/>
      <c r="S498" s="114"/>
      <c r="T498" s="114"/>
      <c r="U498" s="114"/>
      <c r="V498" s="114"/>
      <c r="W498" s="114"/>
      <c r="X498" s="114"/>
      <c r="Y498" s="114"/>
      <c r="Z498" s="114"/>
    </row>
    <row r="499">
      <c r="A499" s="1"/>
      <c r="B499" s="114"/>
      <c r="C499" s="114"/>
      <c r="D499" s="114"/>
      <c r="E499" s="114"/>
      <c r="F499" s="114"/>
      <c r="G499" s="114"/>
      <c r="H499" s="114"/>
      <c r="I499" s="114"/>
      <c r="J499" s="114"/>
      <c r="K499" s="114"/>
      <c r="L499" s="114"/>
      <c r="M499" s="114"/>
      <c r="N499" s="114"/>
      <c r="O499" s="114"/>
      <c r="P499" s="114"/>
      <c r="Q499" s="114"/>
      <c r="R499" s="114"/>
      <c r="S499" s="114"/>
      <c r="T499" s="114"/>
      <c r="U499" s="114"/>
      <c r="V499" s="114"/>
      <c r="W499" s="114"/>
      <c r="X499" s="114"/>
      <c r="Y499" s="114"/>
      <c r="Z499" s="114"/>
    </row>
    <row r="500">
      <c r="A500" s="1"/>
      <c r="B500" s="114"/>
      <c r="C500" s="114"/>
      <c r="D500" s="114"/>
      <c r="E500" s="114"/>
      <c r="F500" s="114"/>
      <c r="G500" s="114"/>
      <c r="H500" s="114"/>
      <c r="I500" s="114"/>
      <c r="J500" s="114"/>
      <c r="K500" s="114"/>
      <c r="L500" s="114"/>
      <c r="M500" s="114"/>
      <c r="N500" s="114"/>
      <c r="O500" s="114"/>
      <c r="P500" s="114"/>
      <c r="Q500" s="114"/>
      <c r="R500" s="114"/>
      <c r="S500" s="114"/>
      <c r="T500" s="114"/>
      <c r="U500" s="114"/>
      <c r="V500" s="114"/>
      <c r="W500" s="114"/>
      <c r="X500" s="114"/>
      <c r="Y500" s="114"/>
      <c r="Z500" s="114"/>
    </row>
    <row r="501">
      <c r="A501" s="1"/>
      <c r="B501" s="114"/>
      <c r="C501" s="114"/>
      <c r="D501" s="114"/>
      <c r="E501" s="114"/>
      <c r="F501" s="114"/>
      <c r="G501" s="114"/>
      <c r="H501" s="114"/>
      <c r="I501" s="114"/>
      <c r="J501" s="114"/>
      <c r="K501" s="114"/>
      <c r="L501" s="114"/>
      <c r="M501" s="114"/>
      <c r="N501" s="114"/>
      <c r="O501" s="114"/>
      <c r="P501" s="114"/>
      <c r="Q501" s="114"/>
      <c r="R501" s="114"/>
      <c r="S501" s="114"/>
      <c r="T501" s="114"/>
      <c r="U501" s="114"/>
      <c r="V501" s="114"/>
      <c r="W501" s="114"/>
      <c r="X501" s="114"/>
      <c r="Y501" s="114"/>
      <c r="Z501" s="114"/>
    </row>
    <row r="502">
      <c r="A502" s="1"/>
      <c r="B502" s="114"/>
      <c r="C502" s="114"/>
      <c r="D502" s="114"/>
      <c r="E502" s="114"/>
      <c r="F502" s="114"/>
      <c r="G502" s="114"/>
      <c r="H502" s="114"/>
      <c r="I502" s="114"/>
      <c r="J502" s="114"/>
      <c r="K502" s="114"/>
      <c r="L502" s="114"/>
      <c r="M502" s="114"/>
      <c r="N502" s="114"/>
      <c r="O502" s="114"/>
      <c r="P502" s="114"/>
      <c r="Q502" s="114"/>
      <c r="R502" s="114"/>
      <c r="S502" s="114"/>
      <c r="T502" s="114"/>
      <c r="U502" s="114"/>
      <c r="V502" s="114"/>
      <c r="W502" s="114"/>
      <c r="X502" s="114"/>
      <c r="Y502" s="114"/>
      <c r="Z502" s="114"/>
    </row>
    <row r="503">
      <c r="A503" s="1"/>
      <c r="B503" s="114"/>
      <c r="C503" s="114"/>
      <c r="D503" s="114"/>
      <c r="E503" s="114"/>
      <c r="F503" s="114"/>
      <c r="G503" s="114"/>
      <c r="H503" s="114"/>
      <c r="I503" s="114"/>
      <c r="J503" s="114"/>
      <c r="K503" s="114"/>
      <c r="L503" s="114"/>
      <c r="M503" s="114"/>
      <c r="N503" s="114"/>
      <c r="O503" s="114"/>
      <c r="P503" s="114"/>
      <c r="Q503" s="114"/>
      <c r="R503" s="114"/>
      <c r="S503" s="114"/>
      <c r="T503" s="114"/>
      <c r="U503" s="114"/>
      <c r="V503" s="114"/>
      <c r="W503" s="114"/>
      <c r="X503" s="114"/>
      <c r="Y503" s="114"/>
      <c r="Z503" s="114"/>
    </row>
    <row r="504">
      <c r="A504" s="1"/>
      <c r="B504" s="114"/>
      <c r="C504" s="114"/>
      <c r="D504" s="114"/>
      <c r="E504" s="114"/>
      <c r="F504" s="114"/>
      <c r="G504" s="114"/>
      <c r="H504" s="114"/>
      <c r="I504" s="114"/>
      <c r="J504" s="114"/>
      <c r="K504" s="114"/>
      <c r="L504" s="114"/>
      <c r="M504" s="114"/>
      <c r="N504" s="114"/>
      <c r="O504" s="114"/>
      <c r="P504" s="114"/>
      <c r="Q504" s="114"/>
      <c r="R504" s="114"/>
      <c r="S504" s="114"/>
      <c r="T504" s="114"/>
      <c r="U504" s="114"/>
      <c r="V504" s="114"/>
      <c r="W504" s="114"/>
      <c r="X504" s="114"/>
      <c r="Y504" s="114"/>
      <c r="Z504" s="114"/>
    </row>
    <row r="505">
      <c r="A505" s="1"/>
      <c r="B505" s="114"/>
      <c r="C505" s="114"/>
      <c r="D505" s="114"/>
      <c r="E505" s="114"/>
      <c r="F505" s="114"/>
      <c r="G505" s="114"/>
      <c r="H505" s="114"/>
      <c r="I505" s="114"/>
      <c r="J505" s="114"/>
      <c r="K505" s="114"/>
      <c r="L505" s="114"/>
      <c r="M505" s="114"/>
      <c r="N505" s="114"/>
      <c r="O505" s="114"/>
      <c r="P505" s="114"/>
      <c r="Q505" s="114"/>
      <c r="R505" s="114"/>
      <c r="S505" s="114"/>
      <c r="T505" s="114"/>
      <c r="U505" s="114"/>
      <c r="V505" s="114"/>
      <c r="W505" s="114"/>
      <c r="X505" s="114"/>
      <c r="Y505" s="114"/>
      <c r="Z505" s="114"/>
    </row>
    <row r="506">
      <c r="A506" s="1"/>
      <c r="B506" s="114"/>
      <c r="C506" s="114"/>
      <c r="D506" s="114"/>
      <c r="E506" s="114"/>
      <c r="F506" s="114"/>
      <c r="G506" s="114"/>
      <c r="H506" s="114"/>
      <c r="I506" s="114"/>
      <c r="J506" s="114"/>
      <c r="K506" s="114"/>
      <c r="L506" s="114"/>
      <c r="M506" s="114"/>
      <c r="N506" s="114"/>
      <c r="O506" s="114"/>
      <c r="P506" s="114"/>
      <c r="Q506" s="114"/>
      <c r="R506" s="114"/>
      <c r="S506" s="114"/>
      <c r="T506" s="114"/>
      <c r="U506" s="114"/>
      <c r="V506" s="114"/>
      <c r="W506" s="114"/>
      <c r="X506" s="114"/>
      <c r="Y506" s="114"/>
      <c r="Z506" s="114"/>
    </row>
    <row r="507">
      <c r="A507" s="1"/>
      <c r="B507" s="114"/>
      <c r="C507" s="114"/>
      <c r="D507" s="114"/>
      <c r="E507" s="114"/>
      <c r="F507" s="114"/>
      <c r="G507" s="114"/>
      <c r="H507" s="114"/>
      <c r="I507" s="114"/>
      <c r="J507" s="114"/>
      <c r="K507" s="114"/>
      <c r="L507" s="114"/>
      <c r="M507" s="114"/>
      <c r="N507" s="114"/>
      <c r="O507" s="114"/>
      <c r="P507" s="114"/>
      <c r="Q507" s="114"/>
      <c r="R507" s="114"/>
      <c r="S507" s="114"/>
      <c r="T507" s="114"/>
      <c r="U507" s="114"/>
      <c r="V507" s="114"/>
      <c r="W507" s="114"/>
      <c r="X507" s="114"/>
      <c r="Y507" s="114"/>
      <c r="Z507" s="114"/>
    </row>
    <row r="508">
      <c r="A508" s="1"/>
      <c r="B508" s="114"/>
      <c r="C508" s="114"/>
      <c r="D508" s="114"/>
      <c r="E508" s="114"/>
      <c r="F508" s="114"/>
      <c r="G508" s="114"/>
      <c r="H508" s="114"/>
      <c r="I508" s="114"/>
      <c r="J508" s="114"/>
      <c r="K508" s="114"/>
      <c r="L508" s="114"/>
      <c r="M508" s="114"/>
      <c r="N508" s="114"/>
      <c r="O508" s="114"/>
      <c r="P508" s="114"/>
      <c r="Q508" s="114"/>
      <c r="R508" s="114"/>
      <c r="S508" s="114"/>
      <c r="T508" s="114"/>
      <c r="U508" s="114"/>
      <c r="V508" s="114"/>
      <c r="W508" s="114"/>
      <c r="X508" s="114"/>
      <c r="Y508" s="114"/>
      <c r="Z508" s="114"/>
    </row>
    <row r="509">
      <c r="A509" s="1"/>
      <c r="B509" s="114"/>
      <c r="C509" s="114"/>
      <c r="D509" s="114"/>
      <c r="E509" s="114"/>
      <c r="F509" s="114"/>
      <c r="G509" s="114"/>
      <c r="H509" s="114"/>
      <c r="I509" s="114"/>
      <c r="J509" s="114"/>
      <c r="K509" s="114"/>
      <c r="L509" s="114"/>
      <c r="M509" s="114"/>
      <c r="N509" s="114"/>
      <c r="O509" s="114"/>
      <c r="P509" s="114"/>
      <c r="Q509" s="114"/>
      <c r="R509" s="114"/>
      <c r="S509" s="114"/>
      <c r="T509" s="114"/>
      <c r="U509" s="114"/>
      <c r="V509" s="114"/>
      <c r="W509" s="114"/>
      <c r="X509" s="114"/>
      <c r="Y509" s="114"/>
      <c r="Z509" s="114"/>
    </row>
    <row r="510">
      <c r="A510" s="1"/>
      <c r="B510" s="114"/>
      <c r="C510" s="114"/>
      <c r="D510" s="114"/>
      <c r="E510" s="114"/>
      <c r="F510" s="114"/>
      <c r="G510" s="114"/>
      <c r="H510" s="114"/>
      <c r="I510" s="114"/>
      <c r="J510" s="114"/>
      <c r="K510" s="114"/>
      <c r="L510" s="114"/>
      <c r="M510" s="114"/>
      <c r="N510" s="114"/>
      <c r="O510" s="114"/>
      <c r="P510" s="114"/>
      <c r="Q510" s="114"/>
      <c r="R510" s="114"/>
      <c r="S510" s="114"/>
      <c r="T510" s="114"/>
      <c r="U510" s="114"/>
      <c r="V510" s="114"/>
      <c r="W510" s="114"/>
      <c r="X510" s="114"/>
      <c r="Y510" s="114"/>
      <c r="Z510" s="114"/>
    </row>
    <row r="511">
      <c r="A511" s="1"/>
      <c r="B511" s="114"/>
      <c r="C511" s="114"/>
      <c r="D511" s="114"/>
      <c r="E511" s="114"/>
      <c r="F511" s="114"/>
      <c r="G511" s="114"/>
      <c r="H511" s="114"/>
      <c r="I511" s="114"/>
      <c r="J511" s="114"/>
      <c r="K511" s="114"/>
      <c r="L511" s="114"/>
      <c r="M511" s="114"/>
      <c r="N511" s="114"/>
      <c r="O511" s="114"/>
      <c r="P511" s="114"/>
      <c r="Q511" s="114"/>
      <c r="R511" s="114"/>
      <c r="S511" s="114"/>
      <c r="T511" s="114"/>
      <c r="U511" s="114"/>
      <c r="V511" s="114"/>
      <c r="W511" s="114"/>
      <c r="X511" s="114"/>
      <c r="Y511" s="114"/>
      <c r="Z511" s="114"/>
    </row>
    <row r="512">
      <c r="A512" s="1"/>
      <c r="B512" s="114"/>
      <c r="C512" s="114"/>
      <c r="D512" s="114"/>
      <c r="E512" s="114"/>
      <c r="F512" s="114"/>
      <c r="G512" s="114"/>
      <c r="H512" s="114"/>
      <c r="I512" s="114"/>
      <c r="J512" s="114"/>
      <c r="K512" s="114"/>
      <c r="L512" s="114"/>
      <c r="M512" s="114"/>
      <c r="N512" s="114"/>
      <c r="O512" s="114"/>
      <c r="P512" s="114"/>
      <c r="Q512" s="114"/>
      <c r="R512" s="114"/>
      <c r="S512" s="114"/>
      <c r="T512" s="114"/>
      <c r="U512" s="114"/>
      <c r="V512" s="114"/>
      <c r="W512" s="114"/>
      <c r="X512" s="114"/>
      <c r="Y512" s="114"/>
      <c r="Z512" s="114"/>
    </row>
    <row r="513">
      <c r="A513" s="1"/>
      <c r="B513" s="114"/>
      <c r="C513" s="114"/>
      <c r="D513" s="114"/>
      <c r="E513" s="114"/>
      <c r="F513" s="114"/>
      <c r="G513" s="114"/>
      <c r="H513" s="114"/>
      <c r="I513" s="114"/>
      <c r="J513" s="114"/>
      <c r="K513" s="114"/>
      <c r="L513" s="114"/>
      <c r="M513" s="114"/>
      <c r="N513" s="114"/>
      <c r="O513" s="114"/>
      <c r="P513" s="114"/>
      <c r="Q513" s="114"/>
      <c r="R513" s="114"/>
      <c r="S513" s="114"/>
      <c r="T513" s="114"/>
      <c r="U513" s="114"/>
      <c r="V513" s="114"/>
      <c r="W513" s="114"/>
      <c r="X513" s="114"/>
      <c r="Y513" s="114"/>
      <c r="Z513" s="114"/>
    </row>
    <row r="514">
      <c r="A514" s="1"/>
      <c r="B514" s="114"/>
      <c r="C514" s="114"/>
      <c r="D514" s="114"/>
      <c r="E514" s="114"/>
      <c r="F514" s="114"/>
      <c r="G514" s="114"/>
      <c r="H514" s="114"/>
      <c r="I514" s="114"/>
      <c r="J514" s="114"/>
      <c r="K514" s="114"/>
      <c r="L514" s="114"/>
      <c r="M514" s="114"/>
      <c r="N514" s="114"/>
      <c r="O514" s="114"/>
      <c r="P514" s="114"/>
      <c r="Q514" s="114"/>
      <c r="R514" s="114"/>
      <c r="S514" s="114"/>
      <c r="T514" s="114"/>
      <c r="U514" s="114"/>
      <c r="V514" s="114"/>
      <c r="W514" s="114"/>
      <c r="X514" s="114"/>
      <c r="Y514" s="114"/>
      <c r="Z514" s="114"/>
    </row>
    <row r="515">
      <c r="A515" s="1"/>
      <c r="B515" s="114"/>
      <c r="C515" s="114"/>
      <c r="D515" s="114"/>
      <c r="E515" s="114"/>
      <c r="F515" s="114"/>
      <c r="G515" s="114"/>
      <c r="H515" s="114"/>
      <c r="I515" s="114"/>
      <c r="J515" s="114"/>
      <c r="K515" s="114"/>
      <c r="L515" s="114"/>
      <c r="M515" s="114"/>
      <c r="N515" s="114"/>
      <c r="O515" s="114"/>
      <c r="P515" s="114"/>
      <c r="Q515" s="114"/>
      <c r="R515" s="114"/>
      <c r="S515" s="114"/>
      <c r="T515" s="114"/>
      <c r="U515" s="114"/>
      <c r="V515" s="114"/>
      <c r="W515" s="114"/>
      <c r="X515" s="114"/>
      <c r="Y515" s="114"/>
      <c r="Z515" s="114"/>
    </row>
    <row r="516">
      <c r="A516" s="1"/>
      <c r="B516" s="114"/>
      <c r="C516" s="114"/>
      <c r="D516" s="114"/>
      <c r="E516" s="114"/>
      <c r="F516" s="114"/>
      <c r="G516" s="114"/>
      <c r="H516" s="114"/>
      <c r="I516" s="114"/>
      <c r="J516" s="114"/>
      <c r="K516" s="114"/>
      <c r="L516" s="114"/>
      <c r="M516" s="114"/>
      <c r="N516" s="114"/>
      <c r="O516" s="114"/>
      <c r="P516" s="114"/>
      <c r="Q516" s="114"/>
      <c r="R516" s="114"/>
      <c r="S516" s="114"/>
      <c r="T516" s="114"/>
      <c r="U516" s="114"/>
      <c r="V516" s="114"/>
      <c r="W516" s="114"/>
      <c r="X516" s="114"/>
      <c r="Y516" s="114"/>
      <c r="Z516" s="114"/>
    </row>
    <row r="517">
      <c r="A517" s="1"/>
      <c r="B517" s="114"/>
      <c r="C517" s="114"/>
      <c r="D517" s="114"/>
      <c r="E517" s="114"/>
      <c r="F517" s="114"/>
      <c r="G517" s="114"/>
      <c r="H517" s="114"/>
      <c r="I517" s="114"/>
      <c r="J517" s="114"/>
      <c r="K517" s="114"/>
      <c r="L517" s="114"/>
      <c r="M517" s="114"/>
      <c r="N517" s="114"/>
      <c r="O517" s="114"/>
      <c r="P517" s="114"/>
      <c r="Q517" s="114"/>
      <c r="R517" s="114"/>
      <c r="S517" s="114"/>
      <c r="T517" s="114"/>
      <c r="U517" s="114"/>
      <c r="V517" s="114"/>
      <c r="W517" s="114"/>
      <c r="X517" s="114"/>
      <c r="Y517" s="114"/>
      <c r="Z517" s="114"/>
    </row>
    <row r="518">
      <c r="A518" s="1"/>
      <c r="B518" s="114"/>
      <c r="C518" s="114"/>
      <c r="D518" s="114"/>
      <c r="E518" s="114"/>
      <c r="F518" s="114"/>
      <c r="G518" s="114"/>
      <c r="H518" s="114"/>
      <c r="I518" s="114"/>
      <c r="J518" s="114"/>
      <c r="K518" s="114"/>
      <c r="L518" s="114"/>
      <c r="M518" s="114"/>
      <c r="N518" s="114"/>
      <c r="O518" s="114"/>
      <c r="P518" s="114"/>
      <c r="Q518" s="114"/>
      <c r="R518" s="114"/>
      <c r="S518" s="114"/>
      <c r="T518" s="114"/>
      <c r="U518" s="114"/>
      <c r="V518" s="114"/>
      <c r="W518" s="114"/>
      <c r="X518" s="114"/>
      <c r="Y518" s="114"/>
      <c r="Z518" s="114"/>
    </row>
    <row r="519">
      <c r="A519" s="1"/>
      <c r="B519" s="114"/>
      <c r="C519" s="114"/>
      <c r="D519" s="114"/>
      <c r="E519" s="114"/>
      <c r="F519" s="114"/>
      <c r="G519" s="114"/>
      <c r="H519" s="114"/>
      <c r="I519" s="114"/>
      <c r="J519" s="114"/>
      <c r="K519" s="114"/>
      <c r="L519" s="114"/>
      <c r="M519" s="114"/>
      <c r="N519" s="114"/>
      <c r="O519" s="114"/>
      <c r="P519" s="114"/>
      <c r="Q519" s="114"/>
      <c r="R519" s="114"/>
      <c r="S519" s="114"/>
      <c r="T519" s="114"/>
      <c r="U519" s="114"/>
      <c r="V519" s="114"/>
      <c r="W519" s="114"/>
      <c r="X519" s="114"/>
      <c r="Y519" s="114"/>
      <c r="Z519" s="114"/>
    </row>
    <row r="520">
      <c r="A520" s="1"/>
      <c r="B520" s="114"/>
      <c r="C520" s="114"/>
      <c r="D520" s="114"/>
      <c r="E520" s="114"/>
      <c r="F520" s="114"/>
      <c r="G520" s="114"/>
      <c r="H520" s="114"/>
      <c r="I520" s="114"/>
      <c r="J520" s="114"/>
      <c r="K520" s="114"/>
      <c r="L520" s="114"/>
      <c r="M520" s="114"/>
      <c r="N520" s="114"/>
      <c r="O520" s="114"/>
      <c r="P520" s="114"/>
      <c r="Q520" s="114"/>
      <c r="R520" s="114"/>
      <c r="S520" s="114"/>
      <c r="T520" s="114"/>
      <c r="U520" s="114"/>
      <c r="V520" s="114"/>
      <c r="W520" s="114"/>
      <c r="X520" s="114"/>
      <c r="Y520" s="114"/>
      <c r="Z520" s="114"/>
    </row>
    <row r="521">
      <c r="A521" s="1"/>
      <c r="B521" s="114"/>
      <c r="C521" s="114"/>
      <c r="D521" s="114"/>
      <c r="E521" s="114"/>
      <c r="F521" s="114"/>
      <c r="G521" s="114"/>
      <c r="H521" s="114"/>
      <c r="I521" s="114"/>
      <c r="J521" s="114"/>
      <c r="K521" s="114"/>
      <c r="L521" s="114"/>
      <c r="M521" s="114"/>
      <c r="N521" s="114"/>
      <c r="O521" s="114"/>
      <c r="P521" s="114"/>
      <c r="Q521" s="114"/>
      <c r="R521" s="114"/>
      <c r="S521" s="114"/>
      <c r="T521" s="114"/>
      <c r="U521" s="114"/>
      <c r="V521" s="114"/>
      <c r="W521" s="114"/>
      <c r="X521" s="114"/>
      <c r="Y521" s="114"/>
      <c r="Z521" s="114"/>
    </row>
    <row r="522">
      <c r="A522" s="1"/>
      <c r="B522" s="114"/>
      <c r="C522" s="114"/>
      <c r="D522" s="114"/>
      <c r="E522" s="114"/>
      <c r="F522" s="114"/>
      <c r="G522" s="114"/>
      <c r="H522" s="114"/>
      <c r="I522" s="114"/>
      <c r="J522" s="114"/>
      <c r="K522" s="114"/>
      <c r="L522" s="114"/>
      <c r="M522" s="114"/>
      <c r="N522" s="114"/>
      <c r="O522" s="114"/>
      <c r="P522" s="114"/>
      <c r="Q522" s="114"/>
      <c r="R522" s="114"/>
      <c r="S522" s="114"/>
      <c r="T522" s="114"/>
      <c r="U522" s="114"/>
      <c r="V522" s="114"/>
      <c r="W522" s="114"/>
      <c r="X522" s="114"/>
      <c r="Y522" s="114"/>
      <c r="Z522" s="114"/>
    </row>
    <row r="523">
      <c r="A523" s="1"/>
      <c r="B523" s="114"/>
      <c r="C523" s="114"/>
      <c r="D523" s="114"/>
      <c r="E523" s="114"/>
      <c r="F523" s="114"/>
      <c r="G523" s="114"/>
      <c r="H523" s="114"/>
      <c r="I523" s="114"/>
      <c r="J523" s="114"/>
      <c r="K523" s="114"/>
      <c r="L523" s="114"/>
      <c r="M523" s="114"/>
      <c r="N523" s="114"/>
      <c r="O523" s="114"/>
      <c r="P523" s="114"/>
      <c r="Q523" s="114"/>
      <c r="R523" s="114"/>
      <c r="S523" s="114"/>
      <c r="T523" s="114"/>
      <c r="U523" s="114"/>
      <c r="V523" s="114"/>
      <c r="W523" s="114"/>
      <c r="X523" s="114"/>
      <c r="Y523" s="114"/>
      <c r="Z523" s="114"/>
    </row>
    <row r="524">
      <c r="A524" s="1"/>
      <c r="B524" s="114"/>
      <c r="C524" s="114"/>
      <c r="D524" s="114"/>
      <c r="E524" s="114"/>
      <c r="F524" s="114"/>
      <c r="G524" s="114"/>
      <c r="H524" s="114"/>
      <c r="I524" s="114"/>
      <c r="J524" s="114"/>
      <c r="K524" s="114"/>
      <c r="L524" s="114"/>
      <c r="M524" s="114"/>
      <c r="N524" s="114"/>
      <c r="O524" s="114"/>
      <c r="P524" s="114"/>
      <c r="Q524" s="114"/>
      <c r="R524" s="114"/>
      <c r="S524" s="114"/>
      <c r="T524" s="114"/>
      <c r="U524" s="114"/>
      <c r="V524" s="114"/>
      <c r="W524" s="114"/>
      <c r="X524" s="114"/>
      <c r="Y524" s="114"/>
      <c r="Z524" s="114"/>
    </row>
    <row r="525">
      <c r="A525" s="1"/>
      <c r="B525" s="114"/>
      <c r="C525" s="114"/>
      <c r="D525" s="114"/>
      <c r="E525" s="114"/>
      <c r="F525" s="114"/>
      <c r="G525" s="114"/>
      <c r="H525" s="114"/>
      <c r="I525" s="114"/>
      <c r="J525" s="114"/>
      <c r="K525" s="114"/>
      <c r="L525" s="114"/>
      <c r="M525" s="114"/>
      <c r="N525" s="114"/>
      <c r="O525" s="114"/>
      <c r="P525" s="114"/>
      <c r="Q525" s="114"/>
      <c r="R525" s="114"/>
      <c r="S525" s="114"/>
      <c r="T525" s="114"/>
      <c r="U525" s="114"/>
      <c r="V525" s="114"/>
      <c r="W525" s="114"/>
      <c r="X525" s="114"/>
      <c r="Y525" s="114"/>
      <c r="Z525" s="114"/>
    </row>
    <row r="526">
      <c r="A526" s="1"/>
      <c r="B526" s="114"/>
      <c r="C526" s="114"/>
      <c r="D526" s="114"/>
      <c r="E526" s="114"/>
      <c r="F526" s="114"/>
      <c r="G526" s="114"/>
      <c r="H526" s="114"/>
      <c r="I526" s="114"/>
      <c r="J526" s="114"/>
      <c r="K526" s="114"/>
      <c r="L526" s="114"/>
      <c r="M526" s="114"/>
      <c r="N526" s="114"/>
      <c r="O526" s="114"/>
      <c r="P526" s="114"/>
      <c r="Q526" s="114"/>
      <c r="R526" s="114"/>
      <c r="S526" s="114"/>
      <c r="T526" s="114"/>
      <c r="U526" s="114"/>
      <c r="V526" s="114"/>
      <c r="W526" s="114"/>
      <c r="X526" s="114"/>
      <c r="Y526" s="114"/>
      <c r="Z526" s="114"/>
    </row>
    <row r="527">
      <c r="A527" s="1"/>
      <c r="B527" s="114"/>
      <c r="C527" s="114"/>
      <c r="D527" s="114"/>
      <c r="E527" s="114"/>
      <c r="F527" s="114"/>
      <c r="G527" s="114"/>
      <c r="H527" s="114"/>
      <c r="I527" s="114"/>
      <c r="J527" s="114"/>
      <c r="K527" s="114"/>
      <c r="L527" s="114"/>
      <c r="M527" s="114"/>
      <c r="N527" s="114"/>
      <c r="O527" s="114"/>
      <c r="P527" s="114"/>
      <c r="Q527" s="114"/>
      <c r="R527" s="114"/>
      <c r="S527" s="114"/>
      <c r="T527" s="114"/>
      <c r="U527" s="114"/>
      <c r="V527" s="114"/>
      <c r="W527" s="114"/>
      <c r="X527" s="114"/>
      <c r="Y527" s="114"/>
      <c r="Z527" s="114"/>
    </row>
    <row r="528">
      <c r="A528" s="1"/>
      <c r="B528" s="114"/>
      <c r="C528" s="114"/>
      <c r="D528" s="114"/>
      <c r="E528" s="114"/>
      <c r="F528" s="114"/>
      <c r="G528" s="114"/>
      <c r="H528" s="114"/>
      <c r="I528" s="114"/>
      <c r="J528" s="114"/>
      <c r="K528" s="114"/>
      <c r="L528" s="114"/>
      <c r="M528" s="114"/>
      <c r="N528" s="114"/>
      <c r="O528" s="114"/>
      <c r="P528" s="114"/>
      <c r="Q528" s="114"/>
      <c r="R528" s="114"/>
      <c r="S528" s="114"/>
      <c r="T528" s="114"/>
      <c r="U528" s="114"/>
      <c r="V528" s="114"/>
      <c r="W528" s="114"/>
      <c r="X528" s="114"/>
      <c r="Y528" s="114"/>
      <c r="Z528" s="114"/>
    </row>
    <row r="529">
      <c r="A529" s="1"/>
      <c r="B529" s="114"/>
      <c r="C529" s="114"/>
      <c r="D529" s="114"/>
      <c r="E529" s="114"/>
      <c r="F529" s="114"/>
      <c r="G529" s="114"/>
      <c r="H529" s="114"/>
      <c r="I529" s="114"/>
      <c r="J529" s="114"/>
      <c r="K529" s="114"/>
      <c r="L529" s="114"/>
      <c r="M529" s="114"/>
      <c r="N529" s="114"/>
      <c r="O529" s="114"/>
      <c r="P529" s="114"/>
      <c r="Q529" s="114"/>
      <c r="R529" s="114"/>
      <c r="S529" s="114"/>
      <c r="T529" s="114"/>
      <c r="U529" s="114"/>
      <c r="V529" s="114"/>
      <c r="W529" s="114"/>
      <c r="X529" s="114"/>
      <c r="Y529" s="114"/>
      <c r="Z529" s="114"/>
    </row>
    <row r="530">
      <c r="A530" s="1"/>
      <c r="B530" s="114"/>
      <c r="C530" s="114"/>
      <c r="D530" s="114"/>
      <c r="E530" s="114"/>
      <c r="F530" s="114"/>
      <c r="G530" s="114"/>
      <c r="H530" s="114"/>
      <c r="I530" s="114"/>
      <c r="J530" s="114"/>
      <c r="K530" s="114"/>
      <c r="L530" s="114"/>
      <c r="M530" s="114"/>
      <c r="N530" s="114"/>
      <c r="O530" s="114"/>
      <c r="P530" s="114"/>
      <c r="Q530" s="114"/>
      <c r="R530" s="114"/>
      <c r="S530" s="114"/>
      <c r="T530" s="114"/>
      <c r="U530" s="114"/>
      <c r="V530" s="114"/>
      <c r="W530" s="114"/>
      <c r="X530" s="114"/>
      <c r="Y530" s="114"/>
      <c r="Z530" s="114"/>
    </row>
    <row r="531">
      <c r="A531" s="1"/>
      <c r="B531" s="114"/>
      <c r="C531" s="114"/>
      <c r="D531" s="114"/>
      <c r="E531" s="114"/>
      <c r="F531" s="114"/>
      <c r="G531" s="114"/>
      <c r="H531" s="114"/>
      <c r="I531" s="114"/>
      <c r="J531" s="114"/>
      <c r="K531" s="114"/>
      <c r="L531" s="114"/>
      <c r="M531" s="114"/>
      <c r="N531" s="114"/>
      <c r="O531" s="114"/>
      <c r="P531" s="114"/>
      <c r="Q531" s="114"/>
      <c r="R531" s="114"/>
      <c r="S531" s="114"/>
      <c r="T531" s="114"/>
      <c r="U531" s="114"/>
      <c r="V531" s="114"/>
      <c r="W531" s="114"/>
      <c r="X531" s="114"/>
      <c r="Y531" s="114"/>
      <c r="Z531" s="114"/>
    </row>
    <row r="532">
      <c r="A532" s="1"/>
      <c r="B532" s="114"/>
      <c r="C532" s="114"/>
      <c r="D532" s="114"/>
      <c r="E532" s="114"/>
      <c r="F532" s="114"/>
      <c r="G532" s="114"/>
      <c r="H532" s="114"/>
      <c r="I532" s="114"/>
      <c r="J532" s="114"/>
      <c r="K532" s="114"/>
      <c r="L532" s="114"/>
      <c r="M532" s="114"/>
      <c r="N532" s="114"/>
      <c r="O532" s="114"/>
      <c r="P532" s="114"/>
      <c r="Q532" s="114"/>
      <c r="R532" s="114"/>
      <c r="S532" s="114"/>
      <c r="T532" s="114"/>
      <c r="U532" s="114"/>
      <c r="V532" s="114"/>
      <c r="W532" s="114"/>
      <c r="X532" s="114"/>
      <c r="Y532" s="114"/>
      <c r="Z532" s="114"/>
    </row>
    <row r="533">
      <c r="A533" s="1"/>
      <c r="B533" s="114"/>
      <c r="C533" s="114"/>
      <c r="D533" s="114"/>
      <c r="E533" s="114"/>
      <c r="F533" s="114"/>
      <c r="G533" s="114"/>
      <c r="H533" s="114"/>
      <c r="I533" s="114"/>
      <c r="J533" s="114"/>
      <c r="K533" s="114"/>
      <c r="L533" s="114"/>
      <c r="M533" s="114"/>
      <c r="N533" s="114"/>
      <c r="O533" s="114"/>
      <c r="P533" s="114"/>
      <c r="Q533" s="114"/>
      <c r="R533" s="114"/>
      <c r="S533" s="114"/>
      <c r="T533" s="114"/>
      <c r="U533" s="114"/>
      <c r="V533" s="114"/>
      <c r="W533" s="114"/>
      <c r="X533" s="114"/>
      <c r="Y533" s="114"/>
      <c r="Z533" s="114"/>
    </row>
    <row r="534">
      <c r="A534" s="1"/>
      <c r="B534" s="114"/>
      <c r="C534" s="114"/>
      <c r="D534" s="114"/>
      <c r="E534" s="114"/>
      <c r="F534" s="114"/>
      <c r="G534" s="114"/>
      <c r="H534" s="114"/>
      <c r="I534" s="114"/>
      <c r="J534" s="114"/>
      <c r="K534" s="114"/>
      <c r="L534" s="114"/>
      <c r="M534" s="114"/>
      <c r="N534" s="114"/>
      <c r="O534" s="114"/>
      <c r="P534" s="114"/>
      <c r="Q534" s="114"/>
      <c r="R534" s="114"/>
      <c r="S534" s="114"/>
      <c r="T534" s="114"/>
      <c r="U534" s="114"/>
      <c r="V534" s="114"/>
      <c r="W534" s="114"/>
      <c r="X534" s="114"/>
      <c r="Y534" s="114"/>
      <c r="Z534" s="114"/>
    </row>
    <row r="535">
      <c r="A535" s="1"/>
      <c r="B535" s="114"/>
      <c r="C535" s="114"/>
      <c r="D535" s="114"/>
      <c r="E535" s="114"/>
      <c r="F535" s="114"/>
      <c r="G535" s="114"/>
      <c r="H535" s="114"/>
      <c r="I535" s="114"/>
      <c r="J535" s="114"/>
      <c r="K535" s="114"/>
      <c r="L535" s="114"/>
      <c r="M535" s="114"/>
      <c r="N535" s="114"/>
      <c r="O535" s="114"/>
      <c r="P535" s="114"/>
      <c r="Q535" s="114"/>
      <c r="R535" s="114"/>
      <c r="S535" s="114"/>
      <c r="T535" s="114"/>
      <c r="U535" s="114"/>
      <c r="V535" s="114"/>
      <c r="W535" s="114"/>
      <c r="X535" s="114"/>
      <c r="Y535" s="114"/>
      <c r="Z535" s="114"/>
    </row>
    <row r="536">
      <c r="A536" s="1"/>
      <c r="B536" s="114"/>
      <c r="C536" s="114"/>
      <c r="D536" s="114"/>
      <c r="E536" s="114"/>
      <c r="F536" s="114"/>
      <c r="G536" s="114"/>
      <c r="H536" s="114"/>
      <c r="I536" s="114"/>
      <c r="J536" s="114"/>
      <c r="K536" s="114"/>
      <c r="L536" s="114"/>
      <c r="M536" s="114"/>
      <c r="N536" s="114"/>
      <c r="O536" s="114"/>
      <c r="P536" s="114"/>
      <c r="Q536" s="114"/>
      <c r="R536" s="114"/>
      <c r="S536" s="114"/>
      <c r="T536" s="114"/>
      <c r="U536" s="114"/>
      <c r="V536" s="114"/>
      <c r="W536" s="114"/>
      <c r="X536" s="114"/>
      <c r="Y536" s="114"/>
      <c r="Z536" s="114"/>
    </row>
    <row r="537">
      <c r="A537" s="1"/>
      <c r="B537" s="114"/>
      <c r="C537" s="114"/>
      <c r="D537" s="114"/>
      <c r="E537" s="114"/>
      <c r="F537" s="114"/>
      <c r="G537" s="114"/>
      <c r="H537" s="114"/>
      <c r="I537" s="114"/>
      <c r="J537" s="114"/>
      <c r="K537" s="114"/>
      <c r="L537" s="114"/>
      <c r="M537" s="114"/>
      <c r="N537" s="114"/>
      <c r="O537" s="114"/>
      <c r="P537" s="114"/>
      <c r="Q537" s="114"/>
      <c r="R537" s="114"/>
      <c r="S537" s="114"/>
      <c r="T537" s="114"/>
      <c r="U537" s="114"/>
      <c r="V537" s="114"/>
      <c r="W537" s="114"/>
      <c r="X537" s="114"/>
      <c r="Y537" s="114"/>
      <c r="Z537" s="114"/>
    </row>
    <row r="538">
      <c r="A538" s="1"/>
      <c r="B538" s="114"/>
      <c r="C538" s="114"/>
      <c r="D538" s="114"/>
      <c r="E538" s="114"/>
      <c r="F538" s="114"/>
      <c r="G538" s="114"/>
      <c r="H538" s="114"/>
      <c r="I538" s="114"/>
      <c r="J538" s="114"/>
      <c r="K538" s="114"/>
      <c r="L538" s="114"/>
      <c r="M538" s="114"/>
      <c r="N538" s="114"/>
      <c r="O538" s="114"/>
      <c r="P538" s="114"/>
      <c r="Q538" s="114"/>
      <c r="R538" s="114"/>
      <c r="S538" s="114"/>
      <c r="T538" s="114"/>
      <c r="U538" s="114"/>
      <c r="V538" s="114"/>
      <c r="W538" s="114"/>
      <c r="X538" s="114"/>
      <c r="Y538" s="114"/>
      <c r="Z538" s="114"/>
    </row>
    <row r="539">
      <c r="A539" s="1"/>
      <c r="B539" s="114"/>
      <c r="C539" s="114"/>
      <c r="D539" s="114"/>
      <c r="E539" s="114"/>
      <c r="F539" s="114"/>
      <c r="G539" s="114"/>
      <c r="H539" s="114"/>
      <c r="I539" s="114"/>
      <c r="J539" s="114"/>
      <c r="K539" s="114"/>
      <c r="L539" s="114"/>
      <c r="M539" s="114"/>
      <c r="N539" s="114"/>
      <c r="O539" s="114"/>
      <c r="P539" s="114"/>
      <c r="Q539" s="114"/>
      <c r="R539" s="114"/>
      <c r="S539" s="114"/>
      <c r="T539" s="114"/>
      <c r="U539" s="114"/>
      <c r="V539" s="114"/>
      <c r="W539" s="114"/>
      <c r="X539" s="114"/>
      <c r="Y539" s="114"/>
      <c r="Z539" s="114"/>
    </row>
    <row r="540">
      <c r="A540" s="1"/>
      <c r="B540" s="114"/>
      <c r="C540" s="114"/>
      <c r="D540" s="114"/>
      <c r="E540" s="114"/>
      <c r="F540" s="114"/>
      <c r="G540" s="114"/>
      <c r="H540" s="114"/>
      <c r="I540" s="114"/>
      <c r="J540" s="114"/>
      <c r="K540" s="114"/>
      <c r="L540" s="114"/>
      <c r="M540" s="114"/>
      <c r="N540" s="114"/>
      <c r="O540" s="114"/>
      <c r="P540" s="114"/>
      <c r="Q540" s="114"/>
      <c r="R540" s="114"/>
      <c r="S540" s="114"/>
      <c r="T540" s="114"/>
      <c r="U540" s="114"/>
      <c r="V540" s="114"/>
      <c r="W540" s="114"/>
      <c r="X540" s="114"/>
      <c r="Y540" s="114"/>
      <c r="Z540" s="114"/>
    </row>
    <row r="541">
      <c r="A541" s="1"/>
      <c r="B541" s="114"/>
      <c r="C541" s="114"/>
      <c r="D541" s="114"/>
      <c r="E541" s="114"/>
      <c r="F541" s="114"/>
      <c r="G541" s="114"/>
      <c r="H541" s="114"/>
      <c r="I541" s="114"/>
      <c r="J541" s="114"/>
      <c r="K541" s="114"/>
      <c r="L541" s="114"/>
      <c r="M541" s="114"/>
      <c r="N541" s="114"/>
      <c r="O541" s="114"/>
      <c r="P541" s="114"/>
      <c r="Q541" s="114"/>
      <c r="R541" s="114"/>
      <c r="S541" s="114"/>
      <c r="T541" s="114"/>
      <c r="U541" s="114"/>
      <c r="V541" s="114"/>
      <c r="W541" s="114"/>
      <c r="X541" s="114"/>
      <c r="Y541" s="114"/>
      <c r="Z541" s="114"/>
    </row>
    <row r="542">
      <c r="A542" s="1"/>
      <c r="B542" s="114"/>
      <c r="C542" s="114"/>
      <c r="D542" s="114"/>
      <c r="E542" s="114"/>
      <c r="F542" s="114"/>
      <c r="G542" s="114"/>
      <c r="H542" s="114"/>
      <c r="I542" s="114"/>
      <c r="J542" s="114"/>
      <c r="K542" s="114"/>
      <c r="L542" s="114"/>
      <c r="M542" s="114"/>
      <c r="N542" s="114"/>
      <c r="O542" s="114"/>
      <c r="P542" s="114"/>
      <c r="Q542" s="114"/>
      <c r="R542" s="114"/>
      <c r="S542" s="114"/>
      <c r="T542" s="114"/>
      <c r="U542" s="114"/>
      <c r="V542" s="114"/>
      <c r="W542" s="114"/>
      <c r="X542" s="114"/>
      <c r="Y542" s="114"/>
      <c r="Z542" s="114"/>
    </row>
    <row r="543">
      <c r="A543" s="1"/>
      <c r="B543" s="114"/>
      <c r="C543" s="114"/>
      <c r="D543" s="114"/>
      <c r="E543" s="114"/>
      <c r="F543" s="114"/>
      <c r="G543" s="114"/>
      <c r="H543" s="114"/>
      <c r="I543" s="114"/>
      <c r="J543" s="114"/>
      <c r="K543" s="114"/>
      <c r="L543" s="114"/>
      <c r="M543" s="114"/>
      <c r="N543" s="114"/>
      <c r="O543" s="114"/>
      <c r="P543" s="114"/>
      <c r="Q543" s="114"/>
      <c r="R543" s="114"/>
      <c r="S543" s="114"/>
      <c r="T543" s="114"/>
      <c r="U543" s="114"/>
      <c r="V543" s="114"/>
      <c r="W543" s="114"/>
      <c r="X543" s="114"/>
      <c r="Y543" s="114"/>
      <c r="Z543" s="114"/>
    </row>
    <row r="544">
      <c r="A544" s="1"/>
      <c r="B544" s="114"/>
      <c r="C544" s="114"/>
      <c r="D544" s="114"/>
      <c r="E544" s="114"/>
      <c r="F544" s="114"/>
      <c r="G544" s="114"/>
      <c r="H544" s="114"/>
      <c r="I544" s="114"/>
      <c r="J544" s="114"/>
      <c r="K544" s="114"/>
      <c r="L544" s="114"/>
      <c r="M544" s="114"/>
      <c r="N544" s="114"/>
      <c r="O544" s="114"/>
      <c r="P544" s="114"/>
      <c r="Q544" s="114"/>
      <c r="R544" s="114"/>
      <c r="S544" s="114"/>
      <c r="T544" s="114"/>
      <c r="U544" s="114"/>
      <c r="V544" s="114"/>
      <c r="W544" s="114"/>
      <c r="X544" s="114"/>
      <c r="Y544" s="114"/>
      <c r="Z544" s="114"/>
    </row>
    <row r="545">
      <c r="A545" s="1"/>
      <c r="B545" s="114"/>
      <c r="C545" s="114"/>
      <c r="D545" s="114"/>
      <c r="E545" s="114"/>
      <c r="F545" s="114"/>
      <c r="G545" s="114"/>
      <c r="H545" s="114"/>
      <c r="I545" s="114"/>
      <c r="J545" s="114"/>
      <c r="K545" s="114"/>
      <c r="L545" s="114"/>
      <c r="M545" s="114"/>
      <c r="N545" s="114"/>
      <c r="O545" s="114"/>
      <c r="P545" s="114"/>
      <c r="Q545" s="114"/>
      <c r="R545" s="114"/>
      <c r="S545" s="114"/>
      <c r="T545" s="114"/>
      <c r="U545" s="114"/>
      <c r="V545" s="114"/>
      <c r="W545" s="114"/>
      <c r="X545" s="114"/>
      <c r="Y545" s="114"/>
      <c r="Z545" s="114"/>
    </row>
    <row r="546">
      <c r="A546" s="1"/>
      <c r="B546" s="114"/>
      <c r="C546" s="114"/>
      <c r="D546" s="114"/>
      <c r="E546" s="114"/>
      <c r="F546" s="114"/>
      <c r="G546" s="114"/>
      <c r="H546" s="114"/>
      <c r="I546" s="114"/>
      <c r="J546" s="114"/>
      <c r="K546" s="114"/>
      <c r="L546" s="114"/>
      <c r="M546" s="114"/>
      <c r="N546" s="114"/>
      <c r="O546" s="114"/>
      <c r="P546" s="114"/>
      <c r="Q546" s="114"/>
      <c r="R546" s="114"/>
      <c r="S546" s="114"/>
      <c r="T546" s="114"/>
      <c r="U546" s="114"/>
      <c r="V546" s="114"/>
      <c r="W546" s="114"/>
      <c r="X546" s="114"/>
      <c r="Y546" s="114"/>
      <c r="Z546" s="114"/>
    </row>
    <row r="547">
      <c r="A547" s="1"/>
      <c r="B547" s="114"/>
      <c r="C547" s="114"/>
      <c r="D547" s="114"/>
      <c r="E547" s="114"/>
      <c r="F547" s="114"/>
      <c r="G547" s="114"/>
      <c r="H547" s="114"/>
      <c r="I547" s="114"/>
      <c r="J547" s="114"/>
      <c r="K547" s="114"/>
      <c r="L547" s="114"/>
      <c r="M547" s="114"/>
      <c r="N547" s="114"/>
      <c r="O547" s="114"/>
      <c r="P547" s="114"/>
      <c r="Q547" s="114"/>
      <c r="R547" s="114"/>
      <c r="S547" s="114"/>
      <c r="T547" s="114"/>
      <c r="U547" s="114"/>
      <c r="V547" s="114"/>
      <c r="W547" s="114"/>
      <c r="X547" s="114"/>
      <c r="Y547" s="114"/>
      <c r="Z547" s="114"/>
    </row>
    <row r="548">
      <c r="A548" s="1"/>
      <c r="B548" s="114"/>
      <c r="C548" s="114"/>
      <c r="D548" s="114"/>
      <c r="E548" s="114"/>
      <c r="F548" s="114"/>
      <c r="G548" s="114"/>
      <c r="H548" s="114"/>
      <c r="I548" s="114"/>
      <c r="J548" s="114"/>
      <c r="K548" s="114"/>
      <c r="L548" s="114"/>
      <c r="M548" s="114"/>
      <c r="N548" s="114"/>
      <c r="O548" s="114"/>
      <c r="P548" s="114"/>
      <c r="Q548" s="114"/>
      <c r="R548" s="114"/>
      <c r="S548" s="114"/>
      <c r="T548" s="114"/>
      <c r="U548" s="114"/>
      <c r="V548" s="114"/>
      <c r="W548" s="114"/>
      <c r="X548" s="114"/>
      <c r="Y548" s="114"/>
      <c r="Z548" s="114"/>
    </row>
    <row r="549">
      <c r="A549" s="1"/>
      <c r="B549" s="114"/>
      <c r="C549" s="114"/>
      <c r="D549" s="114"/>
      <c r="E549" s="114"/>
      <c r="F549" s="114"/>
      <c r="G549" s="114"/>
      <c r="H549" s="114"/>
      <c r="I549" s="114"/>
      <c r="J549" s="114"/>
      <c r="K549" s="114"/>
      <c r="L549" s="114"/>
      <c r="M549" s="114"/>
      <c r="N549" s="114"/>
      <c r="O549" s="114"/>
      <c r="P549" s="114"/>
      <c r="Q549" s="114"/>
      <c r="R549" s="114"/>
      <c r="S549" s="114"/>
      <c r="T549" s="114"/>
      <c r="U549" s="114"/>
      <c r="V549" s="114"/>
      <c r="W549" s="114"/>
      <c r="X549" s="114"/>
      <c r="Y549" s="114"/>
      <c r="Z549" s="114"/>
    </row>
    <row r="550">
      <c r="A550" s="1"/>
      <c r="B550" s="114"/>
      <c r="C550" s="114"/>
      <c r="D550" s="114"/>
      <c r="E550" s="114"/>
      <c r="F550" s="114"/>
      <c r="G550" s="114"/>
      <c r="H550" s="114"/>
      <c r="I550" s="114"/>
      <c r="J550" s="114"/>
      <c r="K550" s="114"/>
      <c r="L550" s="114"/>
      <c r="M550" s="114"/>
      <c r="N550" s="114"/>
      <c r="O550" s="114"/>
      <c r="P550" s="114"/>
      <c r="Q550" s="114"/>
      <c r="R550" s="114"/>
      <c r="S550" s="114"/>
      <c r="T550" s="114"/>
      <c r="U550" s="114"/>
      <c r="V550" s="114"/>
      <c r="W550" s="114"/>
      <c r="X550" s="114"/>
      <c r="Y550" s="114"/>
      <c r="Z550" s="114"/>
    </row>
    <row r="551">
      <c r="A551" s="1"/>
      <c r="B551" s="114"/>
      <c r="C551" s="114"/>
      <c r="D551" s="114"/>
      <c r="E551" s="114"/>
      <c r="F551" s="114"/>
      <c r="G551" s="114"/>
      <c r="H551" s="114"/>
      <c r="I551" s="114"/>
      <c r="J551" s="114"/>
      <c r="K551" s="114"/>
      <c r="L551" s="114"/>
      <c r="M551" s="114"/>
      <c r="N551" s="114"/>
      <c r="O551" s="114"/>
      <c r="P551" s="114"/>
      <c r="Q551" s="114"/>
      <c r="R551" s="114"/>
      <c r="S551" s="114"/>
      <c r="T551" s="114"/>
      <c r="U551" s="114"/>
      <c r="V551" s="114"/>
      <c r="W551" s="114"/>
      <c r="X551" s="114"/>
      <c r="Y551" s="114"/>
      <c r="Z551" s="114"/>
    </row>
    <row r="552">
      <c r="A552" s="1"/>
      <c r="B552" s="114"/>
      <c r="C552" s="114"/>
      <c r="D552" s="114"/>
      <c r="E552" s="114"/>
      <c r="F552" s="114"/>
      <c r="G552" s="114"/>
      <c r="H552" s="114"/>
      <c r="I552" s="114"/>
      <c r="J552" s="114"/>
      <c r="K552" s="114"/>
      <c r="L552" s="114"/>
      <c r="M552" s="114"/>
      <c r="N552" s="114"/>
      <c r="O552" s="114"/>
      <c r="P552" s="114"/>
      <c r="Q552" s="114"/>
      <c r="R552" s="114"/>
      <c r="S552" s="114"/>
      <c r="T552" s="114"/>
      <c r="U552" s="114"/>
      <c r="V552" s="114"/>
      <c r="W552" s="114"/>
      <c r="X552" s="114"/>
      <c r="Y552" s="114"/>
      <c r="Z552" s="114"/>
    </row>
    <row r="553">
      <c r="A553" s="1"/>
      <c r="B553" s="114"/>
      <c r="C553" s="114"/>
      <c r="D553" s="114"/>
      <c r="E553" s="114"/>
      <c r="F553" s="114"/>
      <c r="G553" s="114"/>
      <c r="H553" s="114"/>
      <c r="I553" s="114"/>
      <c r="J553" s="114"/>
      <c r="K553" s="114"/>
      <c r="L553" s="114"/>
      <c r="M553" s="114"/>
      <c r="N553" s="114"/>
      <c r="O553" s="114"/>
      <c r="P553" s="114"/>
      <c r="Q553" s="114"/>
      <c r="R553" s="114"/>
      <c r="S553" s="114"/>
      <c r="T553" s="114"/>
      <c r="U553" s="114"/>
      <c r="V553" s="114"/>
      <c r="W553" s="114"/>
      <c r="X553" s="114"/>
      <c r="Y553" s="114"/>
      <c r="Z553" s="114"/>
    </row>
    <row r="554">
      <c r="A554" s="1"/>
      <c r="B554" s="114"/>
      <c r="C554" s="114"/>
      <c r="D554" s="114"/>
      <c r="E554" s="114"/>
      <c r="F554" s="114"/>
      <c r="G554" s="114"/>
      <c r="H554" s="114"/>
      <c r="I554" s="114"/>
      <c r="J554" s="114"/>
      <c r="K554" s="114"/>
      <c r="L554" s="114"/>
      <c r="M554" s="114"/>
      <c r="N554" s="114"/>
      <c r="O554" s="114"/>
      <c r="P554" s="114"/>
      <c r="Q554" s="114"/>
      <c r="R554" s="114"/>
      <c r="S554" s="114"/>
      <c r="T554" s="114"/>
      <c r="U554" s="114"/>
      <c r="V554" s="114"/>
      <c r="W554" s="114"/>
      <c r="X554" s="114"/>
      <c r="Y554" s="114"/>
      <c r="Z554" s="114"/>
    </row>
    <row r="555">
      <c r="A555" s="1"/>
      <c r="B555" s="114"/>
      <c r="C555" s="114"/>
      <c r="D555" s="114"/>
      <c r="E555" s="114"/>
      <c r="F555" s="114"/>
      <c r="G555" s="114"/>
      <c r="H555" s="114"/>
      <c r="I555" s="114"/>
      <c r="J555" s="114"/>
      <c r="K555" s="114"/>
      <c r="L555" s="114"/>
      <c r="M555" s="114"/>
      <c r="N555" s="114"/>
      <c r="O555" s="114"/>
      <c r="P555" s="114"/>
      <c r="Q555" s="114"/>
      <c r="R555" s="114"/>
      <c r="S555" s="114"/>
      <c r="T555" s="114"/>
      <c r="U555" s="114"/>
      <c r="V555" s="114"/>
      <c r="W555" s="114"/>
      <c r="X555" s="114"/>
      <c r="Y555" s="114"/>
      <c r="Z555" s="114"/>
    </row>
    <row r="556">
      <c r="A556" s="1"/>
      <c r="B556" s="114"/>
      <c r="C556" s="114"/>
      <c r="D556" s="114"/>
      <c r="E556" s="114"/>
      <c r="F556" s="114"/>
      <c r="G556" s="114"/>
      <c r="H556" s="114"/>
      <c r="I556" s="114"/>
      <c r="J556" s="114"/>
      <c r="K556" s="114"/>
      <c r="L556" s="114"/>
      <c r="M556" s="114"/>
      <c r="N556" s="114"/>
      <c r="O556" s="114"/>
      <c r="P556" s="114"/>
      <c r="Q556" s="114"/>
      <c r="R556" s="114"/>
      <c r="S556" s="114"/>
      <c r="T556" s="114"/>
      <c r="U556" s="114"/>
      <c r="V556" s="114"/>
      <c r="W556" s="114"/>
      <c r="X556" s="114"/>
      <c r="Y556" s="114"/>
      <c r="Z556" s="114"/>
    </row>
    <row r="557">
      <c r="A557" s="1"/>
      <c r="B557" s="114"/>
      <c r="C557" s="114"/>
      <c r="D557" s="114"/>
      <c r="E557" s="114"/>
      <c r="F557" s="114"/>
      <c r="G557" s="114"/>
      <c r="H557" s="114"/>
      <c r="I557" s="114"/>
      <c r="J557" s="114"/>
      <c r="K557" s="114"/>
      <c r="L557" s="114"/>
      <c r="M557" s="114"/>
      <c r="N557" s="114"/>
      <c r="O557" s="114"/>
      <c r="P557" s="114"/>
      <c r="Q557" s="114"/>
      <c r="R557" s="114"/>
      <c r="S557" s="114"/>
      <c r="T557" s="114"/>
      <c r="U557" s="114"/>
      <c r="V557" s="114"/>
      <c r="W557" s="114"/>
      <c r="X557" s="114"/>
      <c r="Y557" s="114"/>
      <c r="Z557" s="114"/>
    </row>
    <row r="558">
      <c r="A558" s="1"/>
      <c r="B558" s="114"/>
      <c r="C558" s="114"/>
      <c r="D558" s="114"/>
      <c r="E558" s="114"/>
      <c r="F558" s="114"/>
      <c r="G558" s="114"/>
      <c r="H558" s="114"/>
      <c r="I558" s="114"/>
      <c r="J558" s="114"/>
      <c r="K558" s="114"/>
      <c r="L558" s="114"/>
      <c r="M558" s="114"/>
      <c r="N558" s="114"/>
      <c r="O558" s="114"/>
      <c r="P558" s="114"/>
      <c r="Q558" s="114"/>
      <c r="R558" s="114"/>
      <c r="S558" s="114"/>
      <c r="T558" s="114"/>
      <c r="U558" s="114"/>
      <c r="V558" s="114"/>
      <c r="W558" s="114"/>
      <c r="X558" s="114"/>
      <c r="Y558" s="114"/>
      <c r="Z558" s="114"/>
    </row>
    <row r="559">
      <c r="A559" s="1"/>
      <c r="B559" s="114"/>
      <c r="C559" s="114"/>
      <c r="D559" s="114"/>
      <c r="E559" s="114"/>
      <c r="F559" s="114"/>
      <c r="G559" s="114"/>
      <c r="H559" s="114"/>
      <c r="I559" s="114"/>
      <c r="J559" s="114"/>
      <c r="K559" s="114"/>
      <c r="L559" s="114"/>
      <c r="M559" s="114"/>
      <c r="N559" s="114"/>
      <c r="O559" s="114"/>
      <c r="P559" s="114"/>
      <c r="Q559" s="114"/>
      <c r="R559" s="114"/>
      <c r="S559" s="114"/>
      <c r="T559" s="114"/>
      <c r="U559" s="114"/>
      <c r="V559" s="114"/>
      <c r="W559" s="114"/>
      <c r="X559" s="114"/>
      <c r="Y559" s="114"/>
      <c r="Z559" s="114"/>
    </row>
    <row r="560">
      <c r="A560" s="1"/>
      <c r="B560" s="114"/>
      <c r="C560" s="114"/>
      <c r="D560" s="114"/>
      <c r="E560" s="114"/>
      <c r="F560" s="114"/>
      <c r="G560" s="114"/>
      <c r="H560" s="114"/>
      <c r="I560" s="114"/>
      <c r="J560" s="114"/>
      <c r="K560" s="114"/>
      <c r="L560" s="114"/>
      <c r="M560" s="114"/>
      <c r="N560" s="114"/>
      <c r="O560" s="114"/>
      <c r="P560" s="114"/>
      <c r="Q560" s="114"/>
      <c r="R560" s="114"/>
      <c r="S560" s="114"/>
      <c r="T560" s="114"/>
      <c r="U560" s="114"/>
      <c r="V560" s="114"/>
      <c r="W560" s="114"/>
      <c r="X560" s="114"/>
      <c r="Y560" s="114"/>
      <c r="Z560" s="114"/>
    </row>
    <row r="561">
      <c r="A561" s="1"/>
      <c r="B561" s="114"/>
      <c r="C561" s="114"/>
      <c r="D561" s="114"/>
      <c r="E561" s="114"/>
      <c r="F561" s="114"/>
      <c r="G561" s="114"/>
      <c r="H561" s="114"/>
      <c r="I561" s="114"/>
      <c r="J561" s="114"/>
      <c r="K561" s="114"/>
      <c r="L561" s="114"/>
      <c r="M561" s="114"/>
      <c r="N561" s="114"/>
      <c r="O561" s="114"/>
      <c r="P561" s="114"/>
      <c r="Q561" s="114"/>
      <c r="R561" s="114"/>
      <c r="S561" s="114"/>
      <c r="T561" s="114"/>
      <c r="U561" s="114"/>
      <c r="V561" s="114"/>
      <c r="W561" s="114"/>
      <c r="X561" s="114"/>
      <c r="Y561" s="114"/>
      <c r="Z561" s="114"/>
    </row>
    <row r="562">
      <c r="A562" s="1"/>
      <c r="B562" s="114"/>
      <c r="C562" s="114"/>
      <c r="D562" s="114"/>
      <c r="E562" s="114"/>
      <c r="F562" s="114"/>
      <c r="G562" s="114"/>
      <c r="H562" s="114"/>
      <c r="I562" s="114"/>
      <c r="J562" s="114"/>
      <c r="K562" s="114"/>
      <c r="L562" s="114"/>
      <c r="M562" s="114"/>
      <c r="N562" s="114"/>
      <c r="O562" s="114"/>
      <c r="P562" s="114"/>
      <c r="Q562" s="114"/>
      <c r="R562" s="114"/>
      <c r="S562" s="114"/>
      <c r="T562" s="114"/>
      <c r="U562" s="114"/>
      <c r="V562" s="114"/>
      <c r="W562" s="114"/>
      <c r="X562" s="114"/>
      <c r="Y562" s="114"/>
      <c r="Z562" s="114"/>
    </row>
    <row r="563">
      <c r="A563" s="1"/>
      <c r="B563" s="114"/>
      <c r="C563" s="114"/>
      <c r="D563" s="114"/>
      <c r="E563" s="114"/>
      <c r="F563" s="114"/>
      <c r="G563" s="114"/>
      <c r="H563" s="114"/>
      <c r="I563" s="114"/>
      <c r="J563" s="114"/>
      <c r="K563" s="114"/>
      <c r="L563" s="114"/>
      <c r="M563" s="114"/>
      <c r="N563" s="114"/>
      <c r="O563" s="114"/>
      <c r="P563" s="114"/>
      <c r="Q563" s="114"/>
      <c r="R563" s="114"/>
      <c r="S563" s="114"/>
      <c r="T563" s="114"/>
      <c r="U563" s="114"/>
      <c r="V563" s="114"/>
      <c r="W563" s="114"/>
      <c r="X563" s="114"/>
      <c r="Y563" s="114"/>
      <c r="Z563" s="114"/>
    </row>
    <row r="564">
      <c r="A564" s="1"/>
      <c r="B564" s="114"/>
      <c r="C564" s="114"/>
      <c r="D564" s="114"/>
      <c r="E564" s="114"/>
      <c r="F564" s="114"/>
      <c r="G564" s="114"/>
      <c r="H564" s="114"/>
      <c r="I564" s="114"/>
      <c r="J564" s="114"/>
      <c r="K564" s="114"/>
      <c r="L564" s="114"/>
      <c r="M564" s="114"/>
      <c r="N564" s="114"/>
      <c r="O564" s="114"/>
      <c r="P564" s="114"/>
      <c r="Q564" s="114"/>
      <c r="R564" s="114"/>
      <c r="S564" s="114"/>
      <c r="T564" s="114"/>
      <c r="U564" s="114"/>
      <c r="V564" s="114"/>
      <c r="W564" s="114"/>
      <c r="X564" s="114"/>
      <c r="Y564" s="114"/>
      <c r="Z564" s="114"/>
    </row>
    <row r="565">
      <c r="A565" s="1"/>
      <c r="B565" s="114"/>
      <c r="C565" s="114"/>
      <c r="D565" s="114"/>
      <c r="E565" s="114"/>
      <c r="F565" s="114"/>
      <c r="G565" s="114"/>
      <c r="H565" s="114"/>
      <c r="I565" s="114"/>
      <c r="J565" s="114"/>
      <c r="K565" s="114"/>
      <c r="L565" s="114"/>
      <c r="M565" s="114"/>
      <c r="N565" s="114"/>
      <c r="O565" s="114"/>
      <c r="P565" s="114"/>
      <c r="Q565" s="114"/>
      <c r="R565" s="114"/>
      <c r="S565" s="114"/>
      <c r="T565" s="114"/>
      <c r="U565" s="114"/>
      <c r="V565" s="114"/>
      <c r="W565" s="114"/>
      <c r="X565" s="114"/>
      <c r="Y565" s="114"/>
      <c r="Z565" s="114"/>
    </row>
    <row r="566">
      <c r="A566" s="1"/>
      <c r="B566" s="114"/>
      <c r="C566" s="114"/>
      <c r="D566" s="114"/>
      <c r="E566" s="114"/>
      <c r="F566" s="114"/>
      <c r="G566" s="114"/>
      <c r="H566" s="114"/>
      <c r="I566" s="114"/>
      <c r="J566" s="114"/>
      <c r="K566" s="114"/>
      <c r="L566" s="114"/>
      <c r="M566" s="114"/>
      <c r="N566" s="114"/>
      <c r="O566" s="114"/>
      <c r="P566" s="114"/>
      <c r="Q566" s="114"/>
      <c r="R566" s="114"/>
      <c r="S566" s="114"/>
      <c r="T566" s="114"/>
      <c r="U566" s="114"/>
      <c r="V566" s="114"/>
      <c r="W566" s="114"/>
      <c r="X566" s="114"/>
      <c r="Y566" s="114"/>
      <c r="Z566" s="114"/>
    </row>
    <row r="567">
      <c r="A567" s="1"/>
      <c r="B567" s="114"/>
      <c r="C567" s="114"/>
      <c r="D567" s="114"/>
      <c r="E567" s="114"/>
      <c r="F567" s="114"/>
      <c r="G567" s="114"/>
      <c r="H567" s="114"/>
      <c r="I567" s="114"/>
      <c r="J567" s="114"/>
      <c r="K567" s="114"/>
      <c r="L567" s="114"/>
      <c r="M567" s="114"/>
      <c r="N567" s="114"/>
      <c r="O567" s="114"/>
      <c r="P567" s="114"/>
      <c r="Q567" s="114"/>
      <c r="R567" s="114"/>
      <c r="S567" s="114"/>
      <c r="T567" s="114"/>
      <c r="U567" s="114"/>
      <c r="V567" s="114"/>
      <c r="W567" s="114"/>
      <c r="X567" s="114"/>
      <c r="Y567" s="114"/>
      <c r="Z567" s="114"/>
    </row>
    <row r="568">
      <c r="A568" s="1"/>
      <c r="B568" s="114"/>
      <c r="C568" s="114"/>
      <c r="D568" s="114"/>
      <c r="E568" s="114"/>
      <c r="F568" s="114"/>
      <c r="G568" s="114"/>
      <c r="H568" s="114"/>
      <c r="I568" s="114"/>
      <c r="J568" s="114"/>
      <c r="K568" s="114"/>
      <c r="L568" s="114"/>
      <c r="M568" s="114"/>
      <c r="N568" s="114"/>
      <c r="O568" s="114"/>
      <c r="P568" s="114"/>
      <c r="Q568" s="114"/>
      <c r="R568" s="114"/>
      <c r="S568" s="114"/>
      <c r="T568" s="114"/>
      <c r="U568" s="114"/>
      <c r="V568" s="114"/>
      <c r="W568" s="114"/>
      <c r="X568" s="114"/>
      <c r="Y568" s="114"/>
      <c r="Z568" s="114"/>
    </row>
    <row r="569">
      <c r="A569" s="1"/>
      <c r="B569" s="114"/>
      <c r="C569" s="114"/>
      <c r="D569" s="114"/>
      <c r="E569" s="114"/>
      <c r="F569" s="114"/>
      <c r="G569" s="114"/>
      <c r="H569" s="114"/>
      <c r="I569" s="114"/>
      <c r="J569" s="114"/>
      <c r="K569" s="114"/>
      <c r="L569" s="114"/>
      <c r="M569" s="114"/>
      <c r="N569" s="114"/>
      <c r="O569" s="114"/>
      <c r="P569" s="114"/>
      <c r="Q569" s="114"/>
      <c r="R569" s="114"/>
      <c r="S569" s="114"/>
      <c r="T569" s="114"/>
      <c r="U569" s="114"/>
      <c r="V569" s="114"/>
      <c r="W569" s="114"/>
      <c r="X569" s="114"/>
      <c r="Y569" s="114"/>
      <c r="Z569" s="114"/>
    </row>
    <row r="570">
      <c r="A570" s="1"/>
      <c r="B570" s="114"/>
      <c r="C570" s="114"/>
      <c r="D570" s="114"/>
      <c r="E570" s="114"/>
      <c r="F570" s="114"/>
      <c r="G570" s="114"/>
      <c r="H570" s="114"/>
      <c r="I570" s="114"/>
      <c r="J570" s="114"/>
      <c r="K570" s="114"/>
      <c r="L570" s="114"/>
      <c r="M570" s="114"/>
      <c r="N570" s="114"/>
      <c r="O570" s="114"/>
      <c r="P570" s="114"/>
      <c r="Q570" s="114"/>
      <c r="R570" s="114"/>
      <c r="S570" s="114"/>
      <c r="T570" s="114"/>
      <c r="U570" s="114"/>
      <c r="V570" s="114"/>
      <c r="W570" s="114"/>
      <c r="X570" s="114"/>
      <c r="Y570" s="114"/>
      <c r="Z570" s="114"/>
    </row>
    <row r="571">
      <c r="A571" s="1"/>
      <c r="B571" s="114"/>
      <c r="C571" s="114"/>
      <c r="D571" s="114"/>
      <c r="E571" s="114"/>
      <c r="F571" s="114"/>
      <c r="G571" s="114"/>
      <c r="H571" s="114"/>
      <c r="I571" s="114"/>
      <c r="J571" s="114"/>
      <c r="K571" s="114"/>
      <c r="L571" s="114"/>
      <c r="M571" s="114"/>
      <c r="N571" s="114"/>
      <c r="O571" s="114"/>
      <c r="P571" s="114"/>
      <c r="Q571" s="114"/>
      <c r="R571" s="114"/>
      <c r="S571" s="114"/>
      <c r="T571" s="114"/>
      <c r="U571" s="114"/>
      <c r="V571" s="114"/>
      <c r="W571" s="114"/>
      <c r="X571" s="114"/>
      <c r="Y571" s="114"/>
      <c r="Z571" s="114"/>
    </row>
    <row r="572">
      <c r="A572" s="1"/>
      <c r="B572" s="114"/>
      <c r="C572" s="114"/>
      <c r="D572" s="114"/>
      <c r="E572" s="114"/>
      <c r="F572" s="114"/>
      <c r="G572" s="114"/>
      <c r="H572" s="114"/>
      <c r="I572" s="114"/>
      <c r="J572" s="114"/>
      <c r="K572" s="114"/>
      <c r="L572" s="114"/>
      <c r="M572" s="114"/>
      <c r="N572" s="114"/>
      <c r="O572" s="114"/>
      <c r="P572" s="114"/>
      <c r="Q572" s="114"/>
      <c r="R572" s="114"/>
      <c r="S572" s="114"/>
      <c r="T572" s="114"/>
      <c r="U572" s="114"/>
      <c r="V572" s="114"/>
      <c r="W572" s="114"/>
      <c r="X572" s="114"/>
      <c r="Y572" s="114"/>
      <c r="Z572" s="114"/>
    </row>
    <row r="573">
      <c r="A573" s="1"/>
      <c r="B573" s="114"/>
      <c r="C573" s="114"/>
      <c r="D573" s="114"/>
      <c r="E573" s="114"/>
      <c r="F573" s="114"/>
      <c r="G573" s="114"/>
      <c r="H573" s="114"/>
      <c r="I573" s="114"/>
      <c r="J573" s="114"/>
      <c r="K573" s="114"/>
      <c r="L573" s="114"/>
      <c r="M573" s="114"/>
      <c r="N573" s="114"/>
      <c r="O573" s="114"/>
      <c r="P573" s="114"/>
      <c r="Q573" s="114"/>
      <c r="R573" s="114"/>
      <c r="S573" s="114"/>
      <c r="T573" s="114"/>
      <c r="U573" s="114"/>
      <c r="V573" s="114"/>
      <c r="W573" s="114"/>
      <c r="X573" s="114"/>
      <c r="Y573" s="114"/>
      <c r="Z573" s="114"/>
    </row>
    <row r="574">
      <c r="A574" s="1"/>
      <c r="B574" s="114"/>
      <c r="C574" s="114"/>
      <c r="D574" s="114"/>
      <c r="E574" s="114"/>
      <c r="F574" s="114"/>
      <c r="G574" s="114"/>
      <c r="H574" s="114"/>
      <c r="I574" s="114"/>
      <c r="J574" s="114"/>
      <c r="K574" s="114"/>
      <c r="L574" s="114"/>
      <c r="M574" s="114"/>
      <c r="N574" s="114"/>
      <c r="O574" s="114"/>
      <c r="P574" s="114"/>
      <c r="Q574" s="114"/>
      <c r="R574" s="114"/>
      <c r="S574" s="114"/>
      <c r="T574" s="114"/>
      <c r="U574" s="114"/>
      <c r="V574" s="114"/>
      <c r="W574" s="114"/>
      <c r="X574" s="114"/>
      <c r="Y574" s="114"/>
      <c r="Z574" s="114"/>
    </row>
    <row r="575">
      <c r="A575" s="1"/>
      <c r="B575" s="114"/>
      <c r="C575" s="114"/>
      <c r="D575" s="114"/>
      <c r="E575" s="114"/>
      <c r="F575" s="114"/>
      <c r="G575" s="114"/>
      <c r="H575" s="114"/>
      <c r="I575" s="114"/>
      <c r="J575" s="114"/>
      <c r="K575" s="114"/>
      <c r="L575" s="114"/>
      <c r="M575" s="114"/>
      <c r="N575" s="114"/>
      <c r="O575" s="114"/>
      <c r="P575" s="114"/>
      <c r="Q575" s="114"/>
      <c r="R575" s="114"/>
      <c r="S575" s="114"/>
      <c r="T575" s="114"/>
      <c r="U575" s="114"/>
      <c r="V575" s="114"/>
      <c r="W575" s="114"/>
      <c r="X575" s="114"/>
      <c r="Y575" s="114"/>
      <c r="Z575" s="114"/>
    </row>
    <row r="576">
      <c r="A576" s="1"/>
      <c r="B576" s="114"/>
      <c r="C576" s="114"/>
      <c r="D576" s="114"/>
      <c r="E576" s="114"/>
      <c r="F576" s="114"/>
      <c r="G576" s="114"/>
      <c r="H576" s="114"/>
      <c r="I576" s="114"/>
      <c r="J576" s="114"/>
      <c r="K576" s="114"/>
      <c r="L576" s="114"/>
      <c r="M576" s="114"/>
      <c r="N576" s="114"/>
      <c r="O576" s="114"/>
      <c r="P576" s="114"/>
      <c r="Q576" s="114"/>
      <c r="R576" s="114"/>
      <c r="S576" s="114"/>
      <c r="T576" s="114"/>
      <c r="U576" s="114"/>
      <c r="V576" s="114"/>
      <c r="W576" s="114"/>
      <c r="X576" s="114"/>
      <c r="Y576" s="114"/>
      <c r="Z576" s="114"/>
    </row>
    <row r="577">
      <c r="A577" s="1"/>
      <c r="B577" s="114"/>
      <c r="C577" s="114"/>
      <c r="D577" s="114"/>
      <c r="E577" s="114"/>
      <c r="F577" s="114"/>
      <c r="G577" s="114"/>
      <c r="H577" s="114"/>
      <c r="I577" s="114"/>
      <c r="J577" s="114"/>
      <c r="K577" s="114"/>
      <c r="L577" s="114"/>
      <c r="M577" s="114"/>
      <c r="N577" s="114"/>
      <c r="O577" s="114"/>
      <c r="P577" s="114"/>
      <c r="Q577" s="114"/>
      <c r="R577" s="114"/>
      <c r="S577" s="114"/>
      <c r="T577" s="114"/>
      <c r="U577" s="114"/>
      <c r="V577" s="114"/>
      <c r="W577" s="114"/>
      <c r="X577" s="114"/>
      <c r="Y577" s="114"/>
      <c r="Z577" s="114"/>
    </row>
    <row r="578">
      <c r="A578" s="1"/>
      <c r="B578" s="114"/>
      <c r="C578" s="114"/>
      <c r="D578" s="114"/>
      <c r="E578" s="114"/>
      <c r="F578" s="114"/>
      <c r="G578" s="114"/>
      <c r="H578" s="114"/>
      <c r="I578" s="114"/>
      <c r="J578" s="114"/>
      <c r="K578" s="114"/>
      <c r="L578" s="114"/>
      <c r="M578" s="114"/>
      <c r="N578" s="114"/>
      <c r="O578" s="114"/>
      <c r="P578" s="114"/>
      <c r="Q578" s="114"/>
      <c r="R578" s="114"/>
      <c r="S578" s="114"/>
      <c r="T578" s="114"/>
      <c r="U578" s="114"/>
      <c r="V578" s="114"/>
      <c r="W578" s="114"/>
      <c r="X578" s="114"/>
      <c r="Y578" s="114"/>
      <c r="Z578" s="114"/>
    </row>
    <row r="579">
      <c r="A579" s="1"/>
      <c r="B579" s="114"/>
      <c r="C579" s="114"/>
      <c r="D579" s="114"/>
      <c r="E579" s="114"/>
      <c r="F579" s="114"/>
      <c r="G579" s="114"/>
      <c r="H579" s="114"/>
      <c r="I579" s="114"/>
      <c r="J579" s="114"/>
      <c r="K579" s="114"/>
      <c r="L579" s="114"/>
      <c r="M579" s="114"/>
      <c r="N579" s="114"/>
      <c r="O579" s="114"/>
      <c r="P579" s="114"/>
      <c r="Q579" s="114"/>
      <c r="R579" s="114"/>
      <c r="S579" s="114"/>
      <c r="T579" s="114"/>
      <c r="U579" s="114"/>
      <c r="V579" s="114"/>
      <c r="W579" s="114"/>
      <c r="X579" s="114"/>
      <c r="Y579" s="114"/>
      <c r="Z579" s="114"/>
    </row>
    <row r="580">
      <c r="A580" s="1"/>
      <c r="B580" s="114"/>
      <c r="C580" s="114"/>
      <c r="D580" s="114"/>
      <c r="E580" s="114"/>
      <c r="F580" s="114"/>
      <c r="G580" s="114"/>
      <c r="H580" s="114"/>
      <c r="I580" s="114"/>
      <c r="J580" s="114"/>
      <c r="K580" s="114"/>
      <c r="L580" s="114"/>
      <c r="M580" s="114"/>
      <c r="N580" s="114"/>
      <c r="O580" s="114"/>
      <c r="P580" s="114"/>
      <c r="Q580" s="114"/>
      <c r="R580" s="114"/>
      <c r="S580" s="114"/>
      <c r="T580" s="114"/>
      <c r="U580" s="114"/>
      <c r="V580" s="114"/>
      <c r="W580" s="114"/>
      <c r="X580" s="114"/>
      <c r="Y580" s="114"/>
      <c r="Z580" s="114"/>
    </row>
    <row r="581">
      <c r="A581" s="1"/>
      <c r="B581" s="114"/>
      <c r="C581" s="114"/>
      <c r="D581" s="114"/>
      <c r="E581" s="114"/>
      <c r="F581" s="114"/>
      <c r="G581" s="114"/>
      <c r="H581" s="114"/>
      <c r="I581" s="114"/>
      <c r="J581" s="114"/>
      <c r="K581" s="114"/>
      <c r="L581" s="114"/>
      <c r="M581" s="114"/>
      <c r="N581" s="114"/>
      <c r="O581" s="114"/>
      <c r="P581" s="114"/>
      <c r="Q581" s="114"/>
      <c r="R581" s="114"/>
      <c r="S581" s="114"/>
      <c r="T581" s="114"/>
      <c r="U581" s="114"/>
      <c r="V581" s="114"/>
      <c r="W581" s="114"/>
      <c r="X581" s="114"/>
      <c r="Y581" s="114"/>
      <c r="Z581" s="114"/>
    </row>
    <row r="582">
      <c r="A582" s="1"/>
      <c r="B582" s="114"/>
      <c r="C582" s="114"/>
      <c r="D582" s="114"/>
      <c r="E582" s="114"/>
      <c r="F582" s="114"/>
      <c r="G582" s="114"/>
      <c r="H582" s="114"/>
      <c r="I582" s="114"/>
      <c r="J582" s="114"/>
      <c r="K582" s="114"/>
      <c r="L582" s="114"/>
      <c r="M582" s="114"/>
      <c r="N582" s="114"/>
      <c r="O582" s="114"/>
      <c r="P582" s="114"/>
      <c r="Q582" s="114"/>
      <c r="R582" s="114"/>
      <c r="S582" s="114"/>
      <c r="T582" s="114"/>
      <c r="U582" s="114"/>
      <c r="V582" s="114"/>
      <c r="W582" s="114"/>
      <c r="X582" s="114"/>
      <c r="Y582" s="114"/>
      <c r="Z582" s="114"/>
    </row>
    <row r="583">
      <c r="A583" s="1"/>
      <c r="B583" s="114"/>
      <c r="C583" s="114"/>
      <c r="D583" s="114"/>
      <c r="E583" s="114"/>
      <c r="F583" s="114"/>
      <c r="G583" s="114"/>
      <c r="H583" s="114"/>
      <c r="I583" s="114"/>
      <c r="J583" s="114"/>
      <c r="K583" s="114"/>
      <c r="L583" s="114"/>
      <c r="M583" s="114"/>
      <c r="N583" s="114"/>
      <c r="O583" s="114"/>
      <c r="P583" s="114"/>
      <c r="Q583" s="114"/>
      <c r="R583" s="114"/>
      <c r="S583" s="114"/>
      <c r="T583" s="114"/>
      <c r="U583" s="114"/>
      <c r="V583" s="114"/>
      <c r="W583" s="114"/>
      <c r="X583" s="114"/>
      <c r="Y583" s="114"/>
      <c r="Z583" s="114"/>
    </row>
    <row r="584">
      <c r="A584" s="1"/>
      <c r="B584" s="114"/>
      <c r="C584" s="114"/>
      <c r="D584" s="114"/>
      <c r="E584" s="114"/>
      <c r="F584" s="114"/>
      <c r="G584" s="114"/>
      <c r="H584" s="114"/>
      <c r="I584" s="114"/>
      <c r="J584" s="114"/>
      <c r="K584" s="114"/>
      <c r="L584" s="114"/>
      <c r="M584" s="114"/>
      <c r="N584" s="114"/>
      <c r="O584" s="114"/>
      <c r="P584" s="114"/>
      <c r="Q584" s="114"/>
      <c r="R584" s="114"/>
      <c r="S584" s="114"/>
      <c r="T584" s="114"/>
      <c r="U584" s="114"/>
      <c r="V584" s="114"/>
      <c r="W584" s="114"/>
      <c r="X584" s="114"/>
      <c r="Y584" s="114"/>
      <c r="Z584" s="114"/>
    </row>
    <row r="585">
      <c r="A585" s="1"/>
      <c r="B585" s="114"/>
      <c r="C585" s="114"/>
      <c r="D585" s="114"/>
      <c r="E585" s="114"/>
      <c r="F585" s="114"/>
      <c r="G585" s="114"/>
      <c r="H585" s="114"/>
      <c r="I585" s="114"/>
      <c r="J585" s="114"/>
      <c r="K585" s="114"/>
      <c r="L585" s="114"/>
      <c r="M585" s="114"/>
      <c r="N585" s="114"/>
      <c r="O585" s="114"/>
      <c r="P585" s="114"/>
      <c r="Q585" s="114"/>
      <c r="R585" s="114"/>
      <c r="S585" s="114"/>
      <c r="T585" s="114"/>
      <c r="U585" s="114"/>
      <c r="V585" s="114"/>
      <c r="W585" s="114"/>
      <c r="X585" s="114"/>
      <c r="Y585" s="114"/>
      <c r="Z585" s="114"/>
    </row>
    <row r="586">
      <c r="A586" s="1"/>
      <c r="B586" s="114"/>
      <c r="C586" s="114"/>
      <c r="D586" s="114"/>
      <c r="E586" s="114"/>
      <c r="F586" s="114"/>
      <c r="G586" s="114"/>
      <c r="H586" s="114"/>
      <c r="I586" s="114"/>
      <c r="J586" s="114"/>
      <c r="K586" s="114"/>
      <c r="L586" s="114"/>
      <c r="M586" s="114"/>
      <c r="N586" s="114"/>
      <c r="O586" s="114"/>
      <c r="P586" s="114"/>
      <c r="Q586" s="114"/>
      <c r="R586" s="114"/>
      <c r="S586" s="114"/>
      <c r="T586" s="114"/>
      <c r="U586" s="114"/>
      <c r="V586" s="114"/>
      <c r="W586" s="114"/>
      <c r="X586" s="114"/>
      <c r="Y586" s="114"/>
      <c r="Z586" s="114"/>
    </row>
    <row r="587">
      <c r="A587" s="1"/>
      <c r="B587" s="114"/>
      <c r="C587" s="114"/>
      <c r="D587" s="114"/>
      <c r="E587" s="114"/>
      <c r="F587" s="114"/>
      <c r="G587" s="114"/>
      <c r="H587" s="114"/>
      <c r="I587" s="114"/>
      <c r="J587" s="114"/>
      <c r="K587" s="114"/>
      <c r="L587" s="114"/>
      <c r="M587" s="114"/>
      <c r="N587" s="114"/>
      <c r="O587" s="114"/>
      <c r="P587" s="114"/>
      <c r="Q587" s="114"/>
      <c r="R587" s="114"/>
      <c r="S587" s="114"/>
      <c r="T587" s="114"/>
      <c r="U587" s="114"/>
      <c r="V587" s="114"/>
      <c r="W587" s="114"/>
      <c r="X587" s="114"/>
      <c r="Y587" s="114"/>
      <c r="Z587" s="114"/>
    </row>
    <row r="588">
      <c r="A588" s="1"/>
      <c r="B588" s="114"/>
      <c r="C588" s="114"/>
      <c r="D588" s="114"/>
      <c r="E588" s="114"/>
      <c r="F588" s="114"/>
      <c r="G588" s="114"/>
      <c r="H588" s="114"/>
      <c r="I588" s="114"/>
      <c r="J588" s="114"/>
      <c r="K588" s="114"/>
      <c r="L588" s="114"/>
      <c r="M588" s="114"/>
      <c r="N588" s="114"/>
      <c r="O588" s="114"/>
      <c r="P588" s="114"/>
      <c r="Q588" s="114"/>
      <c r="R588" s="114"/>
      <c r="S588" s="114"/>
      <c r="T588" s="114"/>
      <c r="U588" s="114"/>
      <c r="V588" s="114"/>
      <c r="W588" s="114"/>
      <c r="X588" s="114"/>
      <c r="Y588" s="114"/>
      <c r="Z588" s="114"/>
    </row>
    <row r="589">
      <c r="A589" s="1"/>
      <c r="B589" s="114"/>
      <c r="C589" s="114"/>
      <c r="D589" s="114"/>
      <c r="E589" s="114"/>
      <c r="F589" s="114"/>
      <c r="G589" s="114"/>
      <c r="H589" s="114"/>
      <c r="I589" s="114"/>
      <c r="J589" s="114"/>
      <c r="K589" s="114"/>
      <c r="L589" s="114"/>
      <c r="M589" s="114"/>
      <c r="N589" s="114"/>
      <c r="O589" s="114"/>
      <c r="P589" s="114"/>
      <c r="Q589" s="114"/>
      <c r="R589" s="114"/>
      <c r="S589" s="114"/>
      <c r="T589" s="114"/>
      <c r="U589" s="114"/>
      <c r="V589" s="114"/>
      <c r="W589" s="114"/>
      <c r="X589" s="114"/>
      <c r="Y589" s="114"/>
      <c r="Z589" s="114"/>
    </row>
    <row r="590">
      <c r="A590" s="1"/>
      <c r="B590" s="114"/>
      <c r="C590" s="114"/>
      <c r="D590" s="114"/>
      <c r="E590" s="114"/>
      <c r="F590" s="114"/>
      <c r="G590" s="114"/>
      <c r="H590" s="114"/>
      <c r="I590" s="114"/>
      <c r="J590" s="114"/>
      <c r="K590" s="114"/>
      <c r="L590" s="114"/>
      <c r="M590" s="114"/>
      <c r="N590" s="114"/>
      <c r="O590" s="114"/>
      <c r="P590" s="114"/>
      <c r="Q590" s="114"/>
      <c r="R590" s="114"/>
      <c r="S590" s="114"/>
      <c r="T590" s="114"/>
      <c r="U590" s="114"/>
      <c r="V590" s="114"/>
      <c r="W590" s="114"/>
      <c r="X590" s="114"/>
      <c r="Y590" s="114"/>
      <c r="Z590" s="114"/>
    </row>
    <row r="591">
      <c r="A591" s="1"/>
      <c r="B591" s="114"/>
      <c r="C591" s="114"/>
      <c r="D591" s="114"/>
      <c r="E591" s="114"/>
      <c r="F591" s="114"/>
      <c r="G591" s="114"/>
      <c r="H591" s="114"/>
      <c r="I591" s="114"/>
      <c r="J591" s="114"/>
      <c r="K591" s="114"/>
      <c r="L591" s="114"/>
      <c r="M591" s="114"/>
      <c r="N591" s="114"/>
      <c r="O591" s="114"/>
      <c r="P591" s="114"/>
      <c r="Q591" s="114"/>
      <c r="R591" s="114"/>
      <c r="S591" s="114"/>
      <c r="T591" s="114"/>
      <c r="U591" s="114"/>
      <c r="V591" s="114"/>
      <c r="W591" s="114"/>
      <c r="X591" s="114"/>
      <c r="Y591" s="114"/>
      <c r="Z591" s="114"/>
    </row>
    <row r="592">
      <c r="A592" s="1"/>
      <c r="B592" s="114"/>
      <c r="C592" s="114"/>
      <c r="D592" s="114"/>
      <c r="E592" s="114"/>
      <c r="F592" s="114"/>
      <c r="G592" s="114"/>
      <c r="H592" s="114"/>
      <c r="I592" s="114"/>
      <c r="J592" s="114"/>
      <c r="K592" s="114"/>
      <c r="L592" s="114"/>
      <c r="M592" s="114"/>
      <c r="N592" s="114"/>
      <c r="O592" s="114"/>
      <c r="P592" s="114"/>
      <c r="Q592" s="114"/>
      <c r="R592" s="114"/>
      <c r="S592" s="114"/>
      <c r="T592" s="114"/>
      <c r="U592" s="114"/>
      <c r="V592" s="114"/>
      <c r="W592" s="114"/>
      <c r="X592" s="114"/>
      <c r="Y592" s="114"/>
      <c r="Z592" s="114"/>
    </row>
    <row r="593">
      <c r="A593" s="1"/>
      <c r="B593" s="114"/>
      <c r="C593" s="114"/>
      <c r="D593" s="114"/>
      <c r="E593" s="114"/>
      <c r="F593" s="114"/>
      <c r="G593" s="114"/>
      <c r="H593" s="114"/>
      <c r="I593" s="114"/>
      <c r="J593" s="114"/>
      <c r="K593" s="114"/>
      <c r="L593" s="114"/>
      <c r="M593" s="114"/>
      <c r="N593" s="114"/>
      <c r="O593" s="114"/>
      <c r="P593" s="114"/>
      <c r="Q593" s="114"/>
      <c r="R593" s="114"/>
      <c r="S593" s="114"/>
      <c r="T593" s="114"/>
      <c r="U593" s="114"/>
      <c r="V593" s="114"/>
      <c r="W593" s="114"/>
      <c r="X593" s="114"/>
      <c r="Y593" s="114"/>
      <c r="Z593" s="114"/>
    </row>
    <row r="594">
      <c r="A594" s="1"/>
      <c r="B594" s="114"/>
      <c r="C594" s="114"/>
      <c r="D594" s="114"/>
      <c r="E594" s="114"/>
      <c r="F594" s="114"/>
      <c r="G594" s="114"/>
      <c r="H594" s="114"/>
      <c r="I594" s="114"/>
      <c r="J594" s="114"/>
      <c r="K594" s="114"/>
      <c r="L594" s="114"/>
      <c r="M594" s="114"/>
      <c r="N594" s="114"/>
      <c r="O594" s="114"/>
      <c r="P594" s="114"/>
      <c r="Q594" s="114"/>
      <c r="R594" s="114"/>
      <c r="S594" s="114"/>
      <c r="T594" s="114"/>
      <c r="U594" s="114"/>
      <c r="V594" s="114"/>
      <c r="W594" s="114"/>
      <c r="X594" s="114"/>
      <c r="Y594" s="114"/>
      <c r="Z594" s="114"/>
    </row>
    <row r="595">
      <c r="A595" s="1"/>
      <c r="B595" s="114"/>
      <c r="C595" s="114"/>
      <c r="D595" s="114"/>
      <c r="E595" s="114"/>
      <c r="F595" s="114"/>
      <c r="G595" s="114"/>
      <c r="H595" s="114"/>
      <c r="I595" s="114"/>
      <c r="J595" s="114"/>
      <c r="K595" s="114"/>
      <c r="L595" s="114"/>
      <c r="M595" s="114"/>
      <c r="N595" s="114"/>
      <c r="O595" s="114"/>
      <c r="P595" s="114"/>
      <c r="Q595" s="114"/>
      <c r="R595" s="114"/>
      <c r="S595" s="114"/>
      <c r="T595" s="114"/>
      <c r="U595" s="114"/>
      <c r="V595" s="114"/>
      <c r="W595" s="114"/>
      <c r="X595" s="114"/>
      <c r="Y595" s="114"/>
      <c r="Z595" s="114"/>
    </row>
    <row r="596">
      <c r="A596" s="1"/>
      <c r="B596" s="114"/>
      <c r="C596" s="114"/>
      <c r="D596" s="114"/>
      <c r="E596" s="114"/>
      <c r="F596" s="114"/>
      <c r="G596" s="114"/>
      <c r="H596" s="114"/>
      <c r="I596" s="114"/>
      <c r="J596" s="114"/>
      <c r="K596" s="114"/>
      <c r="L596" s="114"/>
      <c r="M596" s="114"/>
      <c r="N596" s="114"/>
      <c r="O596" s="114"/>
      <c r="P596" s="114"/>
      <c r="Q596" s="114"/>
      <c r="R596" s="114"/>
      <c r="S596" s="114"/>
      <c r="T596" s="114"/>
      <c r="U596" s="114"/>
      <c r="V596" s="114"/>
      <c r="W596" s="114"/>
      <c r="X596" s="114"/>
      <c r="Y596" s="114"/>
      <c r="Z596" s="114"/>
    </row>
    <row r="597">
      <c r="A597" s="1"/>
      <c r="B597" s="114"/>
      <c r="C597" s="114"/>
      <c r="D597" s="114"/>
      <c r="E597" s="114"/>
      <c r="F597" s="114"/>
      <c r="G597" s="114"/>
      <c r="H597" s="114"/>
      <c r="I597" s="114"/>
      <c r="J597" s="114"/>
      <c r="K597" s="114"/>
      <c r="L597" s="114"/>
      <c r="M597" s="114"/>
      <c r="N597" s="114"/>
      <c r="O597" s="114"/>
      <c r="P597" s="114"/>
      <c r="Q597" s="114"/>
      <c r="R597" s="114"/>
      <c r="S597" s="114"/>
      <c r="T597" s="114"/>
      <c r="U597" s="114"/>
      <c r="V597" s="114"/>
      <c r="W597" s="114"/>
      <c r="X597" s="114"/>
      <c r="Y597" s="114"/>
      <c r="Z597" s="114"/>
    </row>
    <row r="598">
      <c r="A598" s="1"/>
      <c r="B598" s="114"/>
      <c r="C598" s="114"/>
      <c r="D598" s="114"/>
      <c r="E598" s="114"/>
      <c r="F598" s="114"/>
      <c r="G598" s="114"/>
      <c r="H598" s="114"/>
      <c r="I598" s="114"/>
      <c r="J598" s="114"/>
      <c r="K598" s="114"/>
      <c r="L598" s="114"/>
      <c r="M598" s="114"/>
      <c r="N598" s="114"/>
      <c r="O598" s="114"/>
      <c r="P598" s="114"/>
      <c r="Q598" s="114"/>
      <c r="R598" s="114"/>
      <c r="S598" s="114"/>
      <c r="T598" s="114"/>
      <c r="U598" s="114"/>
      <c r="V598" s="114"/>
      <c r="W598" s="114"/>
      <c r="X598" s="114"/>
      <c r="Y598" s="114"/>
      <c r="Z598" s="114"/>
    </row>
    <row r="599">
      <c r="A599" s="1"/>
      <c r="B599" s="114"/>
      <c r="C599" s="114"/>
      <c r="D599" s="114"/>
      <c r="E599" s="114"/>
      <c r="F599" s="114"/>
      <c r="G599" s="114"/>
      <c r="H599" s="114"/>
      <c r="I599" s="114"/>
      <c r="J599" s="114"/>
      <c r="K599" s="114"/>
      <c r="L599" s="114"/>
      <c r="M599" s="114"/>
      <c r="N599" s="114"/>
      <c r="O599" s="114"/>
      <c r="P599" s="114"/>
      <c r="Q599" s="114"/>
      <c r="R599" s="114"/>
      <c r="S599" s="114"/>
      <c r="T599" s="114"/>
      <c r="U599" s="114"/>
      <c r="V599" s="114"/>
      <c r="W599" s="114"/>
      <c r="X599" s="114"/>
      <c r="Y599" s="114"/>
      <c r="Z599" s="114"/>
    </row>
    <row r="600">
      <c r="A600" s="1"/>
      <c r="B600" s="114"/>
      <c r="C600" s="114"/>
      <c r="D600" s="114"/>
      <c r="E600" s="114"/>
      <c r="F600" s="114"/>
      <c r="G600" s="114"/>
      <c r="H600" s="114"/>
      <c r="I600" s="114"/>
      <c r="J600" s="114"/>
      <c r="K600" s="114"/>
      <c r="L600" s="114"/>
      <c r="M600" s="114"/>
      <c r="N600" s="114"/>
      <c r="O600" s="114"/>
      <c r="P600" s="114"/>
      <c r="Q600" s="114"/>
      <c r="R600" s="114"/>
      <c r="S600" s="114"/>
      <c r="T600" s="114"/>
      <c r="U600" s="114"/>
      <c r="V600" s="114"/>
      <c r="W600" s="114"/>
      <c r="X600" s="114"/>
      <c r="Y600" s="114"/>
      <c r="Z600" s="114"/>
    </row>
    <row r="601">
      <c r="A601" s="1"/>
      <c r="B601" s="114"/>
      <c r="C601" s="114"/>
      <c r="D601" s="114"/>
      <c r="E601" s="114"/>
      <c r="F601" s="114"/>
      <c r="G601" s="114"/>
      <c r="H601" s="114"/>
      <c r="I601" s="114"/>
      <c r="J601" s="114"/>
      <c r="K601" s="114"/>
      <c r="L601" s="114"/>
      <c r="M601" s="114"/>
      <c r="N601" s="114"/>
      <c r="O601" s="114"/>
      <c r="P601" s="114"/>
      <c r="Q601" s="114"/>
      <c r="R601" s="114"/>
      <c r="S601" s="114"/>
      <c r="T601" s="114"/>
      <c r="U601" s="114"/>
      <c r="V601" s="114"/>
      <c r="W601" s="114"/>
      <c r="X601" s="114"/>
      <c r="Y601" s="114"/>
      <c r="Z601" s="114"/>
    </row>
    <row r="602">
      <c r="A602" s="1"/>
      <c r="B602" s="114"/>
      <c r="C602" s="114"/>
      <c r="D602" s="114"/>
      <c r="E602" s="114"/>
      <c r="F602" s="114"/>
      <c r="G602" s="114"/>
      <c r="H602" s="114"/>
      <c r="I602" s="114"/>
      <c r="J602" s="114"/>
      <c r="K602" s="114"/>
      <c r="L602" s="114"/>
      <c r="M602" s="114"/>
      <c r="N602" s="114"/>
      <c r="O602" s="114"/>
      <c r="P602" s="114"/>
      <c r="Q602" s="114"/>
      <c r="R602" s="114"/>
      <c r="S602" s="114"/>
      <c r="T602" s="114"/>
      <c r="U602" s="114"/>
      <c r="V602" s="114"/>
      <c r="W602" s="114"/>
      <c r="X602" s="114"/>
      <c r="Y602" s="114"/>
      <c r="Z602" s="114"/>
    </row>
    <row r="603">
      <c r="A603" s="1"/>
      <c r="B603" s="114"/>
      <c r="C603" s="114"/>
      <c r="D603" s="114"/>
      <c r="E603" s="114"/>
      <c r="F603" s="114"/>
      <c r="G603" s="114"/>
      <c r="H603" s="114"/>
      <c r="I603" s="114"/>
      <c r="J603" s="114"/>
      <c r="K603" s="114"/>
      <c r="L603" s="114"/>
      <c r="M603" s="114"/>
      <c r="N603" s="114"/>
      <c r="O603" s="114"/>
      <c r="P603" s="114"/>
      <c r="Q603" s="114"/>
      <c r="R603" s="114"/>
      <c r="S603" s="114"/>
      <c r="T603" s="114"/>
      <c r="U603" s="114"/>
      <c r="V603" s="114"/>
      <c r="W603" s="114"/>
      <c r="X603" s="114"/>
      <c r="Y603" s="114"/>
      <c r="Z603" s="114"/>
    </row>
    <row r="604">
      <c r="A604" s="1"/>
      <c r="B604" s="114"/>
      <c r="C604" s="114"/>
      <c r="D604" s="114"/>
      <c r="E604" s="114"/>
      <c r="F604" s="114"/>
      <c r="G604" s="114"/>
      <c r="H604" s="114"/>
      <c r="I604" s="114"/>
      <c r="J604" s="114"/>
      <c r="K604" s="114"/>
      <c r="L604" s="114"/>
      <c r="M604" s="114"/>
      <c r="N604" s="114"/>
      <c r="O604" s="114"/>
      <c r="P604" s="114"/>
      <c r="Q604" s="114"/>
      <c r="R604" s="114"/>
      <c r="S604" s="114"/>
      <c r="T604" s="114"/>
      <c r="U604" s="114"/>
      <c r="V604" s="114"/>
      <c r="W604" s="114"/>
      <c r="X604" s="114"/>
      <c r="Y604" s="114"/>
      <c r="Z604" s="114"/>
    </row>
    <row r="605">
      <c r="A605" s="1"/>
      <c r="B605" s="114"/>
      <c r="C605" s="114"/>
      <c r="D605" s="114"/>
      <c r="E605" s="114"/>
      <c r="F605" s="114"/>
      <c r="G605" s="114"/>
      <c r="H605" s="114"/>
      <c r="I605" s="114"/>
      <c r="J605" s="114"/>
      <c r="K605" s="114"/>
      <c r="L605" s="114"/>
      <c r="M605" s="114"/>
      <c r="N605" s="114"/>
      <c r="O605" s="114"/>
      <c r="P605" s="114"/>
      <c r="Q605" s="114"/>
      <c r="R605" s="114"/>
      <c r="S605" s="114"/>
      <c r="T605" s="114"/>
      <c r="U605" s="114"/>
      <c r="V605" s="114"/>
      <c r="W605" s="114"/>
      <c r="X605" s="114"/>
      <c r="Y605" s="114"/>
      <c r="Z605" s="114"/>
    </row>
    <row r="606">
      <c r="A606" s="1"/>
      <c r="B606" s="114"/>
      <c r="C606" s="114"/>
      <c r="D606" s="114"/>
      <c r="E606" s="114"/>
      <c r="F606" s="114"/>
      <c r="G606" s="114"/>
      <c r="H606" s="114"/>
      <c r="I606" s="114"/>
      <c r="J606" s="114"/>
      <c r="K606" s="114"/>
      <c r="L606" s="114"/>
      <c r="M606" s="114"/>
      <c r="N606" s="114"/>
      <c r="O606" s="114"/>
      <c r="P606" s="114"/>
      <c r="Q606" s="114"/>
      <c r="R606" s="114"/>
      <c r="S606" s="114"/>
      <c r="T606" s="114"/>
      <c r="U606" s="114"/>
      <c r="V606" s="114"/>
      <c r="W606" s="114"/>
      <c r="X606" s="114"/>
      <c r="Y606" s="114"/>
      <c r="Z606" s="114"/>
    </row>
    <row r="607">
      <c r="A607" s="1"/>
      <c r="B607" s="114"/>
      <c r="C607" s="114"/>
      <c r="D607" s="114"/>
      <c r="E607" s="114"/>
      <c r="F607" s="114"/>
      <c r="G607" s="114"/>
      <c r="H607" s="114"/>
      <c r="I607" s="114"/>
      <c r="J607" s="114"/>
      <c r="K607" s="114"/>
      <c r="L607" s="114"/>
      <c r="M607" s="114"/>
      <c r="N607" s="114"/>
      <c r="O607" s="114"/>
      <c r="P607" s="114"/>
      <c r="Q607" s="114"/>
      <c r="R607" s="114"/>
      <c r="S607" s="114"/>
      <c r="T607" s="114"/>
      <c r="U607" s="114"/>
      <c r="V607" s="114"/>
      <c r="W607" s="114"/>
      <c r="X607" s="114"/>
      <c r="Y607" s="114"/>
      <c r="Z607" s="114"/>
    </row>
    <row r="608">
      <c r="A608" s="1"/>
      <c r="B608" s="114"/>
      <c r="C608" s="114"/>
      <c r="D608" s="114"/>
      <c r="E608" s="114"/>
      <c r="F608" s="114"/>
      <c r="G608" s="114"/>
      <c r="H608" s="114"/>
      <c r="I608" s="114"/>
      <c r="J608" s="114"/>
      <c r="K608" s="114"/>
      <c r="L608" s="114"/>
      <c r="M608" s="114"/>
      <c r="N608" s="114"/>
      <c r="O608" s="114"/>
      <c r="P608" s="114"/>
      <c r="Q608" s="114"/>
      <c r="R608" s="114"/>
      <c r="S608" s="114"/>
      <c r="T608" s="114"/>
      <c r="U608" s="114"/>
      <c r="V608" s="114"/>
      <c r="W608" s="114"/>
      <c r="X608" s="114"/>
      <c r="Y608" s="114"/>
      <c r="Z608" s="114"/>
    </row>
    <row r="609">
      <c r="A609" s="1"/>
      <c r="B609" s="114"/>
      <c r="C609" s="114"/>
      <c r="D609" s="114"/>
      <c r="E609" s="114"/>
      <c r="F609" s="114"/>
      <c r="G609" s="114"/>
      <c r="H609" s="114"/>
      <c r="I609" s="114"/>
      <c r="J609" s="114"/>
      <c r="K609" s="114"/>
      <c r="L609" s="114"/>
      <c r="M609" s="114"/>
      <c r="N609" s="114"/>
      <c r="O609" s="114"/>
      <c r="P609" s="114"/>
      <c r="Q609" s="114"/>
      <c r="R609" s="114"/>
      <c r="S609" s="114"/>
      <c r="T609" s="114"/>
      <c r="U609" s="114"/>
      <c r="V609" s="114"/>
      <c r="W609" s="114"/>
      <c r="X609" s="114"/>
      <c r="Y609" s="114"/>
      <c r="Z609" s="114"/>
    </row>
    <row r="610">
      <c r="A610" s="1"/>
      <c r="B610" s="114"/>
      <c r="C610" s="114"/>
      <c r="D610" s="114"/>
      <c r="E610" s="114"/>
      <c r="F610" s="114"/>
      <c r="G610" s="114"/>
      <c r="H610" s="114"/>
      <c r="I610" s="114"/>
      <c r="J610" s="114"/>
      <c r="K610" s="114"/>
      <c r="L610" s="114"/>
      <c r="M610" s="114"/>
      <c r="N610" s="114"/>
      <c r="O610" s="114"/>
      <c r="P610" s="114"/>
      <c r="Q610" s="114"/>
      <c r="R610" s="114"/>
      <c r="S610" s="114"/>
      <c r="T610" s="114"/>
      <c r="U610" s="114"/>
      <c r="V610" s="114"/>
      <c r="W610" s="114"/>
      <c r="X610" s="114"/>
      <c r="Y610" s="114"/>
      <c r="Z610" s="114"/>
    </row>
    <row r="611">
      <c r="A611" s="1"/>
      <c r="B611" s="114"/>
      <c r="C611" s="114"/>
      <c r="D611" s="114"/>
      <c r="E611" s="114"/>
      <c r="F611" s="114"/>
      <c r="G611" s="114"/>
      <c r="H611" s="114"/>
      <c r="I611" s="114"/>
      <c r="J611" s="114"/>
      <c r="K611" s="114"/>
      <c r="L611" s="114"/>
      <c r="M611" s="114"/>
      <c r="N611" s="114"/>
      <c r="O611" s="114"/>
      <c r="P611" s="114"/>
      <c r="Q611" s="114"/>
      <c r="R611" s="114"/>
      <c r="S611" s="114"/>
      <c r="T611" s="114"/>
      <c r="U611" s="114"/>
      <c r="V611" s="114"/>
      <c r="W611" s="114"/>
      <c r="X611" s="114"/>
      <c r="Y611" s="114"/>
      <c r="Z611" s="114"/>
    </row>
    <row r="612">
      <c r="A612" s="1"/>
      <c r="B612" s="114"/>
      <c r="C612" s="114"/>
      <c r="D612" s="114"/>
      <c r="E612" s="114"/>
      <c r="F612" s="114"/>
      <c r="G612" s="114"/>
      <c r="H612" s="114"/>
      <c r="I612" s="114"/>
      <c r="J612" s="114"/>
      <c r="K612" s="114"/>
      <c r="L612" s="114"/>
      <c r="M612" s="114"/>
      <c r="N612" s="114"/>
      <c r="O612" s="114"/>
      <c r="P612" s="114"/>
      <c r="Q612" s="114"/>
      <c r="R612" s="114"/>
      <c r="S612" s="114"/>
      <c r="T612" s="114"/>
      <c r="U612" s="114"/>
      <c r="V612" s="114"/>
      <c r="W612" s="114"/>
      <c r="X612" s="114"/>
      <c r="Y612" s="114"/>
      <c r="Z612" s="114"/>
    </row>
    <row r="613">
      <c r="A613" s="1"/>
      <c r="B613" s="114"/>
      <c r="C613" s="114"/>
      <c r="D613" s="114"/>
      <c r="E613" s="114"/>
      <c r="F613" s="114"/>
      <c r="G613" s="114"/>
      <c r="H613" s="114"/>
      <c r="I613" s="114"/>
      <c r="J613" s="114"/>
      <c r="K613" s="114"/>
      <c r="L613" s="114"/>
      <c r="M613" s="114"/>
      <c r="N613" s="114"/>
      <c r="O613" s="114"/>
      <c r="P613" s="114"/>
      <c r="Q613" s="114"/>
      <c r="R613" s="114"/>
      <c r="S613" s="114"/>
      <c r="T613" s="114"/>
      <c r="U613" s="114"/>
      <c r="V613" s="114"/>
      <c r="W613" s="114"/>
      <c r="X613" s="114"/>
      <c r="Y613" s="114"/>
      <c r="Z613" s="114"/>
    </row>
    <row r="614">
      <c r="A614" s="1"/>
      <c r="B614" s="114"/>
      <c r="C614" s="114"/>
      <c r="D614" s="114"/>
      <c r="E614" s="114"/>
      <c r="F614" s="114"/>
      <c r="G614" s="114"/>
      <c r="H614" s="114"/>
      <c r="I614" s="114"/>
      <c r="J614" s="114"/>
      <c r="K614" s="114"/>
      <c r="L614" s="114"/>
      <c r="M614" s="114"/>
      <c r="N614" s="114"/>
      <c r="O614" s="114"/>
      <c r="P614" s="114"/>
      <c r="Q614" s="114"/>
      <c r="R614" s="114"/>
      <c r="S614" s="114"/>
      <c r="T614" s="114"/>
      <c r="U614" s="114"/>
      <c r="V614" s="114"/>
      <c r="W614" s="114"/>
      <c r="X614" s="114"/>
      <c r="Y614" s="114"/>
      <c r="Z614" s="114"/>
    </row>
    <row r="615">
      <c r="A615" s="1"/>
      <c r="B615" s="114"/>
      <c r="C615" s="114"/>
      <c r="D615" s="114"/>
      <c r="E615" s="114"/>
      <c r="F615" s="114"/>
      <c r="G615" s="114"/>
      <c r="H615" s="114"/>
      <c r="I615" s="114"/>
      <c r="J615" s="114"/>
      <c r="K615" s="114"/>
      <c r="L615" s="114"/>
      <c r="M615" s="114"/>
      <c r="N615" s="114"/>
      <c r="O615" s="114"/>
      <c r="P615" s="114"/>
      <c r="Q615" s="114"/>
      <c r="R615" s="114"/>
      <c r="S615" s="114"/>
      <c r="T615" s="114"/>
      <c r="U615" s="114"/>
      <c r="V615" s="114"/>
      <c r="W615" s="114"/>
      <c r="X615" s="114"/>
      <c r="Y615" s="114"/>
      <c r="Z615" s="114"/>
    </row>
    <row r="616">
      <c r="A616" s="1"/>
      <c r="B616" s="114"/>
      <c r="C616" s="114"/>
      <c r="D616" s="114"/>
      <c r="E616" s="114"/>
      <c r="F616" s="114"/>
      <c r="G616" s="114"/>
      <c r="H616" s="114"/>
      <c r="I616" s="114"/>
      <c r="J616" s="114"/>
      <c r="K616" s="114"/>
      <c r="L616" s="114"/>
      <c r="M616" s="114"/>
      <c r="N616" s="114"/>
      <c r="O616" s="114"/>
      <c r="P616" s="114"/>
      <c r="Q616" s="114"/>
      <c r="R616" s="114"/>
      <c r="S616" s="114"/>
      <c r="T616" s="114"/>
      <c r="U616" s="114"/>
      <c r="V616" s="114"/>
      <c r="W616" s="114"/>
      <c r="X616" s="114"/>
      <c r="Y616" s="114"/>
      <c r="Z616" s="114"/>
    </row>
    <row r="617">
      <c r="A617" s="1"/>
      <c r="B617" s="114"/>
      <c r="C617" s="114"/>
      <c r="D617" s="114"/>
      <c r="E617" s="114"/>
      <c r="F617" s="114"/>
      <c r="G617" s="114"/>
      <c r="H617" s="114"/>
      <c r="I617" s="114"/>
      <c r="J617" s="114"/>
      <c r="K617" s="114"/>
      <c r="L617" s="114"/>
      <c r="M617" s="114"/>
      <c r="N617" s="114"/>
      <c r="O617" s="114"/>
      <c r="P617" s="114"/>
      <c r="Q617" s="114"/>
      <c r="R617" s="114"/>
      <c r="S617" s="114"/>
      <c r="T617" s="114"/>
      <c r="U617" s="114"/>
      <c r="V617" s="114"/>
      <c r="W617" s="114"/>
      <c r="X617" s="114"/>
      <c r="Y617" s="114"/>
      <c r="Z617" s="114"/>
    </row>
    <row r="618">
      <c r="A618" s="1"/>
      <c r="B618" s="114"/>
      <c r="C618" s="114"/>
      <c r="D618" s="114"/>
      <c r="E618" s="114"/>
      <c r="F618" s="114"/>
      <c r="G618" s="114"/>
      <c r="H618" s="114"/>
      <c r="I618" s="114"/>
      <c r="J618" s="114"/>
      <c r="K618" s="114"/>
      <c r="L618" s="114"/>
      <c r="M618" s="114"/>
      <c r="N618" s="114"/>
      <c r="O618" s="114"/>
      <c r="P618" s="114"/>
      <c r="Q618" s="114"/>
      <c r="R618" s="114"/>
      <c r="S618" s="114"/>
      <c r="T618" s="114"/>
      <c r="U618" s="114"/>
      <c r="V618" s="114"/>
      <c r="W618" s="114"/>
      <c r="X618" s="114"/>
      <c r="Y618" s="114"/>
      <c r="Z618" s="114"/>
    </row>
    <row r="619">
      <c r="A619" s="1"/>
      <c r="B619" s="114"/>
      <c r="C619" s="114"/>
      <c r="D619" s="114"/>
      <c r="E619" s="114"/>
      <c r="F619" s="114"/>
      <c r="G619" s="114"/>
      <c r="H619" s="114"/>
      <c r="I619" s="114"/>
      <c r="J619" s="114"/>
      <c r="K619" s="114"/>
      <c r="L619" s="114"/>
      <c r="M619" s="114"/>
      <c r="N619" s="114"/>
      <c r="O619" s="114"/>
      <c r="P619" s="114"/>
      <c r="Q619" s="114"/>
      <c r="R619" s="114"/>
      <c r="S619" s="114"/>
      <c r="T619" s="114"/>
      <c r="U619" s="114"/>
      <c r="V619" s="114"/>
      <c r="W619" s="114"/>
      <c r="X619" s="114"/>
      <c r="Y619" s="114"/>
      <c r="Z619" s="114"/>
    </row>
    <row r="620">
      <c r="A620" s="1"/>
      <c r="B620" s="114"/>
      <c r="C620" s="114"/>
      <c r="D620" s="114"/>
      <c r="E620" s="114"/>
      <c r="F620" s="114"/>
      <c r="G620" s="114"/>
      <c r="H620" s="114"/>
      <c r="I620" s="114"/>
      <c r="J620" s="114"/>
      <c r="K620" s="114"/>
      <c r="L620" s="114"/>
      <c r="M620" s="114"/>
      <c r="N620" s="114"/>
      <c r="O620" s="114"/>
      <c r="P620" s="114"/>
      <c r="Q620" s="114"/>
      <c r="R620" s="114"/>
      <c r="S620" s="114"/>
      <c r="T620" s="114"/>
      <c r="U620" s="114"/>
      <c r="V620" s="114"/>
      <c r="W620" s="114"/>
      <c r="X620" s="114"/>
      <c r="Y620" s="114"/>
      <c r="Z620" s="114"/>
    </row>
    <row r="621">
      <c r="A621" s="1"/>
      <c r="B621" s="114"/>
      <c r="C621" s="114"/>
      <c r="D621" s="114"/>
      <c r="E621" s="114"/>
      <c r="F621" s="114"/>
      <c r="G621" s="114"/>
      <c r="H621" s="114"/>
      <c r="I621" s="114"/>
      <c r="J621" s="114"/>
      <c r="K621" s="114"/>
      <c r="L621" s="114"/>
      <c r="M621" s="114"/>
      <c r="N621" s="114"/>
      <c r="O621" s="114"/>
      <c r="P621" s="114"/>
      <c r="Q621" s="114"/>
      <c r="R621" s="114"/>
      <c r="S621" s="114"/>
      <c r="T621" s="114"/>
      <c r="U621" s="114"/>
      <c r="V621" s="114"/>
      <c r="W621" s="114"/>
      <c r="X621" s="114"/>
      <c r="Y621" s="114"/>
      <c r="Z621" s="114"/>
    </row>
    <row r="622">
      <c r="A622" s="1"/>
      <c r="B622" s="114"/>
      <c r="C622" s="114"/>
      <c r="D622" s="114"/>
      <c r="E622" s="114"/>
      <c r="F622" s="114"/>
      <c r="G622" s="114"/>
      <c r="H622" s="114"/>
      <c r="I622" s="114"/>
      <c r="J622" s="114"/>
      <c r="K622" s="114"/>
      <c r="L622" s="114"/>
      <c r="M622" s="114"/>
      <c r="N622" s="114"/>
      <c r="O622" s="114"/>
      <c r="P622" s="114"/>
      <c r="Q622" s="114"/>
      <c r="R622" s="114"/>
      <c r="S622" s="114"/>
      <c r="T622" s="114"/>
      <c r="U622" s="114"/>
      <c r="V622" s="114"/>
      <c r="W622" s="114"/>
      <c r="X622" s="114"/>
      <c r="Y622" s="114"/>
      <c r="Z622" s="114"/>
    </row>
    <row r="623">
      <c r="A623" s="1"/>
      <c r="B623" s="114"/>
      <c r="C623" s="114"/>
      <c r="D623" s="114"/>
      <c r="E623" s="114"/>
      <c r="F623" s="114"/>
      <c r="G623" s="114"/>
      <c r="H623" s="114"/>
      <c r="I623" s="114"/>
      <c r="J623" s="114"/>
      <c r="K623" s="114"/>
      <c r="L623" s="114"/>
      <c r="M623" s="114"/>
      <c r="N623" s="114"/>
      <c r="O623" s="114"/>
      <c r="P623" s="114"/>
      <c r="Q623" s="114"/>
      <c r="R623" s="114"/>
      <c r="S623" s="114"/>
      <c r="T623" s="114"/>
      <c r="U623" s="114"/>
      <c r="V623" s="114"/>
      <c r="W623" s="114"/>
      <c r="X623" s="114"/>
      <c r="Y623" s="114"/>
      <c r="Z623" s="114"/>
    </row>
    <row r="624">
      <c r="A624" s="1"/>
      <c r="B624" s="114"/>
      <c r="C624" s="114"/>
      <c r="D624" s="114"/>
      <c r="E624" s="114"/>
      <c r="F624" s="114"/>
      <c r="G624" s="114"/>
      <c r="H624" s="114"/>
      <c r="I624" s="114"/>
      <c r="J624" s="114"/>
      <c r="K624" s="114"/>
      <c r="L624" s="114"/>
      <c r="M624" s="114"/>
      <c r="N624" s="114"/>
      <c r="O624" s="114"/>
      <c r="P624" s="114"/>
      <c r="Q624" s="114"/>
      <c r="R624" s="114"/>
      <c r="S624" s="114"/>
      <c r="T624" s="114"/>
      <c r="U624" s="114"/>
      <c r="V624" s="114"/>
      <c r="W624" s="114"/>
      <c r="X624" s="114"/>
      <c r="Y624" s="114"/>
      <c r="Z624" s="114"/>
    </row>
    <row r="625">
      <c r="A625" s="1"/>
      <c r="B625" s="114"/>
      <c r="C625" s="114"/>
      <c r="D625" s="114"/>
      <c r="E625" s="114"/>
      <c r="F625" s="114"/>
      <c r="G625" s="114"/>
      <c r="H625" s="114"/>
      <c r="I625" s="114"/>
      <c r="J625" s="114"/>
      <c r="K625" s="114"/>
      <c r="L625" s="114"/>
      <c r="M625" s="114"/>
      <c r="N625" s="114"/>
      <c r="O625" s="114"/>
      <c r="P625" s="114"/>
      <c r="Q625" s="114"/>
      <c r="R625" s="114"/>
      <c r="S625" s="114"/>
      <c r="T625" s="114"/>
      <c r="U625" s="114"/>
      <c r="V625" s="114"/>
      <c r="W625" s="114"/>
      <c r="X625" s="114"/>
      <c r="Y625" s="114"/>
      <c r="Z625" s="114"/>
    </row>
    <row r="626">
      <c r="A626" s="1"/>
      <c r="B626" s="114"/>
      <c r="C626" s="114"/>
      <c r="D626" s="114"/>
      <c r="E626" s="114"/>
      <c r="F626" s="114"/>
      <c r="G626" s="114"/>
      <c r="H626" s="114"/>
      <c r="I626" s="114"/>
      <c r="J626" s="114"/>
      <c r="K626" s="114"/>
      <c r="L626" s="114"/>
      <c r="M626" s="114"/>
      <c r="N626" s="114"/>
      <c r="O626" s="114"/>
      <c r="P626" s="114"/>
      <c r="Q626" s="114"/>
      <c r="R626" s="114"/>
      <c r="S626" s="114"/>
      <c r="T626" s="114"/>
      <c r="U626" s="114"/>
      <c r="V626" s="114"/>
      <c r="W626" s="114"/>
      <c r="X626" s="114"/>
      <c r="Y626" s="114"/>
      <c r="Z626" s="114"/>
    </row>
    <row r="627">
      <c r="A627" s="1"/>
      <c r="B627" s="114"/>
      <c r="C627" s="114"/>
      <c r="D627" s="114"/>
      <c r="E627" s="114"/>
      <c r="F627" s="114"/>
      <c r="G627" s="114"/>
      <c r="H627" s="114"/>
      <c r="I627" s="114"/>
      <c r="J627" s="114"/>
      <c r="K627" s="114"/>
      <c r="L627" s="114"/>
      <c r="M627" s="114"/>
      <c r="N627" s="114"/>
      <c r="O627" s="114"/>
      <c r="P627" s="114"/>
      <c r="Q627" s="114"/>
      <c r="R627" s="114"/>
      <c r="S627" s="114"/>
      <c r="T627" s="114"/>
      <c r="U627" s="114"/>
      <c r="V627" s="114"/>
      <c r="W627" s="114"/>
      <c r="X627" s="114"/>
      <c r="Y627" s="114"/>
      <c r="Z627" s="114"/>
    </row>
    <row r="628">
      <c r="A628" s="1"/>
      <c r="B628" s="114"/>
      <c r="C628" s="114"/>
      <c r="D628" s="114"/>
      <c r="E628" s="114"/>
      <c r="F628" s="114"/>
      <c r="G628" s="114"/>
      <c r="H628" s="114"/>
      <c r="I628" s="114"/>
      <c r="J628" s="114"/>
      <c r="K628" s="114"/>
      <c r="L628" s="114"/>
      <c r="M628" s="114"/>
      <c r="N628" s="114"/>
      <c r="O628" s="114"/>
      <c r="P628" s="114"/>
      <c r="Q628" s="114"/>
      <c r="R628" s="114"/>
      <c r="S628" s="114"/>
      <c r="T628" s="114"/>
      <c r="U628" s="114"/>
      <c r="V628" s="114"/>
      <c r="W628" s="114"/>
      <c r="X628" s="114"/>
      <c r="Y628" s="114"/>
      <c r="Z628" s="114"/>
    </row>
    <row r="629">
      <c r="A629" s="1"/>
      <c r="B629" s="114"/>
      <c r="C629" s="114"/>
      <c r="D629" s="114"/>
      <c r="E629" s="114"/>
      <c r="F629" s="114"/>
      <c r="G629" s="114"/>
      <c r="H629" s="114"/>
      <c r="I629" s="114"/>
      <c r="J629" s="114"/>
      <c r="K629" s="114"/>
      <c r="L629" s="114"/>
      <c r="M629" s="114"/>
      <c r="N629" s="114"/>
      <c r="O629" s="114"/>
      <c r="P629" s="114"/>
      <c r="Q629" s="114"/>
      <c r="R629" s="114"/>
      <c r="S629" s="114"/>
      <c r="T629" s="114"/>
      <c r="U629" s="114"/>
      <c r="V629" s="114"/>
      <c r="W629" s="114"/>
      <c r="X629" s="114"/>
      <c r="Y629" s="114"/>
      <c r="Z629" s="114"/>
    </row>
    <row r="630">
      <c r="A630" s="1"/>
      <c r="B630" s="114"/>
      <c r="C630" s="114"/>
      <c r="D630" s="114"/>
      <c r="E630" s="114"/>
      <c r="F630" s="114"/>
      <c r="G630" s="114"/>
      <c r="H630" s="114"/>
      <c r="I630" s="114"/>
      <c r="J630" s="114"/>
      <c r="K630" s="114"/>
      <c r="L630" s="114"/>
      <c r="M630" s="114"/>
      <c r="N630" s="114"/>
      <c r="O630" s="114"/>
      <c r="P630" s="114"/>
      <c r="Q630" s="114"/>
      <c r="R630" s="114"/>
      <c r="S630" s="114"/>
      <c r="T630" s="114"/>
      <c r="U630" s="114"/>
      <c r="V630" s="114"/>
      <c r="W630" s="114"/>
      <c r="X630" s="114"/>
      <c r="Y630" s="114"/>
      <c r="Z630" s="114"/>
    </row>
    <row r="631">
      <c r="A631" s="1"/>
      <c r="B631" s="114"/>
      <c r="C631" s="114"/>
      <c r="D631" s="114"/>
      <c r="E631" s="114"/>
      <c r="F631" s="114"/>
      <c r="G631" s="114"/>
      <c r="H631" s="114"/>
      <c r="I631" s="114"/>
      <c r="J631" s="114"/>
      <c r="K631" s="114"/>
      <c r="L631" s="114"/>
      <c r="M631" s="114"/>
      <c r="N631" s="114"/>
      <c r="O631" s="114"/>
      <c r="P631" s="114"/>
      <c r="Q631" s="114"/>
      <c r="R631" s="114"/>
      <c r="S631" s="114"/>
      <c r="T631" s="114"/>
      <c r="U631" s="114"/>
      <c r="V631" s="114"/>
      <c r="W631" s="114"/>
      <c r="X631" s="114"/>
      <c r="Y631" s="114"/>
      <c r="Z631" s="114"/>
    </row>
    <row r="632">
      <c r="A632" s="1"/>
      <c r="B632" s="114"/>
      <c r="C632" s="114"/>
      <c r="D632" s="114"/>
      <c r="E632" s="114"/>
      <c r="F632" s="114"/>
      <c r="G632" s="114"/>
      <c r="H632" s="114"/>
      <c r="I632" s="114"/>
      <c r="J632" s="114"/>
      <c r="K632" s="114"/>
      <c r="L632" s="114"/>
      <c r="M632" s="114"/>
      <c r="N632" s="114"/>
      <c r="O632" s="114"/>
      <c r="P632" s="114"/>
      <c r="Q632" s="114"/>
      <c r="R632" s="114"/>
      <c r="S632" s="114"/>
      <c r="T632" s="114"/>
      <c r="U632" s="114"/>
      <c r="V632" s="114"/>
      <c r="W632" s="114"/>
      <c r="X632" s="114"/>
      <c r="Y632" s="114"/>
      <c r="Z632" s="114"/>
    </row>
    <row r="633">
      <c r="A633" s="1"/>
      <c r="B633" s="114"/>
      <c r="C633" s="114"/>
      <c r="D633" s="114"/>
      <c r="E633" s="114"/>
      <c r="F633" s="114"/>
      <c r="G633" s="114"/>
      <c r="H633" s="114"/>
      <c r="I633" s="114"/>
      <c r="J633" s="114"/>
      <c r="K633" s="114"/>
      <c r="L633" s="114"/>
      <c r="M633" s="114"/>
      <c r="N633" s="114"/>
      <c r="O633" s="114"/>
      <c r="P633" s="114"/>
      <c r="Q633" s="114"/>
      <c r="R633" s="114"/>
      <c r="S633" s="114"/>
      <c r="T633" s="114"/>
      <c r="U633" s="114"/>
      <c r="V633" s="114"/>
      <c r="W633" s="114"/>
      <c r="X633" s="114"/>
      <c r="Y633" s="114"/>
      <c r="Z633" s="114"/>
    </row>
    <row r="634">
      <c r="A634" s="1"/>
      <c r="B634" s="114"/>
      <c r="C634" s="114"/>
      <c r="D634" s="114"/>
      <c r="E634" s="114"/>
      <c r="F634" s="114"/>
      <c r="G634" s="114"/>
      <c r="H634" s="114"/>
      <c r="I634" s="114"/>
      <c r="J634" s="114"/>
      <c r="K634" s="114"/>
      <c r="L634" s="114"/>
      <c r="M634" s="114"/>
      <c r="N634" s="114"/>
      <c r="O634" s="114"/>
      <c r="P634" s="114"/>
      <c r="Q634" s="114"/>
      <c r="R634" s="114"/>
      <c r="S634" s="114"/>
      <c r="T634" s="114"/>
      <c r="U634" s="114"/>
      <c r="V634" s="114"/>
      <c r="W634" s="114"/>
      <c r="X634" s="114"/>
      <c r="Y634" s="114"/>
      <c r="Z634" s="114"/>
    </row>
    <row r="635">
      <c r="A635" s="1"/>
      <c r="B635" s="114"/>
      <c r="C635" s="114"/>
      <c r="D635" s="114"/>
      <c r="E635" s="114"/>
      <c r="F635" s="114"/>
      <c r="G635" s="114"/>
      <c r="H635" s="114"/>
      <c r="I635" s="114"/>
      <c r="J635" s="114"/>
      <c r="K635" s="114"/>
      <c r="L635" s="114"/>
      <c r="M635" s="114"/>
      <c r="N635" s="114"/>
      <c r="O635" s="114"/>
      <c r="P635" s="114"/>
      <c r="Q635" s="114"/>
      <c r="R635" s="114"/>
      <c r="S635" s="114"/>
      <c r="T635" s="114"/>
      <c r="U635" s="114"/>
      <c r="V635" s="114"/>
      <c r="W635" s="114"/>
      <c r="X635" s="114"/>
      <c r="Y635" s="114"/>
      <c r="Z635" s="114"/>
    </row>
    <row r="636">
      <c r="A636" s="1"/>
      <c r="B636" s="114"/>
      <c r="C636" s="114"/>
      <c r="D636" s="114"/>
      <c r="E636" s="114"/>
      <c r="F636" s="114"/>
      <c r="G636" s="114"/>
      <c r="H636" s="114"/>
      <c r="I636" s="114"/>
      <c r="J636" s="114"/>
      <c r="K636" s="114"/>
      <c r="L636" s="114"/>
      <c r="M636" s="114"/>
      <c r="N636" s="114"/>
      <c r="O636" s="114"/>
      <c r="P636" s="114"/>
      <c r="Q636" s="114"/>
      <c r="R636" s="114"/>
      <c r="S636" s="114"/>
      <c r="T636" s="114"/>
      <c r="U636" s="114"/>
      <c r="V636" s="114"/>
      <c r="W636" s="114"/>
      <c r="X636" s="114"/>
      <c r="Y636" s="114"/>
      <c r="Z636" s="114"/>
    </row>
    <row r="637">
      <c r="A637" s="1"/>
      <c r="B637" s="114"/>
      <c r="C637" s="114"/>
      <c r="D637" s="114"/>
      <c r="E637" s="114"/>
      <c r="F637" s="114"/>
      <c r="G637" s="114"/>
      <c r="H637" s="114"/>
      <c r="I637" s="114"/>
      <c r="J637" s="114"/>
      <c r="K637" s="114"/>
      <c r="L637" s="114"/>
      <c r="M637" s="114"/>
      <c r="N637" s="114"/>
      <c r="O637" s="114"/>
      <c r="P637" s="114"/>
      <c r="Q637" s="114"/>
      <c r="R637" s="114"/>
      <c r="S637" s="114"/>
      <c r="T637" s="114"/>
      <c r="U637" s="114"/>
      <c r="V637" s="114"/>
      <c r="W637" s="114"/>
      <c r="X637" s="114"/>
      <c r="Y637" s="114"/>
      <c r="Z637" s="114"/>
    </row>
    <row r="638">
      <c r="A638" s="1"/>
      <c r="B638" s="114"/>
      <c r="C638" s="114"/>
      <c r="D638" s="114"/>
      <c r="E638" s="114"/>
      <c r="F638" s="114"/>
      <c r="G638" s="114"/>
      <c r="H638" s="114"/>
      <c r="I638" s="114"/>
      <c r="J638" s="114"/>
      <c r="K638" s="114"/>
      <c r="L638" s="114"/>
      <c r="M638" s="114"/>
      <c r="N638" s="114"/>
      <c r="O638" s="114"/>
      <c r="P638" s="114"/>
      <c r="Q638" s="114"/>
      <c r="R638" s="114"/>
      <c r="S638" s="114"/>
      <c r="T638" s="114"/>
      <c r="U638" s="114"/>
      <c r="V638" s="114"/>
      <c r="W638" s="114"/>
      <c r="X638" s="114"/>
      <c r="Y638" s="114"/>
      <c r="Z638" s="114"/>
    </row>
    <row r="639">
      <c r="A639" s="1"/>
      <c r="B639" s="114"/>
      <c r="C639" s="114"/>
      <c r="D639" s="114"/>
      <c r="E639" s="114"/>
      <c r="F639" s="114"/>
      <c r="G639" s="114"/>
      <c r="H639" s="114"/>
      <c r="I639" s="114"/>
      <c r="J639" s="114"/>
      <c r="K639" s="114"/>
      <c r="L639" s="114"/>
      <c r="M639" s="114"/>
      <c r="N639" s="114"/>
      <c r="O639" s="114"/>
      <c r="P639" s="114"/>
      <c r="Q639" s="114"/>
      <c r="R639" s="114"/>
      <c r="S639" s="114"/>
      <c r="T639" s="114"/>
      <c r="U639" s="114"/>
      <c r="V639" s="114"/>
      <c r="W639" s="114"/>
      <c r="X639" s="114"/>
      <c r="Y639" s="114"/>
      <c r="Z639" s="114"/>
    </row>
    <row r="640">
      <c r="A640" s="1"/>
      <c r="B640" s="114"/>
      <c r="C640" s="114"/>
      <c r="D640" s="114"/>
      <c r="E640" s="114"/>
      <c r="F640" s="114"/>
      <c r="G640" s="114"/>
      <c r="H640" s="114"/>
      <c r="I640" s="114"/>
      <c r="J640" s="114"/>
      <c r="K640" s="114"/>
      <c r="L640" s="114"/>
      <c r="M640" s="114"/>
      <c r="N640" s="114"/>
      <c r="O640" s="114"/>
      <c r="P640" s="114"/>
      <c r="Q640" s="114"/>
      <c r="R640" s="114"/>
      <c r="S640" s="114"/>
      <c r="T640" s="114"/>
      <c r="U640" s="114"/>
      <c r="V640" s="114"/>
      <c r="W640" s="114"/>
      <c r="X640" s="114"/>
      <c r="Y640" s="114"/>
      <c r="Z640" s="114"/>
    </row>
    <row r="641">
      <c r="A641" s="1"/>
      <c r="B641" s="114"/>
      <c r="C641" s="114"/>
      <c r="D641" s="114"/>
      <c r="E641" s="114"/>
      <c r="F641" s="114"/>
      <c r="G641" s="114"/>
      <c r="H641" s="114"/>
      <c r="I641" s="114"/>
      <c r="J641" s="114"/>
      <c r="K641" s="114"/>
      <c r="L641" s="114"/>
      <c r="M641" s="114"/>
      <c r="N641" s="114"/>
      <c r="O641" s="114"/>
      <c r="P641" s="114"/>
      <c r="Q641" s="114"/>
      <c r="R641" s="114"/>
      <c r="S641" s="114"/>
      <c r="T641" s="114"/>
      <c r="U641" s="114"/>
      <c r="V641" s="114"/>
      <c r="W641" s="114"/>
      <c r="X641" s="114"/>
      <c r="Y641" s="114"/>
      <c r="Z641" s="114"/>
    </row>
    <row r="642">
      <c r="A642" s="1"/>
      <c r="B642" s="114"/>
      <c r="C642" s="114"/>
      <c r="D642" s="114"/>
      <c r="E642" s="114"/>
      <c r="F642" s="114"/>
      <c r="G642" s="114"/>
      <c r="H642" s="114"/>
      <c r="I642" s="114"/>
      <c r="J642" s="114"/>
      <c r="K642" s="114"/>
      <c r="L642" s="114"/>
      <c r="M642" s="114"/>
      <c r="N642" s="114"/>
      <c r="O642" s="114"/>
      <c r="P642" s="114"/>
      <c r="Q642" s="114"/>
      <c r="R642" s="114"/>
      <c r="S642" s="114"/>
      <c r="T642" s="114"/>
      <c r="U642" s="114"/>
      <c r="V642" s="114"/>
      <c r="W642" s="114"/>
      <c r="X642" s="114"/>
      <c r="Y642" s="114"/>
      <c r="Z642" s="114"/>
    </row>
    <row r="643">
      <c r="A643" s="1"/>
      <c r="B643" s="114"/>
      <c r="C643" s="114"/>
      <c r="D643" s="114"/>
      <c r="E643" s="114"/>
      <c r="F643" s="114"/>
      <c r="G643" s="114"/>
      <c r="H643" s="114"/>
      <c r="I643" s="114"/>
      <c r="J643" s="114"/>
      <c r="K643" s="114"/>
      <c r="L643" s="114"/>
      <c r="M643" s="114"/>
      <c r="N643" s="114"/>
      <c r="O643" s="114"/>
      <c r="P643" s="114"/>
      <c r="Q643" s="114"/>
      <c r="R643" s="114"/>
      <c r="S643" s="114"/>
      <c r="T643" s="114"/>
      <c r="U643" s="114"/>
      <c r="V643" s="114"/>
      <c r="W643" s="114"/>
      <c r="X643" s="114"/>
      <c r="Y643" s="114"/>
      <c r="Z643" s="114"/>
    </row>
    <row r="644">
      <c r="A644" s="1"/>
      <c r="B644" s="114"/>
      <c r="C644" s="114"/>
      <c r="D644" s="114"/>
      <c r="E644" s="114"/>
      <c r="F644" s="114"/>
      <c r="G644" s="114"/>
      <c r="H644" s="114"/>
      <c r="I644" s="114"/>
      <c r="J644" s="114"/>
      <c r="K644" s="114"/>
      <c r="L644" s="114"/>
      <c r="M644" s="114"/>
      <c r="N644" s="114"/>
      <c r="O644" s="114"/>
      <c r="P644" s="114"/>
      <c r="Q644" s="114"/>
      <c r="R644" s="114"/>
      <c r="S644" s="114"/>
      <c r="T644" s="114"/>
      <c r="U644" s="114"/>
      <c r="V644" s="114"/>
      <c r="W644" s="114"/>
      <c r="X644" s="114"/>
      <c r="Y644" s="114"/>
      <c r="Z644" s="114"/>
    </row>
    <row r="645">
      <c r="A645" s="1"/>
      <c r="B645" s="114"/>
      <c r="C645" s="114"/>
      <c r="D645" s="114"/>
      <c r="E645" s="114"/>
      <c r="F645" s="114"/>
      <c r="G645" s="114"/>
      <c r="H645" s="114"/>
      <c r="I645" s="114"/>
      <c r="J645" s="114"/>
      <c r="K645" s="114"/>
      <c r="L645" s="114"/>
      <c r="M645" s="114"/>
      <c r="N645" s="114"/>
      <c r="O645" s="114"/>
      <c r="P645" s="114"/>
      <c r="Q645" s="114"/>
      <c r="R645" s="114"/>
      <c r="S645" s="114"/>
      <c r="T645" s="114"/>
      <c r="U645" s="114"/>
      <c r="V645" s="114"/>
      <c r="W645" s="114"/>
      <c r="X645" s="114"/>
      <c r="Y645" s="114"/>
      <c r="Z645" s="114"/>
    </row>
    <row r="646">
      <c r="A646" s="1"/>
      <c r="B646" s="114"/>
      <c r="C646" s="114"/>
      <c r="D646" s="114"/>
      <c r="E646" s="114"/>
      <c r="F646" s="114"/>
      <c r="G646" s="114"/>
      <c r="H646" s="114"/>
      <c r="I646" s="114"/>
      <c r="J646" s="114"/>
      <c r="K646" s="114"/>
      <c r="L646" s="114"/>
      <c r="M646" s="114"/>
      <c r="N646" s="114"/>
      <c r="O646" s="114"/>
      <c r="P646" s="114"/>
      <c r="Q646" s="114"/>
      <c r="R646" s="114"/>
      <c r="S646" s="114"/>
      <c r="T646" s="114"/>
      <c r="U646" s="114"/>
      <c r="V646" s="114"/>
      <c r="W646" s="114"/>
      <c r="X646" s="114"/>
      <c r="Y646" s="114"/>
      <c r="Z646" s="114"/>
    </row>
    <row r="647">
      <c r="A647" s="1"/>
      <c r="B647" s="114"/>
      <c r="C647" s="114"/>
      <c r="D647" s="114"/>
      <c r="E647" s="114"/>
      <c r="F647" s="114"/>
      <c r="G647" s="114"/>
      <c r="H647" s="114"/>
      <c r="I647" s="114"/>
      <c r="J647" s="114"/>
      <c r="K647" s="114"/>
      <c r="L647" s="114"/>
      <c r="M647" s="114"/>
      <c r="N647" s="114"/>
      <c r="O647" s="114"/>
      <c r="P647" s="114"/>
      <c r="Q647" s="114"/>
      <c r="R647" s="114"/>
      <c r="S647" s="114"/>
      <c r="T647" s="114"/>
      <c r="U647" s="114"/>
      <c r="V647" s="114"/>
      <c r="W647" s="114"/>
      <c r="X647" s="114"/>
      <c r="Y647" s="114"/>
      <c r="Z647" s="114"/>
    </row>
    <row r="648">
      <c r="A648" s="1"/>
      <c r="B648" s="114"/>
      <c r="C648" s="114"/>
      <c r="D648" s="114"/>
      <c r="E648" s="114"/>
      <c r="F648" s="114"/>
      <c r="G648" s="114"/>
      <c r="H648" s="114"/>
      <c r="I648" s="114"/>
      <c r="J648" s="114"/>
      <c r="K648" s="114"/>
      <c r="L648" s="114"/>
      <c r="M648" s="114"/>
      <c r="N648" s="114"/>
      <c r="O648" s="114"/>
      <c r="P648" s="114"/>
      <c r="Q648" s="114"/>
      <c r="R648" s="114"/>
      <c r="S648" s="114"/>
      <c r="T648" s="114"/>
      <c r="U648" s="114"/>
      <c r="V648" s="114"/>
      <c r="W648" s="114"/>
      <c r="X648" s="114"/>
      <c r="Y648" s="114"/>
      <c r="Z648" s="114"/>
    </row>
    <row r="649">
      <c r="A649" s="1"/>
      <c r="B649" s="114"/>
      <c r="C649" s="114"/>
      <c r="D649" s="114"/>
      <c r="E649" s="114"/>
      <c r="F649" s="114"/>
      <c r="G649" s="114"/>
      <c r="H649" s="114"/>
      <c r="I649" s="114"/>
      <c r="J649" s="114"/>
      <c r="K649" s="114"/>
      <c r="L649" s="114"/>
      <c r="M649" s="114"/>
      <c r="N649" s="114"/>
      <c r="O649" s="114"/>
      <c r="P649" s="114"/>
      <c r="Q649" s="114"/>
      <c r="R649" s="114"/>
      <c r="S649" s="114"/>
      <c r="T649" s="114"/>
      <c r="U649" s="114"/>
      <c r="V649" s="114"/>
      <c r="W649" s="114"/>
      <c r="X649" s="114"/>
      <c r="Y649" s="114"/>
      <c r="Z649" s="114"/>
    </row>
    <row r="650">
      <c r="A650" s="1"/>
      <c r="B650" s="114"/>
      <c r="C650" s="114"/>
      <c r="D650" s="114"/>
      <c r="E650" s="114"/>
      <c r="F650" s="114"/>
      <c r="G650" s="114"/>
      <c r="H650" s="114"/>
      <c r="I650" s="114"/>
      <c r="J650" s="114"/>
      <c r="K650" s="114"/>
      <c r="L650" s="114"/>
      <c r="M650" s="114"/>
      <c r="N650" s="114"/>
      <c r="O650" s="114"/>
      <c r="P650" s="114"/>
      <c r="Q650" s="114"/>
      <c r="R650" s="114"/>
      <c r="S650" s="114"/>
      <c r="T650" s="114"/>
      <c r="U650" s="114"/>
      <c r="V650" s="114"/>
      <c r="W650" s="114"/>
      <c r="X650" s="114"/>
      <c r="Y650" s="114"/>
      <c r="Z650" s="114"/>
    </row>
    <row r="651">
      <c r="A651" s="1"/>
      <c r="B651" s="114"/>
      <c r="C651" s="114"/>
      <c r="D651" s="114"/>
      <c r="E651" s="114"/>
      <c r="F651" s="114"/>
      <c r="G651" s="114"/>
      <c r="H651" s="114"/>
      <c r="I651" s="114"/>
      <c r="J651" s="114"/>
      <c r="K651" s="114"/>
      <c r="L651" s="114"/>
      <c r="M651" s="114"/>
      <c r="N651" s="114"/>
      <c r="O651" s="114"/>
      <c r="P651" s="114"/>
      <c r="Q651" s="114"/>
      <c r="R651" s="114"/>
      <c r="S651" s="114"/>
      <c r="T651" s="114"/>
      <c r="U651" s="114"/>
      <c r="V651" s="114"/>
      <c r="W651" s="114"/>
      <c r="X651" s="114"/>
      <c r="Y651" s="114"/>
      <c r="Z651" s="114"/>
    </row>
    <row r="652">
      <c r="A652" s="1"/>
      <c r="B652" s="114"/>
      <c r="C652" s="114"/>
      <c r="D652" s="114"/>
      <c r="E652" s="114"/>
      <c r="F652" s="114"/>
      <c r="G652" s="114"/>
      <c r="H652" s="114"/>
      <c r="I652" s="114"/>
      <c r="J652" s="114"/>
      <c r="K652" s="114"/>
      <c r="L652" s="114"/>
      <c r="M652" s="114"/>
      <c r="N652" s="114"/>
      <c r="O652" s="114"/>
      <c r="P652" s="114"/>
      <c r="Q652" s="114"/>
      <c r="R652" s="114"/>
      <c r="S652" s="114"/>
      <c r="T652" s="114"/>
      <c r="U652" s="114"/>
      <c r="V652" s="114"/>
      <c r="W652" s="114"/>
      <c r="X652" s="114"/>
      <c r="Y652" s="114"/>
      <c r="Z652" s="114"/>
    </row>
    <row r="653">
      <c r="A653" s="1"/>
      <c r="B653" s="114"/>
      <c r="C653" s="114"/>
      <c r="D653" s="114"/>
      <c r="E653" s="114"/>
      <c r="F653" s="114"/>
      <c r="G653" s="114"/>
      <c r="H653" s="114"/>
      <c r="I653" s="114"/>
      <c r="J653" s="114"/>
      <c r="K653" s="114"/>
      <c r="L653" s="114"/>
      <c r="M653" s="114"/>
      <c r="N653" s="114"/>
      <c r="O653" s="114"/>
      <c r="P653" s="114"/>
      <c r="Q653" s="114"/>
      <c r="R653" s="114"/>
      <c r="S653" s="114"/>
      <c r="T653" s="114"/>
      <c r="U653" s="114"/>
      <c r="V653" s="114"/>
      <c r="W653" s="114"/>
      <c r="X653" s="114"/>
      <c r="Y653" s="114"/>
      <c r="Z653" s="114"/>
    </row>
    <row r="654">
      <c r="A654" s="1"/>
      <c r="B654" s="114"/>
      <c r="C654" s="114"/>
      <c r="D654" s="114"/>
      <c r="E654" s="114"/>
      <c r="F654" s="114"/>
      <c r="G654" s="114"/>
      <c r="H654" s="114"/>
      <c r="I654" s="114"/>
      <c r="J654" s="114"/>
      <c r="K654" s="114"/>
      <c r="L654" s="114"/>
      <c r="M654" s="114"/>
      <c r="N654" s="114"/>
      <c r="O654" s="114"/>
      <c r="P654" s="114"/>
      <c r="Q654" s="114"/>
      <c r="R654" s="114"/>
      <c r="S654" s="114"/>
      <c r="T654" s="114"/>
      <c r="U654" s="114"/>
      <c r="V654" s="114"/>
      <c r="W654" s="114"/>
      <c r="X654" s="114"/>
      <c r="Y654" s="114"/>
      <c r="Z654" s="114"/>
    </row>
    <row r="655">
      <c r="A655" s="1"/>
      <c r="B655" s="114"/>
      <c r="C655" s="114"/>
      <c r="D655" s="114"/>
      <c r="E655" s="114"/>
      <c r="F655" s="114"/>
      <c r="G655" s="114"/>
      <c r="H655" s="114"/>
      <c r="I655" s="114"/>
      <c r="J655" s="114"/>
      <c r="K655" s="114"/>
      <c r="L655" s="114"/>
      <c r="M655" s="114"/>
      <c r="N655" s="114"/>
      <c r="O655" s="114"/>
      <c r="P655" s="114"/>
      <c r="Q655" s="114"/>
      <c r="R655" s="114"/>
      <c r="S655" s="114"/>
      <c r="T655" s="114"/>
      <c r="U655" s="114"/>
      <c r="V655" s="114"/>
      <c r="W655" s="114"/>
      <c r="X655" s="114"/>
      <c r="Y655" s="114"/>
      <c r="Z655" s="114"/>
    </row>
    <row r="656">
      <c r="A656" s="1"/>
      <c r="B656" s="114"/>
      <c r="C656" s="114"/>
      <c r="D656" s="114"/>
      <c r="E656" s="114"/>
      <c r="F656" s="114"/>
      <c r="G656" s="114"/>
      <c r="H656" s="114"/>
      <c r="I656" s="114"/>
      <c r="J656" s="114"/>
      <c r="K656" s="114"/>
      <c r="L656" s="114"/>
      <c r="M656" s="114"/>
      <c r="N656" s="114"/>
      <c r="O656" s="114"/>
      <c r="P656" s="114"/>
      <c r="Q656" s="114"/>
      <c r="R656" s="114"/>
      <c r="S656" s="114"/>
      <c r="T656" s="114"/>
      <c r="U656" s="114"/>
      <c r="V656" s="114"/>
      <c r="W656" s="114"/>
      <c r="X656" s="114"/>
      <c r="Y656" s="114"/>
      <c r="Z656" s="114"/>
    </row>
    <row r="657">
      <c r="A657" s="1"/>
      <c r="B657" s="114"/>
      <c r="C657" s="114"/>
      <c r="D657" s="114"/>
      <c r="E657" s="114"/>
      <c r="F657" s="114"/>
      <c r="G657" s="114"/>
      <c r="H657" s="114"/>
      <c r="I657" s="114"/>
      <c r="J657" s="114"/>
      <c r="K657" s="114"/>
      <c r="L657" s="114"/>
      <c r="M657" s="114"/>
      <c r="N657" s="114"/>
      <c r="O657" s="114"/>
      <c r="P657" s="114"/>
      <c r="Q657" s="114"/>
      <c r="R657" s="114"/>
      <c r="S657" s="114"/>
      <c r="T657" s="114"/>
      <c r="U657" s="114"/>
      <c r="V657" s="114"/>
      <c r="W657" s="114"/>
      <c r="X657" s="114"/>
      <c r="Y657" s="114"/>
      <c r="Z657" s="114"/>
    </row>
    <row r="658">
      <c r="A658" s="1"/>
      <c r="B658" s="114"/>
      <c r="C658" s="114"/>
      <c r="D658" s="114"/>
      <c r="E658" s="114"/>
      <c r="F658" s="114"/>
      <c r="G658" s="114"/>
      <c r="H658" s="114"/>
      <c r="I658" s="114"/>
      <c r="J658" s="114"/>
      <c r="K658" s="114"/>
      <c r="L658" s="114"/>
      <c r="M658" s="114"/>
      <c r="N658" s="114"/>
      <c r="O658" s="114"/>
      <c r="P658" s="114"/>
      <c r="Q658" s="114"/>
      <c r="R658" s="114"/>
      <c r="S658" s="114"/>
      <c r="T658" s="114"/>
      <c r="U658" s="114"/>
      <c r="V658" s="114"/>
      <c r="W658" s="114"/>
      <c r="X658" s="114"/>
      <c r="Y658" s="114"/>
      <c r="Z658" s="114"/>
    </row>
    <row r="659">
      <c r="A659" s="1"/>
      <c r="B659" s="114"/>
      <c r="C659" s="114"/>
      <c r="D659" s="114"/>
      <c r="E659" s="114"/>
      <c r="F659" s="114"/>
      <c r="G659" s="114"/>
      <c r="H659" s="114"/>
      <c r="I659" s="114"/>
      <c r="J659" s="114"/>
      <c r="K659" s="114"/>
      <c r="L659" s="114"/>
      <c r="M659" s="114"/>
      <c r="N659" s="114"/>
      <c r="O659" s="114"/>
      <c r="P659" s="114"/>
      <c r="Q659" s="114"/>
      <c r="R659" s="114"/>
      <c r="S659" s="114"/>
      <c r="T659" s="114"/>
      <c r="U659" s="114"/>
      <c r="V659" s="114"/>
      <c r="W659" s="114"/>
      <c r="X659" s="114"/>
      <c r="Y659" s="114"/>
      <c r="Z659" s="114"/>
    </row>
    <row r="660">
      <c r="A660" s="1"/>
      <c r="B660" s="114"/>
      <c r="C660" s="114"/>
      <c r="D660" s="114"/>
      <c r="E660" s="114"/>
      <c r="F660" s="114"/>
      <c r="G660" s="114"/>
      <c r="H660" s="114"/>
      <c r="I660" s="114"/>
      <c r="J660" s="114"/>
      <c r="K660" s="114"/>
      <c r="L660" s="114"/>
      <c r="M660" s="114"/>
      <c r="N660" s="114"/>
      <c r="O660" s="114"/>
      <c r="P660" s="114"/>
      <c r="Q660" s="114"/>
      <c r="R660" s="114"/>
      <c r="S660" s="114"/>
      <c r="T660" s="114"/>
      <c r="U660" s="114"/>
      <c r="V660" s="114"/>
      <c r="W660" s="114"/>
      <c r="X660" s="114"/>
      <c r="Y660" s="114"/>
      <c r="Z660" s="114"/>
    </row>
    <row r="661">
      <c r="A661" s="1"/>
      <c r="B661" s="114"/>
      <c r="C661" s="114"/>
      <c r="D661" s="114"/>
      <c r="E661" s="114"/>
      <c r="F661" s="114"/>
      <c r="G661" s="114"/>
      <c r="H661" s="114"/>
      <c r="I661" s="114"/>
      <c r="J661" s="114"/>
      <c r="K661" s="114"/>
      <c r="L661" s="114"/>
      <c r="M661" s="114"/>
      <c r="N661" s="114"/>
      <c r="O661" s="114"/>
      <c r="P661" s="114"/>
      <c r="Q661" s="114"/>
      <c r="R661" s="114"/>
      <c r="S661" s="114"/>
      <c r="T661" s="114"/>
      <c r="U661" s="114"/>
      <c r="V661" s="114"/>
      <c r="W661" s="114"/>
      <c r="X661" s="114"/>
      <c r="Y661" s="114"/>
      <c r="Z661" s="114"/>
    </row>
    <row r="662">
      <c r="A662" s="1"/>
      <c r="B662" s="114"/>
      <c r="C662" s="114"/>
      <c r="D662" s="114"/>
      <c r="E662" s="114"/>
      <c r="F662" s="114"/>
      <c r="G662" s="114"/>
      <c r="H662" s="114"/>
      <c r="I662" s="114"/>
      <c r="J662" s="114"/>
      <c r="K662" s="114"/>
      <c r="L662" s="114"/>
      <c r="M662" s="114"/>
      <c r="N662" s="114"/>
      <c r="O662" s="114"/>
      <c r="P662" s="114"/>
      <c r="Q662" s="114"/>
      <c r="R662" s="114"/>
      <c r="S662" s="114"/>
      <c r="T662" s="114"/>
      <c r="U662" s="114"/>
      <c r="V662" s="114"/>
      <c r="W662" s="114"/>
      <c r="X662" s="114"/>
      <c r="Y662" s="114"/>
      <c r="Z662" s="114"/>
    </row>
    <row r="663">
      <c r="A663" s="1"/>
      <c r="B663" s="114"/>
      <c r="C663" s="114"/>
      <c r="D663" s="114"/>
      <c r="E663" s="114"/>
      <c r="F663" s="114"/>
      <c r="G663" s="114"/>
      <c r="H663" s="114"/>
      <c r="I663" s="114"/>
      <c r="J663" s="114"/>
      <c r="K663" s="114"/>
      <c r="L663" s="114"/>
      <c r="M663" s="114"/>
      <c r="N663" s="114"/>
      <c r="O663" s="114"/>
      <c r="P663" s="114"/>
      <c r="Q663" s="114"/>
      <c r="R663" s="114"/>
      <c r="S663" s="114"/>
      <c r="T663" s="114"/>
      <c r="U663" s="114"/>
      <c r="V663" s="114"/>
      <c r="W663" s="114"/>
      <c r="X663" s="114"/>
      <c r="Y663" s="114"/>
      <c r="Z663" s="114"/>
    </row>
    <row r="664">
      <c r="A664" s="1"/>
      <c r="B664" s="114"/>
      <c r="C664" s="114"/>
      <c r="D664" s="114"/>
      <c r="E664" s="114"/>
      <c r="F664" s="114"/>
      <c r="G664" s="114"/>
      <c r="H664" s="114"/>
      <c r="I664" s="114"/>
      <c r="J664" s="114"/>
      <c r="K664" s="114"/>
      <c r="L664" s="114"/>
      <c r="M664" s="114"/>
      <c r="N664" s="114"/>
      <c r="O664" s="114"/>
      <c r="P664" s="114"/>
      <c r="Q664" s="114"/>
      <c r="R664" s="114"/>
      <c r="S664" s="114"/>
      <c r="T664" s="114"/>
      <c r="U664" s="114"/>
      <c r="V664" s="114"/>
      <c r="W664" s="114"/>
      <c r="X664" s="114"/>
      <c r="Y664" s="114"/>
      <c r="Z664" s="114"/>
    </row>
    <row r="665">
      <c r="A665" s="1"/>
      <c r="B665" s="114"/>
      <c r="C665" s="114"/>
      <c r="D665" s="114"/>
      <c r="E665" s="114"/>
      <c r="F665" s="114"/>
      <c r="G665" s="114"/>
      <c r="H665" s="114"/>
      <c r="I665" s="114"/>
      <c r="J665" s="114"/>
      <c r="K665" s="114"/>
      <c r="L665" s="114"/>
      <c r="M665" s="114"/>
      <c r="N665" s="114"/>
      <c r="O665" s="114"/>
      <c r="P665" s="114"/>
      <c r="Q665" s="114"/>
      <c r="R665" s="114"/>
      <c r="S665" s="114"/>
      <c r="T665" s="114"/>
      <c r="U665" s="114"/>
      <c r="V665" s="114"/>
      <c r="W665" s="114"/>
      <c r="X665" s="114"/>
      <c r="Y665" s="114"/>
      <c r="Z665" s="114"/>
    </row>
    <row r="666">
      <c r="A666" s="1"/>
      <c r="B666" s="114"/>
      <c r="C666" s="114"/>
      <c r="D666" s="114"/>
      <c r="E666" s="114"/>
      <c r="F666" s="114"/>
      <c r="G666" s="114"/>
      <c r="H666" s="114"/>
      <c r="I666" s="114"/>
      <c r="J666" s="114"/>
      <c r="K666" s="114"/>
      <c r="L666" s="114"/>
      <c r="M666" s="114"/>
      <c r="N666" s="114"/>
      <c r="O666" s="114"/>
      <c r="P666" s="114"/>
      <c r="Q666" s="114"/>
      <c r="R666" s="114"/>
      <c r="S666" s="114"/>
      <c r="T666" s="114"/>
      <c r="U666" s="114"/>
      <c r="V666" s="114"/>
      <c r="W666" s="114"/>
      <c r="X666" s="114"/>
      <c r="Y666" s="114"/>
      <c r="Z666" s="114"/>
    </row>
    <row r="667">
      <c r="A667" s="1"/>
      <c r="B667" s="114"/>
      <c r="C667" s="114"/>
      <c r="D667" s="114"/>
      <c r="E667" s="114"/>
      <c r="F667" s="114"/>
      <c r="G667" s="114"/>
      <c r="H667" s="114"/>
      <c r="I667" s="114"/>
      <c r="J667" s="114"/>
      <c r="K667" s="114"/>
      <c r="L667" s="114"/>
      <c r="M667" s="114"/>
      <c r="N667" s="114"/>
      <c r="O667" s="114"/>
      <c r="P667" s="114"/>
      <c r="Q667" s="114"/>
      <c r="R667" s="114"/>
      <c r="S667" s="114"/>
      <c r="T667" s="114"/>
      <c r="U667" s="114"/>
      <c r="V667" s="114"/>
      <c r="W667" s="114"/>
      <c r="X667" s="114"/>
      <c r="Y667" s="114"/>
      <c r="Z667" s="114"/>
    </row>
    <row r="668">
      <c r="A668" s="1"/>
      <c r="B668" s="114"/>
      <c r="C668" s="114"/>
      <c r="D668" s="114"/>
      <c r="E668" s="114"/>
      <c r="F668" s="114"/>
      <c r="G668" s="114"/>
      <c r="H668" s="114"/>
      <c r="I668" s="114"/>
      <c r="J668" s="114"/>
      <c r="K668" s="114"/>
      <c r="L668" s="114"/>
      <c r="M668" s="114"/>
      <c r="N668" s="114"/>
      <c r="O668" s="114"/>
      <c r="P668" s="114"/>
      <c r="Q668" s="114"/>
      <c r="R668" s="114"/>
      <c r="S668" s="114"/>
      <c r="T668" s="114"/>
      <c r="U668" s="114"/>
      <c r="V668" s="114"/>
      <c r="W668" s="114"/>
      <c r="X668" s="114"/>
      <c r="Y668" s="114"/>
      <c r="Z668" s="114"/>
    </row>
    <row r="669">
      <c r="A669" s="1"/>
      <c r="B669" s="114"/>
      <c r="C669" s="114"/>
      <c r="D669" s="114"/>
      <c r="E669" s="114"/>
      <c r="F669" s="114"/>
      <c r="G669" s="114"/>
      <c r="H669" s="114"/>
      <c r="I669" s="114"/>
      <c r="J669" s="114"/>
      <c r="K669" s="114"/>
      <c r="L669" s="114"/>
      <c r="M669" s="114"/>
      <c r="N669" s="114"/>
      <c r="O669" s="114"/>
      <c r="P669" s="114"/>
      <c r="Q669" s="114"/>
      <c r="R669" s="114"/>
      <c r="S669" s="114"/>
      <c r="T669" s="114"/>
      <c r="U669" s="114"/>
      <c r="V669" s="114"/>
      <c r="W669" s="114"/>
      <c r="X669" s="114"/>
      <c r="Y669" s="114"/>
      <c r="Z669" s="114"/>
    </row>
    <row r="670">
      <c r="A670" s="1"/>
      <c r="B670" s="114"/>
      <c r="C670" s="114"/>
      <c r="D670" s="114"/>
      <c r="E670" s="114"/>
      <c r="F670" s="114"/>
      <c r="G670" s="114"/>
      <c r="H670" s="114"/>
      <c r="I670" s="114"/>
      <c r="J670" s="114"/>
      <c r="K670" s="114"/>
      <c r="L670" s="114"/>
      <c r="M670" s="114"/>
      <c r="N670" s="114"/>
      <c r="O670" s="114"/>
      <c r="P670" s="114"/>
      <c r="Q670" s="114"/>
      <c r="R670" s="114"/>
      <c r="S670" s="114"/>
      <c r="T670" s="114"/>
      <c r="U670" s="114"/>
      <c r="V670" s="114"/>
      <c r="W670" s="114"/>
      <c r="X670" s="114"/>
      <c r="Y670" s="114"/>
      <c r="Z670" s="114"/>
    </row>
    <row r="671">
      <c r="A671" s="1"/>
      <c r="B671" s="114"/>
      <c r="C671" s="114"/>
      <c r="D671" s="114"/>
      <c r="E671" s="114"/>
      <c r="F671" s="114"/>
      <c r="G671" s="114"/>
      <c r="H671" s="114"/>
      <c r="I671" s="114"/>
      <c r="J671" s="114"/>
      <c r="K671" s="114"/>
      <c r="L671" s="114"/>
      <c r="M671" s="114"/>
      <c r="N671" s="114"/>
      <c r="O671" s="114"/>
      <c r="P671" s="114"/>
      <c r="Q671" s="114"/>
      <c r="R671" s="114"/>
      <c r="S671" s="114"/>
      <c r="T671" s="114"/>
      <c r="U671" s="114"/>
      <c r="V671" s="114"/>
      <c r="W671" s="114"/>
      <c r="X671" s="114"/>
      <c r="Y671" s="114"/>
      <c r="Z671" s="114"/>
    </row>
    <row r="672">
      <c r="A672" s="1"/>
      <c r="B672" s="114"/>
      <c r="C672" s="114"/>
      <c r="D672" s="114"/>
      <c r="E672" s="114"/>
      <c r="F672" s="114"/>
      <c r="G672" s="114"/>
      <c r="H672" s="114"/>
      <c r="I672" s="114"/>
      <c r="J672" s="114"/>
      <c r="K672" s="114"/>
      <c r="L672" s="114"/>
      <c r="M672" s="114"/>
      <c r="N672" s="114"/>
      <c r="O672" s="114"/>
      <c r="P672" s="114"/>
      <c r="Q672" s="114"/>
      <c r="R672" s="114"/>
      <c r="S672" s="114"/>
      <c r="T672" s="114"/>
      <c r="U672" s="114"/>
      <c r="V672" s="114"/>
      <c r="W672" s="114"/>
      <c r="X672" s="114"/>
      <c r="Y672" s="114"/>
      <c r="Z672" s="114"/>
    </row>
    <row r="673">
      <c r="A673" s="1"/>
      <c r="B673" s="114"/>
      <c r="C673" s="114"/>
      <c r="D673" s="114"/>
      <c r="E673" s="114"/>
      <c r="F673" s="114"/>
      <c r="G673" s="114"/>
      <c r="H673" s="114"/>
      <c r="I673" s="114"/>
      <c r="J673" s="114"/>
      <c r="K673" s="114"/>
      <c r="L673" s="114"/>
      <c r="M673" s="114"/>
      <c r="N673" s="114"/>
      <c r="O673" s="114"/>
      <c r="P673" s="114"/>
      <c r="Q673" s="114"/>
      <c r="R673" s="114"/>
      <c r="S673" s="114"/>
      <c r="T673" s="114"/>
      <c r="U673" s="114"/>
      <c r="V673" s="114"/>
      <c r="W673" s="114"/>
      <c r="X673" s="114"/>
      <c r="Y673" s="114"/>
      <c r="Z673" s="114"/>
    </row>
    <row r="674">
      <c r="A674" s="1"/>
      <c r="B674" s="114"/>
      <c r="C674" s="114"/>
      <c r="D674" s="114"/>
      <c r="E674" s="114"/>
      <c r="F674" s="114"/>
      <c r="G674" s="114"/>
      <c r="H674" s="114"/>
      <c r="I674" s="114"/>
      <c r="J674" s="114"/>
      <c r="K674" s="114"/>
      <c r="L674" s="114"/>
      <c r="M674" s="114"/>
      <c r="N674" s="114"/>
      <c r="O674" s="114"/>
      <c r="P674" s="114"/>
      <c r="Q674" s="114"/>
      <c r="R674" s="114"/>
      <c r="S674" s="114"/>
      <c r="T674" s="114"/>
      <c r="U674" s="114"/>
      <c r="V674" s="114"/>
      <c r="W674" s="114"/>
      <c r="X674" s="114"/>
      <c r="Y674" s="114"/>
      <c r="Z674" s="114"/>
    </row>
    <row r="675">
      <c r="A675" s="1"/>
      <c r="B675" s="114"/>
      <c r="C675" s="114"/>
      <c r="D675" s="114"/>
      <c r="E675" s="114"/>
      <c r="F675" s="114"/>
      <c r="G675" s="114"/>
      <c r="H675" s="114"/>
      <c r="I675" s="114"/>
      <c r="J675" s="114"/>
      <c r="K675" s="114"/>
      <c r="L675" s="114"/>
      <c r="M675" s="114"/>
      <c r="N675" s="114"/>
      <c r="O675" s="114"/>
      <c r="P675" s="114"/>
      <c r="Q675" s="114"/>
      <c r="R675" s="114"/>
      <c r="S675" s="114"/>
      <c r="T675" s="114"/>
      <c r="U675" s="114"/>
      <c r="V675" s="114"/>
      <c r="W675" s="114"/>
      <c r="X675" s="114"/>
      <c r="Y675" s="114"/>
      <c r="Z675" s="114"/>
    </row>
    <row r="676">
      <c r="A676" s="1"/>
      <c r="B676" s="114"/>
      <c r="C676" s="114"/>
      <c r="D676" s="114"/>
      <c r="E676" s="114"/>
      <c r="F676" s="114"/>
      <c r="G676" s="114"/>
      <c r="H676" s="114"/>
      <c r="I676" s="114"/>
      <c r="J676" s="114"/>
      <c r="K676" s="114"/>
      <c r="L676" s="114"/>
      <c r="M676" s="114"/>
      <c r="N676" s="114"/>
      <c r="O676" s="114"/>
      <c r="P676" s="114"/>
      <c r="Q676" s="114"/>
      <c r="R676" s="114"/>
      <c r="S676" s="114"/>
      <c r="T676" s="114"/>
      <c r="U676" s="114"/>
      <c r="V676" s="114"/>
      <c r="W676" s="114"/>
      <c r="X676" s="114"/>
      <c r="Y676" s="114"/>
      <c r="Z676" s="114"/>
    </row>
    <row r="677">
      <c r="A677" s="1"/>
      <c r="B677" s="114"/>
      <c r="C677" s="114"/>
      <c r="D677" s="114"/>
      <c r="E677" s="114"/>
      <c r="F677" s="114"/>
      <c r="G677" s="114"/>
      <c r="H677" s="114"/>
      <c r="I677" s="114"/>
      <c r="J677" s="114"/>
      <c r="K677" s="114"/>
      <c r="L677" s="114"/>
      <c r="M677" s="114"/>
      <c r="N677" s="114"/>
      <c r="O677" s="114"/>
      <c r="P677" s="114"/>
      <c r="Q677" s="114"/>
      <c r="R677" s="114"/>
      <c r="S677" s="114"/>
      <c r="T677" s="114"/>
      <c r="U677" s="114"/>
      <c r="V677" s="114"/>
      <c r="W677" s="114"/>
      <c r="X677" s="114"/>
      <c r="Y677" s="114"/>
      <c r="Z677" s="114"/>
    </row>
    <row r="678">
      <c r="A678" s="1"/>
      <c r="B678" s="114"/>
      <c r="C678" s="114"/>
      <c r="D678" s="114"/>
      <c r="E678" s="114"/>
      <c r="F678" s="114"/>
      <c r="G678" s="114"/>
      <c r="H678" s="114"/>
      <c r="I678" s="114"/>
      <c r="J678" s="114"/>
      <c r="K678" s="114"/>
      <c r="L678" s="114"/>
      <c r="M678" s="114"/>
      <c r="N678" s="114"/>
      <c r="O678" s="114"/>
      <c r="P678" s="114"/>
      <c r="Q678" s="114"/>
      <c r="R678" s="114"/>
      <c r="S678" s="114"/>
      <c r="T678" s="114"/>
      <c r="U678" s="114"/>
      <c r="V678" s="114"/>
      <c r="W678" s="114"/>
      <c r="X678" s="114"/>
      <c r="Y678" s="114"/>
      <c r="Z678" s="114"/>
    </row>
    <row r="679">
      <c r="A679" s="1"/>
      <c r="B679" s="114"/>
      <c r="C679" s="114"/>
      <c r="D679" s="114"/>
      <c r="E679" s="114"/>
      <c r="F679" s="114"/>
      <c r="G679" s="114"/>
      <c r="H679" s="114"/>
      <c r="I679" s="114"/>
      <c r="J679" s="114"/>
      <c r="K679" s="114"/>
      <c r="L679" s="114"/>
      <c r="M679" s="114"/>
      <c r="N679" s="114"/>
      <c r="O679" s="114"/>
      <c r="P679" s="114"/>
      <c r="Q679" s="114"/>
      <c r="R679" s="114"/>
      <c r="S679" s="114"/>
      <c r="T679" s="114"/>
      <c r="U679" s="114"/>
      <c r="V679" s="114"/>
      <c r="W679" s="114"/>
      <c r="X679" s="114"/>
      <c r="Y679" s="114"/>
      <c r="Z679" s="114"/>
    </row>
    <row r="680">
      <c r="A680" s="1"/>
      <c r="B680" s="114"/>
      <c r="C680" s="114"/>
      <c r="D680" s="114"/>
      <c r="E680" s="114"/>
      <c r="F680" s="114"/>
      <c r="G680" s="114"/>
      <c r="H680" s="114"/>
      <c r="I680" s="114"/>
      <c r="J680" s="114"/>
      <c r="K680" s="114"/>
      <c r="L680" s="114"/>
      <c r="M680" s="114"/>
      <c r="N680" s="114"/>
      <c r="O680" s="114"/>
      <c r="P680" s="114"/>
      <c r="Q680" s="114"/>
      <c r="R680" s="114"/>
      <c r="S680" s="114"/>
      <c r="T680" s="114"/>
      <c r="U680" s="114"/>
      <c r="V680" s="114"/>
      <c r="W680" s="114"/>
      <c r="X680" s="114"/>
      <c r="Y680" s="114"/>
      <c r="Z680" s="114"/>
    </row>
    <row r="681">
      <c r="A681" s="1"/>
      <c r="B681" s="114"/>
      <c r="C681" s="114"/>
      <c r="D681" s="114"/>
      <c r="E681" s="114"/>
      <c r="F681" s="114"/>
      <c r="G681" s="114"/>
      <c r="H681" s="114"/>
      <c r="I681" s="114"/>
      <c r="J681" s="114"/>
      <c r="K681" s="114"/>
      <c r="L681" s="114"/>
      <c r="M681" s="114"/>
      <c r="N681" s="114"/>
      <c r="O681" s="114"/>
      <c r="P681" s="114"/>
      <c r="Q681" s="114"/>
      <c r="R681" s="114"/>
      <c r="S681" s="114"/>
      <c r="T681" s="114"/>
      <c r="U681" s="114"/>
      <c r="V681" s="114"/>
      <c r="W681" s="114"/>
      <c r="X681" s="114"/>
      <c r="Y681" s="114"/>
      <c r="Z681" s="114"/>
    </row>
    <row r="682">
      <c r="A682" s="1"/>
      <c r="B682" s="114"/>
      <c r="C682" s="114"/>
      <c r="D682" s="114"/>
      <c r="E682" s="114"/>
      <c r="F682" s="114"/>
      <c r="G682" s="114"/>
      <c r="H682" s="114"/>
      <c r="I682" s="114"/>
      <c r="J682" s="114"/>
      <c r="K682" s="114"/>
      <c r="L682" s="114"/>
      <c r="M682" s="114"/>
      <c r="N682" s="114"/>
      <c r="O682" s="114"/>
      <c r="P682" s="114"/>
      <c r="Q682" s="114"/>
      <c r="R682" s="114"/>
      <c r="S682" s="114"/>
      <c r="T682" s="114"/>
      <c r="U682" s="114"/>
      <c r="V682" s="114"/>
      <c r="W682" s="114"/>
      <c r="X682" s="114"/>
      <c r="Y682" s="114"/>
      <c r="Z682" s="114"/>
    </row>
    <row r="683">
      <c r="A683" s="1"/>
      <c r="B683" s="114"/>
      <c r="C683" s="114"/>
      <c r="D683" s="114"/>
      <c r="E683" s="114"/>
      <c r="F683" s="114"/>
      <c r="G683" s="114"/>
      <c r="H683" s="114"/>
      <c r="I683" s="114"/>
      <c r="J683" s="114"/>
      <c r="K683" s="114"/>
      <c r="L683" s="114"/>
      <c r="M683" s="114"/>
      <c r="N683" s="114"/>
      <c r="O683" s="114"/>
      <c r="P683" s="114"/>
      <c r="Q683" s="114"/>
      <c r="R683" s="114"/>
      <c r="S683" s="114"/>
      <c r="T683" s="114"/>
      <c r="U683" s="114"/>
      <c r="V683" s="114"/>
      <c r="W683" s="114"/>
      <c r="X683" s="114"/>
      <c r="Y683" s="114"/>
      <c r="Z683" s="114"/>
    </row>
    <row r="684">
      <c r="A684" s="1"/>
      <c r="B684" s="114"/>
      <c r="C684" s="114"/>
      <c r="D684" s="114"/>
      <c r="E684" s="114"/>
      <c r="F684" s="114"/>
      <c r="G684" s="114"/>
      <c r="H684" s="114"/>
      <c r="I684" s="114"/>
      <c r="J684" s="114"/>
      <c r="K684" s="114"/>
      <c r="L684" s="114"/>
      <c r="M684" s="114"/>
      <c r="N684" s="114"/>
      <c r="O684" s="114"/>
      <c r="P684" s="114"/>
      <c r="Q684" s="114"/>
      <c r="R684" s="114"/>
      <c r="S684" s="114"/>
      <c r="T684" s="114"/>
      <c r="U684" s="114"/>
      <c r="V684" s="114"/>
      <c r="W684" s="114"/>
      <c r="X684" s="114"/>
      <c r="Y684" s="114"/>
      <c r="Z684" s="114"/>
    </row>
    <row r="685">
      <c r="A685" s="1"/>
      <c r="B685" s="114"/>
      <c r="C685" s="114"/>
      <c r="D685" s="114"/>
      <c r="E685" s="114"/>
      <c r="F685" s="114"/>
      <c r="G685" s="114"/>
      <c r="H685" s="114"/>
      <c r="I685" s="114"/>
      <c r="J685" s="114"/>
      <c r="K685" s="114"/>
      <c r="L685" s="114"/>
      <c r="M685" s="114"/>
      <c r="N685" s="114"/>
      <c r="O685" s="114"/>
      <c r="P685" s="114"/>
      <c r="Q685" s="114"/>
      <c r="R685" s="114"/>
      <c r="S685" s="114"/>
      <c r="T685" s="114"/>
      <c r="U685" s="114"/>
      <c r="V685" s="114"/>
      <c r="W685" s="114"/>
      <c r="X685" s="114"/>
      <c r="Y685" s="114"/>
      <c r="Z685" s="114"/>
    </row>
    <row r="686">
      <c r="A686" s="1"/>
      <c r="B686" s="114"/>
      <c r="C686" s="114"/>
      <c r="D686" s="114"/>
      <c r="E686" s="114"/>
      <c r="F686" s="114"/>
      <c r="G686" s="114"/>
      <c r="H686" s="114"/>
      <c r="I686" s="114"/>
      <c r="J686" s="114"/>
      <c r="K686" s="114"/>
      <c r="L686" s="114"/>
      <c r="M686" s="114"/>
      <c r="N686" s="114"/>
      <c r="O686" s="114"/>
      <c r="P686" s="114"/>
      <c r="Q686" s="114"/>
      <c r="R686" s="114"/>
      <c r="S686" s="114"/>
      <c r="T686" s="114"/>
      <c r="U686" s="114"/>
      <c r="V686" s="114"/>
      <c r="W686" s="114"/>
      <c r="X686" s="114"/>
      <c r="Y686" s="114"/>
      <c r="Z686" s="114"/>
    </row>
    <row r="687">
      <c r="A687" s="1"/>
      <c r="B687" s="114"/>
      <c r="C687" s="114"/>
      <c r="D687" s="114"/>
      <c r="E687" s="114"/>
      <c r="F687" s="114"/>
      <c r="G687" s="114"/>
      <c r="H687" s="114"/>
      <c r="I687" s="114"/>
      <c r="J687" s="114"/>
      <c r="K687" s="114"/>
      <c r="L687" s="114"/>
      <c r="M687" s="114"/>
      <c r="N687" s="114"/>
      <c r="O687" s="114"/>
      <c r="P687" s="114"/>
      <c r="Q687" s="114"/>
      <c r="R687" s="114"/>
      <c r="S687" s="114"/>
      <c r="T687" s="114"/>
      <c r="U687" s="114"/>
      <c r="V687" s="114"/>
      <c r="W687" s="114"/>
      <c r="X687" s="114"/>
      <c r="Y687" s="114"/>
      <c r="Z687" s="114"/>
    </row>
    <row r="688">
      <c r="A688" s="1"/>
      <c r="B688" s="114"/>
      <c r="C688" s="114"/>
      <c r="D688" s="114"/>
      <c r="E688" s="114"/>
      <c r="F688" s="114"/>
      <c r="G688" s="114"/>
      <c r="H688" s="114"/>
      <c r="I688" s="114"/>
      <c r="J688" s="114"/>
      <c r="K688" s="114"/>
      <c r="L688" s="114"/>
      <c r="M688" s="114"/>
      <c r="N688" s="114"/>
      <c r="O688" s="114"/>
      <c r="P688" s="114"/>
      <c r="Q688" s="114"/>
      <c r="R688" s="114"/>
      <c r="S688" s="114"/>
      <c r="T688" s="114"/>
      <c r="U688" s="114"/>
      <c r="V688" s="114"/>
      <c r="W688" s="114"/>
      <c r="X688" s="114"/>
      <c r="Y688" s="114"/>
      <c r="Z688" s="114"/>
    </row>
    <row r="689">
      <c r="A689" s="1"/>
      <c r="B689" s="114"/>
      <c r="C689" s="114"/>
      <c r="D689" s="114"/>
      <c r="E689" s="114"/>
      <c r="F689" s="114"/>
      <c r="G689" s="114"/>
      <c r="H689" s="114"/>
      <c r="I689" s="114"/>
      <c r="J689" s="114"/>
      <c r="K689" s="114"/>
      <c r="L689" s="114"/>
      <c r="M689" s="114"/>
      <c r="N689" s="114"/>
      <c r="O689" s="114"/>
      <c r="P689" s="114"/>
      <c r="Q689" s="114"/>
      <c r="R689" s="114"/>
      <c r="S689" s="114"/>
      <c r="T689" s="114"/>
      <c r="U689" s="114"/>
      <c r="V689" s="114"/>
      <c r="W689" s="114"/>
      <c r="X689" s="114"/>
      <c r="Y689" s="114"/>
      <c r="Z689" s="114"/>
    </row>
    <row r="690">
      <c r="A690" s="1"/>
      <c r="B690" s="114"/>
      <c r="C690" s="114"/>
      <c r="D690" s="114"/>
      <c r="E690" s="114"/>
      <c r="F690" s="114"/>
      <c r="G690" s="114"/>
      <c r="H690" s="114"/>
      <c r="I690" s="114"/>
      <c r="J690" s="114"/>
      <c r="K690" s="114"/>
      <c r="L690" s="114"/>
      <c r="M690" s="114"/>
      <c r="N690" s="114"/>
      <c r="O690" s="114"/>
      <c r="P690" s="114"/>
      <c r="Q690" s="114"/>
      <c r="R690" s="114"/>
      <c r="S690" s="114"/>
      <c r="T690" s="114"/>
      <c r="U690" s="114"/>
      <c r="V690" s="114"/>
      <c r="W690" s="114"/>
      <c r="X690" s="114"/>
      <c r="Y690" s="114"/>
      <c r="Z690" s="114"/>
    </row>
    <row r="691">
      <c r="A691" s="1"/>
      <c r="B691" s="114"/>
      <c r="C691" s="114"/>
      <c r="D691" s="114"/>
      <c r="E691" s="114"/>
      <c r="F691" s="114"/>
      <c r="G691" s="114"/>
      <c r="H691" s="114"/>
      <c r="I691" s="114"/>
      <c r="J691" s="114"/>
      <c r="K691" s="114"/>
      <c r="L691" s="114"/>
      <c r="M691" s="114"/>
      <c r="N691" s="114"/>
      <c r="O691" s="114"/>
      <c r="P691" s="114"/>
      <c r="Q691" s="114"/>
      <c r="R691" s="114"/>
      <c r="S691" s="114"/>
      <c r="T691" s="114"/>
      <c r="U691" s="114"/>
      <c r="V691" s="114"/>
      <c r="W691" s="114"/>
      <c r="X691" s="114"/>
      <c r="Y691" s="114"/>
      <c r="Z691" s="114"/>
    </row>
    <row r="692">
      <c r="A692" s="1"/>
      <c r="B692" s="114"/>
      <c r="C692" s="114"/>
      <c r="D692" s="114"/>
      <c r="E692" s="114"/>
      <c r="F692" s="114"/>
      <c r="G692" s="114"/>
      <c r="H692" s="114"/>
      <c r="I692" s="114"/>
      <c r="J692" s="114"/>
      <c r="K692" s="114"/>
      <c r="L692" s="114"/>
      <c r="M692" s="114"/>
      <c r="N692" s="114"/>
      <c r="O692" s="114"/>
      <c r="P692" s="114"/>
      <c r="Q692" s="114"/>
      <c r="R692" s="114"/>
      <c r="S692" s="114"/>
      <c r="T692" s="114"/>
      <c r="U692" s="114"/>
      <c r="V692" s="114"/>
      <c r="W692" s="114"/>
      <c r="X692" s="114"/>
      <c r="Y692" s="114"/>
      <c r="Z692" s="114"/>
    </row>
    <row r="693">
      <c r="A693" s="1"/>
      <c r="B693" s="114"/>
      <c r="C693" s="114"/>
      <c r="D693" s="114"/>
      <c r="E693" s="114"/>
      <c r="F693" s="114"/>
      <c r="G693" s="114"/>
      <c r="H693" s="114"/>
      <c r="I693" s="114"/>
      <c r="J693" s="114"/>
      <c r="K693" s="114"/>
      <c r="L693" s="114"/>
      <c r="M693" s="114"/>
      <c r="N693" s="114"/>
      <c r="O693" s="114"/>
      <c r="P693" s="114"/>
      <c r="Q693" s="114"/>
      <c r="R693" s="114"/>
      <c r="S693" s="114"/>
      <c r="T693" s="114"/>
      <c r="U693" s="114"/>
      <c r="V693" s="114"/>
      <c r="W693" s="114"/>
      <c r="X693" s="114"/>
      <c r="Y693" s="114"/>
      <c r="Z693" s="114"/>
    </row>
    <row r="694">
      <c r="A694" s="1"/>
      <c r="B694" s="114"/>
      <c r="C694" s="114"/>
      <c r="D694" s="114"/>
      <c r="E694" s="114"/>
      <c r="F694" s="114"/>
      <c r="G694" s="114"/>
      <c r="H694" s="114"/>
      <c r="I694" s="114"/>
      <c r="J694" s="114"/>
      <c r="K694" s="114"/>
      <c r="L694" s="114"/>
      <c r="M694" s="114"/>
      <c r="N694" s="114"/>
      <c r="O694" s="114"/>
      <c r="P694" s="114"/>
      <c r="Q694" s="114"/>
      <c r="R694" s="114"/>
      <c r="S694" s="114"/>
      <c r="T694" s="114"/>
      <c r="U694" s="114"/>
      <c r="V694" s="114"/>
      <c r="W694" s="114"/>
      <c r="X694" s="114"/>
      <c r="Y694" s="114"/>
      <c r="Z694" s="114"/>
    </row>
    <row r="695">
      <c r="A695" s="1"/>
      <c r="B695" s="114"/>
      <c r="C695" s="114"/>
      <c r="D695" s="114"/>
      <c r="E695" s="114"/>
      <c r="F695" s="114"/>
      <c r="G695" s="114"/>
      <c r="H695" s="114"/>
      <c r="I695" s="114"/>
      <c r="J695" s="114"/>
      <c r="K695" s="114"/>
      <c r="L695" s="114"/>
      <c r="M695" s="114"/>
      <c r="N695" s="114"/>
      <c r="O695" s="114"/>
      <c r="P695" s="114"/>
      <c r="Q695" s="114"/>
      <c r="R695" s="114"/>
      <c r="S695" s="114"/>
      <c r="T695" s="114"/>
      <c r="U695" s="114"/>
      <c r="V695" s="114"/>
      <c r="W695" s="114"/>
      <c r="X695" s="114"/>
      <c r="Y695" s="114"/>
      <c r="Z695" s="114"/>
    </row>
    <row r="696">
      <c r="A696" s="1"/>
      <c r="B696" s="114"/>
      <c r="C696" s="114"/>
      <c r="D696" s="114"/>
      <c r="E696" s="114"/>
      <c r="F696" s="114"/>
      <c r="G696" s="114"/>
      <c r="H696" s="114"/>
      <c r="I696" s="114"/>
      <c r="J696" s="114"/>
      <c r="K696" s="114"/>
      <c r="L696" s="114"/>
      <c r="M696" s="114"/>
      <c r="N696" s="114"/>
      <c r="O696" s="114"/>
      <c r="P696" s="114"/>
      <c r="Q696" s="114"/>
      <c r="R696" s="114"/>
      <c r="S696" s="114"/>
      <c r="T696" s="114"/>
      <c r="U696" s="114"/>
      <c r="V696" s="114"/>
      <c r="W696" s="114"/>
      <c r="X696" s="114"/>
      <c r="Y696" s="114"/>
      <c r="Z696" s="114"/>
    </row>
    <row r="697">
      <c r="A697" s="1"/>
      <c r="B697" s="114"/>
      <c r="C697" s="114"/>
      <c r="D697" s="114"/>
      <c r="E697" s="114"/>
      <c r="F697" s="114"/>
      <c r="G697" s="114"/>
      <c r="H697" s="114"/>
      <c r="I697" s="114"/>
      <c r="J697" s="114"/>
      <c r="K697" s="114"/>
      <c r="L697" s="114"/>
      <c r="M697" s="114"/>
      <c r="N697" s="114"/>
      <c r="O697" s="114"/>
      <c r="P697" s="114"/>
      <c r="Q697" s="114"/>
      <c r="R697" s="114"/>
      <c r="S697" s="114"/>
      <c r="T697" s="114"/>
      <c r="U697" s="114"/>
      <c r="V697" s="114"/>
      <c r="W697" s="114"/>
      <c r="X697" s="114"/>
      <c r="Y697" s="114"/>
      <c r="Z697" s="114"/>
    </row>
    <row r="698">
      <c r="A698" s="1"/>
      <c r="B698" s="114"/>
      <c r="C698" s="114"/>
      <c r="D698" s="114"/>
      <c r="E698" s="114"/>
      <c r="F698" s="114"/>
      <c r="G698" s="114"/>
      <c r="H698" s="114"/>
      <c r="I698" s="114"/>
      <c r="J698" s="114"/>
      <c r="K698" s="114"/>
      <c r="L698" s="114"/>
      <c r="M698" s="114"/>
      <c r="N698" s="114"/>
      <c r="O698" s="114"/>
      <c r="P698" s="114"/>
      <c r="Q698" s="114"/>
      <c r="R698" s="114"/>
      <c r="S698" s="114"/>
      <c r="T698" s="114"/>
      <c r="U698" s="114"/>
      <c r="V698" s="114"/>
      <c r="W698" s="114"/>
      <c r="X698" s="114"/>
      <c r="Y698" s="114"/>
      <c r="Z698" s="114"/>
    </row>
    <row r="699">
      <c r="A699" s="1"/>
      <c r="B699" s="114"/>
      <c r="C699" s="114"/>
      <c r="D699" s="114"/>
      <c r="E699" s="114"/>
      <c r="F699" s="114"/>
      <c r="G699" s="114"/>
      <c r="H699" s="114"/>
      <c r="I699" s="114"/>
      <c r="J699" s="114"/>
      <c r="K699" s="114"/>
      <c r="L699" s="114"/>
      <c r="M699" s="114"/>
      <c r="N699" s="114"/>
      <c r="O699" s="114"/>
      <c r="P699" s="114"/>
      <c r="Q699" s="114"/>
      <c r="R699" s="114"/>
      <c r="S699" s="114"/>
      <c r="T699" s="114"/>
      <c r="U699" s="114"/>
      <c r="V699" s="114"/>
      <c r="W699" s="114"/>
      <c r="X699" s="114"/>
      <c r="Y699" s="114"/>
      <c r="Z699" s="114"/>
    </row>
    <row r="700">
      <c r="A700" s="1"/>
      <c r="B700" s="114"/>
      <c r="C700" s="114"/>
      <c r="D700" s="114"/>
      <c r="E700" s="114"/>
      <c r="F700" s="114"/>
      <c r="G700" s="114"/>
      <c r="H700" s="114"/>
      <c r="I700" s="114"/>
      <c r="J700" s="114"/>
      <c r="K700" s="114"/>
      <c r="L700" s="114"/>
      <c r="M700" s="114"/>
      <c r="N700" s="114"/>
      <c r="O700" s="114"/>
      <c r="P700" s="114"/>
      <c r="Q700" s="114"/>
      <c r="R700" s="114"/>
      <c r="S700" s="114"/>
      <c r="T700" s="114"/>
      <c r="U700" s="114"/>
      <c r="V700" s="114"/>
      <c r="W700" s="114"/>
      <c r="X700" s="114"/>
      <c r="Y700" s="114"/>
      <c r="Z700" s="114"/>
    </row>
    <row r="701">
      <c r="A701" s="1"/>
      <c r="B701" s="114"/>
      <c r="C701" s="114"/>
      <c r="D701" s="114"/>
      <c r="E701" s="114"/>
      <c r="F701" s="114"/>
      <c r="G701" s="114"/>
      <c r="H701" s="114"/>
      <c r="I701" s="114"/>
      <c r="J701" s="114"/>
      <c r="K701" s="114"/>
      <c r="L701" s="114"/>
      <c r="M701" s="114"/>
      <c r="N701" s="114"/>
      <c r="O701" s="114"/>
      <c r="P701" s="114"/>
      <c r="Q701" s="114"/>
      <c r="R701" s="114"/>
      <c r="S701" s="114"/>
      <c r="T701" s="114"/>
      <c r="U701" s="114"/>
      <c r="V701" s="114"/>
      <c r="W701" s="114"/>
      <c r="X701" s="114"/>
      <c r="Y701" s="114"/>
      <c r="Z701" s="114"/>
    </row>
    <row r="702">
      <c r="A702" s="1"/>
      <c r="B702" s="114"/>
      <c r="C702" s="114"/>
      <c r="D702" s="114"/>
      <c r="E702" s="114"/>
      <c r="F702" s="114"/>
      <c r="G702" s="114"/>
      <c r="H702" s="114"/>
      <c r="I702" s="114"/>
      <c r="J702" s="114"/>
      <c r="K702" s="114"/>
      <c r="L702" s="114"/>
      <c r="M702" s="114"/>
      <c r="N702" s="114"/>
      <c r="O702" s="114"/>
      <c r="P702" s="114"/>
      <c r="Q702" s="114"/>
      <c r="R702" s="114"/>
      <c r="S702" s="114"/>
      <c r="T702" s="114"/>
      <c r="U702" s="114"/>
      <c r="V702" s="114"/>
      <c r="W702" s="114"/>
      <c r="X702" s="114"/>
      <c r="Y702" s="114"/>
      <c r="Z702" s="114"/>
    </row>
    <row r="703">
      <c r="A703" s="1"/>
      <c r="B703" s="114"/>
      <c r="C703" s="114"/>
      <c r="D703" s="114"/>
      <c r="E703" s="114"/>
      <c r="F703" s="114"/>
      <c r="G703" s="114"/>
      <c r="H703" s="114"/>
      <c r="I703" s="114"/>
      <c r="J703" s="114"/>
      <c r="K703" s="114"/>
      <c r="L703" s="114"/>
      <c r="M703" s="114"/>
      <c r="N703" s="114"/>
      <c r="O703" s="114"/>
      <c r="P703" s="114"/>
      <c r="Q703" s="114"/>
      <c r="R703" s="114"/>
      <c r="S703" s="114"/>
      <c r="T703" s="114"/>
      <c r="U703" s="114"/>
      <c r="V703" s="114"/>
      <c r="W703" s="114"/>
      <c r="X703" s="114"/>
      <c r="Y703" s="114"/>
      <c r="Z703" s="114"/>
    </row>
    <row r="704">
      <c r="A704" s="1"/>
      <c r="B704" s="114"/>
      <c r="C704" s="114"/>
      <c r="D704" s="114"/>
      <c r="E704" s="114"/>
      <c r="F704" s="114"/>
      <c r="G704" s="114"/>
      <c r="H704" s="114"/>
      <c r="I704" s="114"/>
      <c r="J704" s="114"/>
      <c r="K704" s="114"/>
      <c r="L704" s="114"/>
      <c r="M704" s="114"/>
      <c r="N704" s="114"/>
      <c r="O704" s="114"/>
      <c r="P704" s="114"/>
      <c r="Q704" s="114"/>
      <c r="R704" s="114"/>
      <c r="S704" s="114"/>
      <c r="T704" s="114"/>
      <c r="U704" s="114"/>
      <c r="V704" s="114"/>
      <c r="W704" s="114"/>
      <c r="X704" s="114"/>
      <c r="Y704" s="114"/>
      <c r="Z704" s="114"/>
    </row>
    <row r="705">
      <c r="A705" s="1"/>
      <c r="B705" s="114"/>
      <c r="C705" s="114"/>
      <c r="D705" s="114"/>
      <c r="E705" s="114"/>
      <c r="F705" s="114"/>
      <c r="G705" s="114"/>
      <c r="H705" s="114"/>
      <c r="I705" s="114"/>
      <c r="J705" s="114"/>
      <c r="K705" s="114"/>
      <c r="L705" s="114"/>
      <c r="M705" s="114"/>
      <c r="N705" s="114"/>
      <c r="O705" s="114"/>
      <c r="P705" s="114"/>
      <c r="Q705" s="114"/>
      <c r="R705" s="114"/>
      <c r="S705" s="114"/>
      <c r="T705" s="114"/>
      <c r="U705" s="114"/>
      <c r="V705" s="114"/>
      <c r="W705" s="114"/>
      <c r="X705" s="114"/>
      <c r="Y705" s="114"/>
      <c r="Z705" s="114"/>
    </row>
    <row r="706">
      <c r="A706" s="1"/>
      <c r="B706" s="114"/>
      <c r="C706" s="114"/>
      <c r="D706" s="114"/>
      <c r="E706" s="114"/>
      <c r="F706" s="114"/>
      <c r="G706" s="114"/>
      <c r="H706" s="114"/>
      <c r="I706" s="114"/>
      <c r="J706" s="114"/>
      <c r="K706" s="114"/>
      <c r="L706" s="114"/>
      <c r="M706" s="114"/>
      <c r="N706" s="114"/>
      <c r="O706" s="114"/>
      <c r="P706" s="114"/>
      <c r="Q706" s="114"/>
      <c r="R706" s="114"/>
      <c r="S706" s="114"/>
      <c r="T706" s="114"/>
      <c r="U706" s="114"/>
      <c r="V706" s="114"/>
      <c r="W706" s="114"/>
      <c r="X706" s="114"/>
      <c r="Y706" s="114"/>
      <c r="Z706" s="114"/>
    </row>
    <row r="707">
      <c r="A707" s="1"/>
      <c r="B707" s="114"/>
      <c r="C707" s="114"/>
      <c r="D707" s="114"/>
      <c r="E707" s="114"/>
      <c r="F707" s="114"/>
      <c r="G707" s="114"/>
      <c r="H707" s="114"/>
      <c r="I707" s="114"/>
      <c r="J707" s="114"/>
      <c r="K707" s="114"/>
      <c r="L707" s="114"/>
      <c r="M707" s="114"/>
      <c r="N707" s="114"/>
      <c r="O707" s="114"/>
      <c r="P707" s="114"/>
      <c r="Q707" s="114"/>
      <c r="R707" s="114"/>
      <c r="S707" s="114"/>
      <c r="T707" s="114"/>
      <c r="U707" s="114"/>
      <c r="V707" s="114"/>
      <c r="W707" s="114"/>
      <c r="X707" s="114"/>
      <c r="Y707" s="114"/>
      <c r="Z707" s="114"/>
    </row>
    <row r="708">
      <c r="A708" s="1"/>
      <c r="B708" s="114"/>
      <c r="C708" s="114"/>
      <c r="D708" s="114"/>
      <c r="E708" s="114"/>
      <c r="F708" s="114"/>
      <c r="G708" s="114"/>
      <c r="H708" s="114"/>
      <c r="I708" s="114"/>
      <c r="J708" s="114"/>
      <c r="K708" s="114"/>
      <c r="L708" s="114"/>
      <c r="M708" s="114"/>
      <c r="N708" s="114"/>
      <c r="O708" s="114"/>
      <c r="P708" s="114"/>
      <c r="Q708" s="114"/>
      <c r="R708" s="114"/>
      <c r="S708" s="114"/>
      <c r="T708" s="114"/>
      <c r="U708" s="114"/>
      <c r="V708" s="114"/>
      <c r="W708" s="114"/>
      <c r="X708" s="114"/>
      <c r="Y708" s="114"/>
      <c r="Z708" s="114"/>
    </row>
    <row r="709">
      <c r="A709" s="1"/>
      <c r="B709" s="114"/>
      <c r="C709" s="114"/>
      <c r="D709" s="114"/>
      <c r="E709" s="114"/>
      <c r="F709" s="114"/>
      <c r="G709" s="114"/>
      <c r="H709" s="114"/>
      <c r="I709" s="114"/>
      <c r="J709" s="114"/>
      <c r="K709" s="114"/>
      <c r="L709" s="114"/>
      <c r="M709" s="114"/>
      <c r="N709" s="114"/>
      <c r="O709" s="114"/>
      <c r="P709" s="114"/>
      <c r="Q709" s="114"/>
      <c r="R709" s="114"/>
      <c r="S709" s="114"/>
      <c r="T709" s="114"/>
      <c r="U709" s="114"/>
      <c r="V709" s="114"/>
      <c r="W709" s="114"/>
      <c r="X709" s="114"/>
      <c r="Y709" s="114"/>
      <c r="Z709" s="114"/>
    </row>
    <row r="710">
      <c r="A710" s="1"/>
      <c r="B710" s="114"/>
      <c r="C710" s="114"/>
      <c r="D710" s="114"/>
      <c r="E710" s="114"/>
      <c r="F710" s="114"/>
      <c r="G710" s="114"/>
      <c r="H710" s="114"/>
      <c r="I710" s="114"/>
      <c r="J710" s="114"/>
      <c r="K710" s="114"/>
      <c r="L710" s="114"/>
      <c r="M710" s="114"/>
      <c r="N710" s="114"/>
      <c r="O710" s="114"/>
      <c r="P710" s="114"/>
      <c r="Q710" s="114"/>
      <c r="R710" s="114"/>
      <c r="S710" s="114"/>
      <c r="T710" s="114"/>
      <c r="U710" s="114"/>
      <c r="V710" s="114"/>
      <c r="W710" s="114"/>
      <c r="X710" s="114"/>
      <c r="Y710" s="114"/>
      <c r="Z710" s="114"/>
    </row>
    <row r="711">
      <c r="A711" s="1"/>
      <c r="B711" s="114"/>
      <c r="C711" s="114"/>
      <c r="D711" s="114"/>
      <c r="E711" s="114"/>
      <c r="F711" s="114"/>
      <c r="G711" s="114"/>
      <c r="H711" s="114"/>
      <c r="I711" s="114"/>
      <c r="J711" s="114"/>
      <c r="K711" s="114"/>
      <c r="L711" s="114"/>
      <c r="M711" s="114"/>
      <c r="N711" s="114"/>
      <c r="O711" s="114"/>
      <c r="P711" s="114"/>
      <c r="Q711" s="114"/>
      <c r="R711" s="114"/>
      <c r="S711" s="114"/>
      <c r="T711" s="114"/>
      <c r="U711" s="114"/>
      <c r="V711" s="114"/>
      <c r="W711" s="114"/>
      <c r="X711" s="114"/>
      <c r="Y711" s="114"/>
      <c r="Z711" s="114"/>
    </row>
    <row r="712">
      <c r="A712" s="1"/>
      <c r="B712" s="114"/>
      <c r="C712" s="114"/>
      <c r="D712" s="114"/>
      <c r="E712" s="114"/>
      <c r="F712" s="114"/>
      <c r="G712" s="114"/>
      <c r="H712" s="114"/>
      <c r="I712" s="114"/>
      <c r="J712" s="114"/>
      <c r="K712" s="114"/>
      <c r="L712" s="114"/>
      <c r="M712" s="114"/>
      <c r="N712" s="114"/>
      <c r="O712" s="114"/>
      <c r="P712" s="114"/>
      <c r="Q712" s="114"/>
      <c r="R712" s="114"/>
      <c r="S712" s="114"/>
      <c r="T712" s="114"/>
      <c r="U712" s="114"/>
      <c r="V712" s="114"/>
      <c r="W712" s="114"/>
      <c r="X712" s="114"/>
      <c r="Y712" s="114"/>
      <c r="Z712" s="114"/>
    </row>
    <row r="713">
      <c r="A713" s="1"/>
      <c r="B713" s="114"/>
      <c r="C713" s="114"/>
      <c r="D713" s="114"/>
      <c r="E713" s="114"/>
      <c r="F713" s="114"/>
      <c r="G713" s="114"/>
      <c r="H713" s="114"/>
      <c r="I713" s="114"/>
      <c r="J713" s="114"/>
      <c r="K713" s="114"/>
      <c r="L713" s="114"/>
      <c r="M713" s="114"/>
      <c r="N713" s="114"/>
      <c r="O713" s="114"/>
      <c r="P713" s="114"/>
      <c r="Q713" s="114"/>
      <c r="R713" s="114"/>
      <c r="S713" s="114"/>
      <c r="T713" s="114"/>
      <c r="U713" s="114"/>
      <c r="V713" s="114"/>
      <c r="W713" s="114"/>
      <c r="X713" s="114"/>
      <c r="Y713" s="114"/>
      <c r="Z713" s="114"/>
    </row>
    <row r="714">
      <c r="A714" s="1"/>
      <c r="B714" s="114"/>
      <c r="C714" s="114"/>
      <c r="D714" s="114"/>
      <c r="E714" s="114"/>
      <c r="F714" s="114"/>
      <c r="G714" s="114"/>
      <c r="H714" s="114"/>
      <c r="I714" s="114"/>
      <c r="J714" s="114"/>
      <c r="K714" s="114"/>
      <c r="L714" s="114"/>
      <c r="M714" s="114"/>
      <c r="N714" s="114"/>
      <c r="O714" s="114"/>
      <c r="P714" s="114"/>
      <c r="Q714" s="114"/>
      <c r="R714" s="114"/>
      <c r="S714" s="114"/>
      <c r="T714" s="114"/>
      <c r="U714" s="114"/>
      <c r="V714" s="114"/>
      <c r="W714" s="114"/>
      <c r="X714" s="114"/>
      <c r="Y714" s="114"/>
      <c r="Z714" s="114"/>
    </row>
    <row r="715">
      <c r="A715" s="1"/>
      <c r="B715" s="114"/>
      <c r="C715" s="114"/>
      <c r="D715" s="114"/>
      <c r="E715" s="114"/>
      <c r="F715" s="114"/>
      <c r="G715" s="114"/>
      <c r="H715" s="114"/>
      <c r="I715" s="114"/>
      <c r="J715" s="114"/>
      <c r="K715" s="114"/>
      <c r="L715" s="114"/>
      <c r="M715" s="114"/>
      <c r="N715" s="114"/>
      <c r="O715" s="114"/>
      <c r="P715" s="114"/>
      <c r="Q715" s="114"/>
      <c r="R715" s="114"/>
      <c r="S715" s="114"/>
      <c r="T715" s="114"/>
      <c r="U715" s="114"/>
      <c r="V715" s="114"/>
      <c r="W715" s="114"/>
      <c r="X715" s="114"/>
      <c r="Y715" s="114"/>
      <c r="Z715" s="114"/>
    </row>
    <row r="716">
      <c r="A716" s="1"/>
      <c r="B716" s="114"/>
      <c r="C716" s="114"/>
      <c r="D716" s="114"/>
      <c r="E716" s="114"/>
      <c r="F716" s="114"/>
      <c r="G716" s="114"/>
      <c r="H716" s="114"/>
      <c r="I716" s="114"/>
      <c r="J716" s="114"/>
      <c r="K716" s="114"/>
      <c r="L716" s="114"/>
      <c r="M716" s="114"/>
      <c r="N716" s="114"/>
      <c r="O716" s="114"/>
      <c r="P716" s="114"/>
      <c r="Q716" s="114"/>
      <c r="R716" s="114"/>
      <c r="S716" s="114"/>
      <c r="T716" s="114"/>
      <c r="U716" s="114"/>
      <c r="V716" s="114"/>
      <c r="W716" s="114"/>
      <c r="X716" s="114"/>
      <c r="Y716" s="114"/>
      <c r="Z716" s="114"/>
    </row>
    <row r="717">
      <c r="A717" s="1"/>
      <c r="B717" s="114"/>
      <c r="C717" s="114"/>
      <c r="D717" s="114"/>
      <c r="E717" s="114"/>
      <c r="F717" s="114"/>
      <c r="G717" s="114"/>
      <c r="H717" s="114"/>
      <c r="I717" s="114"/>
      <c r="J717" s="114"/>
      <c r="K717" s="114"/>
      <c r="L717" s="114"/>
      <c r="M717" s="114"/>
      <c r="N717" s="114"/>
      <c r="O717" s="114"/>
      <c r="P717" s="114"/>
      <c r="Q717" s="114"/>
      <c r="R717" s="114"/>
      <c r="S717" s="114"/>
      <c r="T717" s="114"/>
      <c r="U717" s="114"/>
      <c r="V717" s="114"/>
      <c r="W717" s="114"/>
      <c r="X717" s="114"/>
      <c r="Y717" s="114"/>
      <c r="Z717" s="114"/>
    </row>
    <row r="718">
      <c r="A718" s="1"/>
      <c r="B718" s="114"/>
      <c r="C718" s="114"/>
      <c r="D718" s="114"/>
      <c r="E718" s="114"/>
      <c r="F718" s="114"/>
      <c r="G718" s="114"/>
      <c r="H718" s="114"/>
      <c r="I718" s="114"/>
      <c r="J718" s="114"/>
      <c r="K718" s="114"/>
      <c r="L718" s="114"/>
      <c r="M718" s="114"/>
      <c r="N718" s="114"/>
      <c r="O718" s="114"/>
      <c r="P718" s="114"/>
      <c r="Q718" s="114"/>
      <c r="R718" s="114"/>
      <c r="S718" s="114"/>
      <c r="T718" s="114"/>
      <c r="U718" s="114"/>
      <c r="V718" s="114"/>
      <c r="W718" s="114"/>
      <c r="X718" s="114"/>
      <c r="Y718" s="114"/>
      <c r="Z718" s="114"/>
    </row>
    <row r="719">
      <c r="A719" s="1"/>
      <c r="B719" s="114"/>
      <c r="C719" s="114"/>
      <c r="D719" s="114"/>
      <c r="E719" s="114"/>
      <c r="F719" s="114"/>
      <c r="G719" s="114"/>
      <c r="H719" s="114"/>
      <c r="I719" s="114"/>
      <c r="J719" s="114"/>
      <c r="K719" s="114"/>
      <c r="L719" s="114"/>
      <c r="M719" s="114"/>
      <c r="N719" s="114"/>
      <c r="O719" s="114"/>
      <c r="P719" s="114"/>
      <c r="Q719" s="114"/>
      <c r="R719" s="114"/>
      <c r="S719" s="114"/>
      <c r="T719" s="114"/>
      <c r="U719" s="114"/>
      <c r="V719" s="114"/>
      <c r="W719" s="114"/>
      <c r="X719" s="114"/>
      <c r="Y719" s="114"/>
      <c r="Z719" s="114"/>
    </row>
    <row r="720">
      <c r="A720" s="1"/>
      <c r="B720" s="114"/>
      <c r="C720" s="114"/>
      <c r="D720" s="114"/>
      <c r="E720" s="114"/>
      <c r="F720" s="114"/>
      <c r="G720" s="114"/>
      <c r="H720" s="114"/>
      <c r="I720" s="114"/>
      <c r="J720" s="114"/>
      <c r="K720" s="114"/>
      <c r="L720" s="114"/>
      <c r="M720" s="114"/>
      <c r="N720" s="114"/>
      <c r="O720" s="114"/>
      <c r="P720" s="114"/>
      <c r="Q720" s="114"/>
      <c r="R720" s="114"/>
      <c r="S720" s="114"/>
      <c r="T720" s="114"/>
      <c r="U720" s="114"/>
      <c r="V720" s="114"/>
      <c r="W720" s="114"/>
      <c r="X720" s="114"/>
      <c r="Y720" s="114"/>
      <c r="Z720" s="114"/>
    </row>
    <row r="721">
      <c r="A721" s="1"/>
      <c r="B721" s="114"/>
      <c r="C721" s="114"/>
      <c r="D721" s="114"/>
      <c r="E721" s="114"/>
      <c r="F721" s="114"/>
      <c r="G721" s="114"/>
      <c r="H721" s="114"/>
      <c r="I721" s="114"/>
      <c r="J721" s="114"/>
      <c r="K721" s="114"/>
      <c r="L721" s="114"/>
      <c r="M721" s="114"/>
      <c r="N721" s="114"/>
      <c r="O721" s="114"/>
      <c r="P721" s="114"/>
      <c r="Q721" s="114"/>
      <c r="R721" s="114"/>
      <c r="S721" s="114"/>
      <c r="T721" s="114"/>
      <c r="U721" s="114"/>
      <c r="V721" s="114"/>
      <c r="W721" s="114"/>
      <c r="X721" s="114"/>
      <c r="Y721" s="114"/>
      <c r="Z721" s="114"/>
    </row>
    <row r="722">
      <c r="A722" s="1"/>
      <c r="B722" s="114"/>
      <c r="C722" s="114"/>
      <c r="D722" s="114"/>
      <c r="E722" s="114"/>
      <c r="F722" s="114"/>
      <c r="G722" s="114"/>
      <c r="H722" s="114"/>
      <c r="I722" s="114"/>
      <c r="J722" s="114"/>
      <c r="K722" s="114"/>
      <c r="L722" s="114"/>
      <c r="M722" s="114"/>
      <c r="N722" s="114"/>
      <c r="O722" s="114"/>
      <c r="P722" s="114"/>
      <c r="Q722" s="114"/>
      <c r="R722" s="114"/>
      <c r="S722" s="114"/>
      <c r="T722" s="114"/>
      <c r="U722" s="114"/>
      <c r="V722" s="114"/>
      <c r="W722" s="114"/>
      <c r="X722" s="114"/>
      <c r="Y722" s="114"/>
      <c r="Z722" s="114"/>
    </row>
    <row r="723">
      <c r="A723" s="1"/>
      <c r="B723" s="114"/>
      <c r="C723" s="114"/>
      <c r="D723" s="114"/>
      <c r="E723" s="114"/>
      <c r="F723" s="114"/>
      <c r="G723" s="114"/>
      <c r="H723" s="114"/>
      <c r="I723" s="114"/>
      <c r="J723" s="114"/>
      <c r="K723" s="114"/>
      <c r="L723" s="114"/>
      <c r="M723" s="114"/>
      <c r="N723" s="114"/>
      <c r="O723" s="114"/>
      <c r="P723" s="114"/>
      <c r="Q723" s="114"/>
      <c r="R723" s="114"/>
      <c r="S723" s="114"/>
      <c r="T723" s="114"/>
      <c r="U723" s="114"/>
      <c r="V723" s="114"/>
      <c r="W723" s="114"/>
      <c r="X723" s="114"/>
      <c r="Y723" s="114"/>
      <c r="Z723" s="114"/>
    </row>
    <row r="724">
      <c r="A724" s="1"/>
      <c r="B724" s="114"/>
      <c r="C724" s="114"/>
      <c r="D724" s="114"/>
      <c r="E724" s="114"/>
      <c r="F724" s="114"/>
      <c r="G724" s="114"/>
      <c r="H724" s="114"/>
      <c r="I724" s="114"/>
      <c r="J724" s="114"/>
      <c r="K724" s="114"/>
      <c r="L724" s="114"/>
      <c r="M724" s="114"/>
      <c r="N724" s="114"/>
      <c r="O724" s="114"/>
      <c r="P724" s="114"/>
      <c r="Q724" s="114"/>
      <c r="R724" s="114"/>
      <c r="S724" s="114"/>
      <c r="T724" s="114"/>
      <c r="U724" s="114"/>
      <c r="V724" s="114"/>
      <c r="W724" s="114"/>
      <c r="X724" s="114"/>
      <c r="Y724" s="114"/>
      <c r="Z724" s="114"/>
    </row>
    <row r="725">
      <c r="A725" s="1"/>
      <c r="B725" s="114"/>
      <c r="C725" s="114"/>
      <c r="D725" s="114"/>
      <c r="E725" s="114"/>
      <c r="F725" s="114"/>
      <c r="G725" s="114"/>
      <c r="H725" s="114"/>
      <c r="I725" s="114"/>
      <c r="J725" s="114"/>
      <c r="K725" s="114"/>
      <c r="L725" s="114"/>
      <c r="M725" s="114"/>
      <c r="N725" s="114"/>
      <c r="O725" s="114"/>
      <c r="P725" s="114"/>
      <c r="Q725" s="114"/>
      <c r="R725" s="114"/>
      <c r="S725" s="114"/>
      <c r="T725" s="114"/>
      <c r="U725" s="114"/>
      <c r="V725" s="114"/>
      <c r="W725" s="114"/>
      <c r="X725" s="114"/>
      <c r="Y725" s="114"/>
      <c r="Z725" s="114"/>
    </row>
    <row r="726">
      <c r="A726" s="1"/>
      <c r="B726" s="114"/>
      <c r="C726" s="114"/>
      <c r="D726" s="114"/>
      <c r="E726" s="114"/>
      <c r="F726" s="114"/>
      <c r="G726" s="114"/>
      <c r="H726" s="114"/>
      <c r="I726" s="114"/>
      <c r="J726" s="114"/>
      <c r="K726" s="114"/>
      <c r="L726" s="114"/>
      <c r="M726" s="114"/>
      <c r="N726" s="114"/>
      <c r="O726" s="114"/>
      <c r="P726" s="114"/>
      <c r="Q726" s="114"/>
      <c r="R726" s="114"/>
      <c r="S726" s="114"/>
      <c r="T726" s="114"/>
      <c r="U726" s="114"/>
      <c r="V726" s="114"/>
      <c r="W726" s="114"/>
      <c r="X726" s="114"/>
      <c r="Y726" s="114"/>
      <c r="Z726" s="114"/>
    </row>
    <row r="727">
      <c r="A727" s="1"/>
      <c r="B727" s="114"/>
      <c r="C727" s="114"/>
      <c r="D727" s="114"/>
      <c r="E727" s="114"/>
      <c r="F727" s="114"/>
      <c r="G727" s="114"/>
      <c r="H727" s="114"/>
      <c r="I727" s="114"/>
      <c r="J727" s="114"/>
      <c r="K727" s="114"/>
      <c r="L727" s="114"/>
      <c r="M727" s="114"/>
      <c r="N727" s="114"/>
      <c r="O727" s="114"/>
      <c r="P727" s="114"/>
      <c r="Q727" s="114"/>
      <c r="R727" s="114"/>
      <c r="S727" s="114"/>
      <c r="T727" s="114"/>
      <c r="U727" s="114"/>
      <c r="V727" s="114"/>
      <c r="W727" s="114"/>
      <c r="X727" s="114"/>
      <c r="Y727" s="114"/>
      <c r="Z727" s="114"/>
    </row>
    <row r="728">
      <c r="A728" s="1"/>
      <c r="B728" s="114"/>
      <c r="C728" s="114"/>
      <c r="D728" s="114"/>
      <c r="E728" s="114"/>
      <c r="F728" s="114"/>
      <c r="G728" s="114"/>
      <c r="H728" s="114"/>
      <c r="I728" s="114"/>
      <c r="J728" s="114"/>
      <c r="K728" s="114"/>
      <c r="L728" s="114"/>
      <c r="M728" s="114"/>
      <c r="N728" s="114"/>
      <c r="O728" s="114"/>
      <c r="P728" s="114"/>
      <c r="Q728" s="114"/>
      <c r="R728" s="114"/>
      <c r="S728" s="114"/>
      <c r="T728" s="114"/>
      <c r="U728" s="114"/>
      <c r="V728" s="114"/>
      <c r="W728" s="114"/>
      <c r="X728" s="114"/>
      <c r="Y728" s="114"/>
      <c r="Z728" s="114"/>
    </row>
    <row r="729">
      <c r="A729" s="1"/>
      <c r="B729" s="114"/>
      <c r="C729" s="114"/>
      <c r="D729" s="114"/>
      <c r="E729" s="114"/>
      <c r="F729" s="114"/>
      <c r="G729" s="114"/>
      <c r="H729" s="114"/>
      <c r="I729" s="114"/>
      <c r="J729" s="114"/>
      <c r="K729" s="114"/>
      <c r="L729" s="114"/>
      <c r="M729" s="114"/>
      <c r="N729" s="114"/>
      <c r="O729" s="114"/>
      <c r="P729" s="114"/>
      <c r="Q729" s="114"/>
      <c r="R729" s="114"/>
      <c r="S729" s="114"/>
      <c r="T729" s="114"/>
      <c r="U729" s="114"/>
      <c r="V729" s="114"/>
      <c r="W729" s="114"/>
      <c r="X729" s="114"/>
      <c r="Y729" s="114"/>
      <c r="Z729" s="114"/>
    </row>
    <row r="730">
      <c r="A730" s="1"/>
      <c r="B730" s="114"/>
      <c r="C730" s="114"/>
      <c r="D730" s="114"/>
      <c r="E730" s="114"/>
      <c r="F730" s="114"/>
      <c r="G730" s="114"/>
      <c r="H730" s="114"/>
      <c r="I730" s="114"/>
      <c r="J730" s="114"/>
      <c r="K730" s="114"/>
      <c r="L730" s="114"/>
      <c r="M730" s="114"/>
      <c r="N730" s="114"/>
      <c r="O730" s="114"/>
      <c r="P730" s="114"/>
      <c r="Q730" s="114"/>
      <c r="R730" s="114"/>
      <c r="S730" s="114"/>
      <c r="T730" s="114"/>
      <c r="U730" s="114"/>
      <c r="V730" s="114"/>
      <c r="W730" s="114"/>
      <c r="X730" s="114"/>
      <c r="Y730" s="114"/>
      <c r="Z730" s="114"/>
    </row>
    <row r="731">
      <c r="A731" s="1"/>
      <c r="B731" s="114"/>
      <c r="C731" s="114"/>
      <c r="D731" s="114"/>
      <c r="E731" s="114"/>
      <c r="F731" s="114"/>
      <c r="G731" s="114"/>
      <c r="H731" s="114"/>
      <c r="I731" s="114"/>
      <c r="J731" s="114"/>
      <c r="K731" s="114"/>
      <c r="L731" s="114"/>
      <c r="M731" s="114"/>
      <c r="N731" s="114"/>
      <c r="O731" s="114"/>
      <c r="P731" s="114"/>
      <c r="Q731" s="114"/>
      <c r="R731" s="114"/>
      <c r="S731" s="114"/>
      <c r="T731" s="114"/>
      <c r="U731" s="114"/>
      <c r="V731" s="114"/>
      <c r="W731" s="114"/>
      <c r="X731" s="114"/>
      <c r="Y731" s="114"/>
      <c r="Z731" s="114"/>
    </row>
    <row r="732">
      <c r="A732" s="1"/>
      <c r="B732" s="114"/>
      <c r="C732" s="114"/>
      <c r="D732" s="114"/>
      <c r="E732" s="114"/>
      <c r="F732" s="114"/>
      <c r="G732" s="114"/>
      <c r="H732" s="114"/>
      <c r="I732" s="114"/>
      <c r="J732" s="114"/>
      <c r="K732" s="114"/>
      <c r="L732" s="114"/>
      <c r="M732" s="114"/>
      <c r="N732" s="114"/>
      <c r="O732" s="114"/>
      <c r="P732" s="114"/>
      <c r="Q732" s="114"/>
      <c r="R732" s="114"/>
      <c r="S732" s="114"/>
      <c r="T732" s="114"/>
      <c r="U732" s="114"/>
      <c r="V732" s="114"/>
      <c r="W732" s="114"/>
      <c r="X732" s="114"/>
      <c r="Y732" s="114"/>
      <c r="Z732" s="114"/>
    </row>
    <row r="733">
      <c r="A733" s="1"/>
      <c r="B733" s="114"/>
      <c r="C733" s="114"/>
      <c r="D733" s="114"/>
      <c r="E733" s="114"/>
      <c r="F733" s="114"/>
      <c r="G733" s="114"/>
      <c r="H733" s="114"/>
      <c r="I733" s="114"/>
      <c r="J733" s="114"/>
      <c r="K733" s="114"/>
      <c r="L733" s="114"/>
      <c r="M733" s="114"/>
      <c r="N733" s="114"/>
      <c r="O733" s="114"/>
      <c r="P733" s="114"/>
      <c r="Q733" s="114"/>
      <c r="R733" s="114"/>
      <c r="S733" s="114"/>
      <c r="T733" s="114"/>
      <c r="U733" s="114"/>
      <c r="V733" s="114"/>
      <c r="W733" s="114"/>
      <c r="X733" s="114"/>
      <c r="Y733" s="114"/>
      <c r="Z733" s="114"/>
    </row>
    <row r="734">
      <c r="A734" s="1"/>
      <c r="B734" s="114"/>
      <c r="C734" s="114"/>
      <c r="D734" s="114"/>
      <c r="E734" s="114"/>
      <c r="F734" s="114"/>
      <c r="G734" s="114"/>
      <c r="H734" s="114"/>
      <c r="I734" s="114"/>
      <c r="J734" s="114"/>
      <c r="K734" s="114"/>
      <c r="L734" s="114"/>
      <c r="M734" s="114"/>
      <c r="N734" s="114"/>
      <c r="O734" s="114"/>
      <c r="P734" s="114"/>
      <c r="Q734" s="114"/>
      <c r="R734" s="114"/>
      <c r="S734" s="114"/>
      <c r="T734" s="114"/>
      <c r="U734" s="114"/>
      <c r="V734" s="114"/>
      <c r="W734" s="114"/>
      <c r="X734" s="114"/>
      <c r="Y734" s="114"/>
      <c r="Z734" s="114"/>
    </row>
    <row r="735">
      <c r="A735" s="1"/>
      <c r="B735" s="114"/>
      <c r="C735" s="114"/>
      <c r="D735" s="114"/>
      <c r="E735" s="114"/>
      <c r="F735" s="114"/>
      <c r="G735" s="114"/>
      <c r="H735" s="114"/>
      <c r="I735" s="114"/>
      <c r="J735" s="114"/>
      <c r="K735" s="114"/>
      <c r="L735" s="114"/>
      <c r="M735" s="114"/>
      <c r="N735" s="114"/>
      <c r="O735" s="114"/>
      <c r="P735" s="114"/>
      <c r="Q735" s="114"/>
      <c r="R735" s="114"/>
      <c r="S735" s="114"/>
      <c r="T735" s="114"/>
      <c r="U735" s="114"/>
      <c r="V735" s="114"/>
      <c r="W735" s="114"/>
      <c r="X735" s="114"/>
      <c r="Y735" s="114"/>
      <c r="Z735" s="114"/>
    </row>
    <row r="736">
      <c r="A736" s="1"/>
      <c r="B736" s="114"/>
      <c r="C736" s="114"/>
      <c r="D736" s="114"/>
      <c r="E736" s="114"/>
      <c r="F736" s="114"/>
      <c r="G736" s="114"/>
      <c r="H736" s="114"/>
      <c r="I736" s="114"/>
      <c r="J736" s="114"/>
      <c r="K736" s="114"/>
      <c r="L736" s="114"/>
      <c r="M736" s="114"/>
      <c r="N736" s="114"/>
      <c r="O736" s="114"/>
      <c r="P736" s="114"/>
      <c r="Q736" s="114"/>
      <c r="R736" s="114"/>
      <c r="S736" s="114"/>
      <c r="T736" s="114"/>
      <c r="U736" s="114"/>
      <c r="V736" s="114"/>
      <c r="W736" s="114"/>
      <c r="X736" s="114"/>
      <c r="Y736" s="114"/>
      <c r="Z736" s="114"/>
    </row>
    <row r="737">
      <c r="A737" s="1"/>
      <c r="B737" s="114"/>
      <c r="C737" s="114"/>
      <c r="D737" s="114"/>
      <c r="E737" s="114"/>
      <c r="F737" s="114"/>
      <c r="G737" s="114"/>
      <c r="H737" s="114"/>
      <c r="I737" s="114"/>
      <c r="J737" s="114"/>
      <c r="K737" s="114"/>
      <c r="L737" s="114"/>
      <c r="M737" s="114"/>
      <c r="N737" s="114"/>
      <c r="O737" s="114"/>
      <c r="P737" s="114"/>
      <c r="Q737" s="114"/>
      <c r="R737" s="114"/>
      <c r="S737" s="114"/>
      <c r="T737" s="114"/>
      <c r="U737" s="114"/>
      <c r="V737" s="114"/>
      <c r="W737" s="114"/>
      <c r="X737" s="114"/>
      <c r="Y737" s="114"/>
      <c r="Z737" s="114"/>
    </row>
    <row r="738">
      <c r="A738" s="1"/>
      <c r="B738" s="114"/>
      <c r="C738" s="114"/>
      <c r="D738" s="114"/>
      <c r="E738" s="114"/>
      <c r="F738" s="114"/>
      <c r="G738" s="114"/>
      <c r="H738" s="114"/>
      <c r="I738" s="114"/>
      <c r="J738" s="114"/>
      <c r="K738" s="114"/>
      <c r="L738" s="114"/>
      <c r="M738" s="114"/>
      <c r="N738" s="114"/>
      <c r="O738" s="114"/>
      <c r="P738" s="114"/>
      <c r="Q738" s="114"/>
      <c r="R738" s="114"/>
      <c r="S738" s="114"/>
      <c r="T738" s="114"/>
      <c r="U738" s="114"/>
      <c r="V738" s="114"/>
      <c r="W738" s="114"/>
      <c r="X738" s="114"/>
      <c r="Y738" s="114"/>
      <c r="Z738" s="114"/>
    </row>
    <row r="739">
      <c r="A739" s="1"/>
      <c r="B739" s="114"/>
      <c r="C739" s="114"/>
      <c r="D739" s="114"/>
      <c r="E739" s="114"/>
      <c r="F739" s="114"/>
      <c r="G739" s="114"/>
      <c r="H739" s="114"/>
      <c r="I739" s="114"/>
      <c r="J739" s="114"/>
      <c r="K739" s="114"/>
      <c r="L739" s="114"/>
      <c r="M739" s="114"/>
      <c r="N739" s="114"/>
      <c r="O739" s="114"/>
      <c r="P739" s="114"/>
      <c r="Q739" s="114"/>
      <c r="R739" s="114"/>
      <c r="S739" s="114"/>
      <c r="T739" s="114"/>
      <c r="U739" s="114"/>
      <c r="V739" s="114"/>
      <c r="W739" s="114"/>
      <c r="X739" s="114"/>
      <c r="Y739" s="114"/>
      <c r="Z739" s="114"/>
    </row>
    <row r="740">
      <c r="A740" s="1"/>
      <c r="B740" s="114"/>
      <c r="C740" s="114"/>
      <c r="D740" s="114"/>
      <c r="E740" s="114"/>
      <c r="F740" s="114"/>
      <c r="G740" s="114"/>
      <c r="H740" s="114"/>
      <c r="I740" s="114"/>
      <c r="J740" s="114"/>
      <c r="K740" s="114"/>
      <c r="L740" s="114"/>
      <c r="M740" s="114"/>
      <c r="N740" s="114"/>
      <c r="O740" s="114"/>
      <c r="P740" s="114"/>
      <c r="Q740" s="114"/>
      <c r="R740" s="114"/>
      <c r="S740" s="114"/>
      <c r="T740" s="114"/>
      <c r="U740" s="114"/>
      <c r="V740" s="114"/>
      <c r="W740" s="114"/>
      <c r="X740" s="114"/>
      <c r="Y740" s="114"/>
      <c r="Z740" s="114"/>
    </row>
    <row r="741">
      <c r="A741" s="1"/>
      <c r="B741" s="114"/>
      <c r="C741" s="114"/>
      <c r="D741" s="114"/>
      <c r="E741" s="114"/>
      <c r="F741" s="114"/>
      <c r="G741" s="114"/>
      <c r="H741" s="114"/>
      <c r="I741" s="114"/>
      <c r="J741" s="114"/>
      <c r="K741" s="114"/>
      <c r="L741" s="114"/>
      <c r="M741" s="114"/>
      <c r="N741" s="114"/>
      <c r="O741" s="114"/>
      <c r="P741" s="114"/>
      <c r="Q741" s="114"/>
      <c r="R741" s="114"/>
      <c r="S741" s="114"/>
      <c r="T741" s="114"/>
      <c r="U741" s="114"/>
      <c r="V741" s="114"/>
      <c r="W741" s="114"/>
      <c r="X741" s="114"/>
      <c r="Y741" s="114"/>
      <c r="Z741" s="114"/>
    </row>
    <row r="742">
      <c r="A742" s="1"/>
      <c r="B742" s="114"/>
      <c r="C742" s="114"/>
      <c r="D742" s="114"/>
      <c r="E742" s="114"/>
      <c r="F742" s="114"/>
      <c r="G742" s="114"/>
      <c r="H742" s="114"/>
      <c r="I742" s="114"/>
      <c r="J742" s="114"/>
      <c r="K742" s="114"/>
      <c r="L742" s="114"/>
      <c r="M742" s="114"/>
      <c r="N742" s="114"/>
      <c r="O742" s="114"/>
      <c r="P742" s="114"/>
      <c r="Q742" s="114"/>
      <c r="R742" s="114"/>
      <c r="S742" s="114"/>
      <c r="T742" s="114"/>
      <c r="U742" s="114"/>
      <c r="V742" s="114"/>
      <c r="W742" s="114"/>
      <c r="X742" s="114"/>
      <c r="Y742" s="114"/>
      <c r="Z742" s="114"/>
    </row>
    <row r="743">
      <c r="A743" s="1"/>
      <c r="B743" s="114"/>
      <c r="C743" s="114"/>
      <c r="D743" s="114"/>
      <c r="E743" s="114"/>
      <c r="F743" s="114"/>
      <c r="G743" s="114"/>
      <c r="H743" s="114"/>
      <c r="I743" s="114"/>
      <c r="J743" s="114"/>
      <c r="K743" s="114"/>
      <c r="L743" s="114"/>
      <c r="M743" s="114"/>
      <c r="N743" s="114"/>
      <c r="O743" s="114"/>
      <c r="P743" s="114"/>
      <c r="Q743" s="114"/>
      <c r="R743" s="114"/>
      <c r="S743" s="114"/>
      <c r="T743" s="114"/>
      <c r="U743" s="114"/>
      <c r="V743" s="114"/>
      <c r="W743" s="114"/>
      <c r="X743" s="114"/>
      <c r="Y743" s="114"/>
      <c r="Z743" s="114"/>
    </row>
    <row r="744">
      <c r="A744" s="1"/>
      <c r="B744" s="114"/>
      <c r="C744" s="114"/>
      <c r="D744" s="114"/>
      <c r="E744" s="114"/>
      <c r="F744" s="114"/>
      <c r="G744" s="114"/>
      <c r="H744" s="114"/>
      <c r="I744" s="114"/>
      <c r="J744" s="114"/>
      <c r="K744" s="114"/>
      <c r="L744" s="114"/>
      <c r="M744" s="114"/>
      <c r="N744" s="114"/>
      <c r="O744" s="114"/>
      <c r="P744" s="114"/>
      <c r="Q744" s="114"/>
      <c r="R744" s="114"/>
      <c r="S744" s="114"/>
      <c r="T744" s="114"/>
      <c r="U744" s="114"/>
      <c r="V744" s="114"/>
      <c r="W744" s="114"/>
      <c r="X744" s="114"/>
      <c r="Y744" s="114"/>
      <c r="Z744" s="114"/>
    </row>
    <row r="745">
      <c r="A745" s="1"/>
      <c r="B745" s="114"/>
      <c r="C745" s="114"/>
      <c r="D745" s="114"/>
      <c r="E745" s="114"/>
      <c r="F745" s="114"/>
      <c r="G745" s="114"/>
      <c r="H745" s="114"/>
      <c r="I745" s="114"/>
      <c r="J745" s="114"/>
      <c r="K745" s="114"/>
      <c r="L745" s="114"/>
      <c r="M745" s="114"/>
      <c r="N745" s="114"/>
      <c r="O745" s="114"/>
      <c r="P745" s="114"/>
      <c r="Q745" s="114"/>
      <c r="R745" s="114"/>
      <c r="S745" s="114"/>
      <c r="T745" s="114"/>
      <c r="U745" s="114"/>
      <c r="V745" s="114"/>
      <c r="W745" s="114"/>
      <c r="X745" s="114"/>
      <c r="Y745" s="114"/>
      <c r="Z745" s="114"/>
    </row>
    <row r="746">
      <c r="A746" s="1"/>
      <c r="B746" s="114"/>
      <c r="C746" s="114"/>
      <c r="D746" s="114"/>
      <c r="E746" s="114"/>
      <c r="F746" s="114"/>
      <c r="G746" s="114"/>
      <c r="H746" s="114"/>
      <c r="I746" s="114"/>
      <c r="J746" s="114"/>
      <c r="K746" s="114"/>
      <c r="L746" s="114"/>
      <c r="M746" s="114"/>
      <c r="N746" s="114"/>
      <c r="O746" s="114"/>
      <c r="P746" s="114"/>
      <c r="Q746" s="114"/>
      <c r="R746" s="114"/>
      <c r="S746" s="114"/>
      <c r="T746" s="114"/>
      <c r="U746" s="114"/>
      <c r="V746" s="114"/>
      <c r="W746" s="114"/>
      <c r="X746" s="114"/>
      <c r="Y746" s="114"/>
      <c r="Z746" s="114"/>
    </row>
    <row r="747">
      <c r="A747" s="1"/>
      <c r="B747" s="114"/>
      <c r="C747" s="114"/>
      <c r="D747" s="114"/>
      <c r="E747" s="114"/>
      <c r="F747" s="114"/>
      <c r="G747" s="114"/>
      <c r="H747" s="114"/>
      <c r="I747" s="114"/>
      <c r="J747" s="114"/>
      <c r="K747" s="114"/>
      <c r="L747" s="114"/>
      <c r="M747" s="114"/>
      <c r="N747" s="114"/>
      <c r="O747" s="114"/>
      <c r="P747" s="114"/>
      <c r="Q747" s="114"/>
      <c r="R747" s="114"/>
      <c r="S747" s="114"/>
      <c r="T747" s="114"/>
      <c r="U747" s="114"/>
      <c r="V747" s="114"/>
      <c r="W747" s="114"/>
      <c r="X747" s="114"/>
      <c r="Y747" s="114"/>
      <c r="Z747" s="114"/>
    </row>
    <row r="748">
      <c r="A748" s="1"/>
      <c r="B748" s="114"/>
      <c r="C748" s="114"/>
      <c r="D748" s="114"/>
      <c r="E748" s="114"/>
      <c r="F748" s="114"/>
      <c r="G748" s="114"/>
      <c r="H748" s="114"/>
      <c r="I748" s="114"/>
      <c r="J748" s="114"/>
      <c r="K748" s="114"/>
      <c r="L748" s="114"/>
      <c r="M748" s="114"/>
      <c r="N748" s="114"/>
      <c r="O748" s="114"/>
      <c r="P748" s="114"/>
      <c r="Q748" s="114"/>
      <c r="R748" s="114"/>
      <c r="S748" s="114"/>
      <c r="T748" s="114"/>
      <c r="U748" s="114"/>
      <c r="V748" s="114"/>
      <c r="W748" s="114"/>
      <c r="X748" s="114"/>
      <c r="Y748" s="114"/>
      <c r="Z748" s="114"/>
    </row>
    <row r="749">
      <c r="A749" s="1"/>
      <c r="B749" s="114"/>
      <c r="C749" s="114"/>
      <c r="D749" s="114"/>
      <c r="E749" s="114"/>
      <c r="F749" s="114"/>
      <c r="G749" s="114"/>
      <c r="H749" s="114"/>
      <c r="I749" s="114"/>
      <c r="J749" s="114"/>
      <c r="K749" s="114"/>
      <c r="L749" s="114"/>
      <c r="M749" s="114"/>
      <c r="N749" s="114"/>
      <c r="O749" s="114"/>
      <c r="P749" s="114"/>
      <c r="Q749" s="114"/>
      <c r="R749" s="114"/>
      <c r="S749" s="114"/>
      <c r="T749" s="114"/>
      <c r="U749" s="114"/>
      <c r="V749" s="114"/>
      <c r="W749" s="114"/>
      <c r="X749" s="114"/>
      <c r="Y749" s="114"/>
      <c r="Z749" s="114"/>
    </row>
    <row r="750">
      <c r="A750" s="1"/>
      <c r="B750" s="114"/>
      <c r="C750" s="114"/>
      <c r="D750" s="114"/>
      <c r="E750" s="114"/>
      <c r="F750" s="114"/>
      <c r="G750" s="114"/>
      <c r="H750" s="114"/>
      <c r="I750" s="114"/>
      <c r="J750" s="114"/>
      <c r="K750" s="114"/>
      <c r="L750" s="114"/>
      <c r="M750" s="114"/>
      <c r="N750" s="114"/>
      <c r="O750" s="114"/>
      <c r="P750" s="114"/>
      <c r="Q750" s="114"/>
      <c r="R750" s="114"/>
      <c r="S750" s="114"/>
      <c r="T750" s="114"/>
      <c r="U750" s="114"/>
      <c r="V750" s="114"/>
      <c r="W750" s="114"/>
      <c r="X750" s="114"/>
      <c r="Y750" s="114"/>
      <c r="Z750" s="114"/>
    </row>
    <row r="751">
      <c r="A751" s="1"/>
      <c r="B751" s="114"/>
      <c r="C751" s="114"/>
      <c r="D751" s="114"/>
      <c r="E751" s="114"/>
      <c r="F751" s="114"/>
      <c r="G751" s="114"/>
      <c r="H751" s="114"/>
      <c r="I751" s="114"/>
      <c r="J751" s="114"/>
      <c r="K751" s="114"/>
      <c r="L751" s="114"/>
      <c r="M751" s="114"/>
      <c r="N751" s="114"/>
      <c r="O751" s="114"/>
      <c r="P751" s="114"/>
      <c r="Q751" s="114"/>
      <c r="R751" s="114"/>
      <c r="S751" s="114"/>
      <c r="T751" s="114"/>
      <c r="U751" s="114"/>
      <c r="V751" s="114"/>
      <c r="W751" s="114"/>
      <c r="X751" s="114"/>
      <c r="Y751" s="114"/>
      <c r="Z751" s="114"/>
    </row>
    <row r="752">
      <c r="A752" s="1"/>
      <c r="B752" s="114"/>
      <c r="C752" s="114"/>
      <c r="D752" s="114"/>
      <c r="E752" s="114"/>
      <c r="F752" s="114"/>
      <c r="G752" s="114"/>
      <c r="H752" s="114"/>
      <c r="I752" s="114"/>
      <c r="J752" s="114"/>
      <c r="K752" s="114"/>
      <c r="L752" s="114"/>
      <c r="M752" s="114"/>
      <c r="N752" s="114"/>
      <c r="O752" s="114"/>
      <c r="P752" s="114"/>
      <c r="Q752" s="114"/>
      <c r="R752" s="114"/>
      <c r="S752" s="114"/>
      <c r="T752" s="114"/>
      <c r="U752" s="114"/>
      <c r="V752" s="114"/>
      <c r="W752" s="114"/>
      <c r="X752" s="114"/>
      <c r="Y752" s="114"/>
      <c r="Z752" s="114"/>
    </row>
    <row r="753">
      <c r="A753" s="1"/>
      <c r="B753" s="114"/>
      <c r="C753" s="114"/>
      <c r="D753" s="114"/>
      <c r="E753" s="114"/>
      <c r="F753" s="114"/>
      <c r="G753" s="114"/>
      <c r="H753" s="114"/>
      <c r="I753" s="114"/>
      <c r="J753" s="114"/>
      <c r="K753" s="114"/>
      <c r="L753" s="114"/>
      <c r="M753" s="114"/>
      <c r="N753" s="114"/>
      <c r="O753" s="114"/>
      <c r="P753" s="114"/>
      <c r="Q753" s="114"/>
      <c r="R753" s="114"/>
      <c r="S753" s="114"/>
      <c r="T753" s="114"/>
      <c r="U753" s="114"/>
      <c r="V753" s="114"/>
      <c r="W753" s="114"/>
      <c r="X753" s="114"/>
      <c r="Y753" s="114"/>
      <c r="Z753" s="114"/>
    </row>
    <row r="754">
      <c r="A754" s="1"/>
      <c r="B754" s="114"/>
      <c r="C754" s="114"/>
      <c r="D754" s="114"/>
      <c r="E754" s="114"/>
      <c r="F754" s="114"/>
      <c r="G754" s="114"/>
      <c r="H754" s="114"/>
      <c r="I754" s="114"/>
      <c r="J754" s="114"/>
      <c r="K754" s="114"/>
      <c r="L754" s="114"/>
      <c r="M754" s="114"/>
      <c r="N754" s="114"/>
      <c r="O754" s="114"/>
      <c r="P754" s="114"/>
      <c r="Q754" s="114"/>
      <c r="R754" s="114"/>
      <c r="S754" s="114"/>
      <c r="T754" s="114"/>
      <c r="U754" s="114"/>
      <c r="V754" s="114"/>
      <c r="W754" s="114"/>
      <c r="X754" s="114"/>
      <c r="Y754" s="114"/>
      <c r="Z754" s="114"/>
    </row>
    <row r="755">
      <c r="A755" s="1"/>
      <c r="B755" s="114"/>
      <c r="C755" s="114"/>
      <c r="D755" s="114"/>
      <c r="E755" s="114"/>
      <c r="F755" s="114"/>
      <c r="G755" s="114"/>
      <c r="H755" s="114"/>
      <c r="I755" s="114"/>
      <c r="J755" s="114"/>
      <c r="K755" s="114"/>
      <c r="L755" s="114"/>
      <c r="M755" s="114"/>
      <c r="N755" s="114"/>
      <c r="O755" s="114"/>
      <c r="P755" s="114"/>
      <c r="Q755" s="114"/>
      <c r="R755" s="114"/>
      <c r="S755" s="114"/>
      <c r="T755" s="114"/>
      <c r="U755" s="114"/>
      <c r="V755" s="114"/>
      <c r="W755" s="114"/>
      <c r="X755" s="114"/>
      <c r="Y755" s="114"/>
      <c r="Z755" s="114"/>
    </row>
    <row r="756">
      <c r="A756" s="1"/>
      <c r="B756" s="114"/>
      <c r="C756" s="114"/>
      <c r="D756" s="114"/>
      <c r="E756" s="114"/>
      <c r="F756" s="114"/>
      <c r="G756" s="114"/>
      <c r="H756" s="114"/>
      <c r="I756" s="114"/>
      <c r="J756" s="114"/>
      <c r="K756" s="114"/>
      <c r="L756" s="114"/>
      <c r="M756" s="114"/>
      <c r="N756" s="114"/>
      <c r="O756" s="114"/>
      <c r="P756" s="114"/>
      <c r="Q756" s="114"/>
      <c r="R756" s="114"/>
      <c r="S756" s="114"/>
      <c r="T756" s="114"/>
      <c r="U756" s="114"/>
      <c r="V756" s="114"/>
      <c r="W756" s="114"/>
      <c r="X756" s="114"/>
      <c r="Y756" s="114"/>
      <c r="Z756" s="114"/>
    </row>
    <row r="757">
      <c r="A757" s="1"/>
      <c r="B757" s="114"/>
      <c r="C757" s="114"/>
      <c r="D757" s="114"/>
      <c r="E757" s="114"/>
      <c r="F757" s="114"/>
      <c r="G757" s="114"/>
      <c r="H757" s="114"/>
      <c r="I757" s="114"/>
      <c r="J757" s="114"/>
      <c r="K757" s="114"/>
      <c r="L757" s="114"/>
      <c r="M757" s="114"/>
      <c r="N757" s="114"/>
      <c r="O757" s="114"/>
      <c r="P757" s="114"/>
      <c r="Q757" s="114"/>
      <c r="R757" s="114"/>
      <c r="S757" s="114"/>
      <c r="T757" s="114"/>
      <c r="U757" s="114"/>
      <c r="V757" s="114"/>
      <c r="W757" s="114"/>
      <c r="X757" s="114"/>
      <c r="Y757" s="114"/>
      <c r="Z757" s="114"/>
    </row>
    <row r="758">
      <c r="A758" s="1"/>
      <c r="B758" s="114"/>
      <c r="C758" s="114"/>
      <c r="D758" s="114"/>
      <c r="E758" s="114"/>
      <c r="F758" s="114"/>
      <c r="G758" s="114"/>
      <c r="H758" s="114"/>
      <c r="I758" s="114"/>
      <c r="J758" s="114"/>
      <c r="K758" s="114"/>
      <c r="L758" s="114"/>
      <c r="M758" s="114"/>
      <c r="N758" s="114"/>
      <c r="O758" s="114"/>
      <c r="P758" s="114"/>
      <c r="Q758" s="114"/>
      <c r="R758" s="114"/>
      <c r="S758" s="114"/>
      <c r="T758" s="114"/>
      <c r="U758" s="114"/>
      <c r="V758" s="114"/>
      <c r="W758" s="114"/>
      <c r="X758" s="114"/>
      <c r="Y758" s="114"/>
      <c r="Z758" s="114"/>
    </row>
    <row r="759">
      <c r="A759" s="1"/>
      <c r="B759" s="114"/>
      <c r="C759" s="114"/>
      <c r="D759" s="114"/>
      <c r="E759" s="114"/>
      <c r="F759" s="114"/>
      <c r="G759" s="114"/>
      <c r="H759" s="114"/>
      <c r="I759" s="114"/>
      <c r="J759" s="114"/>
      <c r="K759" s="114"/>
      <c r="L759" s="114"/>
      <c r="M759" s="114"/>
      <c r="N759" s="114"/>
      <c r="O759" s="114"/>
      <c r="P759" s="114"/>
      <c r="Q759" s="114"/>
      <c r="R759" s="114"/>
      <c r="S759" s="114"/>
      <c r="T759" s="114"/>
      <c r="U759" s="114"/>
      <c r="V759" s="114"/>
      <c r="W759" s="114"/>
      <c r="X759" s="114"/>
      <c r="Y759" s="114"/>
      <c r="Z759" s="114"/>
    </row>
    <row r="760">
      <c r="A760" s="1"/>
      <c r="B760" s="114"/>
      <c r="C760" s="114"/>
      <c r="D760" s="114"/>
      <c r="E760" s="114"/>
      <c r="F760" s="114"/>
      <c r="G760" s="114"/>
      <c r="H760" s="114"/>
      <c r="I760" s="114"/>
      <c r="J760" s="114"/>
      <c r="K760" s="114"/>
      <c r="L760" s="114"/>
      <c r="M760" s="114"/>
      <c r="N760" s="114"/>
      <c r="O760" s="114"/>
      <c r="P760" s="114"/>
      <c r="Q760" s="114"/>
      <c r="R760" s="114"/>
      <c r="S760" s="114"/>
      <c r="T760" s="114"/>
      <c r="U760" s="114"/>
      <c r="V760" s="114"/>
      <c r="W760" s="114"/>
      <c r="X760" s="114"/>
      <c r="Y760" s="114"/>
      <c r="Z760" s="114"/>
    </row>
    <row r="761">
      <c r="A761" s="1"/>
      <c r="B761" s="114"/>
      <c r="C761" s="114"/>
      <c r="D761" s="114"/>
      <c r="E761" s="114"/>
      <c r="F761" s="114"/>
      <c r="G761" s="114"/>
      <c r="H761" s="114"/>
      <c r="I761" s="114"/>
      <c r="J761" s="114"/>
      <c r="K761" s="114"/>
      <c r="L761" s="114"/>
      <c r="M761" s="114"/>
      <c r="N761" s="114"/>
      <c r="O761" s="114"/>
      <c r="P761" s="114"/>
      <c r="Q761" s="114"/>
      <c r="R761" s="114"/>
      <c r="S761" s="114"/>
      <c r="T761" s="114"/>
      <c r="U761" s="114"/>
      <c r="V761" s="114"/>
      <c r="W761" s="114"/>
      <c r="X761" s="114"/>
      <c r="Y761" s="114"/>
      <c r="Z761" s="114"/>
    </row>
    <row r="762">
      <c r="A762" s="1"/>
      <c r="B762" s="114"/>
      <c r="C762" s="114"/>
      <c r="D762" s="114"/>
      <c r="E762" s="114"/>
      <c r="F762" s="114"/>
      <c r="G762" s="114"/>
      <c r="H762" s="114"/>
      <c r="I762" s="114"/>
      <c r="J762" s="114"/>
      <c r="K762" s="114"/>
      <c r="L762" s="114"/>
      <c r="M762" s="114"/>
      <c r="N762" s="114"/>
      <c r="O762" s="114"/>
      <c r="P762" s="114"/>
      <c r="Q762" s="114"/>
      <c r="R762" s="114"/>
      <c r="S762" s="114"/>
      <c r="T762" s="114"/>
      <c r="U762" s="114"/>
      <c r="V762" s="114"/>
      <c r="W762" s="114"/>
      <c r="X762" s="114"/>
      <c r="Y762" s="114"/>
      <c r="Z762" s="114"/>
    </row>
    <row r="763">
      <c r="A763" s="1"/>
      <c r="B763" s="114"/>
      <c r="C763" s="114"/>
      <c r="D763" s="114"/>
      <c r="E763" s="114"/>
      <c r="F763" s="114"/>
      <c r="G763" s="114"/>
      <c r="H763" s="114"/>
      <c r="I763" s="114"/>
      <c r="J763" s="114"/>
      <c r="K763" s="114"/>
      <c r="L763" s="114"/>
      <c r="M763" s="114"/>
      <c r="N763" s="114"/>
      <c r="O763" s="114"/>
      <c r="P763" s="114"/>
      <c r="Q763" s="114"/>
      <c r="R763" s="114"/>
      <c r="S763" s="114"/>
      <c r="T763" s="114"/>
      <c r="U763" s="114"/>
      <c r="V763" s="114"/>
      <c r="W763" s="114"/>
      <c r="X763" s="114"/>
      <c r="Y763" s="114"/>
      <c r="Z763" s="114"/>
    </row>
    <row r="764">
      <c r="A764" s="1"/>
      <c r="B764" s="114"/>
      <c r="C764" s="114"/>
      <c r="D764" s="114"/>
      <c r="E764" s="114"/>
      <c r="F764" s="114"/>
      <c r="G764" s="114"/>
      <c r="H764" s="114"/>
      <c r="I764" s="114"/>
      <c r="J764" s="114"/>
      <c r="K764" s="114"/>
      <c r="L764" s="114"/>
      <c r="M764" s="114"/>
      <c r="N764" s="114"/>
      <c r="O764" s="114"/>
      <c r="P764" s="114"/>
      <c r="Q764" s="114"/>
      <c r="R764" s="114"/>
      <c r="S764" s="114"/>
      <c r="T764" s="114"/>
      <c r="U764" s="114"/>
      <c r="V764" s="114"/>
      <c r="W764" s="114"/>
      <c r="X764" s="114"/>
      <c r="Y764" s="114"/>
      <c r="Z764" s="114"/>
    </row>
    <row r="765">
      <c r="A765" s="1"/>
      <c r="B765" s="114"/>
      <c r="C765" s="114"/>
      <c r="D765" s="114"/>
      <c r="E765" s="114"/>
      <c r="F765" s="114"/>
      <c r="G765" s="114"/>
      <c r="H765" s="114"/>
      <c r="I765" s="114"/>
      <c r="J765" s="114"/>
      <c r="K765" s="114"/>
      <c r="L765" s="114"/>
      <c r="M765" s="114"/>
      <c r="N765" s="114"/>
      <c r="O765" s="114"/>
      <c r="P765" s="114"/>
      <c r="Q765" s="114"/>
      <c r="R765" s="114"/>
      <c r="S765" s="114"/>
      <c r="T765" s="114"/>
      <c r="U765" s="114"/>
      <c r="V765" s="114"/>
      <c r="W765" s="114"/>
      <c r="X765" s="114"/>
      <c r="Y765" s="114"/>
      <c r="Z765" s="114"/>
    </row>
    <row r="766">
      <c r="A766" s="1"/>
      <c r="B766" s="114"/>
      <c r="C766" s="114"/>
      <c r="D766" s="114"/>
      <c r="E766" s="114"/>
      <c r="F766" s="114"/>
      <c r="G766" s="114"/>
      <c r="H766" s="114"/>
      <c r="I766" s="114"/>
      <c r="J766" s="114"/>
      <c r="K766" s="114"/>
      <c r="L766" s="114"/>
      <c r="M766" s="114"/>
      <c r="N766" s="114"/>
      <c r="O766" s="114"/>
      <c r="P766" s="114"/>
      <c r="Q766" s="114"/>
      <c r="R766" s="114"/>
      <c r="S766" s="114"/>
      <c r="T766" s="114"/>
      <c r="U766" s="114"/>
      <c r="V766" s="114"/>
      <c r="W766" s="114"/>
      <c r="X766" s="114"/>
      <c r="Y766" s="114"/>
      <c r="Z766" s="114"/>
    </row>
    <row r="767">
      <c r="A767" s="1"/>
      <c r="B767" s="114"/>
      <c r="C767" s="114"/>
      <c r="D767" s="114"/>
      <c r="E767" s="114"/>
      <c r="F767" s="114"/>
      <c r="G767" s="114"/>
      <c r="H767" s="114"/>
      <c r="I767" s="114"/>
      <c r="J767" s="114"/>
      <c r="K767" s="114"/>
      <c r="L767" s="114"/>
      <c r="M767" s="114"/>
      <c r="N767" s="114"/>
      <c r="O767" s="114"/>
      <c r="P767" s="114"/>
      <c r="Q767" s="114"/>
      <c r="R767" s="114"/>
      <c r="S767" s="114"/>
      <c r="T767" s="114"/>
      <c r="U767" s="114"/>
      <c r="V767" s="114"/>
      <c r="W767" s="114"/>
      <c r="X767" s="114"/>
      <c r="Y767" s="114"/>
      <c r="Z767" s="114"/>
    </row>
    <row r="768">
      <c r="A768" s="1"/>
      <c r="B768" s="114"/>
      <c r="C768" s="114"/>
      <c r="D768" s="114"/>
      <c r="E768" s="114"/>
      <c r="F768" s="114"/>
      <c r="G768" s="114"/>
      <c r="H768" s="114"/>
      <c r="I768" s="114"/>
      <c r="J768" s="114"/>
      <c r="K768" s="114"/>
      <c r="L768" s="114"/>
      <c r="M768" s="114"/>
      <c r="N768" s="114"/>
      <c r="O768" s="114"/>
      <c r="P768" s="114"/>
      <c r="Q768" s="114"/>
      <c r="R768" s="114"/>
      <c r="S768" s="114"/>
      <c r="T768" s="114"/>
      <c r="U768" s="114"/>
      <c r="V768" s="114"/>
      <c r="W768" s="114"/>
      <c r="X768" s="114"/>
      <c r="Y768" s="114"/>
      <c r="Z768" s="114"/>
    </row>
    <row r="769">
      <c r="A769" s="1"/>
      <c r="B769" s="114"/>
      <c r="C769" s="114"/>
      <c r="D769" s="114"/>
      <c r="E769" s="114"/>
      <c r="F769" s="114"/>
      <c r="G769" s="114"/>
      <c r="H769" s="114"/>
      <c r="I769" s="114"/>
      <c r="J769" s="114"/>
      <c r="K769" s="114"/>
      <c r="L769" s="114"/>
      <c r="M769" s="114"/>
      <c r="N769" s="114"/>
      <c r="O769" s="114"/>
      <c r="P769" s="114"/>
      <c r="Q769" s="114"/>
      <c r="R769" s="114"/>
      <c r="S769" s="114"/>
      <c r="T769" s="114"/>
      <c r="U769" s="114"/>
      <c r="V769" s="114"/>
      <c r="W769" s="114"/>
      <c r="X769" s="114"/>
      <c r="Y769" s="114"/>
      <c r="Z769" s="114"/>
    </row>
    <row r="770">
      <c r="A770" s="1"/>
      <c r="B770" s="114"/>
      <c r="C770" s="114"/>
      <c r="D770" s="114"/>
      <c r="E770" s="114"/>
      <c r="F770" s="114"/>
      <c r="G770" s="114"/>
      <c r="H770" s="114"/>
      <c r="I770" s="114"/>
      <c r="J770" s="114"/>
      <c r="K770" s="114"/>
      <c r="L770" s="114"/>
      <c r="M770" s="114"/>
      <c r="N770" s="114"/>
      <c r="O770" s="114"/>
      <c r="P770" s="114"/>
      <c r="Q770" s="114"/>
      <c r="R770" s="114"/>
      <c r="S770" s="114"/>
      <c r="T770" s="114"/>
      <c r="U770" s="114"/>
      <c r="V770" s="114"/>
      <c r="W770" s="114"/>
      <c r="X770" s="114"/>
      <c r="Y770" s="114"/>
      <c r="Z770" s="114"/>
    </row>
    <row r="771">
      <c r="A771" s="1"/>
      <c r="B771" s="114"/>
      <c r="C771" s="114"/>
      <c r="D771" s="114"/>
      <c r="E771" s="114"/>
      <c r="F771" s="114"/>
      <c r="G771" s="114"/>
      <c r="H771" s="114"/>
      <c r="I771" s="114"/>
      <c r="J771" s="114"/>
      <c r="K771" s="114"/>
      <c r="L771" s="114"/>
      <c r="M771" s="114"/>
      <c r="N771" s="114"/>
      <c r="O771" s="114"/>
      <c r="P771" s="114"/>
      <c r="Q771" s="114"/>
      <c r="R771" s="114"/>
      <c r="S771" s="114"/>
      <c r="T771" s="114"/>
      <c r="U771" s="114"/>
      <c r="V771" s="114"/>
      <c r="W771" s="114"/>
      <c r="X771" s="114"/>
      <c r="Y771" s="114"/>
      <c r="Z771" s="114"/>
    </row>
    <row r="772">
      <c r="A772" s="1"/>
      <c r="B772" s="114"/>
      <c r="C772" s="114"/>
      <c r="D772" s="114"/>
      <c r="E772" s="114"/>
      <c r="F772" s="114"/>
      <c r="G772" s="114"/>
      <c r="H772" s="114"/>
      <c r="I772" s="114"/>
      <c r="J772" s="114"/>
      <c r="K772" s="114"/>
      <c r="L772" s="114"/>
      <c r="M772" s="114"/>
      <c r="N772" s="114"/>
      <c r="O772" s="114"/>
      <c r="P772" s="114"/>
      <c r="Q772" s="114"/>
      <c r="R772" s="114"/>
      <c r="S772" s="114"/>
      <c r="T772" s="114"/>
      <c r="U772" s="114"/>
      <c r="V772" s="114"/>
      <c r="W772" s="114"/>
      <c r="X772" s="114"/>
      <c r="Y772" s="114"/>
      <c r="Z772" s="114"/>
    </row>
    <row r="773">
      <c r="A773" s="1"/>
      <c r="B773" s="114"/>
      <c r="C773" s="114"/>
      <c r="D773" s="114"/>
      <c r="E773" s="114"/>
      <c r="F773" s="114"/>
      <c r="G773" s="114"/>
      <c r="H773" s="114"/>
      <c r="I773" s="114"/>
      <c r="J773" s="114"/>
      <c r="K773" s="114"/>
      <c r="L773" s="114"/>
      <c r="M773" s="114"/>
      <c r="N773" s="114"/>
      <c r="O773" s="114"/>
      <c r="P773" s="114"/>
      <c r="Q773" s="114"/>
      <c r="R773" s="114"/>
      <c r="S773" s="114"/>
      <c r="T773" s="114"/>
      <c r="U773" s="114"/>
      <c r="V773" s="114"/>
      <c r="W773" s="114"/>
      <c r="X773" s="114"/>
      <c r="Y773" s="114"/>
      <c r="Z773" s="114"/>
    </row>
    <row r="774">
      <c r="A774" s="1"/>
      <c r="B774" s="114"/>
      <c r="C774" s="114"/>
      <c r="D774" s="114"/>
      <c r="E774" s="114"/>
      <c r="F774" s="114"/>
      <c r="G774" s="114"/>
      <c r="H774" s="114"/>
      <c r="I774" s="114"/>
      <c r="J774" s="114"/>
      <c r="K774" s="114"/>
      <c r="L774" s="114"/>
      <c r="M774" s="114"/>
      <c r="N774" s="114"/>
      <c r="O774" s="114"/>
      <c r="P774" s="114"/>
      <c r="Q774" s="114"/>
      <c r="R774" s="114"/>
      <c r="S774" s="114"/>
      <c r="T774" s="114"/>
      <c r="U774" s="114"/>
      <c r="V774" s="114"/>
      <c r="W774" s="114"/>
      <c r="X774" s="114"/>
      <c r="Y774" s="114"/>
      <c r="Z774" s="114"/>
    </row>
    <row r="775">
      <c r="A775" s="1"/>
      <c r="B775" s="114"/>
      <c r="C775" s="114"/>
      <c r="D775" s="114"/>
      <c r="E775" s="114"/>
      <c r="F775" s="114"/>
      <c r="G775" s="114"/>
      <c r="H775" s="114"/>
      <c r="I775" s="114"/>
      <c r="J775" s="114"/>
      <c r="K775" s="114"/>
      <c r="L775" s="114"/>
      <c r="M775" s="114"/>
      <c r="N775" s="114"/>
      <c r="O775" s="114"/>
      <c r="P775" s="114"/>
      <c r="Q775" s="114"/>
      <c r="R775" s="114"/>
      <c r="S775" s="114"/>
      <c r="T775" s="114"/>
      <c r="U775" s="114"/>
      <c r="V775" s="114"/>
      <c r="W775" s="114"/>
      <c r="X775" s="114"/>
      <c r="Y775" s="114"/>
      <c r="Z775" s="114"/>
    </row>
    <row r="776">
      <c r="A776" s="1"/>
      <c r="B776" s="114"/>
      <c r="C776" s="114"/>
      <c r="D776" s="114"/>
      <c r="E776" s="114"/>
      <c r="F776" s="114"/>
      <c r="G776" s="114"/>
      <c r="H776" s="114"/>
      <c r="I776" s="114"/>
      <c r="J776" s="114"/>
      <c r="K776" s="114"/>
      <c r="L776" s="114"/>
      <c r="M776" s="114"/>
      <c r="N776" s="114"/>
      <c r="O776" s="114"/>
      <c r="P776" s="114"/>
      <c r="Q776" s="114"/>
      <c r="R776" s="114"/>
      <c r="S776" s="114"/>
      <c r="T776" s="114"/>
      <c r="U776" s="114"/>
      <c r="V776" s="114"/>
      <c r="W776" s="114"/>
      <c r="X776" s="114"/>
      <c r="Y776" s="114"/>
      <c r="Z776" s="114"/>
    </row>
    <row r="777">
      <c r="A777" s="1"/>
      <c r="B777" s="114"/>
      <c r="C777" s="114"/>
      <c r="D777" s="114"/>
      <c r="E777" s="114"/>
      <c r="F777" s="114"/>
      <c r="G777" s="114"/>
      <c r="H777" s="114"/>
      <c r="I777" s="114"/>
      <c r="J777" s="114"/>
      <c r="K777" s="114"/>
      <c r="L777" s="114"/>
      <c r="M777" s="114"/>
      <c r="N777" s="114"/>
      <c r="O777" s="114"/>
      <c r="P777" s="114"/>
      <c r="Q777" s="114"/>
      <c r="R777" s="114"/>
      <c r="S777" s="114"/>
      <c r="T777" s="114"/>
      <c r="U777" s="114"/>
      <c r="V777" s="114"/>
      <c r="W777" s="114"/>
      <c r="X777" s="114"/>
      <c r="Y777" s="114"/>
      <c r="Z777" s="114"/>
    </row>
    <row r="778">
      <c r="A778" s="1"/>
      <c r="B778" s="114"/>
      <c r="C778" s="114"/>
      <c r="D778" s="114"/>
      <c r="E778" s="114"/>
      <c r="F778" s="114"/>
      <c r="G778" s="114"/>
      <c r="H778" s="114"/>
      <c r="I778" s="114"/>
      <c r="J778" s="114"/>
      <c r="K778" s="114"/>
      <c r="L778" s="114"/>
      <c r="M778" s="114"/>
      <c r="N778" s="114"/>
      <c r="O778" s="114"/>
      <c r="P778" s="114"/>
      <c r="Q778" s="114"/>
      <c r="R778" s="114"/>
      <c r="S778" s="114"/>
      <c r="T778" s="114"/>
      <c r="U778" s="114"/>
      <c r="V778" s="114"/>
      <c r="W778" s="114"/>
      <c r="X778" s="114"/>
      <c r="Y778" s="114"/>
      <c r="Z778" s="114"/>
    </row>
    <row r="779">
      <c r="A779" s="1"/>
      <c r="B779" s="114"/>
      <c r="C779" s="114"/>
      <c r="D779" s="114"/>
      <c r="E779" s="114"/>
      <c r="F779" s="114"/>
      <c r="G779" s="114"/>
      <c r="H779" s="114"/>
      <c r="I779" s="114"/>
      <c r="J779" s="114"/>
      <c r="K779" s="114"/>
      <c r="L779" s="114"/>
      <c r="M779" s="114"/>
      <c r="N779" s="114"/>
      <c r="O779" s="114"/>
      <c r="P779" s="114"/>
      <c r="Q779" s="114"/>
      <c r="R779" s="114"/>
      <c r="S779" s="114"/>
      <c r="T779" s="114"/>
      <c r="U779" s="114"/>
      <c r="V779" s="114"/>
      <c r="W779" s="114"/>
      <c r="X779" s="114"/>
      <c r="Y779" s="114"/>
      <c r="Z779" s="114"/>
    </row>
    <row r="780">
      <c r="A780" s="1"/>
      <c r="B780" s="114"/>
      <c r="C780" s="114"/>
      <c r="D780" s="114"/>
      <c r="E780" s="114"/>
      <c r="F780" s="114"/>
      <c r="G780" s="114"/>
      <c r="H780" s="114"/>
      <c r="I780" s="114"/>
      <c r="J780" s="114"/>
      <c r="K780" s="114"/>
      <c r="L780" s="114"/>
      <c r="M780" s="114"/>
      <c r="N780" s="114"/>
      <c r="O780" s="114"/>
      <c r="P780" s="114"/>
      <c r="Q780" s="114"/>
      <c r="R780" s="114"/>
      <c r="S780" s="114"/>
      <c r="T780" s="114"/>
      <c r="U780" s="114"/>
      <c r="V780" s="114"/>
      <c r="W780" s="114"/>
      <c r="X780" s="114"/>
      <c r="Y780" s="114"/>
      <c r="Z780" s="114"/>
    </row>
    <row r="781">
      <c r="A781" s="1"/>
      <c r="B781" s="114"/>
      <c r="C781" s="114"/>
      <c r="D781" s="114"/>
      <c r="E781" s="114"/>
      <c r="F781" s="114"/>
      <c r="G781" s="114"/>
      <c r="H781" s="114"/>
      <c r="I781" s="114"/>
      <c r="J781" s="114"/>
      <c r="K781" s="114"/>
      <c r="L781" s="114"/>
      <c r="M781" s="114"/>
      <c r="N781" s="114"/>
      <c r="O781" s="114"/>
      <c r="P781" s="114"/>
      <c r="Q781" s="114"/>
      <c r="R781" s="114"/>
      <c r="S781" s="114"/>
      <c r="T781" s="114"/>
      <c r="U781" s="114"/>
      <c r="V781" s="114"/>
      <c r="W781" s="114"/>
      <c r="X781" s="114"/>
      <c r="Y781" s="114"/>
      <c r="Z781" s="114"/>
    </row>
    <row r="782">
      <c r="A782" s="1"/>
      <c r="B782" s="114"/>
      <c r="C782" s="114"/>
      <c r="D782" s="114"/>
      <c r="E782" s="114"/>
      <c r="F782" s="114"/>
      <c r="G782" s="114"/>
      <c r="H782" s="114"/>
      <c r="I782" s="114"/>
      <c r="J782" s="114"/>
      <c r="K782" s="114"/>
      <c r="L782" s="114"/>
      <c r="M782" s="114"/>
      <c r="N782" s="114"/>
      <c r="O782" s="114"/>
      <c r="P782" s="114"/>
      <c r="Q782" s="114"/>
      <c r="R782" s="114"/>
      <c r="S782" s="114"/>
      <c r="T782" s="114"/>
      <c r="U782" s="114"/>
      <c r="V782" s="114"/>
      <c r="W782" s="114"/>
      <c r="X782" s="114"/>
      <c r="Y782" s="114"/>
      <c r="Z782" s="114"/>
    </row>
    <row r="783">
      <c r="A783" s="1"/>
      <c r="B783" s="114"/>
      <c r="C783" s="114"/>
      <c r="D783" s="114"/>
      <c r="E783" s="114"/>
      <c r="F783" s="114"/>
      <c r="G783" s="114"/>
      <c r="H783" s="114"/>
      <c r="I783" s="114"/>
      <c r="J783" s="114"/>
      <c r="K783" s="114"/>
      <c r="L783" s="114"/>
      <c r="M783" s="114"/>
      <c r="N783" s="114"/>
      <c r="O783" s="114"/>
      <c r="P783" s="114"/>
      <c r="Q783" s="114"/>
      <c r="R783" s="114"/>
      <c r="S783" s="114"/>
      <c r="T783" s="114"/>
      <c r="U783" s="114"/>
      <c r="V783" s="114"/>
      <c r="W783" s="114"/>
      <c r="X783" s="114"/>
      <c r="Y783" s="114"/>
      <c r="Z783" s="114"/>
    </row>
    <row r="784">
      <c r="A784" s="1"/>
      <c r="B784" s="114"/>
      <c r="C784" s="114"/>
      <c r="D784" s="114"/>
      <c r="E784" s="114"/>
      <c r="F784" s="114"/>
      <c r="G784" s="114"/>
      <c r="H784" s="114"/>
      <c r="I784" s="114"/>
      <c r="J784" s="114"/>
      <c r="K784" s="114"/>
      <c r="L784" s="114"/>
      <c r="M784" s="114"/>
      <c r="N784" s="114"/>
      <c r="O784" s="114"/>
      <c r="P784" s="114"/>
      <c r="Q784" s="114"/>
      <c r="R784" s="114"/>
      <c r="S784" s="114"/>
      <c r="T784" s="114"/>
      <c r="U784" s="114"/>
      <c r="V784" s="114"/>
      <c r="W784" s="114"/>
      <c r="X784" s="114"/>
      <c r="Y784" s="114"/>
      <c r="Z784" s="114"/>
    </row>
    <row r="785">
      <c r="A785" s="1"/>
      <c r="B785" s="114"/>
      <c r="C785" s="114"/>
      <c r="D785" s="114"/>
      <c r="E785" s="114"/>
      <c r="F785" s="114"/>
      <c r="G785" s="114"/>
      <c r="H785" s="114"/>
      <c r="I785" s="114"/>
      <c r="J785" s="114"/>
      <c r="K785" s="114"/>
      <c r="L785" s="114"/>
      <c r="M785" s="114"/>
      <c r="N785" s="114"/>
      <c r="O785" s="114"/>
      <c r="P785" s="114"/>
      <c r="Q785" s="114"/>
      <c r="R785" s="114"/>
      <c r="S785" s="114"/>
      <c r="T785" s="114"/>
      <c r="U785" s="114"/>
      <c r="V785" s="114"/>
      <c r="W785" s="114"/>
      <c r="X785" s="114"/>
      <c r="Y785" s="114"/>
      <c r="Z785" s="114"/>
    </row>
    <row r="786">
      <c r="A786" s="1"/>
      <c r="B786" s="114"/>
      <c r="C786" s="114"/>
      <c r="D786" s="114"/>
      <c r="E786" s="114"/>
      <c r="F786" s="114"/>
      <c r="G786" s="114"/>
      <c r="H786" s="114"/>
      <c r="I786" s="114"/>
      <c r="J786" s="114"/>
      <c r="K786" s="114"/>
      <c r="L786" s="114"/>
      <c r="M786" s="114"/>
      <c r="N786" s="114"/>
      <c r="O786" s="114"/>
      <c r="P786" s="114"/>
      <c r="Q786" s="114"/>
      <c r="R786" s="114"/>
      <c r="S786" s="114"/>
      <c r="T786" s="114"/>
      <c r="U786" s="114"/>
      <c r="V786" s="114"/>
      <c r="W786" s="114"/>
      <c r="X786" s="114"/>
      <c r="Y786" s="114"/>
      <c r="Z786" s="114"/>
    </row>
    <row r="787">
      <c r="A787" s="1"/>
      <c r="B787" s="114"/>
      <c r="C787" s="114"/>
      <c r="D787" s="114"/>
      <c r="E787" s="114"/>
      <c r="F787" s="114"/>
      <c r="G787" s="114"/>
      <c r="H787" s="114"/>
      <c r="I787" s="114"/>
      <c r="J787" s="114"/>
      <c r="K787" s="114"/>
      <c r="L787" s="114"/>
      <c r="M787" s="114"/>
      <c r="N787" s="114"/>
      <c r="O787" s="114"/>
      <c r="P787" s="114"/>
      <c r="Q787" s="114"/>
      <c r="R787" s="114"/>
      <c r="S787" s="114"/>
      <c r="T787" s="114"/>
      <c r="U787" s="114"/>
      <c r="V787" s="114"/>
      <c r="W787" s="114"/>
      <c r="X787" s="114"/>
      <c r="Y787" s="114"/>
      <c r="Z787" s="114"/>
    </row>
    <row r="788">
      <c r="A788" s="1"/>
      <c r="B788" s="114"/>
      <c r="C788" s="114"/>
      <c r="D788" s="114"/>
      <c r="E788" s="114"/>
      <c r="F788" s="114"/>
      <c r="G788" s="114"/>
      <c r="H788" s="114"/>
      <c r="I788" s="114"/>
      <c r="J788" s="114"/>
      <c r="K788" s="114"/>
      <c r="L788" s="114"/>
      <c r="M788" s="114"/>
      <c r="N788" s="114"/>
      <c r="O788" s="114"/>
      <c r="P788" s="114"/>
      <c r="Q788" s="114"/>
      <c r="R788" s="114"/>
      <c r="S788" s="114"/>
      <c r="T788" s="114"/>
      <c r="U788" s="114"/>
      <c r="V788" s="114"/>
      <c r="W788" s="114"/>
      <c r="X788" s="114"/>
      <c r="Y788" s="114"/>
      <c r="Z788" s="114"/>
    </row>
    <row r="789">
      <c r="A789" s="1"/>
      <c r="B789" s="114"/>
      <c r="C789" s="114"/>
      <c r="D789" s="114"/>
      <c r="E789" s="114"/>
      <c r="F789" s="114"/>
      <c r="G789" s="114"/>
      <c r="H789" s="114"/>
      <c r="I789" s="114"/>
      <c r="J789" s="114"/>
      <c r="K789" s="114"/>
      <c r="L789" s="114"/>
      <c r="M789" s="114"/>
      <c r="N789" s="114"/>
      <c r="O789" s="114"/>
      <c r="P789" s="114"/>
      <c r="Q789" s="114"/>
      <c r="R789" s="114"/>
      <c r="S789" s="114"/>
      <c r="T789" s="114"/>
      <c r="U789" s="114"/>
      <c r="V789" s="114"/>
      <c r="W789" s="114"/>
      <c r="X789" s="114"/>
      <c r="Y789" s="114"/>
      <c r="Z789" s="114"/>
    </row>
    <row r="790">
      <c r="A790" s="1"/>
      <c r="B790" s="114"/>
      <c r="C790" s="114"/>
      <c r="D790" s="114"/>
      <c r="E790" s="114"/>
      <c r="F790" s="114"/>
      <c r="G790" s="114"/>
      <c r="H790" s="114"/>
      <c r="I790" s="114"/>
      <c r="J790" s="114"/>
      <c r="K790" s="114"/>
      <c r="L790" s="114"/>
      <c r="M790" s="114"/>
      <c r="N790" s="114"/>
      <c r="O790" s="114"/>
      <c r="P790" s="114"/>
      <c r="Q790" s="114"/>
      <c r="R790" s="114"/>
      <c r="S790" s="114"/>
      <c r="T790" s="114"/>
      <c r="U790" s="114"/>
      <c r="V790" s="114"/>
      <c r="W790" s="114"/>
      <c r="X790" s="114"/>
      <c r="Y790" s="114"/>
      <c r="Z790" s="114"/>
    </row>
    <row r="791">
      <c r="A791" s="1"/>
      <c r="B791" s="114"/>
      <c r="C791" s="114"/>
      <c r="D791" s="114"/>
      <c r="E791" s="114"/>
      <c r="F791" s="114"/>
      <c r="G791" s="114"/>
      <c r="H791" s="114"/>
      <c r="I791" s="114"/>
      <c r="J791" s="114"/>
      <c r="K791" s="114"/>
      <c r="L791" s="114"/>
      <c r="M791" s="114"/>
      <c r="N791" s="114"/>
      <c r="O791" s="114"/>
      <c r="P791" s="114"/>
      <c r="Q791" s="114"/>
      <c r="R791" s="114"/>
      <c r="S791" s="114"/>
      <c r="T791" s="114"/>
      <c r="U791" s="114"/>
      <c r="V791" s="114"/>
      <c r="W791" s="114"/>
      <c r="X791" s="114"/>
      <c r="Y791" s="114"/>
      <c r="Z791" s="114"/>
    </row>
    <row r="792">
      <c r="A792" s="1"/>
      <c r="B792" s="114"/>
      <c r="C792" s="114"/>
      <c r="D792" s="114"/>
      <c r="E792" s="114"/>
      <c r="F792" s="114"/>
      <c r="G792" s="114"/>
      <c r="H792" s="114"/>
      <c r="I792" s="114"/>
      <c r="J792" s="114"/>
      <c r="K792" s="114"/>
      <c r="L792" s="114"/>
      <c r="M792" s="114"/>
      <c r="N792" s="114"/>
      <c r="O792" s="114"/>
      <c r="P792" s="114"/>
      <c r="Q792" s="114"/>
      <c r="R792" s="114"/>
      <c r="S792" s="114"/>
      <c r="T792" s="114"/>
      <c r="U792" s="114"/>
      <c r="V792" s="114"/>
      <c r="W792" s="114"/>
      <c r="X792" s="114"/>
      <c r="Y792" s="114"/>
      <c r="Z792" s="114"/>
    </row>
    <row r="793">
      <c r="A793" s="1"/>
      <c r="B793" s="114"/>
      <c r="C793" s="114"/>
      <c r="D793" s="114"/>
      <c r="E793" s="114"/>
      <c r="F793" s="114"/>
      <c r="G793" s="114"/>
      <c r="H793" s="114"/>
      <c r="I793" s="114"/>
      <c r="J793" s="114"/>
      <c r="K793" s="114"/>
      <c r="L793" s="114"/>
      <c r="M793" s="114"/>
      <c r="N793" s="114"/>
      <c r="O793" s="114"/>
      <c r="P793" s="114"/>
      <c r="Q793" s="114"/>
      <c r="R793" s="114"/>
      <c r="S793" s="114"/>
      <c r="T793" s="114"/>
      <c r="U793" s="114"/>
      <c r="V793" s="114"/>
      <c r="W793" s="114"/>
      <c r="X793" s="114"/>
      <c r="Y793" s="114"/>
      <c r="Z793" s="114"/>
    </row>
    <row r="794">
      <c r="A794" s="1"/>
      <c r="B794" s="114"/>
      <c r="C794" s="114"/>
      <c r="D794" s="114"/>
      <c r="E794" s="114"/>
      <c r="F794" s="114"/>
      <c r="G794" s="114"/>
      <c r="H794" s="114"/>
      <c r="I794" s="114"/>
      <c r="J794" s="114"/>
      <c r="K794" s="114"/>
      <c r="L794" s="114"/>
      <c r="M794" s="114"/>
      <c r="N794" s="114"/>
      <c r="O794" s="114"/>
      <c r="P794" s="114"/>
      <c r="Q794" s="114"/>
      <c r="R794" s="114"/>
      <c r="S794" s="114"/>
      <c r="T794" s="114"/>
      <c r="U794" s="114"/>
      <c r="V794" s="114"/>
      <c r="W794" s="114"/>
      <c r="X794" s="114"/>
      <c r="Y794" s="114"/>
      <c r="Z794" s="114"/>
    </row>
    <row r="795">
      <c r="A795" s="1"/>
      <c r="B795" s="114"/>
      <c r="C795" s="114"/>
      <c r="D795" s="114"/>
      <c r="E795" s="114"/>
      <c r="F795" s="114"/>
      <c r="G795" s="114"/>
      <c r="H795" s="114"/>
      <c r="I795" s="114"/>
      <c r="J795" s="114"/>
      <c r="K795" s="114"/>
      <c r="L795" s="114"/>
      <c r="M795" s="114"/>
      <c r="N795" s="114"/>
      <c r="O795" s="114"/>
      <c r="P795" s="114"/>
      <c r="Q795" s="114"/>
      <c r="R795" s="114"/>
      <c r="S795" s="114"/>
      <c r="T795" s="114"/>
      <c r="U795" s="114"/>
      <c r="V795" s="114"/>
      <c r="W795" s="114"/>
      <c r="X795" s="114"/>
      <c r="Y795" s="114"/>
      <c r="Z795" s="114"/>
    </row>
    <row r="796">
      <c r="A796" s="1"/>
      <c r="B796" s="114"/>
      <c r="C796" s="114"/>
      <c r="D796" s="114"/>
      <c r="E796" s="114"/>
      <c r="F796" s="114"/>
      <c r="G796" s="114"/>
      <c r="H796" s="114"/>
      <c r="I796" s="114"/>
      <c r="J796" s="114"/>
      <c r="K796" s="114"/>
      <c r="L796" s="114"/>
      <c r="M796" s="114"/>
      <c r="N796" s="114"/>
      <c r="O796" s="114"/>
      <c r="P796" s="114"/>
      <c r="Q796" s="114"/>
      <c r="R796" s="114"/>
      <c r="S796" s="114"/>
      <c r="T796" s="114"/>
      <c r="U796" s="114"/>
      <c r="V796" s="114"/>
      <c r="W796" s="114"/>
      <c r="X796" s="114"/>
      <c r="Y796" s="114"/>
      <c r="Z796" s="114"/>
    </row>
    <row r="797">
      <c r="A797" s="1"/>
      <c r="B797" s="114"/>
      <c r="C797" s="114"/>
      <c r="D797" s="114"/>
      <c r="E797" s="114"/>
      <c r="F797" s="114"/>
      <c r="G797" s="114"/>
      <c r="H797" s="114"/>
      <c r="I797" s="114"/>
      <c r="J797" s="114"/>
      <c r="K797" s="114"/>
      <c r="L797" s="114"/>
      <c r="M797" s="114"/>
      <c r="N797" s="114"/>
      <c r="O797" s="114"/>
      <c r="P797" s="114"/>
      <c r="Q797" s="114"/>
      <c r="R797" s="114"/>
      <c r="S797" s="114"/>
      <c r="T797" s="114"/>
      <c r="U797" s="114"/>
      <c r="V797" s="114"/>
      <c r="W797" s="114"/>
      <c r="X797" s="114"/>
      <c r="Y797" s="114"/>
      <c r="Z797" s="114"/>
    </row>
    <row r="798">
      <c r="A798" s="1"/>
      <c r="B798" s="114"/>
      <c r="C798" s="114"/>
      <c r="D798" s="114"/>
      <c r="E798" s="114"/>
      <c r="F798" s="114"/>
      <c r="G798" s="114"/>
      <c r="H798" s="114"/>
      <c r="I798" s="114"/>
      <c r="J798" s="114"/>
      <c r="K798" s="114"/>
      <c r="L798" s="114"/>
      <c r="M798" s="114"/>
      <c r="N798" s="114"/>
      <c r="O798" s="114"/>
      <c r="P798" s="114"/>
      <c r="Q798" s="114"/>
      <c r="R798" s="114"/>
      <c r="S798" s="114"/>
      <c r="T798" s="114"/>
      <c r="U798" s="114"/>
      <c r="V798" s="114"/>
      <c r="W798" s="114"/>
      <c r="X798" s="114"/>
      <c r="Y798" s="114"/>
      <c r="Z798" s="114"/>
    </row>
    <row r="799">
      <c r="A799" s="1"/>
      <c r="B799" s="114"/>
      <c r="C799" s="114"/>
      <c r="D799" s="114"/>
      <c r="E799" s="114"/>
      <c r="F799" s="114"/>
      <c r="G799" s="114"/>
      <c r="H799" s="114"/>
      <c r="I799" s="114"/>
      <c r="J799" s="114"/>
      <c r="K799" s="114"/>
      <c r="L799" s="114"/>
      <c r="M799" s="114"/>
      <c r="N799" s="114"/>
      <c r="O799" s="114"/>
      <c r="P799" s="114"/>
      <c r="Q799" s="114"/>
      <c r="R799" s="114"/>
      <c r="S799" s="114"/>
      <c r="T799" s="114"/>
      <c r="U799" s="114"/>
      <c r="V799" s="114"/>
      <c r="W799" s="114"/>
      <c r="X799" s="114"/>
      <c r="Y799" s="114"/>
      <c r="Z799" s="114"/>
    </row>
    <row r="800">
      <c r="A800" s="1"/>
      <c r="B800" s="114"/>
      <c r="C800" s="114"/>
      <c r="D800" s="114"/>
      <c r="E800" s="114"/>
      <c r="F800" s="114"/>
      <c r="G800" s="114"/>
      <c r="H800" s="114"/>
      <c r="I800" s="114"/>
      <c r="J800" s="114"/>
      <c r="K800" s="114"/>
      <c r="L800" s="114"/>
      <c r="M800" s="114"/>
      <c r="N800" s="114"/>
      <c r="O800" s="114"/>
      <c r="P800" s="114"/>
      <c r="Q800" s="114"/>
      <c r="R800" s="114"/>
      <c r="S800" s="114"/>
      <c r="T800" s="114"/>
      <c r="U800" s="114"/>
      <c r="V800" s="114"/>
      <c r="W800" s="114"/>
      <c r="X800" s="114"/>
      <c r="Y800" s="114"/>
      <c r="Z800" s="114"/>
    </row>
    <row r="801">
      <c r="A801" s="1"/>
      <c r="B801" s="114"/>
      <c r="C801" s="114"/>
      <c r="D801" s="114"/>
      <c r="E801" s="114"/>
      <c r="F801" s="114"/>
      <c r="G801" s="114"/>
      <c r="H801" s="114"/>
      <c r="I801" s="114"/>
      <c r="J801" s="114"/>
      <c r="K801" s="114"/>
      <c r="L801" s="114"/>
      <c r="M801" s="114"/>
      <c r="N801" s="114"/>
      <c r="O801" s="114"/>
      <c r="P801" s="114"/>
      <c r="Q801" s="114"/>
      <c r="R801" s="114"/>
      <c r="S801" s="114"/>
      <c r="T801" s="114"/>
      <c r="U801" s="114"/>
      <c r="V801" s="114"/>
      <c r="W801" s="114"/>
      <c r="X801" s="114"/>
      <c r="Y801" s="114"/>
      <c r="Z801" s="114"/>
    </row>
    <row r="802">
      <c r="A802" s="1"/>
      <c r="B802" s="114"/>
      <c r="C802" s="114"/>
      <c r="D802" s="114"/>
      <c r="E802" s="114"/>
      <c r="F802" s="114"/>
      <c r="G802" s="114"/>
      <c r="H802" s="114"/>
      <c r="I802" s="114"/>
      <c r="J802" s="114"/>
      <c r="K802" s="114"/>
      <c r="L802" s="114"/>
      <c r="M802" s="114"/>
      <c r="N802" s="114"/>
      <c r="O802" s="114"/>
      <c r="P802" s="114"/>
      <c r="Q802" s="114"/>
      <c r="R802" s="114"/>
      <c r="S802" s="114"/>
      <c r="T802" s="114"/>
      <c r="U802" s="114"/>
      <c r="V802" s="114"/>
      <c r="W802" s="114"/>
      <c r="X802" s="114"/>
      <c r="Y802" s="114"/>
      <c r="Z802" s="114"/>
    </row>
    <row r="803">
      <c r="A803" s="1"/>
      <c r="B803" s="114"/>
      <c r="C803" s="114"/>
      <c r="D803" s="114"/>
      <c r="E803" s="114"/>
      <c r="F803" s="114"/>
      <c r="G803" s="114"/>
      <c r="H803" s="114"/>
      <c r="I803" s="114"/>
      <c r="J803" s="114"/>
      <c r="K803" s="114"/>
      <c r="L803" s="114"/>
      <c r="M803" s="114"/>
      <c r="N803" s="114"/>
      <c r="O803" s="114"/>
      <c r="P803" s="114"/>
      <c r="Q803" s="114"/>
      <c r="R803" s="114"/>
      <c r="S803" s="114"/>
      <c r="T803" s="114"/>
      <c r="U803" s="114"/>
      <c r="V803" s="114"/>
      <c r="W803" s="114"/>
      <c r="X803" s="114"/>
      <c r="Y803" s="114"/>
      <c r="Z803" s="114"/>
    </row>
    <row r="804">
      <c r="A804" s="1"/>
      <c r="B804" s="114"/>
      <c r="C804" s="114"/>
      <c r="D804" s="114"/>
      <c r="E804" s="114"/>
      <c r="F804" s="114"/>
      <c r="G804" s="114"/>
      <c r="H804" s="114"/>
      <c r="I804" s="114"/>
      <c r="J804" s="114"/>
      <c r="K804" s="114"/>
      <c r="L804" s="114"/>
      <c r="M804" s="114"/>
      <c r="N804" s="114"/>
      <c r="O804" s="114"/>
      <c r="P804" s="114"/>
      <c r="Q804" s="114"/>
      <c r="R804" s="114"/>
      <c r="S804" s="114"/>
      <c r="T804" s="114"/>
      <c r="U804" s="114"/>
      <c r="V804" s="114"/>
      <c r="W804" s="114"/>
      <c r="X804" s="114"/>
      <c r="Y804" s="114"/>
      <c r="Z804" s="114"/>
    </row>
    <row r="805">
      <c r="A805" s="1"/>
      <c r="B805" s="114"/>
      <c r="C805" s="114"/>
      <c r="D805" s="114"/>
      <c r="E805" s="114"/>
      <c r="F805" s="114"/>
      <c r="G805" s="114"/>
      <c r="H805" s="114"/>
      <c r="I805" s="114"/>
      <c r="J805" s="114"/>
      <c r="K805" s="114"/>
      <c r="L805" s="114"/>
      <c r="M805" s="114"/>
      <c r="N805" s="114"/>
      <c r="O805" s="114"/>
      <c r="P805" s="114"/>
      <c r="Q805" s="114"/>
      <c r="R805" s="114"/>
      <c r="S805" s="114"/>
      <c r="T805" s="114"/>
      <c r="U805" s="114"/>
      <c r="V805" s="114"/>
      <c r="W805" s="114"/>
      <c r="X805" s="114"/>
      <c r="Y805" s="114"/>
      <c r="Z805" s="114"/>
    </row>
    <row r="806">
      <c r="A806" s="1"/>
      <c r="B806" s="114"/>
      <c r="C806" s="114"/>
      <c r="D806" s="114"/>
      <c r="E806" s="114"/>
      <c r="F806" s="114"/>
      <c r="G806" s="114"/>
      <c r="H806" s="114"/>
      <c r="I806" s="114"/>
      <c r="J806" s="114"/>
      <c r="K806" s="114"/>
      <c r="L806" s="114"/>
      <c r="M806" s="114"/>
      <c r="N806" s="114"/>
      <c r="O806" s="114"/>
      <c r="P806" s="114"/>
      <c r="Q806" s="114"/>
      <c r="R806" s="114"/>
      <c r="S806" s="114"/>
      <c r="T806" s="114"/>
      <c r="U806" s="114"/>
      <c r="V806" s="114"/>
      <c r="W806" s="114"/>
      <c r="X806" s="114"/>
      <c r="Y806" s="114"/>
      <c r="Z806" s="114"/>
    </row>
    <row r="807">
      <c r="A807" s="1"/>
      <c r="B807" s="114"/>
      <c r="C807" s="114"/>
      <c r="D807" s="114"/>
      <c r="E807" s="114"/>
      <c r="F807" s="114"/>
      <c r="G807" s="114"/>
      <c r="H807" s="114"/>
      <c r="I807" s="114"/>
      <c r="J807" s="114"/>
      <c r="K807" s="114"/>
      <c r="L807" s="114"/>
      <c r="M807" s="114"/>
      <c r="N807" s="114"/>
      <c r="O807" s="114"/>
      <c r="P807" s="114"/>
      <c r="Q807" s="114"/>
      <c r="R807" s="114"/>
      <c r="S807" s="114"/>
      <c r="T807" s="114"/>
      <c r="U807" s="114"/>
      <c r="V807" s="114"/>
      <c r="W807" s="114"/>
      <c r="X807" s="114"/>
      <c r="Y807" s="114"/>
      <c r="Z807" s="114"/>
    </row>
    <row r="808">
      <c r="A808" s="1"/>
      <c r="B808" s="114"/>
      <c r="C808" s="114"/>
      <c r="D808" s="114"/>
      <c r="E808" s="114"/>
      <c r="F808" s="114"/>
      <c r="G808" s="114"/>
      <c r="H808" s="114"/>
      <c r="I808" s="114"/>
      <c r="J808" s="114"/>
      <c r="K808" s="114"/>
      <c r="L808" s="114"/>
      <c r="M808" s="114"/>
      <c r="N808" s="114"/>
      <c r="O808" s="114"/>
      <c r="P808" s="114"/>
      <c r="Q808" s="114"/>
      <c r="R808" s="114"/>
      <c r="S808" s="114"/>
      <c r="T808" s="114"/>
      <c r="U808" s="114"/>
      <c r="V808" s="114"/>
      <c r="W808" s="114"/>
      <c r="X808" s="114"/>
      <c r="Y808" s="114"/>
      <c r="Z808" s="114"/>
    </row>
    <row r="809">
      <c r="A809" s="1"/>
      <c r="B809" s="114"/>
      <c r="C809" s="114"/>
      <c r="D809" s="114"/>
      <c r="E809" s="114"/>
      <c r="F809" s="114"/>
      <c r="G809" s="114"/>
      <c r="H809" s="114"/>
      <c r="I809" s="114"/>
      <c r="J809" s="114"/>
      <c r="K809" s="114"/>
      <c r="L809" s="114"/>
      <c r="M809" s="114"/>
      <c r="N809" s="114"/>
      <c r="O809" s="114"/>
      <c r="P809" s="114"/>
      <c r="Q809" s="114"/>
      <c r="R809" s="114"/>
      <c r="S809" s="114"/>
      <c r="T809" s="114"/>
      <c r="U809" s="114"/>
      <c r="V809" s="114"/>
      <c r="W809" s="114"/>
      <c r="X809" s="114"/>
      <c r="Y809" s="114"/>
      <c r="Z809" s="114"/>
    </row>
    <row r="810">
      <c r="A810" s="1"/>
      <c r="B810" s="114"/>
      <c r="C810" s="114"/>
      <c r="D810" s="114"/>
      <c r="E810" s="114"/>
      <c r="F810" s="114"/>
      <c r="G810" s="114"/>
      <c r="H810" s="114"/>
      <c r="I810" s="114"/>
      <c r="J810" s="114"/>
      <c r="K810" s="114"/>
      <c r="L810" s="114"/>
      <c r="M810" s="114"/>
      <c r="N810" s="114"/>
      <c r="O810" s="114"/>
      <c r="P810" s="114"/>
      <c r="Q810" s="114"/>
      <c r="R810" s="114"/>
      <c r="S810" s="114"/>
      <c r="T810" s="114"/>
      <c r="U810" s="114"/>
      <c r="V810" s="114"/>
      <c r="W810" s="114"/>
      <c r="X810" s="114"/>
      <c r="Y810" s="114"/>
      <c r="Z810" s="114"/>
    </row>
    <row r="811">
      <c r="A811" s="1"/>
      <c r="B811" s="114"/>
      <c r="C811" s="114"/>
      <c r="D811" s="114"/>
      <c r="E811" s="114"/>
      <c r="F811" s="114"/>
      <c r="G811" s="114"/>
      <c r="H811" s="114"/>
      <c r="I811" s="114"/>
      <c r="J811" s="114"/>
      <c r="K811" s="114"/>
      <c r="L811" s="114"/>
      <c r="M811" s="114"/>
      <c r="N811" s="114"/>
      <c r="O811" s="114"/>
      <c r="P811" s="114"/>
      <c r="Q811" s="114"/>
      <c r="R811" s="114"/>
      <c r="S811" s="114"/>
      <c r="T811" s="114"/>
      <c r="U811" s="114"/>
      <c r="V811" s="114"/>
      <c r="W811" s="114"/>
      <c r="X811" s="114"/>
      <c r="Y811" s="114"/>
      <c r="Z811" s="114"/>
    </row>
    <row r="812">
      <c r="A812" s="1"/>
      <c r="B812" s="114"/>
      <c r="C812" s="114"/>
      <c r="D812" s="114"/>
      <c r="E812" s="114"/>
      <c r="F812" s="114"/>
      <c r="G812" s="114"/>
      <c r="H812" s="114"/>
      <c r="I812" s="114"/>
      <c r="J812" s="114"/>
      <c r="K812" s="114"/>
      <c r="L812" s="114"/>
      <c r="M812" s="114"/>
      <c r="N812" s="114"/>
      <c r="O812" s="114"/>
      <c r="P812" s="114"/>
      <c r="Q812" s="114"/>
      <c r="R812" s="114"/>
      <c r="S812" s="114"/>
      <c r="T812" s="114"/>
      <c r="U812" s="114"/>
      <c r="V812" s="114"/>
      <c r="W812" s="114"/>
      <c r="X812" s="114"/>
      <c r="Y812" s="114"/>
      <c r="Z812" s="114"/>
    </row>
    <row r="813">
      <c r="A813" s="1"/>
      <c r="B813" s="114"/>
      <c r="C813" s="114"/>
      <c r="D813" s="114"/>
      <c r="E813" s="114"/>
      <c r="F813" s="114"/>
      <c r="G813" s="114"/>
      <c r="H813" s="114"/>
      <c r="I813" s="114"/>
      <c r="J813" s="114"/>
      <c r="K813" s="114"/>
      <c r="L813" s="114"/>
      <c r="M813" s="114"/>
      <c r="N813" s="114"/>
      <c r="O813" s="114"/>
      <c r="P813" s="114"/>
      <c r="Q813" s="114"/>
      <c r="R813" s="114"/>
      <c r="S813" s="114"/>
      <c r="T813" s="114"/>
      <c r="U813" s="114"/>
      <c r="V813" s="114"/>
      <c r="W813" s="114"/>
      <c r="X813" s="114"/>
      <c r="Y813" s="114"/>
      <c r="Z813" s="114"/>
    </row>
    <row r="814">
      <c r="A814" s="1"/>
      <c r="B814" s="114"/>
      <c r="C814" s="114"/>
      <c r="D814" s="114"/>
      <c r="E814" s="114"/>
      <c r="F814" s="114"/>
      <c r="G814" s="114"/>
      <c r="H814" s="114"/>
      <c r="I814" s="114"/>
      <c r="J814" s="114"/>
      <c r="K814" s="114"/>
      <c r="L814" s="114"/>
      <c r="M814" s="114"/>
      <c r="N814" s="114"/>
      <c r="O814" s="114"/>
      <c r="P814" s="114"/>
      <c r="Q814" s="114"/>
      <c r="R814" s="114"/>
      <c r="S814" s="114"/>
      <c r="T814" s="114"/>
      <c r="U814" s="114"/>
      <c r="V814" s="114"/>
      <c r="W814" s="114"/>
      <c r="X814" s="114"/>
      <c r="Y814" s="114"/>
      <c r="Z814" s="114"/>
    </row>
    <row r="815">
      <c r="A815" s="1"/>
      <c r="B815" s="114"/>
      <c r="C815" s="114"/>
      <c r="D815" s="114"/>
      <c r="E815" s="114"/>
      <c r="F815" s="114"/>
      <c r="G815" s="114"/>
      <c r="H815" s="114"/>
      <c r="I815" s="114"/>
      <c r="J815" s="114"/>
      <c r="K815" s="114"/>
      <c r="L815" s="114"/>
      <c r="M815" s="114"/>
      <c r="N815" s="114"/>
      <c r="O815" s="114"/>
      <c r="P815" s="114"/>
      <c r="Q815" s="114"/>
      <c r="R815" s="114"/>
      <c r="S815" s="114"/>
      <c r="T815" s="114"/>
      <c r="U815" s="114"/>
      <c r="V815" s="114"/>
      <c r="W815" s="114"/>
      <c r="X815" s="114"/>
      <c r="Y815" s="114"/>
      <c r="Z815" s="114"/>
    </row>
    <row r="816">
      <c r="A816" s="1"/>
      <c r="B816" s="114"/>
      <c r="C816" s="114"/>
      <c r="D816" s="114"/>
      <c r="E816" s="114"/>
      <c r="F816" s="114"/>
      <c r="G816" s="114"/>
      <c r="H816" s="114"/>
      <c r="I816" s="114"/>
      <c r="J816" s="114"/>
      <c r="K816" s="114"/>
      <c r="L816" s="114"/>
      <c r="M816" s="114"/>
      <c r="N816" s="114"/>
      <c r="O816" s="114"/>
      <c r="P816" s="114"/>
      <c r="Q816" s="114"/>
      <c r="R816" s="114"/>
      <c r="S816" s="114"/>
      <c r="T816" s="114"/>
      <c r="U816" s="114"/>
      <c r="V816" s="114"/>
      <c r="W816" s="114"/>
      <c r="X816" s="114"/>
      <c r="Y816" s="114"/>
      <c r="Z816" s="114"/>
    </row>
    <row r="817">
      <c r="A817" s="1"/>
      <c r="B817" s="114"/>
      <c r="C817" s="114"/>
      <c r="D817" s="114"/>
      <c r="E817" s="114"/>
      <c r="F817" s="114"/>
      <c r="G817" s="114"/>
      <c r="H817" s="114"/>
      <c r="I817" s="114"/>
      <c r="J817" s="114"/>
      <c r="K817" s="114"/>
      <c r="L817" s="114"/>
      <c r="M817" s="114"/>
      <c r="N817" s="114"/>
      <c r="O817" s="114"/>
      <c r="P817" s="114"/>
      <c r="Q817" s="114"/>
      <c r="R817" s="114"/>
      <c r="S817" s="114"/>
      <c r="T817" s="114"/>
      <c r="U817" s="114"/>
      <c r="V817" s="114"/>
      <c r="W817" s="114"/>
      <c r="X817" s="114"/>
      <c r="Y817" s="114"/>
      <c r="Z817" s="114"/>
    </row>
    <row r="818">
      <c r="A818" s="1"/>
      <c r="B818" s="114"/>
      <c r="C818" s="114"/>
      <c r="D818" s="114"/>
      <c r="E818" s="114"/>
      <c r="F818" s="114"/>
      <c r="G818" s="114"/>
      <c r="H818" s="114"/>
      <c r="I818" s="114"/>
      <c r="J818" s="114"/>
      <c r="K818" s="114"/>
      <c r="L818" s="114"/>
      <c r="M818" s="114"/>
      <c r="N818" s="114"/>
      <c r="O818" s="114"/>
      <c r="P818" s="114"/>
      <c r="Q818" s="114"/>
      <c r="R818" s="114"/>
      <c r="S818" s="114"/>
      <c r="T818" s="114"/>
      <c r="U818" s="114"/>
      <c r="V818" s="114"/>
      <c r="W818" s="114"/>
      <c r="X818" s="114"/>
      <c r="Y818" s="114"/>
      <c r="Z818" s="114"/>
    </row>
    <row r="819">
      <c r="A819" s="1"/>
      <c r="B819" s="114"/>
      <c r="C819" s="114"/>
      <c r="D819" s="114"/>
      <c r="E819" s="114"/>
      <c r="F819" s="114"/>
      <c r="G819" s="114"/>
      <c r="H819" s="114"/>
      <c r="I819" s="114"/>
      <c r="J819" s="114"/>
      <c r="K819" s="114"/>
      <c r="L819" s="114"/>
      <c r="M819" s="114"/>
      <c r="N819" s="114"/>
      <c r="O819" s="114"/>
      <c r="P819" s="114"/>
      <c r="Q819" s="114"/>
      <c r="R819" s="114"/>
      <c r="S819" s="114"/>
      <c r="T819" s="114"/>
      <c r="U819" s="114"/>
      <c r="V819" s="114"/>
      <c r="W819" s="114"/>
      <c r="X819" s="114"/>
      <c r="Y819" s="114"/>
      <c r="Z819" s="114"/>
    </row>
    <row r="820">
      <c r="A820" s="1"/>
      <c r="B820" s="114"/>
      <c r="C820" s="114"/>
      <c r="D820" s="114"/>
      <c r="E820" s="114"/>
      <c r="F820" s="114"/>
      <c r="G820" s="114"/>
      <c r="H820" s="114"/>
      <c r="I820" s="114"/>
      <c r="J820" s="114"/>
      <c r="K820" s="114"/>
      <c r="L820" s="114"/>
      <c r="M820" s="114"/>
      <c r="N820" s="114"/>
      <c r="O820" s="114"/>
      <c r="P820" s="114"/>
      <c r="Q820" s="114"/>
      <c r="R820" s="114"/>
      <c r="S820" s="114"/>
      <c r="T820" s="114"/>
      <c r="U820" s="114"/>
      <c r="V820" s="114"/>
      <c r="W820" s="114"/>
      <c r="X820" s="114"/>
      <c r="Y820" s="114"/>
      <c r="Z820" s="114"/>
    </row>
    <row r="821">
      <c r="A821" s="1"/>
      <c r="B821" s="114"/>
      <c r="C821" s="114"/>
      <c r="D821" s="114"/>
      <c r="E821" s="114"/>
      <c r="F821" s="114"/>
      <c r="G821" s="114"/>
      <c r="H821" s="114"/>
      <c r="I821" s="114"/>
      <c r="J821" s="114"/>
      <c r="K821" s="114"/>
      <c r="L821" s="114"/>
      <c r="M821" s="114"/>
      <c r="N821" s="114"/>
      <c r="O821" s="114"/>
      <c r="P821" s="114"/>
      <c r="Q821" s="114"/>
      <c r="R821" s="114"/>
      <c r="S821" s="114"/>
      <c r="T821" s="114"/>
      <c r="U821" s="114"/>
      <c r="V821" s="114"/>
      <c r="W821" s="114"/>
      <c r="X821" s="114"/>
      <c r="Y821" s="114"/>
      <c r="Z821" s="114"/>
    </row>
    <row r="822">
      <c r="A822" s="1"/>
      <c r="B822" s="114"/>
      <c r="C822" s="114"/>
      <c r="D822" s="114"/>
      <c r="E822" s="114"/>
      <c r="F822" s="114"/>
      <c r="G822" s="114"/>
      <c r="H822" s="114"/>
      <c r="I822" s="114"/>
      <c r="J822" s="114"/>
      <c r="K822" s="114"/>
      <c r="L822" s="114"/>
      <c r="M822" s="114"/>
      <c r="N822" s="114"/>
      <c r="O822" s="114"/>
      <c r="P822" s="114"/>
      <c r="Q822" s="114"/>
      <c r="R822" s="114"/>
      <c r="S822" s="114"/>
      <c r="T822" s="114"/>
      <c r="U822" s="114"/>
      <c r="V822" s="114"/>
      <c r="W822" s="114"/>
      <c r="X822" s="114"/>
      <c r="Y822" s="114"/>
      <c r="Z822" s="114"/>
    </row>
    <row r="823">
      <c r="A823" s="1"/>
      <c r="B823" s="114"/>
      <c r="C823" s="114"/>
      <c r="D823" s="114"/>
      <c r="E823" s="114"/>
      <c r="F823" s="114"/>
      <c r="G823" s="114"/>
      <c r="H823" s="114"/>
      <c r="I823" s="114"/>
      <c r="J823" s="114"/>
      <c r="K823" s="114"/>
      <c r="L823" s="114"/>
      <c r="M823" s="114"/>
      <c r="N823" s="114"/>
      <c r="O823" s="114"/>
      <c r="P823" s="114"/>
      <c r="Q823" s="114"/>
      <c r="R823" s="114"/>
      <c r="S823" s="114"/>
      <c r="T823" s="114"/>
      <c r="U823" s="114"/>
      <c r="V823" s="114"/>
      <c r="W823" s="114"/>
      <c r="X823" s="114"/>
      <c r="Y823" s="114"/>
      <c r="Z823" s="114"/>
    </row>
    <row r="824">
      <c r="A824" s="1"/>
      <c r="B824" s="114"/>
      <c r="C824" s="114"/>
      <c r="D824" s="114"/>
      <c r="E824" s="114"/>
      <c r="F824" s="114"/>
      <c r="G824" s="114"/>
      <c r="H824" s="114"/>
      <c r="I824" s="114"/>
      <c r="J824" s="114"/>
      <c r="K824" s="114"/>
      <c r="L824" s="114"/>
      <c r="M824" s="114"/>
      <c r="N824" s="114"/>
      <c r="O824" s="114"/>
      <c r="P824" s="114"/>
      <c r="Q824" s="114"/>
      <c r="R824" s="114"/>
      <c r="S824" s="114"/>
      <c r="T824" s="114"/>
      <c r="U824" s="114"/>
      <c r="V824" s="114"/>
      <c r="W824" s="114"/>
      <c r="X824" s="114"/>
      <c r="Y824" s="114"/>
      <c r="Z824" s="114"/>
    </row>
    <row r="825">
      <c r="A825" s="1"/>
      <c r="B825" s="114"/>
      <c r="C825" s="114"/>
      <c r="D825" s="114"/>
      <c r="E825" s="114"/>
      <c r="F825" s="114"/>
      <c r="G825" s="114"/>
      <c r="H825" s="114"/>
      <c r="I825" s="114"/>
      <c r="J825" s="114"/>
      <c r="K825" s="114"/>
      <c r="L825" s="114"/>
      <c r="M825" s="114"/>
      <c r="N825" s="114"/>
      <c r="O825" s="114"/>
      <c r="P825" s="114"/>
      <c r="Q825" s="114"/>
      <c r="R825" s="114"/>
      <c r="S825" s="114"/>
      <c r="T825" s="114"/>
      <c r="U825" s="114"/>
      <c r="V825" s="114"/>
      <c r="W825" s="114"/>
      <c r="X825" s="114"/>
      <c r="Y825" s="114"/>
      <c r="Z825" s="114"/>
    </row>
    <row r="826">
      <c r="A826" s="1"/>
      <c r="B826" s="114"/>
      <c r="C826" s="114"/>
      <c r="D826" s="114"/>
      <c r="E826" s="114"/>
      <c r="F826" s="114"/>
      <c r="G826" s="114"/>
      <c r="H826" s="114"/>
      <c r="I826" s="114"/>
      <c r="J826" s="114"/>
      <c r="K826" s="114"/>
      <c r="L826" s="114"/>
      <c r="M826" s="114"/>
      <c r="N826" s="114"/>
      <c r="O826" s="114"/>
      <c r="P826" s="114"/>
      <c r="Q826" s="114"/>
      <c r="R826" s="114"/>
      <c r="S826" s="114"/>
      <c r="T826" s="114"/>
      <c r="U826" s="114"/>
      <c r="V826" s="114"/>
      <c r="W826" s="114"/>
      <c r="X826" s="114"/>
      <c r="Y826" s="114"/>
      <c r="Z826" s="114"/>
    </row>
    <row r="827">
      <c r="A827" s="1"/>
      <c r="B827" s="114"/>
      <c r="C827" s="114"/>
      <c r="D827" s="114"/>
      <c r="E827" s="114"/>
      <c r="F827" s="114"/>
      <c r="G827" s="114"/>
      <c r="H827" s="114"/>
      <c r="I827" s="114"/>
      <c r="J827" s="114"/>
      <c r="K827" s="114"/>
      <c r="L827" s="114"/>
      <c r="M827" s="114"/>
      <c r="N827" s="114"/>
      <c r="O827" s="114"/>
      <c r="P827" s="114"/>
      <c r="Q827" s="114"/>
      <c r="R827" s="114"/>
      <c r="S827" s="114"/>
      <c r="T827" s="114"/>
      <c r="U827" s="114"/>
      <c r="V827" s="114"/>
      <c r="W827" s="114"/>
      <c r="X827" s="114"/>
      <c r="Y827" s="114"/>
      <c r="Z827" s="114"/>
    </row>
    <row r="828">
      <c r="A828" s="1"/>
      <c r="B828" s="114"/>
      <c r="C828" s="114"/>
      <c r="D828" s="114"/>
      <c r="E828" s="114"/>
      <c r="F828" s="114"/>
      <c r="G828" s="114"/>
      <c r="H828" s="114"/>
      <c r="I828" s="114"/>
      <c r="J828" s="114"/>
      <c r="K828" s="114"/>
      <c r="L828" s="114"/>
      <c r="M828" s="114"/>
      <c r="N828" s="114"/>
      <c r="O828" s="114"/>
      <c r="P828" s="114"/>
      <c r="Q828" s="114"/>
      <c r="R828" s="114"/>
      <c r="S828" s="114"/>
      <c r="T828" s="114"/>
      <c r="U828" s="114"/>
      <c r="V828" s="114"/>
      <c r="W828" s="114"/>
      <c r="X828" s="114"/>
      <c r="Y828" s="114"/>
      <c r="Z828" s="114"/>
    </row>
    <row r="829">
      <c r="A829" s="1"/>
      <c r="B829" s="114"/>
      <c r="C829" s="114"/>
      <c r="D829" s="114"/>
      <c r="E829" s="114"/>
      <c r="F829" s="114"/>
      <c r="G829" s="114"/>
      <c r="H829" s="114"/>
      <c r="I829" s="114"/>
      <c r="J829" s="114"/>
      <c r="K829" s="114"/>
      <c r="L829" s="114"/>
      <c r="M829" s="114"/>
      <c r="N829" s="114"/>
      <c r="O829" s="114"/>
      <c r="P829" s="114"/>
      <c r="Q829" s="114"/>
      <c r="R829" s="114"/>
      <c r="S829" s="114"/>
      <c r="T829" s="114"/>
      <c r="U829" s="114"/>
      <c r="V829" s="114"/>
      <c r="W829" s="114"/>
      <c r="X829" s="114"/>
      <c r="Y829" s="114"/>
      <c r="Z829" s="114"/>
    </row>
    <row r="830">
      <c r="A830" s="1"/>
      <c r="B830" s="114"/>
      <c r="C830" s="114"/>
      <c r="D830" s="114"/>
      <c r="E830" s="114"/>
      <c r="F830" s="114"/>
      <c r="G830" s="114"/>
      <c r="H830" s="114"/>
      <c r="I830" s="114"/>
      <c r="J830" s="114"/>
      <c r="K830" s="114"/>
      <c r="L830" s="114"/>
      <c r="M830" s="114"/>
      <c r="N830" s="114"/>
      <c r="O830" s="114"/>
      <c r="P830" s="114"/>
      <c r="Q830" s="114"/>
      <c r="R830" s="114"/>
      <c r="S830" s="114"/>
      <c r="T830" s="114"/>
      <c r="U830" s="114"/>
      <c r="V830" s="114"/>
      <c r="W830" s="114"/>
      <c r="X830" s="114"/>
      <c r="Y830" s="114"/>
      <c r="Z830" s="114"/>
    </row>
    <row r="831">
      <c r="A831" s="1"/>
      <c r="B831" s="114"/>
      <c r="C831" s="114"/>
      <c r="D831" s="114"/>
      <c r="E831" s="114"/>
      <c r="F831" s="114"/>
      <c r="G831" s="114"/>
      <c r="H831" s="114"/>
      <c r="I831" s="114"/>
      <c r="J831" s="114"/>
      <c r="K831" s="114"/>
      <c r="L831" s="114"/>
      <c r="M831" s="114"/>
      <c r="N831" s="114"/>
      <c r="O831" s="114"/>
      <c r="P831" s="114"/>
      <c r="Q831" s="114"/>
      <c r="R831" s="114"/>
      <c r="S831" s="114"/>
      <c r="T831" s="114"/>
      <c r="U831" s="114"/>
      <c r="V831" s="114"/>
      <c r="W831" s="114"/>
      <c r="X831" s="114"/>
      <c r="Y831" s="114"/>
      <c r="Z831" s="114"/>
    </row>
    <row r="832">
      <c r="A832" s="1"/>
      <c r="B832" s="114"/>
      <c r="C832" s="114"/>
      <c r="D832" s="114"/>
      <c r="E832" s="114"/>
      <c r="F832" s="114"/>
      <c r="G832" s="114"/>
      <c r="H832" s="114"/>
      <c r="I832" s="114"/>
      <c r="J832" s="114"/>
      <c r="K832" s="114"/>
      <c r="L832" s="114"/>
      <c r="M832" s="114"/>
      <c r="N832" s="114"/>
      <c r="O832" s="114"/>
      <c r="P832" s="114"/>
      <c r="Q832" s="114"/>
      <c r="R832" s="114"/>
      <c r="S832" s="114"/>
      <c r="T832" s="114"/>
      <c r="U832" s="114"/>
      <c r="V832" s="114"/>
      <c r="W832" s="114"/>
      <c r="X832" s="114"/>
      <c r="Y832" s="114"/>
      <c r="Z832" s="114"/>
    </row>
    <row r="833">
      <c r="A833" s="1"/>
      <c r="B833" s="114"/>
      <c r="C833" s="114"/>
      <c r="D833" s="114"/>
      <c r="E833" s="114"/>
      <c r="F833" s="114"/>
      <c r="G833" s="114"/>
      <c r="H833" s="114"/>
      <c r="I833" s="114"/>
      <c r="J833" s="114"/>
      <c r="K833" s="114"/>
      <c r="L833" s="114"/>
      <c r="M833" s="114"/>
      <c r="N833" s="114"/>
      <c r="O833" s="114"/>
      <c r="P833" s="114"/>
      <c r="Q833" s="114"/>
      <c r="R833" s="114"/>
      <c r="S833" s="114"/>
      <c r="T833" s="114"/>
      <c r="U833" s="114"/>
      <c r="V833" s="114"/>
      <c r="W833" s="114"/>
      <c r="X833" s="114"/>
      <c r="Y833" s="114"/>
      <c r="Z833" s="114"/>
    </row>
    <row r="834">
      <c r="A834" s="1"/>
      <c r="B834" s="114"/>
      <c r="C834" s="114"/>
      <c r="D834" s="114"/>
      <c r="E834" s="114"/>
      <c r="F834" s="114"/>
      <c r="G834" s="114"/>
      <c r="H834" s="114"/>
      <c r="I834" s="114"/>
      <c r="J834" s="114"/>
      <c r="K834" s="114"/>
      <c r="L834" s="114"/>
      <c r="M834" s="114"/>
      <c r="N834" s="114"/>
      <c r="O834" s="114"/>
      <c r="P834" s="114"/>
      <c r="Q834" s="114"/>
      <c r="R834" s="114"/>
      <c r="S834" s="114"/>
      <c r="T834" s="114"/>
      <c r="U834" s="114"/>
      <c r="V834" s="114"/>
      <c r="W834" s="114"/>
      <c r="X834" s="114"/>
      <c r="Y834" s="114"/>
      <c r="Z834" s="114"/>
    </row>
    <row r="835">
      <c r="A835" s="1"/>
      <c r="B835" s="114"/>
      <c r="C835" s="114"/>
      <c r="D835" s="114"/>
      <c r="E835" s="114"/>
      <c r="F835" s="114"/>
      <c r="G835" s="114"/>
      <c r="H835" s="114"/>
      <c r="I835" s="114"/>
      <c r="J835" s="114"/>
      <c r="K835" s="114"/>
      <c r="L835" s="114"/>
      <c r="M835" s="114"/>
      <c r="N835" s="114"/>
      <c r="O835" s="114"/>
      <c r="P835" s="114"/>
      <c r="Q835" s="114"/>
      <c r="R835" s="114"/>
      <c r="S835" s="114"/>
      <c r="T835" s="114"/>
      <c r="U835" s="114"/>
      <c r="V835" s="114"/>
      <c r="W835" s="114"/>
      <c r="X835" s="114"/>
      <c r="Y835" s="114"/>
      <c r="Z835" s="114"/>
    </row>
    <row r="836">
      <c r="A836" s="1"/>
      <c r="B836" s="114"/>
      <c r="C836" s="114"/>
      <c r="D836" s="114"/>
      <c r="E836" s="114"/>
      <c r="F836" s="114"/>
      <c r="G836" s="114"/>
      <c r="H836" s="114"/>
      <c r="I836" s="114"/>
      <c r="J836" s="114"/>
      <c r="K836" s="114"/>
      <c r="L836" s="114"/>
      <c r="M836" s="114"/>
      <c r="N836" s="114"/>
      <c r="O836" s="114"/>
      <c r="P836" s="114"/>
      <c r="Q836" s="114"/>
      <c r="R836" s="114"/>
      <c r="S836" s="114"/>
      <c r="T836" s="114"/>
      <c r="U836" s="114"/>
      <c r="V836" s="114"/>
      <c r="W836" s="114"/>
      <c r="X836" s="114"/>
      <c r="Y836" s="114"/>
      <c r="Z836" s="114"/>
    </row>
    <row r="837">
      <c r="A837" s="1"/>
      <c r="B837" s="114"/>
      <c r="C837" s="114"/>
      <c r="D837" s="114"/>
      <c r="E837" s="114"/>
      <c r="F837" s="114"/>
      <c r="G837" s="114"/>
      <c r="H837" s="114"/>
      <c r="I837" s="114"/>
      <c r="J837" s="114"/>
      <c r="K837" s="114"/>
      <c r="L837" s="114"/>
      <c r="M837" s="114"/>
      <c r="N837" s="114"/>
      <c r="O837" s="114"/>
      <c r="P837" s="114"/>
      <c r="Q837" s="114"/>
      <c r="R837" s="114"/>
      <c r="S837" s="114"/>
      <c r="T837" s="114"/>
      <c r="U837" s="114"/>
      <c r="V837" s="114"/>
      <c r="W837" s="114"/>
      <c r="X837" s="114"/>
      <c r="Y837" s="114"/>
      <c r="Z837" s="114"/>
    </row>
    <row r="838">
      <c r="A838" s="1"/>
      <c r="B838" s="114"/>
      <c r="C838" s="114"/>
      <c r="D838" s="114"/>
      <c r="E838" s="114"/>
      <c r="F838" s="114"/>
      <c r="G838" s="114"/>
      <c r="H838" s="114"/>
      <c r="I838" s="114"/>
      <c r="J838" s="114"/>
      <c r="K838" s="114"/>
      <c r="L838" s="114"/>
      <c r="M838" s="114"/>
      <c r="N838" s="114"/>
      <c r="O838" s="114"/>
      <c r="P838" s="114"/>
      <c r="Q838" s="114"/>
      <c r="R838" s="114"/>
      <c r="S838" s="114"/>
      <c r="T838" s="114"/>
      <c r="U838" s="114"/>
      <c r="V838" s="114"/>
      <c r="W838" s="114"/>
      <c r="X838" s="114"/>
      <c r="Y838" s="114"/>
      <c r="Z838" s="114"/>
    </row>
    <row r="839">
      <c r="A839" s="1"/>
      <c r="B839" s="114"/>
      <c r="C839" s="114"/>
      <c r="D839" s="114"/>
      <c r="E839" s="114"/>
      <c r="F839" s="114"/>
      <c r="G839" s="114"/>
      <c r="H839" s="114"/>
      <c r="I839" s="114"/>
      <c r="J839" s="114"/>
      <c r="K839" s="114"/>
      <c r="L839" s="114"/>
      <c r="M839" s="114"/>
      <c r="N839" s="114"/>
      <c r="O839" s="114"/>
      <c r="P839" s="114"/>
      <c r="Q839" s="114"/>
      <c r="R839" s="114"/>
      <c r="S839" s="114"/>
      <c r="T839" s="114"/>
      <c r="U839" s="114"/>
      <c r="V839" s="114"/>
      <c r="W839" s="114"/>
      <c r="X839" s="114"/>
      <c r="Y839" s="114"/>
      <c r="Z839" s="114"/>
    </row>
    <row r="840">
      <c r="A840" s="1"/>
      <c r="B840" s="114"/>
      <c r="C840" s="114"/>
      <c r="D840" s="114"/>
      <c r="E840" s="114"/>
      <c r="F840" s="114"/>
      <c r="G840" s="114"/>
      <c r="H840" s="114"/>
      <c r="I840" s="114"/>
      <c r="J840" s="114"/>
      <c r="K840" s="114"/>
      <c r="L840" s="114"/>
      <c r="M840" s="114"/>
      <c r="N840" s="114"/>
      <c r="O840" s="114"/>
      <c r="P840" s="114"/>
      <c r="Q840" s="114"/>
      <c r="R840" s="114"/>
      <c r="S840" s="114"/>
      <c r="T840" s="114"/>
      <c r="U840" s="114"/>
      <c r="V840" s="114"/>
      <c r="W840" s="114"/>
      <c r="X840" s="114"/>
      <c r="Y840" s="114"/>
      <c r="Z840" s="114"/>
    </row>
    <row r="841">
      <c r="A841" s="1"/>
      <c r="B841" s="114"/>
      <c r="C841" s="114"/>
      <c r="D841" s="114"/>
      <c r="E841" s="114"/>
      <c r="F841" s="114"/>
      <c r="G841" s="114"/>
      <c r="H841" s="114"/>
      <c r="I841" s="114"/>
      <c r="J841" s="114"/>
      <c r="K841" s="114"/>
      <c r="L841" s="114"/>
      <c r="M841" s="114"/>
      <c r="N841" s="114"/>
      <c r="O841" s="114"/>
      <c r="P841" s="114"/>
      <c r="Q841" s="114"/>
      <c r="R841" s="114"/>
      <c r="S841" s="114"/>
      <c r="T841" s="114"/>
      <c r="U841" s="114"/>
      <c r="V841" s="114"/>
      <c r="W841" s="114"/>
      <c r="X841" s="114"/>
      <c r="Y841" s="114"/>
      <c r="Z841" s="114"/>
    </row>
    <row r="842">
      <c r="A842" s="1"/>
      <c r="B842" s="114"/>
      <c r="C842" s="114"/>
      <c r="D842" s="114"/>
      <c r="E842" s="114"/>
      <c r="F842" s="114"/>
      <c r="G842" s="114"/>
      <c r="H842" s="114"/>
      <c r="I842" s="114"/>
      <c r="J842" s="114"/>
      <c r="K842" s="114"/>
      <c r="L842" s="114"/>
      <c r="M842" s="114"/>
      <c r="N842" s="114"/>
      <c r="O842" s="114"/>
      <c r="P842" s="114"/>
      <c r="Q842" s="114"/>
      <c r="R842" s="114"/>
      <c r="S842" s="114"/>
      <c r="T842" s="114"/>
      <c r="U842" s="114"/>
      <c r="V842" s="114"/>
      <c r="W842" s="114"/>
      <c r="X842" s="114"/>
      <c r="Y842" s="114"/>
      <c r="Z842" s="114"/>
    </row>
    <row r="843">
      <c r="A843" s="1"/>
      <c r="B843" s="114"/>
      <c r="C843" s="114"/>
      <c r="D843" s="114"/>
      <c r="E843" s="114"/>
      <c r="F843" s="114"/>
      <c r="G843" s="114"/>
      <c r="H843" s="114"/>
      <c r="I843" s="114"/>
      <c r="J843" s="114"/>
      <c r="K843" s="114"/>
      <c r="L843" s="114"/>
      <c r="M843" s="114"/>
      <c r="N843" s="114"/>
      <c r="O843" s="114"/>
      <c r="P843" s="114"/>
      <c r="Q843" s="114"/>
      <c r="R843" s="114"/>
      <c r="S843" s="114"/>
      <c r="T843" s="114"/>
      <c r="U843" s="114"/>
      <c r="V843" s="114"/>
      <c r="W843" s="114"/>
      <c r="X843" s="114"/>
      <c r="Y843" s="114"/>
      <c r="Z843" s="114"/>
    </row>
    <row r="844">
      <c r="A844" s="1"/>
      <c r="B844" s="114"/>
      <c r="C844" s="114"/>
      <c r="D844" s="114"/>
      <c r="E844" s="114"/>
      <c r="F844" s="114"/>
      <c r="G844" s="114"/>
      <c r="H844" s="114"/>
      <c r="I844" s="114"/>
      <c r="J844" s="114"/>
      <c r="K844" s="114"/>
      <c r="L844" s="114"/>
      <c r="M844" s="114"/>
      <c r="N844" s="114"/>
      <c r="O844" s="114"/>
      <c r="P844" s="114"/>
      <c r="Q844" s="114"/>
      <c r="R844" s="114"/>
      <c r="S844" s="114"/>
      <c r="T844" s="114"/>
      <c r="U844" s="114"/>
      <c r="V844" s="114"/>
      <c r="W844" s="114"/>
      <c r="X844" s="114"/>
      <c r="Y844" s="114"/>
      <c r="Z844" s="114"/>
    </row>
    <row r="845">
      <c r="A845" s="1"/>
      <c r="B845" s="114"/>
      <c r="C845" s="114"/>
      <c r="D845" s="114"/>
      <c r="E845" s="114"/>
      <c r="F845" s="114"/>
      <c r="G845" s="114"/>
      <c r="H845" s="114"/>
      <c r="I845" s="114"/>
      <c r="J845" s="114"/>
      <c r="K845" s="114"/>
      <c r="L845" s="114"/>
      <c r="M845" s="114"/>
      <c r="N845" s="114"/>
      <c r="O845" s="114"/>
      <c r="P845" s="114"/>
      <c r="Q845" s="114"/>
      <c r="R845" s="114"/>
      <c r="S845" s="114"/>
      <c r="T845" s="114"/>
      <c r="U845" s="114"/>
      <c r="V845" s="114"/>
      <c r="W845" s="114"/>
      <c r="X845" s="114"/>
      <c r="Y845" s="114"/>
      <c r="Z845" s="114"/>
    </row>
    <row r="846">
      <c r="A846" s="1"/>
      <c r="B846" s="114"/>
      <c r="C846" s="114"/>
      <c r="D846" s="114"/>
      <c r="E846" s="114"/>
      <c r="F846" s="114"/>
      <c r="G846" s="114"/>
      <c r="H846" s="114"/>
      <c r="I846" s="114"/>
      <c r="J846" s="114"/>
      <c r="K846" s="114"/>
      <c r="L846" s="114"/>
      <c r="M846" s="114"/>
      <c r="N846" s="114"/>
      <c r="O846" s="114"/>
      <c r="P846" s="114"/>
      <c r="Q846" s="114"/>
      <c r="R846" s="114"/>
      <c r="S846" s="114"/>
      <c r="T846" s="114"/>
      <c r="U846" s="114"/>
      <c r="V846" s="114"/>
      <c r="W846" s="114"/>
      <c r="X846" s="114"/>
      <c r="Y846" s="114"/>
      <c r="Z846" s="114"/>
    </row>
    <row r="847">
      <c r="A847" s="1"/>
      <c r="B847" s="114"/>
      <c r="C847" s="114"/>
      <c r="D847" s="114"/>
      <c r="E847" s="114"/>
      <c r="F847" s="114"/>
      <c r="G847" s="114"/>
      <c r="H847" s="114"/>
      <c r="I847" s="114"/>
      <c r="J847" s="114"/>
      <c r="K847" s="114"/>
      <c r="L847" s="114"/>
      <c r="M847" s="114"/>
      <c r="N847" s="114"/>
      <c r="O847" s="114"/>
      <c r="P847" s="114"/>
      <c r="Q847" s="114"/>
      <c r="R847" s="114"/>
      <c r="S847" s="114"/>
      <c r="T847" s="114"/>
      <c r="U847" s="114"/>
      <c r="V847" s="114"/>
      <c r="W847" s="114"/>
      <c r="X847" s="114"/>
      <c r="Y847" s="114"/>
      <c r="Z847" s="114"/>
    </row>
    <row r="848">
      <c r="A848" s="1"/>
      <c r="B848" s="114"/>
      <c r="C848" s="114"/>
      <c r="D848" s="114"/>
      <c r="E848" s="114"/>
      <c r="F848" s="114"/>
      <c r="G848" s="114"/>
      <c r="H848" s="114"/>
      <c r="I848" s="114"/>
      <c r="J848" s="114"/>
      <c r="K848" s="114"/>
      <c r="L848" s="114"/>
      <c r="M848" s="114"/>
      <c r="N848" s="114"/>
      <c r="O848" s="114"/>
      <c r="P848" s="114"/>
      <c r="Q848" s="114"/>
      <c r="R848" s="114"/>
      <c r="S848" s="114"/>
      <c r="T848" s="114"/>
      <c r="U848" s="114"/>
      <c r="V848" s="114"/>
      <c r="W848" s="114"/>
      <c r="X848" s="114"/>
      <c r="Y848" s="114"/>
      <c r="Z848" s="114"/>
    </row>
    <row r="849">
      <c r="A849" s="1"/>
      <c r="B849" s="114"/>
      <c r="C849" s="114"/>
      <c r="D849" s="114"/>
      <c r="E849" s="114"/>
      <c r="F849" s="114"/>
      <c r="G849" s="114"/>
      <c r="H849" s="114"/>
      <c r="I849" s="114"/>
      <c r="J849" s="114"/>
      <c r="K849" s="114"/>
      <c r="L849" s="114"/>
      <c r="M849" s="114"/>
      <c r="N849" s="114"/>
      <c r="O849" s="114"/>
      <c r="P849" s="114"/>
      <c r="Q849" s="114"/>
      <c r="R849" s="114"/>
      <c r="S849" s="114"/>
      <c r="T849" s="114"/>
      <c r="U849" s="114"/>
      <c r="V849" s="114"/>
      <c r="W849" s="114"/>
      <c r="X849" s="114"/>
      <c r="Y849" s="114"/>
      <c r="Z849" s="114"/>
    </row>
    <row r="850">
      <c r="A850" s="1"/>
      <c r="B850" s="114"/>
      <c r="C850" s="114"/>
      <c r="D850" s="114"/>
      <c r="E850" s="114"/>
      <c r="F850" s="114"/>
      <c r="G850" s="114"/>
      <c r="H850" s="114"/>
      <c r="I850" s="114"/>
      <c r="J850" s="114"/>
      <c r="K850" s="114"/>
      <c r="L850" s="114"/>
      <c r="M850" s="114"/>
      <c r="N850" s="114"/>
      <c r="O850" s="114"/>
      <c r="P850" s="114"/>
      <c r="Q850" s="114"/>
      <c r="R850" s="114"/>
      <c r="S850" s="114"/>
      <c r="T850" s="114"/>
      <c r="U850" s="114"/>
      <c r="V850" s="114"/>
      <c r="W850" s="114"/>
      <c r="X850" s="114"/>
      <c r="Y850" s="114"/>
      <c r="Z850" s="114"/>
    </row>
    <row r="851">
      <c r="A851" s="1"/>
      <c r="B851" s="114"/>
      <c r="C851" s="114"/>
      <c r="D851" s="114"/>
      <c r="E851" s="114"/>
      <c r="F851" s="114"/>
      <c r="G851" s="114"/>
      <c r="H851" s="114"/>
      <c r="I851" s="114"/>
      <c r="J851" s="114"/>
      <c r="K851" s="114"/>
      <c r="L851" s="114"/>
      <c r="M851" s="114"/>
      <c r="N851" s="114"/>
      <c r="O851" s="114"/>
      <c r="P851" s="114"/>
      <c r="Q851" s="114"/>
      <c r="R851" s="114"/>
      <c r="S851" s="114"/>
      <c r="T851" s="114"/>
      <c r="U851" s="114"/>
      <c r="V851" s="114"/>
      <c r="W851" s="114"/>
      <c r="X851" s="114"/>
      <c r="Y851" s="114"/>
      <c r="Z851" s="114"/>
    </row>
    <row r="852">
      <c r="A852" s="1"/>
      <c r="B852" s="114"/>
      <c r="C852" s="114"/>
      <c r="D852" s="114"/>
      <c r="E852" s="114"/>
      <c r="F852" s="114"/>
      <c r="G852" s="114"/>
      <c r="H852" s="114"/>
      <c r="I852" s="114"/>
      <c r="J852" s="114"/>
      <c r="K852" s="114"/>
      <c r="L852" s="114"/>
      <c r="M852" s="114"/>
      <c r="N852" s="114"/>
      <c r="O852" s="114"/>
      <c r="P852" s="114"/>
      <c r="Q852" s="114"/>
      <c r="R852" s="114"/>
      <c r="S852" s="114"/>
      <c r="T852" s="114"/>
      <c r="U852" s="114"/>
      <c r="V852" s="114"/>
      <c r="W852" s="114"/>
      <c r="X852" s="114"/>
      <c r="Y852" s="114"/>
      <c r="Z852" s="114"/>
    </row>
    <row r="853">
      <c r="A853" s="1"/>
      <c r="B853" s="114"/>
      <c r="C853" s="114"/>
      <c r="D853" s="114"/>
      <c r="E853" s="114"/>
      <c r="F853" s="114"/>
      <c r="G853" s="114"/>
      <c r="H853" s="114"/>
      <c r="I853" s="114"/>
      <c r="J853" s="114"/>
      <c r="K853" s="114"/>
      <c r="L853" s="114"/>
      <c r="M853" s="114"/>
      <c r="N853" s="114"/>
      <c r="O853" s="114"/>
      <c r="P853" s="114"/>
      <c r="Q853" s="114"/>
      <c r="R853" s="114"/>
      <c r="S853" s="114"/>
      <c r="T853" s="114"/>
      <c r="U853" s="114"/>
      <c r="V853" s="114"/>
      <c r="W853" s="114"/>
      <c r="X853" s="114"/>
      <c r="Y853" s="114"/>
      <c r="Z853" s="114"/>
    </row>
    <row r="854">
      <c r="A854" s="1"/>
      <c r="B854" s="114"/>
      <c r="C854" s="114"/>
      <c r="D854" s="114"/>
      <c r="E854" s="114"/>
      <c r="F854" s="114"/>
      <c r="G854" s="114"/>
      <c r="H854" s="114"/>
      <c r="I854" s="114"/>
      <c r="J854" s="114"/>
      <c r="K854" s="114"/>
      <c r="L854" s="114"/>
      <c r="M854" s="114"/>
      <c r="N854" s="114"/>
      <c r="O854" s="114"/>
      <c r="P854" s="114"/>
      <c r="Q854" s="114"/>
      <c r="R854" s="114"/>
      <c r="S854" s="114"/>
      <c r="T854" s="114"/>
      <c r="U854" s="114"/>
      <c r="V854" s="114"/>
      <c r="W854" s="114"/>
      <c r="X854" s="114"/>
      <c r="Y854" s="114"/>
      <c r="Z854" s="114"/>
    </row>
    <row r="855">
      <c r="A855" s="1"/>
      <c r="B855" s="114"/>
      <c r="C855" s="114"/>
      <c r="D855" s="114"/>
      <c r="E855" s="114"/>
      <c r="F855" s="114"/>
      <c r="G855" s="114"/>
      <c r="H855" s="114"/>
      <c r="I855" s="114"/>
      <c r="J855" s="114"/>
      <c r="K855" s="114"/>
      <c r="L855" s="114"/>
      <c r="M855" s="114"/>
      <c r="N855" s="114"/>
      <c r="O855" s="114"/>
      <c r="P855" s="114"/>
      <c r="Q855" s="114"/>
      <c r="R855" s="114"/>
      <c r="S855" s="114"/>
      <c r="T855" s="114"/>
      <c r="U855" s="114"/>
      <c r="V855" s="114"/>
      <c r="W855" s="114"/>
      <c r="X855" s="114"/>
      <c r="Y855" s="114"/>
      <c r="Z855" s="114"/>
    </row>
    <row r="856">
      <c r="A856" s="1"/>
      <c r="B856" s="114"/>
      <c r="C856" s="114"/>
      <c r="D856" s="114"/>
      <c r="E856" s="114"/>
      <c r="F856" s="114"/>
      <c r="G856" s="114"/>
      <c r="H856" s="114"/>
      <c r="I856" s="114"/>
      <c r="J856" s="114"/>
      <c r="K856" s="114"/>
      <c r="L856" s="114"/>
      <c r="M856" s="114"/>
      <c r="N856" s="114"/>
      <c r="O856" s="114"/>
      <c r="P856" s="114"/>
      <c r="Q856" s="114"/>
      <c r="R856" s="114"/>
      <c r="S856" s="114"/>
      <c r="T856" s="114"/>
      <c r="U856" s="114"/>
      <c r="V856" s="114"/>
      <c r="W856" s="114"/>
      <c r="X856" s="114"/>
      <c r="Y856" s="114"/>
      <c r="Z856" s="114"/>
    </row>
    <row r="857">
      <c r="A857" s="1"/>
      <c r="B857" s="114"/>
      <c r="C857" s="114"/>
      <c r="D857" s="114"/>
      <c r="E857" s="114"/>
      <c r="F857" s="114"/>
      <c r="G857" s="114"/>
      <c r="H857" s="114"/>
      <c r="I857" s="114"/>
      <c r="J857" s="114"/>
      <c r="K857" s="114"/>
      <c r="L857" s="114"/>
      <c r="M857" s="114"/>
      <c r="N857" s="114"/>
      <c r="O857" s="114"/>
      <c r="P857" s="114"/>
      <c r="Q857" s="114"/>
      <c r="R857" s="114"/>
      <c r="S857" s="114"/>
      <c r="T857" s="114"/>
      <c r="U857" s="114"/>
      <c r="V857" s="114"/>
      <c r="W857" s="114"/>
      <c r="X857" s="114"/>
      <c r="Y857" s="114"/>
      <c r="Z857" s="114"/>
    </row>
    <row r="858">
      <c r="A858" s="1"/>
      <c r="B858" s="114"/>
      <c r="C858" s="114"/>
      <c r="D858" s="114"/>
      <c r="E858" s="114"/>
      <c r="F858" s="114"/>
      <c r="G858" s="114"/>
      <c r="H858" s="114"/>
      <c r="I858" s="114"/>
      <c r="J858" s="114"/>
      <c r="K858" s="114"/>
      <c r="L858" s="114"/>
      <c r="M858" s="114"/>
      <c r="N858" s="114"/>
      <c r="O858" s="114"/>
      <c r="P858" s="114"/>
      <c r="Q858" s="114"/>
      <c r="R858" s="114"/>
      <c r="S858" s="114"/>
      <c r="T858" s="114"/>
      <c r="U858" s="114"/>
      <c r="V858" s="114"/>
      <c r="W858" s="114"/>
      <c r="X858" s="114"/>
      <c r="Y858" s="114"/>
      <c r="Z858" s="114"/>
    </row>
    <row r="859">
      <c r="A859" s="1"/>
      <c r="B859" s="114"/>
      <c r="C859" s="114"/>
      <c r="D859" s="114"/>
      <c r="E859" s="114"/>
      <c r="F859" s="114"/>
      <c r="G859" s="114"/>
      <c r="H859" s="114"/>
      <c r="I859" s="114"/>
      <c r="J859" s="114"/>
      <c r="K859" s="114"/>
      <c r="L859" s="114"/>
      <c r="M859" s="114"/>
      <c r="N859" s="114"/>
      <c r="O859" s="114"/>
      <c r="P859" s="114"/>
      <c r="Q859" s="114"/>
      <c r="R859" s="114"/>
      <c r="S859" s="114"/>
      <c r="T859" s="114"/>
      <c r="U859" s="114"/>
      <c r="V859" s="114"/>
      <c r="W859" s="114"/>
      <c r="X859" s="114"/>
      <c r="Y859" s="114"/>
      <c r="Z859" s="114"/>
    </row>
    <row r="860">
      <c r="A860" s="1"/>
      <c r="B860" s="114"/>
      <c r="C860" s="114"/>
      <c r="D860" s="114"/>
      <c r="E860" s="114"/>
      <c r="F860" s="114"/>
      <c r="G860" s="114"/>
      <c r="H860" s="114"/>
      <c r="I860" s="114"/>
      <c r="J860" s="114"/>
      <c r="K860" s="114"/>
      <c r="L860" s="114"/>
      <c r="M860" s="114"/>
      <c r="N860" s="114"/>
      <c r="O860" s="114"/>
      <c r="P860" s="114"/>
      <c r="Q860" s="114"/>
      <c r="R860" s="114"/>
      <c r="S860" s="114"/>
      <c r="T860" s="114"/>
      <c r="U860" s="114"/>
      <c r="V860" s="114"/>
      <c r="W860" s="114"/>
      <c r="X860" s="114"/>
      <c r="Y860" s="114"/>
      <c r="Z860" s="114"/>
    </row>
    <row r="861">
      <c r="A861" s="1"/>
      <c r="B861" s="114"/>
      <c r="C861" s="114"/>
      <c r="D861" s="114"/>
      <c r="E861" s="114"/>
      <c r="F861" s="114"/>
      <c r="G861" s="114"/>
      <c r="H861" s="114"/>
      <c r="I861" s="114"/>
      <c r="J861" s="114"/>
      <c r="K861" s="114"/>
      <c r="L861" s="114"/>
      <c r="M861" s="114"/>
      <c r="N861" s="114"/>
      <c r="O861" s="114"/>
      <c r="P861" s="114"/>
      <c r="Q861" s="114"/>
      <c r="R861" s="114"/>
      <c r="S861" s="114"/>
      <c r="T861" s="114"/>
      <c r="U861" s="114"/>
      <c r="V861" s="114"/>
      <c r="W861" s="114"/>
      <c r="X861" s="114"/>
      <c r="Y861" s="114"/>
      <c r="Z861" s="114"/>
    </row>
    <row r="862">
      <c r="A862" s="1"/>
      <c r="B862" s="114"/>
      <c r="C862" s="114"/>
      <c r="D862" s="114"/>
      <c r="E862" s="114"/>
      <c r="F862" s="114"/>
      <c r="G862" s="114"/>
      <c r="H862" s="114"/>
      <c r="I862" s="114"/>
      <c r="J862" s="114"/>
      <c r="K862" s="114"/>
      <c r="L862" s="114"/>
      <c r="M862" s="114"/>
      <c r="N862" s="114"/>
      <c r="O862" s="114"/>
      <c r="P862" s="114"/>
      <c r="Q862" s="114"/>
      <c r="R862" s="114"/>
      <c r="S862" s="114"/>
      <c r="T862" s="114"/>
      <c r="U862" s="114"/>
      <c r="V862" s="114"/>
      <c r="W862" s="114"/>
      <c r="X862" s="114"/>
      <c r="Y862" s="114"/>
      <c r="Z862" s="114"/>
    </row>
    <row r="863">
      <c r="A863" s="1"/>
      <c r="B863" s="114"/>
      <c r="C863" s="114"/>
      <c r="D863" s="114"/>
      <c r="E863" s="114"/>
      <c r="F863" s="114"/>
      <c r="G863" s="114"/>
      <c r="H863" s="114"/>
      <c r="I863" s="114"/>
      <c r="J863" s="114"/>
      <c r="K863" s="114"/>
      <c r="L863" s="114"/>
      <c r="M863" s="114"/>
      <c r="N863" s="114"/>
      <c r="O863" s="114"/>
      <c r="P863" s="114"/>
      <c r="Q863" s="114"/>
      <c r="R863" s="114"/>
      <c r="S863" s="114"/>
      <c r="T863" s="114"/>
      <c r="U863" s="114"/>
      <c r="V863" s="114"/>
      <c r="W863" s="114"/>
      <c r="X863" s="114"/>
      <c r="Y863" s="114"/>
      <c r="Z863" s="114"/>
    </row>
    <row r="864">
      <c r="A864" s="1"/>
      <c r="B864" s="114"/>
      <c r="C864" s="114"/>
      <c r="D864" s="114"/>
      <c r="E864" s="114"/>
      <c r="F864" s="114"/>
      <c r="G864" s="114"/>
      <c r="H864" s="114"/>
      <c r="I864" s="114"/>
      <c r="J864" s="114"/>
      <c r="K864" s="114"/>
      <c r="L864" s="114"/>
      <c r="M864" s="114"/>
      <c r="N864" s="114"/>
      <c r="O864" s="114"/>
      <c r="P864" s="114"/>
      <c r="Q864" s="114"/>
      <c r="R864" s="114"/>
      <c r="S864" s="114"/>
      <c r="T864" s="114"/>
      <c r="U864" s="114"/>
      <c r="V864" s="114"/>
      <c r="W864" s="114"/>
      <c r="X864" s="114"/>
      <c r="Y864" s="114"/>
      <c r="Z864" s="114"/>
    </row>
    <row r="865">
      <c r="A865" s="1"/>
      <c r="B865" s="114"/>
      <c r="C865" s="114"/>
      <c r="D865" s="114"/>
      <c r="E865" s="114"/>
      <c r="F865" s="114"/>
      <c r="G865" s="114"/>
      <c r="H865" s="114"/>
      <c r="I865" s="114"/>
      <c r="J865" s="114"/>
      <c r="K865" s="114"/>
      <c r="L865" s="114"/>
      <c r="M865" s="114"/>
      <c r="N865" s="114"/>
      <c r="O865" s="114"/>
      <c r="P865" s="114"/>
      <c r="Q865" s="114"/>
      <c r="R865" s="114"/>
      <c r="S865" s="114"/>
      <c r="T865" s="114"/>
      <c r="U865" s="114"/>
      <c r="V865" s="114"/>
      <c r="W865" s="114"/>
      <c r="X865" s="114"/>
      <c r="Y865" s="114"/>
      <c r="Z865" s="114"/>
    </row>
    <row r="866">
      <c r="A866" s="1"/>
      <c r="B866" s="114"/>
      <c r="C866" s="114"/>
      <c r="D866" s="114"/>
      <c r="E866" s="114"/>
      <c r="F866" s="114"/>
      <c r="G866" s="114"/>
      <c r="H866" s="114"/>
      <c r="I866" s="114"/>
      <c r="J866" s="114"/>
      <c r="K866" s="114"/>
      <c r="L866" s="114"/>
      <c r="M866" s="114"/>
      <c r="N866" s="114"/>
      <c r="O866" s="114"/>
      <c r="P866" s="114"/>
      <c r="Q866" s="114"/>
      <c r="R866" s="114"/>
      <c r="S866" s="114"/>
      <c r="T866" s="114"/>
      <c r="U866" s="114"/>
      <c r="V866" s="114"/>
      <c r="W866" s="114"/>
      <c r="X866" s="114"/>
      <c r="Y866" s="114"/>
      <c r="Z866" s="114"/>
    </row>
    <row r="867">
      <c r="A867" s="1"/>
      <c r="B867" s="114"/>
      <c r="C867" s="114"/>
      <c r="D867" s="114"/>
      <c r="E867" s="114"/>
      <c r="F867" s="114"/>
      <c r="G867" s="114"/>
      <c r="H867" s="114"/>
      <c r="I867" s="114"/>
      <c r="J867" s="114"/>
      <c r="K867" s="114"/>
      <c r="L867" s="114"/>
      <c r="M867" s="114"/>
      <c r="N867" s="114"/>
      <c r="O867" s="114"/>
      <c r="P867" s="114"/>
      <c r="Q867" s="114"/>
      <c r="R867" s="114"/>
      <c r="S867" s="114"/>
      <c r="T867" s="114"/>
      <c r="U867" s="114"/>
      <c r="V867" s="114"/>
      <c r="W867" s="114"/>
      <c r="X867" s="114"/>
      <c r="Y867" s="114"/>
      <c r="Z867" s="114"/>
    </row>
    <row r="868">
      <c r="A868" s="1"/>
      <c r="B868" s="114"/>
      <c r="C868" s="114"/>
      <c r="D868" s="114"/>
      <c r="E868" s="114"/>
      <c r="F868" s="114"/>
      <c r="G868" s="114"/>
      <c r="H868" s="114"/>
      <c r="I868" s="114"/>
      <c r="J868" s="114"/>
      <c r="K868" s="114"/>
      <c r="L868" s="114"/>
      <c r="M868" s="114"/>
      <c r="N868" s="114"/>
      <c r="O868" s="114"/>
      <c r="P868" s="114"/>
      <c r="Q868" s="114"/>
      <c r="R868" s="114"/>
      <c r="S868" s="114"/>
      <c r="T868" s="114"/>
      <c r="U868" s="114"/>
      <c r="V868" s="114"/>
      <c r="W868" s="114"/>
      <c r="X868" s="114"/>
      <c r="Y868" s="114"/>
      <c r="Z868" s="114"/>
    </row>
    <row r="869">
      <c r="A869" s="1"/>
      <c r="B869" s="114"/>
      <c r="C869" s="114"/>
      <c r="D869" s="114"/>
      <c r="E869" s="114"/>
      <c r="F869" s="114"/>
      <c r="G869" s="114"/>
      <c r="H869" s="114"/>
      <c r="I869" s="114"/>
      <c r="J869" s="114"/>
      <c r="K869" s="114"/>
      <c r="L869" s="114"/>
      <c r="M869" s="114"/>
      <c r="N869" s="114"/>
      <c r="O869" s="114"/>
      <c r="P869" s="114"/>
      <c r="Q869" s="114"/>
      <c r="R869" s="114"/>
      <c r="S869" s="114"/>
      <c r="T869" s="114"/>
      <c r="U869" s="114"/>
      <c r="V869" s="114"/>
      <c r="W869" s="114"/>
      <c r="X869" s="114"/>
      <c r="Y869" s="114"/>
      <c r="Z869" s="114"/>
    </row>
    <row r="870">
      <c r="A870" s="1"/>
      <c r="B870" s="114"/>
      <c r="C870" s="114"/>
      <c r="D870" s="114"/>
      <c r="E870" s="114"/>
      <c r="F870" s="114"/>
      <c r="G870" s="114"/>
      <c r="H870" s="114"/>
      <c r="I870" s="114"/>
      <c r="J870" s="114"/>
      <c r="K870" s="114"/>
      <c r="L870" s="114"/>
      <c r="M870" s="114"/>
      <c r="N870" s="114"/>
      <c r="O870" s="114"/>
      <c r="P870" s="114"/>
      <c r="Q870" s="114"/>
      <c r="R870" s="114"/>
      <c r="S870" s="114"/>
      <c r="T870" s="114"/>
      <c r="U870" s="114"/>
      <c r="V870" s="114"/>
      <c r="W870" s="114"/>
      <c r="X870" s="114"/>
      <c r="Y870" s="114"/>
      <c r="Z870" s="114"/>
    </row>
    <row r="871">
      <c r="A871" s="1"/>
      <c r="B871" s="114"/>
      <c r="C871" s="114"/>
      <c r="D871" s="114"/>
      <c r="E871" s="114"/>
      <c r="F871" s="114"/>
      <c r="G871" s="114"/>
      <c r="H871" s="114"/>
      <c r="I871" s="114"/>
      <c r="J871" s="114"/>
      <c r="K871" s="114"/>
      <c r="L871" s="114"/>
      <c r="M871" s="114"/>
      <c r="N871" s="114"/>
      <c r="O871" s="114"/>
      <c r="P871" s="114"/>
      <c r="Q871" s="114"/>
      <c r="R871" s="114"/>
      <c r="S871" s="114"/>
      <c r="T871" s="114"/>
      <c r="U871" s="114"/>
      <c r="V871" s="114"/>
      <c r="W871" s="114"/>
      <c r="X871" s="114"/>
      <c r="Y871" s="114"/>
      <c r="Z871" s="114"/>
    </row>
    <row r="872">
      <c r="A872" s="1"/>
      <c r="B872" s="114"/>
      <c r="C872" s="114"/>
      <c r="D872" s="114"/>
      <c r="E872" s="114"/>
      <c r="F872" s="114"/>
      <c r="G872" s="114"/>
      <c r="H872" s="114"/>
      <c r="I872" s="114"/>
      <c r="J872" s="114"/>
      <c r="K872" s="114"/>
      <c r="L872" s="114"/>
      <c r="M872" s="114"/>
      <c r="N872" s="114"/>
      <c r="O872" s="114"/>
      <c r="P872" s="114"/>
      <c r="Q872" s="114"/>
      <c r="R872" s="114"/>
      <c r="S872" s="114"/>
      <c r="T872" s="114"/>
      <c r="U872" s="114"/>
      <c r="V872" s="114"/>
      <c r="W872" s="114"/>
      <c r="X872" s="114"/>
      <c r="Y872" s="114"/>
      <c r="Z872" s="114"/>
    </row>
    <row r="873">
      <c r="A873" s="1"/>
      <c r="B873" s="114"/>
      <c r="C873" s="114"/>
      <c r="D873" s="114"/>
      <c r="E873" s="114"/>
      <c r="F873" s="114"/>
      <c r="G873" s="114"/>
      <c r="H873" s="114"/>
      <c r="I873" s="114"/>
      <c r="J873" s="114"/>
      <c r="K873" s="114"/>
      <c r="L873" s="114"/>
      <c r="M873" s="114"/>
      <c r="N873" s="114"/>
      <c r="O873" s="114"/>
      <c r="P873" s="114"/>
      <c r="Q873" s="114"/>
      <c r="R873" s="114"/>
      <c r="S873" s="114"/>
      <c r="T873" s="114"/>
      <c r="U873" s="114"/>
      <c r="V873" s="114"/>
      <c r="W873" s="114"/>
      <c r="X873" s="114"/>
      <c r="Y873" s="114"/>
      <c r="Z873" s="114"/>
    </row>
    <row r="874">
      <c r="A874" s="1"/>
      <c r="B874" s="114"/>
      <c r="C874" s="114"/>
      <c r="D874" s="114"/>
      <c r="E874" s="114"/>
      <c r="F874" s="114"/>
      <c r="G874" s="114"/>
      <c r="H874" s="114"/>
      <c r="I874" s="114"/>
      <c r="J874" s="114"/>
      <c r="K874" s="114"/>
      <c r="L874" s="114"/>
      <c r="M874" s="114"/>
      <c r="N874" s="114"/>
      <c r="O874" s="114"/>
      <c r="P874" s="114"/>
      <c r="Q874" s="114"/>
      <c r="R874" s="114"/>
      <c r="S874" s="114"/>
      <c r="T874" s="114"/>
      <c r="U874" s="114"/>
      <c r="V874" s="114"/>
      <c r="W874" s="114"/>
      <c r="X874" s="114"/>
      <c r="Y874" s="114"/>
      <c r="Z874" s="114"/>
    </row>
    <row r="875">
      <c r="A875" s="1"/>
      <c r="B875" s="114"/>
      <c r="C875" s="114"/>
      <c r="D875" s="114"/>
      <c r="E875" s="114"/>
      <c r="F875" s="114"/>
      <c r="G875" s="114"/>
      <c r="H875" s="114"/>
      <c r="I875" s="114"/>
      <c r="J875" s="114"/>
      <c r="K875" s="114"/>
      <c r="L875" s="114"/>
      <c r="M875" s="114"/>
      <c r="N875" s="114"/>
      <c r="O875" s="114"/>
      <c r="P875" s="114"/>
      <c r="Q875" s="114"/>
      <c r="R875" s="114"/>
      <c r="S875" s="114"/>
      <c r="T875" s="114"/>
      <c r="U875" s="114"/>
      <c r="V875" s="114"/>
      <c r="W875" s="114"/>
      <c r="X875" s="114"/>
      <c r="Y875" s="114"/>
      <c r="Z875" s="114"/>
    </row>
    <row r="876">
      <c r="A876" s="1"/>
      <c r="B876" s="114"/>
      <c r="C876" s="114"/>
      <c r="D876" s="114"/>
      <c r="E876" s="114"/>
      <c r="F876" s="114"/>
      <c r="G876" s="114"/>
      <c r="H876" s="114"/>
      <c r="I876" s="114"/>
      <c r="J876" s="114"/>
      <c r="K876" s="114"/>
      <c r="L876" s="114"/>
      <c r="M876" s="114"/>
      <c r="N876" s="114"/>
      <c r="O876" s="114"/>
      <c r="P876" s="114"/>
      <c r="Q876" s="114"/>
      <c r="R876" s="114"/>
      <c r="S876" s="114"/>
      <c r="T876" s="114"/>
      <c r="U876" s="114"/>
      <c r="V876" s="114"/>
      <c r="W876" s="114"/>
      <c r="X876" s="114"/>
      <c r="Y876" s="114"/>
      <c r="Z876" s="114"/>
    </row>
    <row r="877">
      <c r="A877" s="1"/>
      <c r="B877" s="114"/>
      <c r="C877" s="114"/>
      <c r="D877" s="114"/>
      <c r="E877" s="114"/>
      <c r="F877" s="114"/>
      <c r="G877" s="114"/>
      <c r="H877" s="114"/>
      <c r="I877" s="114"/>
      <c r="J877" s="114"/>
      <c r="K877" s="114"/>
      <c r="L877" s="114"/>
      <c r="M877" s="114"/>
      <c r="N877" s="114"/>
      <c r="O877" s="114"/>
      <c r="P877" s="114"/>
      <c r="Q877" s="114"/>
      <c r="R877" s="114"/>
      <c r="S877" s="114"/>
      <c r="T877" s="114"/>
      <c r="U877" s="114"/>
      <c r="V877" s="114"/>
      <c r="W877" s="114"/>
      <c r="X877" s="114"/>
      <c r="Y877" s="114"/>
      <c r="Z877" s="114"/>
    </row>
    <row r="878">
      <c r="A878" s="1"/>
      <c r="B878" s="114"/>
      <c r="C878" s="114"/>
      <c r="D878" s="114"/>
      <c r="E878" s="114"/>
      <c r="F878" s="114"/>
      <c r="G878" s="114"/>
      <c r="H878" s="114"/>
      <c r="I878" s="114"/>
      <c r="J878" s="114"/>
      <c r="K878" s="114"/>
      <c r="L878" s="114"/>
      <c r="M878" s="114"/>
      <c r="N878" s="114"/>
      <c r="O878" s="114"/>
      <c r="P878" s="114"/>
      <c r="Q878" s="114"/>
      <c r="R878" s="114"/>
      <c r="S878" s="114"/>
      <c r="T878" s="114"/>
      <c r="U878" s="114"/>
      <c r="V878" s="114"/>
      <c r="W878" s="114"/>
      <c r="X878" s="114"/>
      <c r="Y878" s="114"/>
      <c r="Z878" s="114"/>
    </row>
    <row r="879">
      <c r="A879" s="1"/>
      <c r="B879" s="114"/>
      <c r="C879" s="114"/>
      <c r="D879" s="114"/>
      <c r="E879" s="114"/>
      <c r="F879" s="114"/>
      <c r="G879" s="114"/>
      <c r="H879" s="114"/>
      <c r="I879" s="114"/>
      <c r="J879" s="114"/>
      <c r="K879" s="114"/>
      <c r="L879" s="114"/>
      <c r="M879" s="114"/>
      <c r="N879" s="114"/>
      <c r="O879" s="114"/>
      <c r="P879" s="114"/>
      <c r="Q879" s="114"/>
      <c r="R879" s="114"/>
      <c r="S879" s="114"/>
      <c r="T879" s="114"/>
      <c r="U879" s="114"/>
      <c r="V879" s="114"/>
      <c r="W879" s="114"/>
      <c r="X879" s="114"/>
      <c r="Y879" s="114"/>
      <c r="Z879" s="114"/>
    </row>
    <row r="880">
      <c r="A880" s="1"/>
      <c r="B880" s="114"/>
      <c r="C880" s="114"/>
      <c r="D880" s="114"/>
      <c r="E880" s="114"/>
      <c r="F880" s="114"/>
      <c r="G880" s="114"/>
      <c r="H880" s="114"/>
      <c r="I880" s="114"/>
      <c r="J880" s="114"/>
      <c r="K880" s="114"/>
      <c r="L880" s="114"/>
      <c r="M880" s="114"/>
      <c r="N880" s="114"/>
      <c r="O880" s="114"/>
      <c r="P880" s="114"/>
      <c r="Q880" s="114"/>
      <c r="R880" s="114"/>
      <c r="S880" s="114"/>
      <c r="T880" s="114"/>
      <c r="U880" s="114"/>
      <c r="V880" s="114"/>
      <c r="W880" s="114"/>
      <c r="X880" s="114"/>
      <c r="Y880" s="114"/>
      <c r="Z880" s="114"/>
    </row>
    <row r="881">
      <c r="A881" s="1"/>
      <c r="B881" s="114"/>
      <c r="C881" s="114"/>
      <c r="D881" s="114"/>
      <c r="E881" s="114"/>
      <c r="F881" s="114"/>
      <c r="G881" s="114"/>
      <c r="H881" s="114"/>
      <c r="I881" s="114"/>
      <c r="J881" s="114"/>
      <c r="K881" s="114"/>
      <c r="L881" s="114"/>
      <c r="M881" s="114"/>
      <c r="N881" s="114"/>
      <c r="O881" s="114"/>
      <c r="P881" s="114"/>
      <c r="Q881" s="114"/>
      <c r="R881" s="114"/>
      <c r="S881" s="114"/>
      <c r="T881" s="114"/>
      <c r="U881" s="114"/>
      <c r="V881" s="114"/>
      <c r="W881" s="114"/>
      <c r="X881" s="114"/>
      <c r="Y881" s="114"/>
      <c r="Z881" s="114"/>
    </row>
    <row r="882">
      <c r="A882" s="1"/>
      <c r="B882" s="114"/>
      <c r="C882" s="114"/>
      <c r="D882" s="114"/>
      <c r="E882" s="114"/>
      <c r="F882" s="114"/>
      <c r="G882" s="114"/>
      <c r="H882" s="114"/>
      <c r="I882" s="114"/>
      <c r="J882" s="114"/>
      <c r="K882" s="114"/>
      <c r="L882" s="114"/>
      <c r="M882" s="114"/>
      <c r="N882" s="114"/>
      <c r="O882" s="114"/>
      <c r="P882" s="114"/>
      <c r="Q882" s="114"/>
      <c r="R882" s="114"/>
      <c r="S882" s="114"/>
      <c r="T882" s="114"/>
      <c r="U882" s="114"/>
      <c r="V882" s="114"/>
      <c r="W882" s="114"/>
      <c r="X882" s="114"/>
      <c r="Y882" s="114"/>
      <c r="Z882" s="114"/>
    </row>
    <row r="883">
      <c r="A883" s="1"/>
      <c r="B883" s="114"/>
      <c r="C883" s="114"/>
      <c r="D883" s="114"/>
      <c r="E883" s="114"/>
      <c r="F883" s="114"/>
      <c r="G883" s="114"/>
      <c r="H883" s="114"/>
      <c r="I883" s="114"/>
      <c r="J883" s="114"/>
      <c r="K883" s="114"/>
      <c r="L883" s="114"/>
      <c r="M883" s="114"/>
      <c r="N883" s="114"/>
      <c r="O883" s="114"/>
      <c r="P883" s="114"/>
      <c r="Q883" s="114"/>
      <c r="R883" s="114"/>
      <c r="S883" s="114"/>
      <c r="T883" s="114"/>
      <c r="U883" s="114"/>
      <c r="V883" s="114"/>
      <c r="W883" s="114"/>
      <c r="X883" s="114"/>
      <c r="Y883" s="114"/>
      <c r="Z883" s="114"/>
    </row>
    <row r="884">
      <c r="A884" s="1"/>
      <c r="B884" s="114"/>
      <c r="C884" s="114"/>
      <c r="D884" s="114"/>
      <c r="E884" s="114"/>
      <c r="F884" s="114"/>
      <c r="G884" s="114"/>
      <c r="H884" s="114"/>
      <c r="I884" s="114"/>
      <c r="J884" s="114"/>
      <c r="K884" s="114"/>
      <c r="L884" s="114"/>
      <c r="M884" s="114"/>
      <c r="N884" s="114"/>
      <c r="O884" s="114"/>
      <c r="P884" s="114"/>
      <c r="Q884" s="114"/>
      <c r="R884" s="114"/>
      <c r="S884" s="114"/>
      <c r="T884" s="114"/>
      <c r="U884" s="114"/>
      <c r="V884" s="114"/>
      <c r="W884" s="114"/>
      <c r="X884" s="114"/>
      <c r="Y884" s="114"/>
      <c r="Z884" s="114"/>
    </row>
    <row r="885">
      <c r="A885" s="1"/>
      <c r="B885" s="114"/>
      <c r="C885" s="114"/>
      <c r="D885" s="114"/>
      <c r="E885" s="114"/>
      <c r="F885" s="114"/>
      <c r="G885" s="114"/>
      <c r="H885" s="114"/>
      <c r="I885" s="114"/>
      <c r="J885" s="114"/>
      <c r="K885" s="114"/>
      <c r="L885" s="114"/>
      <c r="M885" s="114"/>
      <c r="N885" s="114"/>
      <c r="O885" s="114"/>
      <c r="P885" s="114"/>
      <c r="Q885" s="114"/>
      <c r="R885" s="114"/>
      <c r="S885" s="114"/>
      <c r="T885" s="114"/>
      <c r="U885" s="114"/>
      <c r="V885" s="114"/>
      <c r="W885" s="114"/>
      <c r="X885" s="114"/>
      <c r="Y885" s="114"/>
      <c r="Z885" s="114"/>
    </row>
    <row r="886">
      <c r="A886" s="1"/>
      <c r="B886" s="114"/>
      <c r="C886" s="114"/>
      <c r="D886" s="114"/>
      <c r="E886" s="114"/>
      <c r="F886" s="114"/>
      <c r="G886" s="114"/>
      <c r="H886" s="114"/>
      <c r="I886" s="114"/>
      <c r="J886" s="114"/>
      <c r="K886" s="114"/>
      <c r="L886" s="114"/>
      <c r="M886" s="114"/>
      <c r="N886" s="114"/>
      <c r="O886" s="114"/>
      <c r="P886" s="114"/>
      <c r="Q886" s="114"/>
      <c r="R886" s="114"/>
      <c r="S886" s="114"/>
      <c r="T886" s="114"/>
      <c r="U886" s="114"/>
      <c r="V886" s="114"/>
      <c r="W886" s="114"/>
      <c r="X886" s="114"/>
      <c r="Y886" s="114"/>
      <c r="Z886" s="114"/>
    </row>
    <row r="887">
      <c r="A887" s="1"/>
      <c r="B887" s="114"/>
      <c r="C887" s="114"/>
      <c r="D887" s="114"/>
      <c r="E887" s="114"/>
      <c r="F887" s="114"/>
      <c r="G887" s="114"/>
      <c r="H887" s="114"/>
      <c r="I887" s="114"/>
      <c r="J887" s="114"/>
      <c r="K887" s="114"/>
      <c r="L887" s="114"/>
      <c r="M887" s="114"/>
      <c r="N887" s="114"/>
      <c r="O887" s="114"/>
      <c r="P887" s="114"/>
      <c r="Q887" s="114"/>
      <c r="R887" s="114"/>
      <c r="S887" s="114"/>
      <c r="T887" s="114"/>
      <c r="U887" s="114"/>
      <c r="V887" s="114"/>
      <c r="W887" s="114"/>
      <c r="X887" s="114"/>
      <c r="Y887" s="114"/>
      <c r="Z887" s="114"/>
    </row>
    <row r="888">
      <c r="A888" s="1"/>
      <c r="B888" s="114"/>
      <c r="C888" s="114"/>
      <c r="D888" s="114"/>
      <c r="E888" s="114"/>
      <c r="F888" s="114"/>
      <c r="G888" s="114"/>
      <c r="H888" s="114"/>
      <c r="I888" s="114"/>
      <c r="J888" s="114"/>
      <c r="K888" s="114"/>
      <c r="L888" s="114"/>
      <c r="M888" s="114"/>
      <c r="N888" s="114"/>
      <c r="O888" s="114"/>
      <c r="P888" s="114"/>
      <c r="Q888" s="114"/>
      <c r="R888" s="114"/>
      <c r="S888" s="114"/>
      <c r="T888" s="114"/>
      <c r="U888" s="114"/>
      <c r="V888" s="114"/>
      <c r="W888" s="114"/>
      <c r="X888" s="114"/>
      <c r="Y888" s="114"/>
      <c r="Z888" s="114"/>
    </row>
    <row r="889">
      <c r="A889" s="1"/>
      <c r="B889" s="114"/>
      <c r="C889" s="114"/>
      <c r="D889" s="114"/>
      <c r="E889" s="114"/>
      <c r="F889" s="114"/>
      <c r="G889" s="114"/>
      <c r="H889" s="114"/>
      <c r="I889" s="114"/>
      <c r="J889" s="114"/>
      <c r="K889" s="114"/>
      <c r="L889" s="114"/>
      <c r="M889" s="114"/>
      <c r="N889" s="114"/>
      <c r="O889" s="114"/>
      <c r="P889" s="114"/>
      <c r="Q889" s="114"/>
      <c r="R889" s="114"/>
      <c r="S889" s="114"/>
      <c r="T889" s="114"/>
      <c r="U889" s="114"/>
      <c r="V889" s="114"/>
      <c r="W889" s="114"/>
      <c r="X889" s="114"/>
      <c r="Y889" s="114"/>
      <c r="Z889" s="114"/>
    </row>
    <row r="890">
      <c r="A890" s="1"/>
      <c r="B890" s="114"/>
      <c r="C890" s="114"/>
      <c r="D890" s="114"/>
      <c r="E890" s="114"/>
      <c r="F890" s="114"/>
      <c r="G890" s="114"/>
      <c r="H890" s="114"/>
      <c r="I890" s="114"/>
      <c r="J890" s="114"/>
      <c r="K890" s="114"/>
      <c r="L890" s="114"/>
      <c r="M890" s="114"/>
      <c r="N890" s="114"/>
      <c r="O890" s="114"/>
      <c r="P890" s="114"/>
      <c r="Q890" s="114"/>
      <c r="R890" s="114"/>
      <c r="S890" s="114"/>
      <c r="T890" s="114"/>
      <c r="U890" s="114"/>
      <c r="V890" s="114"/>
      <c r="W890" s="114"/>
      <c r="X890" s="114"/>
      <c r="Y890" s="114"/>
      <c r="Z890" s="114"/>
    </row>
    <row r="891">
      <c r="A891" s="1"/>
      <c r="B891" s="114"/>
      <c r="C891" s="114"/>
      <c r="D891" s="114"/>
      <c r="E891" s="114"/>
      <c r="F891" s="114"/>
      <c r="G891" s="114"/>
      <c r="H891" s="114"/>
      <c r="I891" s="114"/>
      <c r="J891" s="114"/>
      <c r="K891" s="114"/>
      <c r="L891" s="114"/>
      <c r="M891" s="114"/>
      <c r="N891" s="114"/>
      <c r="O891" s="114"/>
      <c r="P891" s="114"/>
      <c r="Q891" s="114"/>
      <c r="R891" s="114"/>
      <c r="S891" s="114"/>
      <c r="T891" s="114"/>
      <c r="U891" s="114"/>
      <c r="V891" s="114"/>
      <c r="W891" s="114"/>
      <c r="X891" s="114"/>
      <c r="Y891" s="114"/>
      <c r="Z891" s="114"/>
    </row>
    <row r="892">
      <c r="A892" s="1"/>
      <c r="B892" s="114"/>
      <c r="C892" s="114"/>
      <c r="D892" s="114"/>
      <c r="E892" s="114"/>
      <c r="F892" s="114"/>
      <c r="G892" s="114"/>
      <c r="H892" s="114"/>
      <c r="I892" s="114"/>
      <c r="J892" s="114"/>
      <c r="K892" s="114"/>
      <c r="L892" s="114"/>
      <c r="M892" s="114"/>
      <c r="N892" s="114"/>
      <c r="O892" s="114"/>
      <c r="P892" s="114"/>
      <c r="Q892" s="114"/>
      <c r="R892" s="114"/>
      <c r="S892" s="114"/>
      <c r="T892" s="114"/>
      <c r="U892" s="114"/>
      <c r="V892" s="114"/>
      <c r="W892" s="114"/>
      <c r="X892" s="114"/>
      <c r="Y892" s="114"/>
      <c r="Z892" s="114"/>
    </row>
    <row r="893">
      <c r="A893" s="1"/>
      <c r="B893" s="114"/>
      <c r="C893" s="114"/>
      <c r="D893" s="114"/>
      <c r="E893" s="114"/>
      <c r="F893" s="114"/>
      <c r="G893" s="114"/>
      <c r="H893" s="114"/>
      <c r="I893" s="114"/>
      <c r="J893" s="114"/>
      <c r="K893" s="114"/>
      <c r="L893" s="114"/>
      <c r="M893" s="114"/>
      <c r="N893" s="114"/>
      <c r="O893" s="114"/>
      <c r="P893" s="114"/>
      <c r="Q893" s="114"/>
      <c r="R893" s="114"/>
      <c r="S893" s="114"/>
      <c r="T893" s="114"/>
      <c r="U893" s="114"/>
      <c r="V893" s="114"/>
      <c r="W893" s="114"/>
      <c r="X893" s="114"/>
      <c r="Y893" s="114"/>
      <c r="Z893" s="114"/>
    </row>
    <row r="894">
      <c r="A894" s="1"/>
      <c r="B894" s="114"/>
      <c r="C894" s="114"/>
      <c r="D894" s="114"/>
      <c r="E894" s="114"/>
      <c r="F894" s="114"/>
      <c r="G894" s="114"/>
      <c r="H894" s="114"/>
      <c r="I894" s="114"/>
      <c r="J894" s="114"/>
      <c r="K894" s="114"/>
      <c r="L894" s="114"/>
      <c r="M894" s="114"/>
      <c r="N894" s="114"/>
      <c r="O894" s="114"/>
      <c r="P894" s="114"/>
      <c r="Q894" s="114"/>
      <c r="R894" s="114"/>
      <c r="S894" s="114"/>
      <c r="T894" s="114"/>
      <c r="U894" s="114"/>
      <c r="V894" s="114"/>
      <c r="W894" s="114"/>
      <c r="X894" s="114"/>
      <c r="Y894" s="114"/>
      <c r="Z894" s="114"/>
    </row>
    <row r="895">
      <c r="A895" s="1"/>
      <c r="B895" s="114"/>
      <c r="C895" s="114"/>
      <c r="D895" s="114"/>
      <c r="E895" s="114"/>
      <c r="F895" s="114"/>
      <c r="G895" s="114"/>
      <c r="H895" s="114"/>
      <c r="I895" s="114"/>
      <c r="J895" s="114"/>
      <c r="K895" s="114"/>
      <c r="L895" s="114"/>
      <c r="M895" s="114"/>
      <c r="N895" s="114"/>
      <c r="O895" s="114"/>
      <c r="P895" s="114"/>
      <c r="Q895" s="114"/>
      <c r="R895" s="114"/>
      <c r="S895" s="114"/>
      <c r="T895" s="114"/>
      <c r="U895" s="114"/>
      <c r="V895" s="114"/>
      <c r="W895" s="114"/>
      <c r="X895" s="114"/>
      <c r="Y895" s="114"/>
      <c r="Z895" s="114"/>
    </row>
    <row r="896">
      <c r="A896" s="1"/>
      <c r="B896" s="114"/>
      <c r="C896" s="114"/>
      <c r="D896" s="114"/>
      <c r="E896" s="114"/>
      <c r="F896" s="114"/>
      <c r="G896" s="114"/>
      <c r="H896" s="114"/>
      <c r="I896" s="114"/>
      <c r="J896" s="114"/>
      <c r="K896" s="114"/>
      <c r="L896" s="114"/>
      <c r="M896" s="114"/>
      <c r="N896" s="114"/>
      <c r="O896" s="114"/>
      <c r="P896" s="114"/>
      <c r="Q896" s="114"/>
      <c r="R896" s="114"/>
      <c r="S896" s="114"/>
      <c r="T896" s="114"/>
      <c r="U896" s="114"/>
      <c r="V896" s="114"/>
      <c r="W896" s="114"/>
      <c r="X896" s="114"/>
      <c r="Y896" s="114"/>
      <c r="Z896" s="114"/>
    </row>
    <row r="897">
      <c r="A897" s="1"/>
      <c r="B897" s="114"/>
      <c r="C897" s="114"/>
      <c r="D897" s="114"/>
      <c r="E897" s="114"/>
      <c r="F897" s="114"/>
      <c r="G897" s="114"/>
      <c r="H897" s="114"/>
      <c r="I897" s="114"/>
      <c r="J897" s="114"/>
      <c r="K897" s="114"/>
      <c r="L897" s="114"/>
      <c r="M897" s="114"/>
      <c r="N897" s="114"/>
      <c r="O897" s="114"/>
      <c r="P897" s="114"/>
      <c r="Q897" s="114"/>
      <c r="R897" s="114"/>
      <c r="S897" s="114"/>
      <c r="T897" s="114"/>
      <c r="U897" s="114"/>
      <c r="V897" s="114"/>
      <c r="W897" s="114"/>
      <c r="X897" s="114"/>
      <c r="Y897" s="114"/>
      <c r="Z897" s="114"/>
    </row>
    <row r="898">
      <c r="A898" s="1"/>
      <c r="B898" s="114"/>
      <c r="C898" s="114"/>
      <c r="D898" s="114"/>
      <c r="E898" s="114"/>
      <c r="F898" s="114"/>
      <c r="G898" s="114"/>
      <c r="H898" s="114"/>
      <c r="I898" s="114"/>
      <c r="J898" s="114"/>
      <c r="K898" s="114"/>
      <c r="L898" s="114"/>
      <c r="M898" s="114"/>
      <c r="N898" s="114"/>
      <c r="O898" s="114"/>
      <c r="P898" s="114"/>
      <c r="Q898" s="114"/>
      <c r="R898" s="114"/>
      <c r="S898" s="114"/>
      <c r="T898" s="114"/>
      <c r="U898" s="114"/>
      <c r="V898" s="114"/>
      <c r="W898" s="114"/>
      <c r="X898" s="114"/>
      <c r="Y898" s="114"/>
      <c r="Z898" s="114"/>
    </row>
    <row r="899">
      <c r="A899" s="1"/>
      <c r="B899" s="114"/>
      <c r="C899" s="114"/>
      <c r="D899" s="114"/>
      <c r="E899" s="114"/>
      <c r="F899" s="114"/>
      <c r="G899" s="114"/>
      <c r="H899" s="114"/>
      <c r="I899" s="114"/>
      <c r="J899" s="114"/>
      <c r="K899" s="114"/>
      <c r="L899" s="114"/>
      <c r="M899" s="114"/>
      <c r="N899" s="114"/>
      <c r="O899" s="114"/>
      <c r="P899" s="114"/>
      <c r="Q899" s="114"/>
      <c r="R899" s="114"/>
      <c r="S899" s="114"/>
      <c r="T899" s="114"/>
      <c r="U899" s="114"/>
      <c r="V899" s="114"/>
      <c r="W899" s="114"/>
      <c r="X899" s="114"/>
      <c r="Y899" s="114"/>
      <c r="Z899" s="114"/>
    </row>
    <row r="900">
      <c r="A900" s="1"/>
      <c r="B900" s="114"/>
      <c r="C900" s="114"/>
      <c r="D900" s="114"/>
      <c r="E900" s="114"/>
      <c r="F900" s="114"/>
      <c r="G900" s="114"/>
      <c r="H900" s="114"/>
      <c r="I900" s="114"/>
      <c r="J900" s="114"/>
      <c r="K900" s="114"/>
      <c r="L900" s="114"/>
      <c r="M900" s="114"/>
      <c r="N900" s="114"/>
      <c r="O900" s="114"/>
      <c r="P900" s="114"/>
      <c r="Q900" s="114"/>
      <c r="R900" s="114"/>
      <c r="S900" s="114"/>
      <c r="T900" s="114"/>
      <c r="U900" s="114"/>
      <c r="V900" s="114"/>
      <c r="W900" s="114"/>
      <c r="X900" s="114"/>
      <c r="Y900" s="114"/>
      <c r="Z900" s="114"/>
    </row>
    <row r="901">
      <c r="A901" s="1"/>
      <c r="B901" s="114"/>
      <c r="C901" s="114"/>
      <c r="D901" s="114"/>
      <c r="E901" s="114"/>
      <c r="F901" s="114"/>
      <c r="G901" s="114"/>
      <c r="H901" s="114"/>
      <c r="I901" s="114"/>
      <c r="J901" s="114"/>
      <c r="K901" s="114"/>
      <c r="L901" s="114"/>
      <c r="M901" s="114"/>
      <c r="N901" s="114"/>
      <c r="O901" s="114"/>
      <c r="P901" s="114"/>
      <c r="Q901" s="114"/>
      <c r="R901" s="114"/>
      <c r="S901" s="114"/>
      <c r="T901" s="114"/>
      <c r="U901" s="114"/>
      <c r="V901" s="114"/>
      <c r="W901" s="114"/>
      <c r="X901" s="114"/>
      <c r="Y901" s="114"/>
      <c r="Z901" s="114"/>
    </row>
    <row r="902">
      <c r="A902" s="1"/>
      <c r="B902" s="114"/>
      <c r="C902" s="114"/>
      <c r="D902" s="114"/>
      <c r="E902" s="114"/>
      <c r="F902" s="114"/>
      <c r="G902" s="114"/>
      <c r="H902" s="114"/>
      <c r="I902" s="114"/>
      <c r="J902" s="114"/>
      <c r="K902" s="114"/>
      <c r="L902" s="114"/>
      <c r="M902" s="114"/>
      <c r="N902" s="114"/>
      <c r="O902" s="114"/>
      <c r="P902" s="114"/>
      <c r="Q902" s="114"/>
      <c r="R902" s="114"/>
      <c r="S902" s="114"/>
      <c r="T902" s="114"/>
      <c r="U902" s="114"/>
      <c r="V902" s="114"/>
      <c r="W902" s="114"/>
      <c r="X902" s="114"/>
      <c r="Y902" s="114"/>
      <c r="Z902" s="114"/>
    </row>
    <row r="903">
      <c r="A903" s="1"/>
      <c r="B903" s="114"/>
      <c r="C903" s="114"/>
      <c r="D903" s="114"/>
      <c r="E903" s="114"/>
      <c r="F903" s="114"/>
      <c r="G903" s="114"/>
      <c r="H903" s="114"/>
      <c r="I903" s="114"/>
      <c r="J903" s="114"/>
      <c r="K903" s="114"/>
      <c r="L903" s="114"/>
      <c r="M903" s="114"/>
      <c r="N903" s="114"/>
      <c r="O903" s="114"/>
      <c r="P903" s="114"/>
      <c r="Q903" s="114"/>
      <c r="R903" s="114"/>
      <c r="S903" s="114"/>
      <c r="T903" s="114"/>
      <c r="U903" s="114"/>
      <c r="V903" s="114"/>
      <c r="W903" s="114"/>
      <c r="X903" s="114"/>
      <c r="Y903" s="114"/>
      <c r="Z903" s="114"/>
    </row>
    <row r="904">
      <c r="A904" s="1"/>
      <c r="B904" s="114"/>
      <c r="C904" s="114"/>
      <c r="D904" s="114"/>
      <c r="E904" s="114"/>
      <c r="F904" s="114"/>
      <c r="G904" s="114"/>
      <c r="H904" s="114"/>
      <c r="I904" s="114"/>
      <c r="J904" s="114"/>
      <c r="K904" s="114"/>
      <c r="L904" s="114"/>
      <c r="M904" s="114"/>
      <c r="N904" s="114"/>
      <c r="O904" s="114"/>
      <c r="P904" s="114"/>
      <c r="Q904" s="114"/>
      <c r="R904" s="114"/>
      <c r="S904" s="114"/>
      <c r="T904" s="114"/>
      <c r="U904" s="114"/>
      <c r="V904" s="114"/>
      <c r="W904" s="114"/>
      <c r="X904" s="114"/>
      <c r="Y904" s="114"/>
      <c r="Z904" s="114"/>
    </row>
    <row r="905">
      <c r="A905" s="1"/>
      <c r="B905" s="114"/>
      <c r="C905" s="114"/>
      <c r="D905" s="114"/>
      <c r="E905" s="114"/>
      <c r="F905" s="114"/>
      <c r="G905" s="114"/>
      <c r="H905" s="114"/>
      <c r="I905" s="114"/>
      <c r="J905" s="114"/>
      <c r="K905" s="114"/>
      <c r="L905" s="114"/>
      <c r="M905" s="114"/>
      <c r="N905" s="114"/>
      <c r="O905" s="114"/>
      <c r="P905" s="114"/>
      <c r="Q905" s="114"/>
      <c r="R905" s="114"/>
      <c r="S905" s="114"/>
      <c r="T905" s="114"/>
      <c r="U905" s="114"/>
      <c r="V905" s="114"/>
      <c r="W905" s="114"/>
      <c r="X905" s="114"/>
      <c r="Y905" s="114"/>
      <c r="Z905" s="114"/>
    </row>
    <row r="906">
      <c r="A906" s="1"/>
      <c r="B906" s="114"/>
      <c r="C906" s="114"/>
      <c r="D906" s="114"/>
      <c r="E906" s="114"/>
      <c r="F906" s="114"/>
      <c r="G906" s="114"/>
      <c r="H906" s="114"/>
      <c r="I906" s="114"/>
      <c r="J906" s="114"/>
      <c r="K906" s="114"/>
      <c r="L906" s="114"/>
      <c r="M906" s="114"/>
      <c r="N906" s="114"/>
      <c r="O906" s="114"/>
      <c r="P906" s="114"/>
      <c r="Q906" s="114"/>
      <c r="R906" s="114"/>
      <c r="S906" s="114"/>
      <c r="T906" s="114"/>
      <c r="U906" s="114"/>
      <c r="V906" s="114"/>
      <c r="W906" s="114"/>
      <c r="X906" s="114"/>
      <c r="Y906" s="114"/>
      <c r="Z906" s="114"/>
    </row>
    <row r="907">
      <c r="A907" s="1"/>
      <c r="B907" s="114"/>
      <c r="C907" s="114"/>
      <c r="D907" s="114"/>
      <c r="E907" s="114"/>
      <c r="F907" s="114"/>
      <c r="G907" s="114"/>
      <c r="H907" s="114"/>
      <c r="I907" s="114"/>
      <c r="J907" s="114"/>
      <c r="K907" s="114"/>
      <c r="L907" s="114"/>
      <c r="M907" s="114"/>
      <c r="N907" s="114"/>
      <c r="O907" s="114"/>
      <c r="P907" s="114"/>
      <c r="Q907" s="114"/>
      <c r="R907" s="114"/>
      <c r="S907" s="114"/>
      <c r="T907" s="114"/>
      <c r="U907" s="114"/>
      <c r="V907" s="114"/>
      <c r="W907" s="114"/>
      <c r="X907" s="114"/>
      <c r="Y907" s="114"/>
      <c r="Z907" s="114"/>
    </row>
    <row r="908">
      <c r="A908" s="1"/>
      <c r="B908" s="114"/>
      <c r="C908" s="114"/>
      <c r="D908" s="114"/>
      <c r="E908" s="114"/>
      <c r="F908" s="114"/>
      <c r="G908" s="114"/>
      <c r="H908" s="114"/>
      <c r="I908" s="114"/>
      <c r="J908" s="114"/>
      <c r="K908" s="114"/>
      <c r="L908" s="114"/>
      <c r="M908" s="114"/>
      <c r="N908" s="114"/>
      <c r="O908" s="114"/>
      <c r="P908" s="114"/>
      <c r="Q908" s="114"/>
      <c r="R908" s="114"/>
      <c r="S908" s="114"/>
      <c r="T908" s="114"/>
      <c r="U908" s="114"/>
      <c r="V908" s="114"/>
      <c r="W908" s="114"/>
      <c r="X908" s="114"/>
      <c r="Y908" s="114"/>
      <c r="Z908" s="114"/>
    </row>
    <row r="909">
      <c r="A909" s="1"/>
      <c r="B909" s="114"/>
      <c r="C909" s="114"/>
      <c r="D909" s="114"/>
      <c r="E909" s="114"/>
      <c r="F909" s="114"/>
      <c r="G909" s="114"/>
      <c r="H909" s="114"/>
      <c r="I909" s="114"/>
      <c r="J909" s="114"/>
      <c r="K909" s="114"/>
      <c r="L909" s="114"/>
      <c r="M909" s="114"/>
      <c r="N909" s="114"/>
      <c r="O909" s="114"/>
      <c r="P909" s="114"/>
      <c r="Q909" s="114"/>
      <c r="R909" s="114"/>
      <c r="S909" s="114"/>
      <c r="T909" s="114"/>
      <c r="U909" s="114"/>
      <c r="V909" s="114"/>
      <c r="W909" s="114"/>
      <c r="X909" s="114"/>
      <c r="Y909" s="114"/>
      <c r="Z909" s="114"/>
    </row>
    <row r="910">
      <c r="A910" s="1"/>
      <c r="B910" s="114"/>
      <c r="C910" s="114"/>
      <c r="D910" s="114"/>
      <c r="E910" s="114"/>
      <c r="F910" s="114"/>
      <c r="G910" s="114"/>
      <c r="H910" s="114"/>
      <c r="I910" s="114"/>
      <c r="J910" s="114"/>
      <c r="K910" s="114"/>
      <c r="L910" s="114"/>
      <c r="M910" s="114"/>
      <c r="N910" s="114"/>
      <c r="O910" s="114"/>
      <c r="P910" s="114"/>
      <c r="Q910" s="114"/>
      <c r="R910" s="114"/>
      <c r="S910" s="114"/>
      <c r="T910" s="114"/>
      <c r="U910" s="114"/>
      <c r="V910" s="114"/>
      <c r="W910" s="114"/>
      <c r="X910" s="114"/>
      <c r="Y910" s="114"/>
      <c r="Z910" s="114"/>
    </row>
    <row r="911">
      <c r="A911" s="1"/>
      <c r="B911" s="114"/>
      <c r="C911" s="114"/>
      <c r="D911" s="114"/>
      <c r="E911" s="114"/>
      <c r="F911" s="114"/>
      <c r="G911" s="114"/>
      <c r="H911" s="114"/>
      <c r="I911" s="114"/>
      <c r="J911" s="114"/>
      <c r="K911" s="114"/>
      <c r="L911" s="114"/>
      <c r="M911" s="114"/>
      <c r="N911" s="114"/>
      <c r="O911" s="114"/>
      <c r="P911" s="114"/>
      <c r="Q911" s="114"/>
      <c r="R911" s="114"/>
      <c r="S911" s="114"/>
      <c r="T911" s="114"/>
      <c r="U911" s="114"/>
      <c r="V911" s="114"/>
      <c r="W911" s="114"/>
      <c r="X911" s="114"/>
      <c r="Y911" s="114"/>
      <c r="Z911" s="114"/>
    </row>
    <row r="912">
      <c r="A912" s="1"/>
      <c r="B912" s="114"/>
      <c r="C912" s="114"/>
      <c r="D912" s="114"/>
      <c r="E912" s="114"/>
      <c r="F912" s="114"/>
      <c r="G912" s="114"/>
      <c r="H912" s="114"/>
      <c r="I912" s="114"/>
      <c r="J912" s="114"/>
      <c r="K912" s="114"/>
      <c r="L912" s="114"/>
      <c r="M912" s="114"/>
      <c r="N912" s="114"/>
      <c r="O912" s="114"/>
      <c r="P912" s="114"/>
      <c r="Q912" s="114"/>
      <c r="R912" s="114"/>
      <c r="S912" s="114"/>
      <c r="T912" s="114"/>
      <c r="U912" s="114"/>
      <c r="V912" s="114"/>
      <c r="W912" s="114"/>
      <c r="X912" s="114"/>
      <c r="Y912" s="114"/>
      <c r="Z912" s="114"/>
    </row>
    <row r="913">
      <c r="A913" s="1"/>
      <c r="B913" s="114"/>
      <c r="C913" s="114"/>
      <c r="D913" s="114"/>
      <c r="E913" s="114"/>
      <c r="F913" s="114"/>
      <c r="G913" s="114"/>
      <c r="H913" s="114"/>
      <c r="I913" s="114"/>
      <c r="J913" s="114"/>
      <c r="K913" s="114"/>
      <c r="L913" s="114"/>
      <c r="M913" s="114"/>
      <c r="N913" s="114"/>
      <c r="O913" s="114"/>
      <c r="P913" s="114"/>
      <c r="Q913" s="114"/>
      <c r="R913" s="114"/>
      <c r="S913" s="114"/>
      <c r="T913" s="114"/>
      <c r="U913" s="114"/>
      <c r="V913" s="114"/>
      <c r="W913" s="114"/>
      <c r="X913" s="114"/>
      <c r="Y913" s="114"/>
      <c r="Z913" s="114"/>
    </row>
    <row r="914">
      <c r="A914" s="1"/>
      <c r="B914" s="114"/>
      <c r="C914" s="114"/>
      <c r="D914" s="114"/>
      <c r="E914" s="114"/>
      <c r="F914" s="114"/>
      <c r="G914" s="114"/>
      <c r="H914" s="114"/>
      <c r="I914" s="114"/>
      <c r="J914" s="114"/>
      <c r="K914" s="114"/>
      <c r="L914" s="114"/>
      <c r="M914" s="114"/>
      <c r="N914" s="114"/>
      <c r="O914" s="114"/>
      <c r="P914" s="114"/>
      <c r="Q914" s="114"/>
      <c r="R914" s="114"/>
      <c r="S914" s="114"/>
      <c r="T914" s="114"/>
      <c r="U914" s="114"/>
      <c r="V914" s="114"/>
      <c r="W914" s="114"/>
      <c r="X914" s="114"/>
      <c r="Y914" s="114"/>
      <c r="Z914" s="114"/>
    </row>
    <row r="915">
      <c r="A915" s="1"/>
      <c r="B915" s="114"/>
      <c r="C915" s="114"/>
      <c r="D915" s="114"/>
      <c r="E915" s="114"/>
      <c r="F915" s="114"/>
      <c r="G915" s="114"/>
      <c r="H915" s="114"/>
      <c r="I915" s="114"/>
      <c r="J915" s="114"/>
      <c r="K915" s="114"/>
      <c r="L915" s="114"/>
      <c r="M915" s="114"/>
      <c r="N915" s="114"/>
      <c r="O915" s="114"/>
      <c r="P915" s="114"/>
      <c r="Q915" s="114"/>
      <c r="R915" s="114"/>
      <c r="S915" s="114"/>
      <c r="T915" s="114"/>
      <c r="U915" s="114"/>
      <c r="V915" s="114"/>
      <c r="W915" s="114"/>
      <c r="X915" s="114"/>
      <c r="Y915" s="114"/>
      <c r="Z915" s="114"/>
    </row>
    <row r="916">
      <c r="A916" s="1"/>
      <c r="B916" s="114"/>
      <c r="C916" s="114"/>
      <c r="D916" s="114"/>
      <c r="E916" s="114"/>
      <c r="F916" s="114"/>
      <c r="G916" s="114"/>
      <c r="H916" s="114"/>
      <c r="I916" s="114"/>
      <c r="J916" s="114"/>
      <c r="K916" s="114"/>
      <c r="L916" s="114"/>
      <c r="M916" s="114"/>
      <c r="N916" s="114"/>
      <c r="O916" s="114"/>
      <c r="P916" s="114"/>
      <c r="Q916" s="114"/>
      <c r="R916" s="114"/>
      <c r="S916" s="114"/>
      <c r="T916" s="114"/>
      <c r="U916" s="114"/>
      <c r="V916" s="114"/>
      <c r="W916" s="114"/>
      <c r="X916" s="114"/>
      <c r="Y916" s="114"/>
      <c r="Z916" s="114"/>
    </row>
    <row r="917">
      <c r="A917" s="1"/>
      <c r="B917" s="114"/>
      <c r="C917" s="114"/>
      <c r="D917" s="114"/>
      <c r="E917" s="114"/>
      <c r="F917" s="114"/>
      <c r="G917" s="114"/>
      <c r="H917" s="114"/>
      <c r="I917" s="114"/>
      <c r="J917" s="114"/>
      <c r="K917" s="114"/>
      <c r="L917" s="114"/>
      <c r="M917" s="114"/>
      <c r="N917" s="114"/>
      <c r="O917" s="114"/>
      <c r="P917" s="114"/>
      <c r="Q917" s="114"/>
      <c r="R917" s="114"/>
      <c r="S917" s="114"/>
      <c r="T917" s="114"/>
      <c r="U917" s="114"/>
      <c r="V917" s="114"/>
      <c r="W917" s="114"/>
      <c r="X917" s="114"/>
      <c r="Y917" s="114"/>
      <c r="Z917" s="114"/>
    </row>
    <row r="918">
      <c r="A918" s="1"/>
      <c r="B918" s="114"/>
      <c r="C918" s="114"/>
      <c r="D918" s="114"/>
      <c r="E918" s="114"/>
      <c r="F918" s="114"/>
      <c r="G918" s="114"/>
      <c r="H918" s="114"/>
      <c r="I918" s="114"/>
      <c r="J918" s="114"/>
      <c r="K918" s="114"/>
      <c r="L918" s="114"/>
      <c r="M918" s="114"/>
      <c r="N918" s="114"/>
      <c r="O918" s="114"/>
      <c r="P918" s="114"/>
      <c r="Q918" s="114"/>
      <c r="R918" s="114"/>
      <c r="S918" s="114"/>
      <c r="T918" s="114"/>
      <c r="U918" s="114"/>
      <c r="V918" s="114"/>
      <c r="W918" s="114"/>
      <c r="X918" s="114"/>
      <c r="Y918" s="114"/>
      <c r="Z918" s="114"/>
    </row>
    <row r="919">
      <c r="A919" s="1"/>
      <c r="B919" s="114"/>
      <c r="C919" s="114"/>
      <c r="D919" s="114"/>
      <c r="E919" s="114"/>
      <c r="F919" s="114"/>
      <c r="G919" s="114"/>
      <c r="H919" s="114"/>
      <c r="I919" s="114"/>
      <c r="J919" s="114"/>
      <c r="K919" s="114"/>
      <c r="L919" s="114"/>
      <c r="M919" s="114"/>
      <c r="N919" s="114"/>
      <c r="O919" s="114"/>
      <c r="P919" s="114"/>
      <c r="Q919" s="114"/>
      <c r="R919" s="114"/>
      <c r="S919" s="114"/>
      <c r="T919" s="114"/>
      <c r="U919" s="114"/>
      <c r="V919" s="114"/>
      <c r="W919" s="114"/>
      <c r="X919" s="114"/>
      <c r="Y919" s="114"/>
      <c r="Z919" s="114"/>
    </row>
    <row r="920">
      <c r="A920" s="1"/>
      <c r="B920" s="114"/>
      <c r="C920" s="114"/>
      <c r="D920" s="114"/>
      <c r="E920" s="114"/>
      <c r="F920" s="114"/>
      <c r="G920" s="114"/>
      <c r="H920" s="114"/>
      <c r="I920" s="114"/>
      <c r="J920" s="114"/>
      <c r="K920" s="114"/>
      <c r="L920" s="114"/>
      <c r="M920" s="114"/>
      <c r="N920" s="114"/>
      <c r="O920" s="114"/>
      <c r="P920" s="114"/>
      <c r="Q920" s="114"/>
      <c r="R920" s="114"/>
      <c r="S920" s="114"/>
      <c r="T920" s="114"/>
      <c r="U920" s="114"/>
      <c r="V920" s="114"/>
      <c r="W920" s="114"/>
      <c r="X920" s="114"/>
      <c r="Y920" s="114"/>
      <c r="Z920" s="114"/>
    </row>
    <row r="921">
      <c r="A921" s="1"/>
      <c r="B921" s="114"/>
      <c r="C921" s="114"/>
      <c r="D921" s="114"/>
      <c r="E921" s="114"/>
      <c r="F921" s="114"/>
      <c r="G921" s="114"/>
      <c r="H921" s="114"/>
      <c r="I921" s="114"/>
      <c r="J921" s="114"/>
      <c r="K921" s="114"/>
      <c r="L921" s="114"/>
      <c r="M921" s="114"/>
      <c r="N921" s="114"/>
      <c r="O921" s="114"/>
      <c r="P921" s="114"/>
      <c r="Q921" s="114"/>
      <c r="R921" s="114"/>
      <c r="S921" s="114"/>
      <c r="T921" s="114"/>
      <c r="U921" s="114"/>
      <c r="V921" s="114"/>
      <c r="W921" s="114"/>
      <c r="X921" s="114"/>
      <c r="Y921" s="114"/>
      <c r="Z921" s="114"/>
    </row>
    <row r="922">
      <c r="A922" s="1"/>
      <c r="B922" s="114"/>
      <c r="C922" s="114"/>
      <c r="D922" s="114"/>
      <c r="E922" s="114"/>
      <c r="F922" s="114"/>
      <c r="G922" s="114"/>
      <c r="H922" s="114"/>
      <c r="I922" s="114"/>
      <c r="J922" s="114"/>
      <c r="K922" s="114"/>
      <c r="L922" s="114"/>
      <c r="M922" s="114"/>
      <c r="N922" s="114"/>
      <c r="O922" s="114"/>
      <c r="P922" s="114"/>
      <c r="Q922" s="114"/>
      <c r="R922" s="114"/>
      <c r="S922" s="114"/>
      <c r="T922" s="114"/>
      <c r="U922" s="114"/>
      <c r="V922" s="114"/>
      <c r="W922" s="114"/>
      <c r="X922" s="114"/>
      <c r="Y922" s="114"/>
      <c r="Z922" s="114"/>
    </row>
    <row r="923">
      <c r="A923" s="1"/>
      <c r="B923" s="114"/>
      <c r="C923" s="114"/>
      <c r="D923" s="114"/>
      <c r="E923" s="114"/>
      <c r="F923" s="114"/>
      <c r="G923" s="114"/>
      <c r="H923" s="114"/>
      <c r="I923" s="114"/>
      <c r="J923" s="114"/>
      <c r="K923" s="114"/>
      <c r="L923" s="114"/>
      <c r="M923" s="114"/>
      <c r="N923" s="114"/>
      <c r="O923" s="114"/>
      <c r="P923" s="114"/>
      <c r="Q923" s="114"/>
      <c r="R923" s="114"/>
      <c r="S923" s="114"/>
      <c r="T923" s="114"/>
      <c r="U923" s="114"/>
      <c r="V923" s="114"/>
      <c r="W923" s="114"/>
      <c r="X923" s="114"/>
      <c r="Y923" s="114"/>
      <c r="Z923" s="114"/>
    </row>
    <row r="924">
      <c r="A924" s="1"/>
      <c r="B924" s="114"/>
      <c r="C924" s="114"/>
      <c r="D924" s="114"/>
      <c r="E924" s="114"/>
      <c r="F924" s="114"/>
      <c r="G924" s="114"/>
      <c r="H924" s="114"/>
      <c r="I924" s="114"/>
      <c r="J924" s="114"/>
      <c r="K924" s="114"/>
      <c r="L924" s="114"/>
      <c r="M924" s="114"/>
      <c r="N924" s="114"/>
      <c r="O924" s="114"/>
      <c r="P924" s="114"/>
      <c r="Q924" s="114"/>
      <c r="R924" s="114"/>
      <c r="S924" s="114"/>
      <c r="T924" s="114"/>
      <c r="U924" s="114"/>
      <c r="V924" s="114"/>
      <c r="W924" s="114"/>
      <c r="X924" s="114"/>
      <c r="Y924" s="114"/>
      <c r="Z924" s="114"/>
    </row>
    <row r="925">
      <c r="A925" s="1"/>
      <c r="B925" s="114"/>
      <c r="C925" s="114"/>
      <c r="D925" s="114"/>
      <c r="E925" s="114"/>
      <c r="F925" s="114"/>
      <c r="G925" s="114"/>
      <c r="H925" s="114"/>
      <c r="I925" s="114"/>
      <c r="J925" s="114"/>
      <c r="K925" s="114"/>
      <c r="L925" s="114"/>
      <c r="M925" s="114"/>
      <c r="N925" s="114"/>
      <c r="O925" s="114"/>
      <c r="P925" s="114"/>
      <c r="Q925" s="114"/>
      <c r="R925" s="114"/>
      <c r="S925" s="114"/>
      <c r="T925" s="114"/>
      <c r="U925" s="114"/>
      <c r="V925" s="114"/>
      <c r="W925" s="114"/>
      <c r="X925" s="114"/>
      <c r="Y925" s="114"/>
      <c r="Z925" s="114"/>
    </row>
    <row r="926">
      <c r="A926" s="1"/>
      <c r="B926" s="114"/>
      <c r="C926" s="114"/>
      <c r="D926" s="114"/>
      <c r="E926" s="114"/>
      <c r="F926" s="114"/>
      <c r="G926" s="114"/>
      <c r="H926" s="114"/>
      <c r="I926" s="114"/>
      <c r="J926" s="114"/>
      <c r="K926" s="114"/>
      <c r="L926" s="114"/>
      <c r="M926" s="114"/>
      <c r="N926" s="114"/>
      <c r="O926" s="114"/>
      <c r="P926" s="114"/>
      <c r="Q926" s="114"/>
      <c r="R926" s="114"/>
      <c r="S926" s="114"/>
      <c r="T926" s="114"/>
      <c r="U926" s="114"/>
      <c r="V926" s="114"/>
      <c r="W926" s="114"/>
      <c r="X926" s="114"/>
      <c r="Y926" s="114"/>
      <c r="Z926" s="114"/>
    </row>
    <row r="927">
      <c r="A927" s="1"/>
      <c r="B927" s="114"/>
      <c r="C927" s="114"/>
      <c r="D927" s="114"/>
      <c r="E927" s="114"/>
      <c r="F927" s="114"/>
      <c r="G927" s="114"/>
      <c r="H927" s="114"/>
      <c r="I927" s="114"/>
      <c r="J927" s="114"/>
      <c r="K927" s="114"/>
      <c r="L927" s="114"/>
      <c r="M927" s="114"/>
      <c r="N927" s="114"/>
      <c r="O927" s="114"/>
      <c r="P927" s="114"/>
      <c r="Q927" s="114"/>
      <c r="R927" s="114"/>
      <c r="S927" s="114"/>
      <c r="T927" s="114"/>
      <c r="U927" s="114"/>
      <c r="V927" s="114"/>
      <c r="W927" s="114"/>
      <c r="X927" s="114"/>
      <c r="Y927" s="114"/>
      <c r="Z927" s="114"/>
    </row>
    <row r="928">
      <c r="A928" s="1"/>
      <c r="B928" s="114"/>
      <c r="C928" s="114"/>
      <c r="D928" s="114"/>
      <c r="E928" s="114"/>
      <c r="F928" s="114"/>
      <c r="G928" s="114"/>
      <c r="H928" s="114"/>
      <c r="I928" s="114"/>
      <c r="J928" s="114"/>
      <c r="K928" s="114"/>
      <c r="L928" s="114"/>
      <c r="M928" s="114"/>
      <c r="N928" s="114"/>
      <c r="O928" s="114"/>
      <c r="P928" s="114"/>
      <c r="Q928" s="114"/>
      <c r="R928" s="114"/>
      <c r="S928" s="114"/>
      <c r="T928" s="114"/>
      <c r="U928" s="114"/>
      <c r="V928" s="114"/>
      <c r="W928" s="114"/>
      <c r="X928" s="114"/>
      <c r="Y928" s="114"/>
      <c r="Z928" s="114"/>
    </row>
    <row r="929">
      <c r="A929" s="1"/>
      <c r="B929" s="114"/>
      <c r="C929" s="114"/>
      <c r="D929" s="114"/>
      <c r="E929" s="114"/>
      <c r="F929" s="114"/>
      <c r="G929" s="114"/>
      <c r="H929" s="114"/>
      <c r="I929" s="114"/>
      <c r="J929" s="114"/>
      <c r="K929" s="114"/>
      <c r="L929" s="114"/>
      <c r="M929" s="114"/>
      <c r="N929" s="114"/>
      <c r="O929" s="114"/>
      <c r="P929" s="114"/>
      <c r="Q929" s="114"/>
      <c r="R929" s="114"/>
      <c r="S929" s="114"/>
      <c r="T929" s="114"/>
      <c r="U929" s="114"/>
      <c r="V929" s="114"/>
      <c r="W929" s="114"/>
      <c r="X929" s="114"/>
      <c r="Y929" s="114"/>
      <c r="Z929" s="114"/>
    </row>
    <row r="930">
      <c r="A930" s="1"/>
      <c r="B930" s="114"/>
      <c r="C930" s="114"/>
      <c r="D930" s="114"/>
      <c r="E930" s="114"/>
      <c r="F930" s="114"/>
      <c r="G930" s="114"/>
      <c r="H930" s="114"/>
      <c r="I930" s="114"/>
      <c r="J930" s="114"/>
      <c r="K930" s="114"/>
      <c r="L930" s="114"/>
      <c r="M930" s="114"/>
      <c r="N930" s="114"/>
      <c r="O930" s="114"/>
      <c r="P930" s="114"/>
      <c r="Q930" s="114"/>
      <c r="R930" s="114"/>
      <c r="S930" s="114"/>
      <c r="T930" s="114"/>
      <c r="U930" s="114"/>
      <c r="V930" s="114"/>
      <c r="W930" s="114"/>
      <c r="X930" s="114"/>
      <c r="Y930" s="114"/>
      <c r="Z930" s="114"/>
    </row>
    <row r="931">
      <c r="A931" s="1"/>
      <c r="B931" s="114"/>
      <c r="C931" s="114"/>
      <c r="D931" s="114"/>
      <c r="E931" s="114"/>
      <c r="F931" s="114"/>
      <c r="G931" s="114"/>
      <c r="H931" s="114"/>
      <c r="I931" s="114"/>
      <c r="J931" s="114"/>
      <c r="K931" s="114"/>
      <c r="L931" s="114"/>
      <c r="M931" s="114"/>
      <c r="N931" s="114"/>
      <c r="O931" s="114"/>
      <c r="P931" s="114"/>
      <c r="Q931" s="114"/>
      <c r="R931" s="114"/>
      <c r="S931" s="114"/>
      <c r="T931" s="114"/>
      <c r="U931" s="114"/>
      <c r="V931" s="114"/>
      <c r="W931" s="114"/>
      <c r="X931" s="114"/>
      <c r="Y931" s="114"/>
      <c r="Z931" s="114"/>
    </row>
    <row r="932">
      <c r="A932" s="1"/>
      <c r="B932" s="114"/>
      <c r="C932" s="114"/>
      <c r="D932" s="114"/>
      <c r="E932" s="114"/>
      <c r="F932" s="114"/>
      <c r="G932" s="114"/>
      <c r="H932" s="114"/>
      <c r="I932" s="114"/>
      <c r="J932" s="114"/>
      <c r="K932" s="114"/>
      <c r="L932" s="114"/>
      <c r="M932" s="114"/>
      <c r="N932" s="114"/>
      <c r="O932" s="114"/>
      <c r="P932" s="114"/>
      <c r="Q932" s="114"/>
      <c r="R932" s="114"/>
      <c r="S932" s="114"/>
      <c r="T932" s="114"/>
      <c r="U932" s="114"/>
      <c r="V932" s="114"/>
      <c r="W932" s="114"/>
      <c r="X932" s="114"/>
      <c r="Y932" s="114"/>
      <c r="Z932" s="114"/>
    </row>
  </sheetData>
  <dataValidations>
    <dataValidation type="list" allowBlank="1" sqref="B1:B932">
      <formula1>"show"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767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 t="s">
        <v>768</v>
      </c>
      <c r="B2" s="113" t="b">
        <v>0</v>
      </c>
      <c r="D2" s="113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</row>
    <row r="3">
      <c r="A3" s="1"/>
      <c r="B3" s="113"/>
      <c r="D3" s="113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</row>
    <row r="4">
      <c r="A4" s="1"/>
      <c r="B4" s="113"/>
      <c r="D4" s="113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</row>
    <row r="5">
      <c r="A5" s="1"/>
      <c r="B5" s="113"/>
      <c r="D5" s="113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</row>
    <row r="6">
      <c r="A6" s="1"/>
      <c r="B6" s="113"/>
      <c r="D6" s="113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</row>
    <row r="7">
      <c r="A7" s="1"/>
      <c r="B7" s="113"/>
      <c r="D7" s="113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</row>
    <row r="8">
      <c r="A8" s="1"/>
      <c r="B8" s="113"/>
      <c r="D8" s="113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</row>
    <row r="9">
      <c r="A9" s="1"/>
      <c r="B9" s="113"/>
      <c r="D9" s="113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</row>
    <row r="10">
      <c r="A10" s="1"/>
      <c r="B10" s="113"/>
      <c r="D10" s="113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</row>
    <row r="11">
      <c r="A11" s="1"/>
      <c r="B11" s="113"/>
      <c r="D11" s="113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</row>
    <row r="12">
      <c r="A12" s="1"/>
      <c r="B12" s="113"/>
      <c r="D12" s="113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</row>
    <row r="13">
      <c r="A13" s="1"/>
      <c r="B13" s="113"/>
      <c r="D13" s="113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</row>
    <row r="14">
      <c r="A14" s="1"/>
      <c r="B14" s="113"/>
      <c r="D14" s="113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</row>
    <row r="15">
      <c r="A15" s="1"/>
      <c r="B15" s="113"/>
      <c r="D15" s="113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</row>
    <row r="16">
      <c r="A16" s="1"/>
      <c r="B16" s="113"/>
      <c r="D16" s="113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</row>
    <row r="17">
      <c r="A17" s="1"/>
      <c r="B17" s="113"/>
      <c r="D17" s="113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</row>
    <row r="18">
      <c r="A18" s="1"/>
      <c r="B18" s="113"/>
      <c r="D18" s="113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</row>
    <row r="19">
      <c r="A19" s="1"/>
      <c r="B19" s="113"/>
      <c r="D19" s="113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</row>
    <row r="20">
      <c r="A20" s="1"/>
      <c r="B20" s="113"/>
      <c r="D20" s="113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</row>
    <row r="21">
      <c r="A21" s="1"/>
      <c r="B21" s="113"/>
      <c r="D21" s="113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</row>
    <row r="22">
      <c r="A22" s="1"/>
      <c r="B22" s="113"/>
      <c r="D22" s="113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</row>
    <row r="23">
      <c r="A23" s="1"/>
      <c r="B23" s="113"/>
      <c r="D23" s="113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</row>
    <row r="24">
      <c r="A24" s="1"/>
      <c r="B24" s="113"/>
      <c r="D24" s="113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</row>
    <row r="25">
      <c r="A25" s="1"/>
      <c r="B25" s="113"/>
      <c r="D25" s="113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</row>
    <row r="26">
      <c r="A26" s="1"/>
      <c r="B26" s="113"/>
      <c r="D26" s="113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</row>
    <row r="27">
      <c r="A27" s="1"/>
      <c r="B27" s="113"/>
      <c r="D27" s="113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</row>
    <row r="28">
      <c r="A28" s="1"/>
      <c r="B28" s="113"/>
      <c r="D28" s="113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</row>
    <row r="29">
      <c r="A29" s="1"/>
      <c r="B29" s="113"/>
      <c r="D29" s="113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</row>
    <row r="30">
      <c r="A30" s="1"/>
      <c r="B30" s="113"/>
      <c r="D30" s="113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</row>
    <row r="31">
      <c r="A31" s="1"/>
      <c r="B31" s="113"/>
      <c r="D31" s="113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</row>
    <row r="32">
      <c r="A32" s="1"/>
      <c r="B32" s="113"/>
      <c r="D32" s="113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</row>
    <row r="33">
      <c r="A33" s="1"/>
      <c r="B33" s="113"/>
      <c r="D33" s="113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</row>
    <row r="34">
      <c r="A34" s="1"/>
      <c r="B34" s="113"/>
      <c r="D34" s="113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</row>
    <row r="35">
      <c r="A35" s="1"/>
      <c r="B35" s="113"/>
      <c r="D35" s="113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</row>
    <row r="36">
      <c r="A36" s="1"/>
      <c r="B36" s="113"/>
      <c r="D36" s="113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</row>
    <row r="37">
      <c r="A37" s="1"/>
      <c r="B37" s="113"/>
      <c r="D37" s="113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</row>
    <row r="38">
      <c r="A38" s="1"/>
      <c r="B38" s="113"/>
      <c r="D38" s="113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</row>
    <row r="39">
      <c r="A39" s="1"/>
      <c r="B39" s="113"/>
      <c r="D39" s="113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</row>
    <row r="40">
      <c r="A40" s="1"/>
      <c r="B40" s="113"/>
      <c r="D40" s="113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</row>
    <row r="41">
      <c r="A41" s="1"/>
      <c r="B41" s="113"/>
      <c r="D41" s="113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</row>
    <row r="42">
      <c r="A42" s="1"/>
      <c r="B42" s="113"/>
      <c r="D42" s="113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</row>
    <row r="43">
      <c r="A43" s="1"/>
      <c r="B43" s="113"/>
      <c r="D43" s="113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</row>
    <row r="44">
      <c r="A44" s="1"/>
      <c r="B44" s="113"/>
      <c r="D44" s="113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</row>
    <row r="45">
      <c r="A45" s="1"/>
      <c r="B45" s="113"/>
      <c r="D45" s="113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</row>
    <row r="46">
      <c r="A46" s="1"/>
      <c r="B46" s="113"/>
      <c r="D46" s="113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</row>
    <row r="47">
      <c r="A47" s="1"/>
      <c r="B47" s="113"/>
      <c r="D47" s="113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</row>
    <row r="48">
      <c r="A48" s="1"/>
      <c r="B48" s="113"/>
      <c r="D48" s="113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</row>
    <row r="49">
      <c r="A49" s="1"/>
      <c r="B49" s="113"/>
      <c r="D49" s="113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</row>
    <row r="50">
      <c r="A50" s="1"/>
      <c r="B50" s="113"/>
      <c r="D50" s="113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</row>
    <row r="51">
      <c r="A51" s="1"/>
      <c r="B51" s="113"/>
      <c r="D51" s="113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</row>
    <row r="52">
      <c r="A52" s="1"/>
      <c r="B52" s="113"/>
      <c r="D52" s="113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</row>
    <row r="53">
      <c r="A53" s="1"/>
      <c r="B53" s="113"/>
      <c r="D53" s="113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</row>
    <row r="54">
      <c r="A54" s="1"/>
      <c r="B54" s="113"/>
      <c r="D54" s="113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114"/>
    </row>
    <row r="55">
      <c r="A55" s="1"/>
      <c r="B55" s="113"/>
      <c r="D55" s="113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</row>
    <row r="56">
      <c r="A56" s="1"/>
      <c r="B56" s="113"/>
      <c r="D56" s="113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</row>
    <row r="57">
      <c r="A57" s="1"/>
      <c r="B57" s="113"/>
      <c r="D57" s="113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</row>
    <row r="58">
      <c r="A58" s="1"/>
      <c r="B58" s="113"/>
      <c r="D58" s="113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</row>
    <row r="59">
      <c r="A59" s="1"/>
      <c r="B59" s="113"/>
      <c r="D59" s="113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</row>
    <row r="60">
      <c r="A60" s="1"/>
      <c r="B60" s="113"/>
      <c r="D60" s="113"/>
      <c r="E60" s="114"/>
      <c r="F60" s="114"/>
      <c r="G60" s="114"/>
      <c r="H60" s="114"/>
      <c r="I60" s="114"/>
      <c r="J60" s="114"/>
      <c r="K60" s="114"/>
      <c r="L60" s="114"/>
      <c r="M60" s="114"/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</row>
    <row r="61">
      <c r="A61" s="1"/>
      <c r="B61" s="113"/>
      <c r="D61" s="113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</row>
    <row r="62">
      <c r="A62" s="1"/>
      <c r="B62" s="113"/>
      <c r="D62" s="113"/>
      <c r="E62" s="114"/>
      <c r="F62" s="114"/>
      <c r="G62" s="114"/>
      <c r="H62" s="114"/>
      <c r="I62" s="114"/>
      <c r="J62" s="114"/>
      <c r="K62" s="114"/>
      <c r="L62" s="114"/>
      <c r="M62" s="114"/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</row>
    <row r="63">
      <c r="A63" s="1"/>
      <c r="B63" s="113"/>
      <c r="D63" s="113"/>
      <c r="E63" s="114"/>
      <c r="F63" s="114"/>
      <c r="G63" s="114"/>
      <c r="H63" s="114"/>
      <c r="I63" s="114"/>
      <c r="J63" s="114"/>
      <c r="K63" s="114"/>
      <c r="L63" s="114"/>
      <c r="M63" s="114"/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</row>
    <row r="64">
      <c r="A64" s="1"/>
      <c r="B64" s="113"/>
      <c r="D64" s="113"/>
      <c r="E64" s="114"/>
      <c r="F64" s="114"/>
      <c r="G64" s="114"/>
      <c r="H64" s="114"/>
      <c r="I64" s="114"/>
      <c r="J64" s="114"/>
      <c r="K64" s="114"/>
      <c r="L64" s="114"/>
      <c r="M64" s="114"/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</row>
    <row r="65">
      <c r="A65" s="1"/>
      <c r="B65" s="113"/>
      <c r="D65" s="113"/>
      <c r="E65" s="114"/>
      <c r="F65" s="114"/>
      <c r="G65" s="114"/>
      <c r="H65" s="114"/>
      <c r="I65" s="114"/>
      <c r="J65" s="114"/>
      <c r="K65" s="114"/>
      <c r="L65" s="114"/>
      <c r="M65" s="114"/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</row>
    <row r="66">
      <c r="A66" s="1"/>
      <c r="B66" s="113"/>
      <c r="D66" s="113"/>
      <c r="E66" s="114"/>
      <c r="F66" s="114"/>
      <c r="G66" s="114"/>
      <c r="H66" s="114"/>
      <c r="I66" s="114"/>
      <c r="J66" s="114"/>
      <c r="K66" s="114"/>
      <c r="L66" s="114"/>
      <c r="M66" s="114"/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</row>
    <row r="67">
      <c r="A67" s="1"/>
      <c r="B67" s="113"/>
      <c r="D67" s="113"/>
      <c r="E67" s="114"/>
      <c r="F67" s="114"/>
      <c r="G67" s="114"/>
      <c r="H67" s="114"/>
      <c r="I67" s="114"/>
      <c r="J67" s="114"/>
      <c r="K67" s="114"/>
      <c r="L67" s="114"/>
      <c r="M67" s="114"/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</row>
    <row r="68">
      <c r="A68" s="1"/>
      <c r="B68" s="113"/>
      <c r="D68" s="113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</row>
    <row r="69">
      <c r="A69" s="1"/>
      <c r="B69" s="113"/>
      <c r="D69" s="113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</row>
    <row r="70">
      <c r="A70" s="1"/>
      <c r="B70" s="113"/>
      <c r="D70" s="113"/>
      <c r="E70" s="114"/>
      <c r="F70" s="114"/>
      <c r="G70" s="114"/>
      <c r="H70" s="114"/>
      <c r="I70" s="114"/>
      <c r="J70" s="114"/>
      <c r="K70" s="114"/>
      <c r="L70" s="114"/>
      <c r="M70" s="114"/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</row>
    <row r="71">
      <c r="A71" s="1"/>
      <c r="B71" s="113"/>
      <c r="D71" s="113"/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</row>
    <row r="72">
      <c r="A72" s="1"/>
      <c r="B72" s="113"/>
      <c r="D72" s="113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</row>
    <row r="73">
      <c r="A73" s="1"/>
      <c r="B73" s="113"/>
      <c r="D73" s="113"/>
      <c r="E73" s="114"/>
      <c r="F73" s="114"/>
      <c r="G73" s="114"/>
      <c r="H73" s="114"/>
      <c r="I73" s="114"/>
      <c r="J73" s="114"/>
      <c r="K73" s="114"/>
      <c r="L73" s="114"/>
      <c r="M73" s="114"/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</row>
    <row r="74">
      <c r="A74" s="1"/>
      <c r="B74" s="113"/>
      <c r="D74" s="113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</row>
    <row r="75">
      <c r="A75" s="1"/>
      <c r="B75" s="113"/>
      <c r="D75" s="113"/>
      <c r="E75" s="114"/>
      <c r="F75" s="114"/>
      <c r="G75" s="114"/>
      <c r="H75" s="114"/>
      <c r="I75" s="114"/>
      <c r="J75" s="114"/>
      <c r="K75" s="114"/>
      <c r="L75" s="114"/>
      <c r="M75" s="114"/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</row>
    <row r="76">
      <c r="A76" s="1"/>
      <c r="B76" s="113"/>
      <c r="D76" s="113"/>
      <c r="E76" s="114"/>
      <c r="F76" s="114"/>
      <c r="G76" s="114"/>
      <c r="H76" s="114"/>
      <c r="I76" s="114"/>
      <c r="J76" s="114"/>
      <c r="K76" s="114"/>
      <c r="L76" s="114"/>
      <c r="M76" s="114"/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</row>
    <row r="77">
      <c r="A77" s="1"/>
      <c r="B77" s="113"/>
      <c r="D77" s="113"/>
      <c r="E77" s="114"/>
      <c r="F77" s="114"/>
      <c r="G77" s="114"/>
      <c r="H77" s="114"/>
      <c r="I77" s="114"/>
      <c r="J77" s="114"/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</row>
    <row r="78">
      <c r="A78" s="1"/>
      <c r="B78" s="113"/>
      <c r="D78" s="113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</row>
    <row r="79">
      <c r="A79" s="1"/>
      <c r="B79" s="113"/>
      <c r="D79" s="113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</row>
    <row r="80">
      <c r="A80" s="1"/>
      <c r="B80" s="113"/>
      <c r="D80" s="113"/>
      <c r="E80" s="114"/>
      <c r="F80" s="114"/>
      <c r="G80" s="114"/>
      <c r="H80" s="114"/>
      <c r="I80" s="114"/>
      <c r="J80" s="114"/>
      <c r="K80" s="114"/>
      <c r="L80" s="114"/>
      <c r="M80" s="114"/>
      <c r="N80" s="114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</row>
    <row r="81">
      <c r="A81" s="1"/>
      <c r="B81" s="113"/>
      <c r="D81" s="113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</row>
    <row r="82">
      <c r="A82" s="1"/>
      <c r="B82" s="113"/>
      <c r="D82" s="113"/>
      <c r="E82" s="114"/>
      <c r="F82" s="114"/>
      <c r="G82" s="114"/>
      <c r="H82" s="114"/>
      <c r="I82" s="114"/>
      <c r="J82" s="114"/>
      <c r="K82" s="114"/>
      <c r="L82" s="114"/>
      <c r="M82" s="114"/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</row>
    <row r="83">
      <c r="A83" s="1"/>
      <c r="B83" s="113"/>
      <c r="D83" s="113"/>
      <c r="E83" s="114"/>
      <c r="F83" s="114"/>
      <c r="G83" s="114"/>
      <c r="H83" s="114"/>
      <c r="I83" s="114"/>
      <c r="J83" s="114"/>
      <c r="K83" s="114"/>
      <c r="L83" s="114"/>
      <c r="M83" s="114"/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</row>
    <row r="84">
      <c r="A84" s="1"/>
      <c r="B84" s="113"/>
      <c r="D84" s="113"/>
      <c r="E84" s="114"/>
      <c r="F84" s="114"/>
      <c r="G84" s="114"/>
      <c r="H84" s="114"/>
      <c r="I84" s="114"/>
      <c r="J84" s="114"/>
      <c r="K84" s="114"/>
      <c r="L84" s="114"/>
      <c r="M84" s="114"/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</row>
    <row r="85">
      <c r="A85" s="1"/>
      <c r="B85" s="113"/>
      <c r="D85" s="113"/>
      <c r="E85" s="114"/>
      <c r="F85" s="114"/>
      <c r="G85" s="114"/>
      <c r="H85" s="114"/>
      <c r="I85" s="114"/>
      <c r="J85" s="114"/>
      <c r="K85" s="114"/>
      <c r="L85" s="114"/>
      <c r="M85" s="114"/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</row>
    <row r="86">
      <c r="A86" s="1"/>
      <c r="B86" s="113"/>
      <c r="D86" s="113"/>
      <c r="E86" s="114"/>
      <c r="F86" s="114"/>
      <c r="G86" s="114"/>
      <c r="H86" s="114"/>
      <c r="I86" s="114"/>
      <c r="J86" s="114"/>
      <c r="K86" s="114"/>
      <c r="L86" s="114"/>
      <c r="M86" s="114"/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</row>
    <row r="87">
      <c r="A87" s="1"/>
      <c r="B87" s="113"/>
      <c r="D87" s="113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</row>
    <row r="88">
      <c r="A88" s="1"/>
      <c r="B88" s="113"/>
      <c r="D88" s="113"/>
      <c r="E88" s="114"/>
      <c r="F88" s="114"/>
      <c r="G88" s="114"/>
      <c r="H88" s="114"/>
      <c r="I88" s="114"/>
      <c r="J88" s="114"/>
      <c r="K88" s="114"/>
      <c r="L88" s="114"/>
      <c r="M88" s="114"/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</row>
    <row r="89">
      <c r="A89" s="1"/>
      <c r="B89" s="113"/>
      <c r="D89" s="113"/>
      <c r="E89" s="114"/>
      <c r="F89" s="114"/>
      <c r="G89" s="114"/>
      <c r="H89" s="114"/>
      <c r="I89" s="114"/>
      <c r="J89" s="114"/>
      <c r="K89" s="114"/>
      <c r="L89" s="114"/>
      <c r="M89" s="114"/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</row>
    <row r="90">
      <c r="A90" s="1"/>
      <c r="B90" s="113"/>
      <c r="D90" s="113"/>
      <c r="E90" s="114"/>
      <c r="F90" s="114"/>
      <c r="G90" s="114"/>
      <c r="H90" s="114"/>
      <c r="I90" s="114"/>
      <c r="J90" s="114"/>
      <c r="K90" s="114"/>
      <c r="L90" s="114"/>
      <c r="M90" s="114"/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</row>
    <row r="91">
      <c r="A91" s="1"/>
      <c r="B91" s="113"/>
      <c r="D91" s="113"/>
      <c r="E91" s="114"/>
      <c r="F91" s="114"/>
      <c r="G91" s="114"/>
      <c r="H91" s="114"/>
      <c r="I91" s="114"/>
      <c r="J91" s="114"/>
      <c r="K91" s="114"/>
      <c r="L91" s="114"/>
      <c r="M91" s="114"/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</row>
    <row r="92">
      <c r="A92" s="1"/>
      <c r="B92" s="113"/>
      <c r="D92" s="113"/>
      <c r="E92" s="114"/>
      <c r="F92" s="114"/>
      <c r="G92" s="114"/>
      <c r="H92" s="114"/>
      <c r="I92" s="114"/>
      <c r="J92" s="114"/>
      <c r="K92" s="114"/>
      <c r="L92" s="114"/>
      <c r="M92" s="114"/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</row>
    <row r="93">
      <c r="A93" s="1"/>
      <c r="B93" s="113"/>
      <c r="D93" s="113"/>
      <c r="E93" s="114"/>
      <c r="F93" s="114"/>
      <c r="G93" s="114"/>
      <c r="H93" s="114"/>
      <c r="I93" s="114"/>
      <c r="J93" s="114"/>
      <c r="K93" s="114"/>
      <c r="L93" s="114"/>
      <c r="M93" s="114"/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</row>
    <row r="94">
      <c r="A94" s="1"/>
      <c r="B94" s="113"/>
      <c r="D94" s="113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</row>
    <row r="95">
      <c r="A95" s="1"/>
      <c r="B95" s="113"/>
      <c r="D95" s="113"/>
      <c r="E95" s="114"/>
      <c r="F95" s="114"/>
      <c r="G95" s="114"/>
      <c r="H95" s="114"/>
      <c r="I95" s="114"/>
      <c r="J95" s="114"/>
      <c r="K95" s="114"/>
      <c r="L95" s="114"/>
      <c r="M95" s="114"/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</row>
    <row r="96">
      <c r="A96" s="1"/>
      <c r="B96" s="113"/>
      <c r="D96" s="113"/>
      <c r="E96" s="114"/>
      <c r="F96" s="114"/>
      <c r="G96" s="114"/>
      <c r="H96" s="114"/>
      <c r="I96" s="114"/>
      <c r="J96" s="114"/>
      <c r="K96" s="114"/>
      <c r="L96" s="114"/>
      <c r="M96" s="114"/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</row>
    <row r="97">
      <c r="A97" s="1"/>
      <c r="B97" s="113"/>
      <c r="D97" s="113"/>
      <c r="E97" s="114"/>
      <c r="F97" s="114"/>
      <c r="G97" s="114"/>
      <c r="H97" s="114"/>
      <c r="I97" s="114"/>
      <c r="J97" s="114"/>
      <c r="K97" s="114"/>
      <c r="L97" s="114"/>
      <c r="M97" s="114"/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</row>
    <row r="98">
      <c r="A98" s="1"/>
      <c r="B98" s="113"/>
      <c r="D98" s="113"/>
      <c r="E98" s="114"/>
      <c r="F98" s="114"/>
      <c r="G98" s="114"/>
      <c r="H98" s="114"/>
      <c r="I98" s="114"/>
      <c r="J98" s="114"/>
      <c r="K98" s="114"/>
      <c r="L98" s="114"/>
      <c r="M98" s="114"/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</row>
    <row r="99">
      <c r="A99" s="1"/>
      <c r="B99" s="113"/>
      <c r="D99" s="113"/>
      <c r="E99" s="114"/>
      <c r="F99" s="114"/>
      <c r="G99" s="114"/>
      <c r="H99" s="114"/>
      <c r="I99" s="114"/>
      <c r="J99" s="114"/>
      <c r="K99" s="114"/>
      <c r="L99" s="114"/>
      <c r="M99" s="114"/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</row>
    <row r="100">
      <c r="A100" s="1"/>
      <c r="B100" s="113"/>
      <c r="D100" s="113"/>
      <c r="E100" s="114"/>
      <c r="F100" s="114"/>
      <c r="G100" s="114"/>
      <c r="H100" s="114"/>
      <c r="I100" s="114"/>
      <c r="J100" s="114"/>
      <c r="K100" s="114"/>
      <c r="L100" s="114"/>
      <c r="M100" s="114"/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</row>
    <row r="101">
      <c r="A101" s="1"/>
      <c r="B101" s="113"/>
      <c r="D101" s="113"/>
      <c r="E101" s="114"/>
      <c r="F101" s="114"/>
      <c r="G101" s="114"/>
      <c r="H101" s="114"/>
      <c r="I101" s="114"/>
      <c r="J101" s="114"/>
      <c r="K101" s="114"/>
      <c r="L101" s="114"/>
      <c r="M101" s="114"/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</row>
    <row r="102">
      <c r="A102" s="1"/>
      <c r="B102" s="113"/>
      <c r="D102" s="113"/>
      <c r="E102" s="114"/>
      <c r="F102" s="114"/>
      <c r="G102" s="114"/>
      <c r="H102" s="114"/>
      <c r="I102" s="114"/>
      <c r="J102" s="114"/>
      <c r="K102" s="114"/>
      <c r="L102" s="114"/>
      <c r="M102" s="114"/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</row>
    <row r="103">
      <c r="A103" s="1"/>
      <c r="B103" s="113"/>
      <c r="D103" s="113"/>
      <c r="E103" s="114"/>
      <c r="F103" s="114"/>
      <c r="G103" s="114"/>
      <c r="H103" s="114"/>
      <c r="I103" s="114"/>
      <c r="J103" s="114"/>
      <c r="K103" s="114"/>
      <c r="L103" s="114"/>
      <c r="M103" s="114"/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</row>
    <row r="104">
      <c r="A104" s="1"/>
      <c r="B104" s="113"/>
      <c r="D104" s="113"/>
      <c r="E104" s="114"/>
      <c r="F104" s="114"/>
      <c r="G104" s="114"/>
      <c r="H104" s="114"/>
      <c r="I104" s="114"/>
      <c r="J104" s="114"/>
      <c r="K104" s="114"/>
      <c r="L104" s="114"/>
      <c r="M104" s="114"/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</row>
    <row r="105">
      <c r="A105" s="1"/>
      <c r="B105" s="113"/>
      <c r="D105" s="113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</row>
    <row r="106">
      <c r="A106" s="1"/>
      <c r="B106" s="113"/>
      <c r="D106" s="113"/>
      <c r="E106" s="114"/>
      <c r="F106" s="114"/>
      <c r="G106" s="114"/>
      <c r="H106" s="114"/>
      <c r="I106" s="114"/>
      <c r="J106" s="114"/>
      <c r="K106" s="114"/>
      <c r="L106" s="114"/>
      <c r="M106" s="114"/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</row>
    <row r="107">
      <c r="A107" s="1"/>
      <c r="B107" s="113"/>
      <c r="D107" s="113"/>
      <c r="E107" s="114"/>
      <c r="F107" s="114"/>
      <c r="G107" s="114"/>
      <c r="H107" s="114"/>
      <c r="I107" s="114"/>
      <c r="J107" s="114"/>
      <c r="K107" s="114"/>
      <c r="L107" s="114"/>
      <c r="M107" s="114"/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</row>
    <row r="108">
      <c r="A108" s="1"/>
      <c r="B108" s="113"/>
      <c r="D108" s="113"/>
      <c r="E108" s="114"/>
      <c r="F108" s="114"/>
      <c r="G108" s="114"/>
      <c r="H108" s="114"/>
      <c r="I108" s="114"/>
      <c r="J108" s="114"/>
      <c r="K108" s="114"/>
      <c r="L108" s="114"/>
      <c r="M108" s="114"/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</row>
    <row r="109">
      <c r="A109" s="1"/>
      <c r="B109" s="113"/>
      <c r="D109" s="113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</row>
    <row r="110">
      <c r="A110" s="1"/>
      <c r="B110" s="113"/>
      <c r="D110" s="113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</row>
    <row r="111">
      <c r="A111" s="1"/>
      <c r="B111" s="113"/>
      <c r="D111" s="113"/>
      <c r="E111" s="114"/>
      <c r="F111" s="114"/>
      <c r="G111" s="114"/>
      <c r="H111" s="114"/>
      <c r="I111" s="114"/>
      <c r="J111" s="114"/>
      <c r="K111" s="114"/>
      <c r="L111" s="114"/>
      <c r="M111" s="114"/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</row>
    <row r="112">
      <c r="A112" s="1"/>
      <c r="B112" s="113"/>
      <c r="D112" s="113"/>
      <c r="E112" s="114"/>
      <c r="F112" s="114"/>
      <c r="G112" s="114"/>
      <c r="H112" s="114"/>
      <c r="I112" s="114"/>
      <c r="J112" s="114"/>
      <c r="K112" s="114"/>
      <c r="L112" s="114"/>
      <c r="M112" s="114"/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</row>
    <row r="113">
      <c r="A113" s="1"/>
      <c r="B113" s="113"/>
      <c r="D113" s="113"/>
      <c r="E113" s="114"/>
      <c r="F113" s="114"/>
      <c r="G113" s="114"/>
      <c r="H113" s="114"/>
      <c r="I113" s="114"/>
      <c r="J113" s="114"/>
      <c r="K113" s="114"/>
      <c r="L113" s="114"/>
      <c r="M113" s="114"/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</row>
    <row r="114">
      <c r="A114" s="1"/>
      <c r="B114" s="113"/>
      <c r="D114" s="113"/>
      <c r="E114" s="114"/>
      <c r="F114" s="114"/>
      <c r="G114" s="114"/>
      <c r="H114" s="114"/>
      <c r="I114" s="114"/>
      <c r="J114" s="114"/>
      <c r="K114" s="114"/>
      <c r="L114" s="114"/>
      <c r="M114" s="114"/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</row>
    <row r="115">
      <c r="A115" s="1"/>
      <c r="B115" s="113"/>
      <c r="D115" s="113"/>
      <c r="E115" s="114"/>
      <c r="F115" s="114"/>
      <c r="G115" s="114"/>
      <c r="H115" s="114"/>
      <c r="I115" s="114"/>
      <c r="J115" s="114"/>
      <c r="K115" s="114"/>
      <c r="L115" s="114"/>
      <c r="M115" s="114"/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</row>
    <row r="116">
      <c r="A116" s="1"/>
      <c r="B116" s="113"/>
      <c r="D116" s="113"/>
      <c r="E116" s="114"/>
      <c r="F116" s="114"/>
      <c r="G116" s="114"/>
      <c r="H116" s="114"/>
      <c r="I116" s="114"/>
      <c r="J116" s="114"/>
      <c r="K116" s="114"/>
      <c r="L116" s="114"/>
      <c r="M116" s="114"/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</row>
    <row r="117">
      <c r="A117" s="1"/>
      <c r="B117" s="113"/>
      <c r="D117" s="113"/>
      <c r="E117" s="114"/>
      <c r="F117" s="114"/>
      <c r="G117" s="114"/>
      <c r="H117" s="114"/>
      <c r="I117" s="114"/>
      <c r="J117" s="114"/>
      <c r="K117" s="114"/>
      <c r="L117" s="114"/>
      <c r="M117" s="114"/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</row>
    <row r="118">
      <c r="A118" s="1"/>
      <c r="B118" s="113"/>
      <c r="D118" s="113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</row>
    <row r="119">
      <c r="A119" s="1"/>
      <c r="B119" s="113"/>
      <c r="D119" s="113"/>
      <c r="E119" s="114"/>
      <c r="F119" s="114"/>
      <c r="G119" s="114"/>
      <c r="H119" s="114"/>
      <c r="I119" s="114"/>
      <c r="J119" s="114"/>
      <c r="K119" s="114"/>
      <c r="L119" s="114"/>
      <c r="M119" s="114"/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</row>
    <row r="120">
      <c r="A120" s="1"/>
      <c r="B120" s="113"/>
      <c r="D120" s="113"/>
      <c r="E120" s="114"/>
      <c r="F120" s="114"/>
      <c r="G120" s="114"/>
      <c r="H120" s="114"/>
      <c r="I120" s="114"/>
      <c r="J120" s="114"/>
      <c r="K120" s="114"/>
      <c r="L120" s="114"/>
      <c r="M120" s="114"/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</row>
    <row r="121">
      <c r="A121" s="1"/>
      <c r="B121" s="113"/>
      <c r="D121" s="113"/>
      <c r="E121" s="114"/>
      <c r="F121" s="114"/>
      <c r="G121" s="114"/>
      <c r="H121" s="114"/>
      <c r="I121" s="114"/>
      <c r="J121" s="114"/>
      <c r="K121" s="114"/>
      <c r="L121" s="114"/>
      <c r="M121" s="114"/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</row>
    <row r="122">
      <c r="A122" s="1"/>
      <c r="B122" s="113"/>
      <c r="D122" s="113"/>
      <c r="E122" s="114"/>
      <c r="F122" s="114"/>
      <c r="G122" s="114"/>
      <c r="H122" s="114"/>
      <c r="I122" s="114"/>
      <c r="J122" s="114"/>
      <c r="K122" s="114"/>
      <c r="L122" s="114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</row>
    <row r="123">
      <c r="A123" s="1"/>
      <c r="B123" s="113"/>
      <c r="D123" s="113"/>
      <c r="E123" s="114"/>
      <c r="F123" s="114"/>
      <c r="G123" s="114"/>
      <c r="H123" s="114"/>
      <c r="I123" s="114"/>
      <c r="J123" s="114"/>
      <c r="K123" s="114"/>
      <c r="L123" s="114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</row>
    <row r="124">
      <c r="A124" s="1"/>
      <c r="B124" s="113"/>
      <c r="D124" s="113"/>
      <c r="E124" s="114"/>
      <c r="F124" s="114"/>
      <c r="G124" s="114"/>
      <c r="H124" s="114"/>
      <c r="I124" s="114"/>
      <c r="J124" s="114"/>
      <c r="K124" s="114"/>
      <c r="L124" s="114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</row>
    <row r="125">
      <c r="A125" s="1"/>
      <c r="B125" s="113"/>
      <c r="D125" s="113"/>
      <c r="E125" s="114"/>
      <c r="F125" s="114"/>
      <c r="G125" s="114"/>
      <c r="H125" s="114"/>
      <c r="I125" s="114"/>
      <c r="J125" s="114"/>
      <c r="K125" s="114"/>
      <c r="L125" s="114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</row>
    <row r="126">
      <c r="A126" s="1"/>
      <c r="B126" s="113"/>
      <c r="D126" s="113"/>
      <c r="E126" s="114"/>
      <c r="F126" s="114"/>
      <c r="G126" s="114"/>
      <c r="H126" s="114"/>
      <c r="I126" s="114"/>
      <c r="J126" s="114"/>
      <c r="K126" s="114"/>
      <c r="L126" s="114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</row>
    <row r="127">
      <c r="A127" s="1"/>
      <c r="B127" s="113"/>
      <c r="D127" s="113"/>
      <c r="E127" s="114"/>
      <c r="F127" s="114"/>
      <c r="G127" s="114"/>
      <c r="H127" s="114"/>
      <c r="I127" s="114"/>
      <c r="J127" s="114"/>
      <c r="K127" s="114"/>
      <c r="L127" s="114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</row>
    <row r="128">
      <c r="A128" s="1"/>
      <c r="B128" s="113"/>
      <c r="D128" s="113"/>
      <c r="E128" s="114"/>
      <c r="F128" s="114"/>
      <c r="G128" s="114"/>
      <c r="H128" s="114"/>
      <c r="I128" s="114"/>
      <c r="J128" s="114"/>
      <c r="K128" s="114"/>
      <c r="L128" s="114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</row>
    <row r="129">
      <c r="A129" s="1"/>
      <c r="B129" s="113"/>
      <c r="D129" s="113"/>
      <c r="E129" s="114"/>
      <c r="F129" s="114"/>
      <c r="G129" s="114"/>
      <c r="H129" s="114"/>
      <c r="I129" s="114"/>
      <c r="J129" s="114"/>
      <c r="K129" s="114"/>
      <c r="L129" s="114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</row>
    <row r="130">
      <c r="A130" s="1"/>
      <c r="B130" s="113"/>
      <c r="D130" s="113"/>
      <c r="E130" s="114"/>
      <c r="F130" s="114"/>
      <c r="G130" s="114"/>
      <c r="H130" s="114"/>
      <c r="I130" s="114"/>
      <c r="J130" s="114"/>
      <c r="K130" s="114"/>
      <c r="L130" s="114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</row>
    <row r="131">
      <c r="A131" s="1"/>
      <c r="B131" s="113"/>
      <c r="D131" s="113"/>
      <c r="E131" s="114"/>
      <c r="F131" s="114"/>
      <c r="G131" s="114"/>
      <c r="H131" s="114"/>
      <c r="I131" s="114"/>
      <c r="J131" s="114"/>
      <c r="K131" s="114"/>
      <c r="L131" s="114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</row>
    <row r="132">
      <c r="A132" s="1"/>
      <c r="B132" s="113"/>
      <c r="D132" s="113"/>
      <c r="E132" s="114"/>
      <c r="F132" s="114"/>
      <c r="G132" s="114"/>
      <c r="H132" s="114"/>
      <c r="I132" s="114"/>
      <c r="J132" s="114"/>
      <c r="K132" s="114"/>
      <c r="L132" s="114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</row>
    <row r="133">
      <c r="A133" s="1"/>
      <c r="B133" s="113"/>
      <c r="D133" s="113"/>
      <c r="E133" s="114"/>
      <c r="F133" s="114"/>
      <c r="G133" s="114"/>
      <c r="H133" s="114"/>
      <c r="I133" s="114"/>
      <c r="J133" s="114"/>
      <c r="K133" s="114"/>
      <c r="L133" s="114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</row>
    <row r="134">
      <c r="A134" s="1"/>
      <c r="B134" s="113"/>
      <c r="D134" s="113"/>
      <c r="E134" s="114"/>
      <c r="F134" s="114"/>
      <c r="G134" s="114"/>
      <c r="H134" s="114"/>
      <c r="I134" s="114"/>
      <c r="J134" s="114"/>
      <c r="K134" s="114"/>
      <c r="L134" s="114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</row>
    <row r="135">
      <c r="A135" s="1"/>
      <c r="B135" s="113"/>
      <c r="D135" s="113"/>
      <c r="E135" s="114"/>
      <c r="F135" s="114"/>
      <c r="G135" s="114"/>
      <c r="H135" s="114"/>
      <c r="I135" s="114"/>
      <c r="J135" s="114"/>
      <c r="K135" s="114"/>
      <c r="L135" s="114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</row>
    <row r="136">
      <c r="A136" s="1"/>
      <c r="B136" s="113"/>
      <c r="D136" s="113"/>
      <c r="E136" s="114"/>
      <c r="F136" s="114"/>
      <c r="G136" s="114"/>
      <c r="H136" s="114"/>
      <c r="I136" s="114"/>
      <c r="J136" s="114"/>
      <c r="K136" s="114"/>
      <c r="L136" s="114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</row>
    <row r="137">
      <c r="A137" s="1"/>
      <c r="B137" s="113"/>
      <c r="D137" s="113"/>
      <c r="E137" s="114"/>
      <c r="F137" s="114"/>
      <c r="G137" s="114"/>
      <c r="H137" s="114"/>
      <c r="I137" s="114"/>
      <c r="J137" s="114"/>
      <c r="K137" s="114"/>
      <c r="L137" s="114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</row>
    <row r="138">
      <c r="A138" s="1"/>
      <c r="B138" s="113"/>
      <c r="D138" s="113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</row>
    <row r="139">
      <c r="A139" s="1"/>
      <c r="B139" s="113"/>
      <c r="D139" s="113"/>
      <c r="E139" s="114"/>
      <c r="F139" s="114"/>
      <c r="G139" s="114"/>
      <c r="H139" s="114"/>
      <c r="I139" s="114"/>
      <c r="J139" s="114"/>
      <c r="K139" s="114"/>
      <c r="L139" s="114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</row>
    <row r="140">
      <c r="A140" s="1"/>
      <c r="B140" s="113"/>
      <c r="D140" s="113"/>
      <c r="E140" s="114"/>
      <c r="F140" s="114"/>
      <c r="G140" s="114"/>
      <c r="H140" s="114"/>
      <c r="I140" s="114"/>
      <c r="J140" s="114"/>
      <c r="K140" s="114"/>
      <c r="L140" s="114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</row>
    <row r="141">
      <c r="A141" s="1"/>
      <c r="B141" s="113"/>
      <c r="D141" s="113"/>
      <c r="E141" s="114"/>
      <c r="F141" s="114"/>
      <c r="G141" s="114"/>
      <c r="H141" s="114"/>
      <c r="I141" s="114"/>
      <c r="J141" s="114"/>
      <c r="K141" s="114"/>
      <c r="L141" s="114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  <c r="Y141" s="114"/>
    </row>
    <row r="142">
      <c r="A142" s="1"/>
      <c r="B142" s="113"/>
      <c r="D142" s="113"/>
      <c r="E142" s="114"/>
      <c r="F142" s="114"/>
      <c r="G142" s="114"/>
      <c r="H142" s="114"/>
      <c r="I142" s="114"/>
      <c r="J142" s="114"/>
      <c r="K142" s="114"/>
      <c r="L142" s="114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  <c r="Y142" s="114"/>
    </row>
    <row r="143">
      <c r="A143" s="1"/>
      <c r="B143" s="113"/>
      <c r="D143" s="113"/>
      <c r="E143" s="114"/>
      <c r="F143" s="114"/>
      <c r="G143" s="114"/>
      <c r="H143" s="114"/>
      <c r="I143" s="114"/>
      <c r="J143" s="114"/>
      <c r="K143" s="114"/>
      <c r="L143" s="114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  <c r="Y143" s="114"/>
    </row>
    <row r="144">
      <c r="A144" s="1"/>
      <c r="B144" s="113"/>
      <c r="D144" s="113"/>
      <c r="E144" s="114"/>
      <c r="F144" s="114"/>
      <c r="G144" s="114"/>
      <c r="H144" s="114"/>
      <c r="I144" s="114"/>
      <c r="J144" s="114"/>
      <c r="K144" s="114"/>
      <c r="L144" s="114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  <c r="Y144" s="114"/>
    </row>
    <row r="145">
      <c r="A145" s="1"/>
      <c r="B145" s="113"/>
      <c r="D145" s="113"/>
      <c r="E145" s="114"/>
      <c r="F145" s="114"/>
      <c r="G145" s="114"/>
      <c r="H145" s="114"/>
      <c r="I145" s="114"/>
      <c r="J145" s="114"/>
      <c r="K145" s="114"/>
      <c r="L145" s="114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  <c r="Y145" s="114"/>
    </row>
    <row r="146">
      <c r="A146" s="1"/>
      <c r="B146" s="113"/>
      <c r="D146" s="113"/>
      <c r="E146" s="114"/>
      <c r="F146" s="114"/>
      <c r="G146" s="114"/>
      <c r="H146" s="114"/>
      <c r="I146" s="114"/>
      <c r="J146" s="114"/>
      <c r="K146" s="114"/>
      <c r="L146" s="114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  <c r="Y146" s="114"/>
    </row>
    <row r="147">
      <c r="A147" s="1"/>
      <c r="B147" s="113"/>
      <c r="D147" s="113"/>
      <c r="E147" s="114"/>
      <c r="F147" s="114"/>
      <c r="G147" s="114"/>
      <c r="H147" s="114"/>
      <c r="I147" s="114"/>
      <c r="J147" s="114"/>
      <c r="K147" s="114"/>
      <c r="L147" s="114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  <c r="Y147" s="114"/>
    </row>
    <row r="148">
      <c r="A148" s="1"/>
      <c r="B148" s="113"/>
      <c r="D148" s="113"/>
      <c r="E148" s="114"/>
      <c r="F148" s="114"/>
      <c r="G148" s="114"/>
      <c r="H148" s="114"/>
      <c r="I148" s="114"/>
      <c r="J148" s="114"/>
      <c r="K148" s="114"/>
      <c r="L148" s="114"/>
      <c r="M148" s="114"/>
      <c r="N148" s="114"/>
      <c r="O148" s="114"/>
      <c r="P148" s="114"/>
      <c r="Q148" s="114"/>
      <c r="R148" s="114"/>
      <c r="S148" s="114"/>
      <c r="T148" s="114"/>
      <c r="U148" s="114"/>
      <c r="V148" s="114"/>
      <c r="W148" s="114"/>
      <c r="X148" s="114"/>
      <c r="Y148" s="114"/>
    </row>
    <row r="149">
      <c r="A149" s="1"/>
      <c r="B149" s="113"/>
      <c r="D149" s="113"/>
      <c r="E149" s="114"/>
      <c r="F149" s="114"/>
      <c r="G149" s="114"/>
      <c r="H149" s="114"/>
      <c r="I149" s="114"/>
      <c r="J149" s="114"/>
      <c r="K149" s="114"/>
      <c r="L149" s="114"/>
      <c r="M149" s="114"/>
      <c r="N149" s="114"/>
      <c r="O149" s="114"/>
      <c r="P149" s="114"/>
      <c r="Q149" s="114"/>
      <c r="R149" s="114"/>
      <c r="S149" s="114"/>
      <c r="T149" s="114"/>
      <c r="U149" s="114"/>
      <c r="V149" s="114"/>
      <c r="W149" s="114"/>
      <c r="X149" s="114"/>
      <c r="Y149" s="114"/>
    </row>
    <row r="150">
      <c r="A150" s="1"/>
      <c r="B150" s="113"/>
      <c r="D150" s="113"/>
      <c r="E150" s="114"/>
      <c r="F150" s="114"/>
      <c r="G150" s="114"/>
      <c r="H150" s="114"/>
      <c r="I150" s="114"/>
      <c r="J150" s="114"/>
      <c r="K150" s="114"/>
      <c r="L150" s="114"/>
      <c r="M150" s="114"/>
      <c r="N150" s="114"/>
      <c r="O150" s="114"/>
      <c r="P150" s="114"/>
      <c r="Q150" s="114"/>
      <c r="R150" s="114"/>
      <c r="S150" s="114"/>
      <c r="T150" s="114"/>
      <c r="U150" s="114"/>
      <c r="V150" s="114"/>
      <c r="W150" s="114"/>
      <c r="X150" s="114"/>
      <c r="Y150" s="114"/>
    </row>
    <row r="151">
      <c r="A151" s="1"/>
      <c r="B151" s="113"/>
      <c r="D151" s="113"/>
      <c r="E151" s="114"/>
      <c r="F151" s="114"/>
      <c r="G151" s="114"/>
      <c r="H151" s="114"/>
      <c r="I151" s="114"/>
      <c r="J151" s="114"/>
      <c r="K151" s="114"/>
      <c r="L151" s="114"/>
      <c r="M151" s="114"/>
      <c r="N151" s="114"/>
      <c r="O151" s="114"/>
      <c r="P151" s="114"/>
      <c r="Q151" s="114"/>
      <c r="R151" s="114"/>
      <c r="S151" s="114"/>
      <c r="T151" s="114"/>
      <c r="U151" s="114"/>
      <c r="V151" s="114"/>
      <c r="W151" s="114"/>
      <c r="X151" s="114"/>
      <c r="Y151" s="114"/>
    </row>
    <row r="152">
      <c r="A152" s="1"/>
      <c r="B152" s="113"/>
      <c r="D152" s="113"/>
      <c r="E152" s="114"/>
      <c r="F152" s="114"/>
      <c r="G152" s="114"/>
      <c r="H152" s="114"/>
      <c r="I152" s="114"/>
      <c r="J152" s="114"/>
      <c r="K152" s="114"/>
      <c r="L152" s="114"/>
      <c r="M152" s="114"/>
      <c r="N152" s="114"/>
      <c r="O152" s="114"/>
      <c r="P152" s="114"/>
      <c r="Q152" s="114"/>
      <c r="R152" s="114"/>
      <c r="S152" s="114"/>
      <c r="T152" s="114"/>
      <c r="U152" s="114"/>
      <c r="V152" s="114"/>
      <c r="W152" s="114"/>
      <c r="X152" s="114"/>
      <c r="Y152" s="114"/>
    </row>
    <row r="153">
      <c r="A153" s="1"/>
      <c r="B153" s="113"/>
      <c r="D153" s="113"/>
      <c r="E153" s="114"/>
      <c r="F153" s="114"/>
      <c r="G153" s="114"/>
      <c r="H153" s="114"/>
      <c r="I153" s="114"/>
      <c r="J153" s="114"/>
      <c r="K153" s="114"/>
      <c r="L153" s="114"/>
      <c r="M153" s="114"/>
      <c r="N153" s="114"/>
      <c r="O153" s="114"/>
      <c r="P153" s="114"/>
      <c r="Q153" s="114"/>
      <c r="R153" s="114"/>
      <c r="S153" s="114"/>
      <c r="T153" s="114"/>
      <c r="U153" s="114"/>
      <c r="V153" s="114"/>
      <c r="W153" s="114"/>
      <c r="X153" s="114"/>
      <c r="Y153" s="114"/>
    </row>
    <row r="154">
      <c r="A154" s="1"/>
      <c r="B154" s="113"/>
      <c r="D154" s="113"/>
      <c r="E154" s="114"/>
      <c r="F154" s="114"/>
      <c r="G154" s="114"/>
      <c r="H154" s="114"/>
      <c r="I154" s="114"/>
      <c r="J154" s="114"/>
      <c r="K154" s="114"/>
      <c r="L154" s="114"/>
      <c r="M154" s="114"/>
      <c r="N154" s="114"/>
      <c r="O154" s="114"/>
      <c r="P154" s="114"/>
      <c r="Q154" s="114"/>
      <c r="R154" s="114"/>
      <c r="S154" s="114"/>
      <c r="T154" s="114"/>
      <c r="U154" s="114"/>
      <c r="V154" s="114"/>
      <c r="W154" s="114"/>
      <c r="X154" s="114"/>
      <c r="Y154" s="114"/>
    </row>
    <row r="155">
      <c r="A155" s="1"/>
      <c r="B155" s="113"/>
      <c r="D155" s="113"/>
      <c r="E155" s="114"/>
      <c r="F155" s="114"/>
      <c r="G155" s="114"/>
      <c r="H155" s="114"/>
      <c r="I155" s="114"/>
      <c r="J155" s="114"/>
      <c r="K155" s="114"/>
      <c r="L155" s="114"/>
      <c r="M155" s="114"/>
      <c r="N155" s="114"/>
      <c r="O155" s="114"/>
      <c r="P155" s="114"/>
      <c r="Q155" s="114"/>
      <c r="R155" s="114"/>
      <c r="S155" s="114"/>
      <c r="T155" s="114"/>
      <c r="U155" s="114"/>
      <c r="V155" s="114"/>
      <c r="W155" s="114"/>
      <c r="X155" s="114"/>
      <c r="Y155" s="114"/>
    </row>
    <row r="156">
      <c r="A156" s="1"/>
      <c r="B156" s="113"/>
      <c r="D156" s="113"/>
      <c r="E156" s="114"/>
      <c r="F156" s="114"/>
      <c r="G156" s="114"/>
      <c r="H156" s="114"/>
      <c r="I156" s="114"/>
      <c r="J156" s="114"/>
      <c r="K156" s="114"/>
      <c r="L156" s="114"/>
      <c r="M156" s="114"/>
      <c r="N156" s="114"/>
      <c r="O156" s="114"/>
      <c r="P156" s="114"/>
      <c r="Q156" s="114"/>
      <c r="R156" s="114"/>
      <c r="S156" s="114"/>
      <c r="T156" s="114"/>
      <c r="U156" s="114"/>
      <c r="V156" s="114"/>
      <c r="W156" s="114"/>
      <c r="X156" s="114"/>
      <c r="Y156" s="114"/>
    </row>
    <row r="157">
      <c r="A157" s="1"/>
      <c r="B157" s="113"/>
      <c r="D157" s="113"/>
      <c r="E157" s="114"/>
      <c r="F157" s="114"/>
      <c r="G157" s="114"/>
      <c r="H157" s="114"/>
      <c r="I157" s="114"/>
      <c r="J157" s="114"/>
      <c r="K157" s="114"/>
      <c r="L157" s="114"/>
      <c r="M157" s="114"/>
      <c r="N157" s="114"/>
      <c r="O157" s="114"/>
      <c r="P157" s="114"/>
      <c r="Q157" s="114"/>
      <c r="R157" s="114"/>
      <c r="S157" s="114"/>
      <c r="T157" s="114"/>
      <c r="U157" s="114"/>
      <c r="V157" s="114"/>
      <c r="W157" s="114"/>
      <c r="X157" s="114"/>
      <c r="Y157" s="114"/>
    </row>
    <row r="158">
      <c r="A158" s="1"/>
      <c r="B158" s="113"/>
      <c r="D158" s="113"/>
      <c r="E158" s="114"/>
      <c r="F158" s="114"/>
      <c r="G158" s="114"/>
      <c r="H158" s="114"/>
      <c r="I158" s="114"/>
      <c r="J158" s="114"/>
      <c r="K158" s="114"/>
      <c r="L158" s="114"/>
      <c r="M158" s="114"/>
      <c r="N158" s="114"/>
      <c r="O158" s="114"/>
      <c r="P158" s="114"/>
      <c r="Q158" s="114"/>
      <c r="R158" s="114"/>
      <c r="S158" s="114"/>
      <c r="T158" s="114"/>
      <c r="U158" s="114"/>
      <c r="V158" s="114"/>
      <c r="W158" s="114"/>
      <c r="X158" s="114"/>
      <c r="Y158" s="114"/>
    </row>
    <row r="159">
      <c r="A159" s="1"/>
      <c r="B159" s="113"/>
      <c r="D159" s="113"/>
      <c r="E159" s="114"/>
      <c r="F159" s="114"/>
      <c r="G159" s="114"/>
      <c r="H159" s="114"/>
      <c r="I159" s="114"/>
      <c r="J159" s="114"/>
      <c r="K159" s="114"/>
      <c r="L159" s="114"/>
      <c r="M159" s="114"/>
      <c r="N159" s="114"/>
      <c r="O159" s="114"/>
      <c r="P159" s="114"/>
      <c r="Q159" s="114"/>
      <c r="R159" s="114"/>
      <c r="S159" s="114"/>
      <c r="T159" s="114"/>
      <c r="U159" s="114"/>
      <c r="V159" s="114"/>
      <c r="W159" s="114"/>
      <c r="X159" s="114"/>
      <c r="Y159" s="114"/>
    </row>
    <row r="160">
      <c r="A160" s="1"/>
      <c r="B160" s="113"/>
      <c r="D160" s="113"/>
      <c r="E160" s="114"/>
      <c r="F160" s="114"/>
      <c r="G160" s="114"/>
      <c r="H160" s="114"/>
      <c r="I160" s="114"/>
      <c r="J160" s="114"/>
      <c r="K160" s="114"/>
      <c r="L160" s="114"/>
      <c r="M160" s="114"/>
      <c r="N160" s="114"/>
      <c r="O160" s="114"/>
      <c r="P160" s="114"/>
      <c r="Q160" s="114"/>
      <c r="R160" s="114"/>
      <c r="S160" s="114"/>
      <c r="T160" s="114"/>
      <c r="U160" s="114"/>
      <c r="V160" s="114"/>
      <c r="W160" s="114"/>
      <c r="X160" s="114"/>
      <c r="Y160" s="114"/>
    </row>
    <row r="161">
      <c r="A161" s="1"/>
      <c r="B161" s="113"/>
      <c r="D161" s="113"/>
      <c r="E161" s="114"/>
      <c r="F161" s="114"/>
      <c r="G161" s="114"/>
      <c r="H161" s="114"/>
      <c r="I161" s="114"/>
      <c r="J161" s="114"/>
      <c r="K161" s="114"/>
      <c r="L161" s="114"/>
      <c r="M161" s="114"/>
      <c r="N161" s="114"/>
      <c r="O161" s="114"/>
      <c r="P161" s="114"/>
      <c r="Q161" s="114"/>
      <c r="R161" s="114"/>
      <c r="S161" s="114"/>
      <c r="T161" s="114"/>
      <c r="U161" s="114"/>
      <c r="V161" s="114"/>
      <c r="W161" s="114"/>
      <c r="X161" s="114"/>
      <c r="Y161" s="114"/>
    </row>
    <row r="162">
      <c r="A162" s="1"/>
      <c r="B162" s="113"/>
      <c r="D162" s="113"/>
      <c r="E162" s="114"/>
      <c r="F162" s="114"/>
      <c r="G162" s="114"/>
      <c r="H162" s="114"/>
      <c r="I162" s="114"/>
      <c r="J162" s="114"/>
      <c r="K162" s="114"/>
      <c r="L162" s="114"/>
      <c r="M162" s="114"/>
      <c r="N162" s="114"/>
      <c r="O162" s="114"/>
      <c r="P162" s="114"/>
      <c r="Q162" s="114"/>
      <c r="R162" s="114"/>
      <c r="S162" s="114"/>
      <c r="T162" s="114"/>
      <c r="U162" s="114"/>
      <c r="V162" s="114"/>
      <c r="W162" s="114"/>
      <c r="X162" s="114"/>
      <c r="Y162" s="114"/>
    </row>
    <row r="163">
      <c r="A163" s="1"/>
      <c r="B163" s="113"/>
      <c r="D163" s="113"/>
      <c r="E163" s="114"/>
      <c r="F163" s="114"/>
      <c r="G163" s="114"/>
      <c r="H163" s="114"/>
      <c r="I163" s="114"/>
      <c r="J163" s="114"/>
      <c r="K163" s="114"/>
      <c r="L163" s="114"/>
      <c r="M163" s="114"/>
      <c r="N163" s="114"/>
      <c r="O163" s="114"/>
      <c r="P163" s="114"/>
      <c r="Q163" s="114"/>
      <c r="R163" s="114"/>
      <c r="S163" s="114"/>
      <c r="T163" s="114"/>
      <c r="U163" s="114"/>
      <c r="V163" s="114"/>
      <c r="W163" s="114"/>
      <c r="X163" s="114"/>
      <c r="Y163" s="114"/>
    </row>
    <row r="164">
      <c r="A164" s="1"/>
      <c r="B164" s="113"/>
      <c r="D164" s="113"/>
      <c r="E164" s="114"/>
      <c r="F164" s="114"/>
      <c r="G164" s="114"/>
      <c r="H164" s="114"/>
      <c r="I164" s="114"/>
      <c r="J164" s="114"/>
      <c r="K164" s="114"/>
      <c r="L164" s="114"/>
      <c r="M164" s="114"/>
      <c r="N164" s="114"/>
      <c r="O164" s="114"/>
      <c r="P164" s="114"/>
      <c r="Q164" s="114"/>
      <c r="R164" s="114"/>
      <c r="S164" s="114"/>
      <c r="T164" s="114"/>
      <c r="U164" s="114"/>
      <c r="V164" s="114"/>
      <c r="W164" s="114"/>
      <c r="X164" s="114"/>
      <c r="Y164" s="114"/>
    </row>
    <row r="165">
      <c r="A165" s="1"/>
      <c r="B165" s="113"/>
      <c r="D165" s="113"/>
      <c r="E165" s="114"/>
      <c r="F165" s="114"/>
      <c r="G165" s="114"/>
      <c r="H165" s="114"/>
      <c r="I165" s="114"/>
      <c r="J165" s="114"/>
      <c r="K165" s="114"/>
      <c r="L165" s="114"/>
      <c r="M165" s="114"/>
      <c r="N165" s="114"/>
      <c r="O165" s="114"/>
      <c r="P165" s="114"/>
      <c r="Q165" s="114"/>
      <c r="R165" s="114"/>
      <c r="S165" s="114"/>
      <c r="T165" s="114"/>
      <c r="U165" s="114"/>
      <c r="V165" s="114"/>
      <c r="W165" s="114"/>
      <c r="X165" s="114"/>
      <c r="Y165" s="114"/>
    </row>
    <row r="166">
      <c r="A166" s="1"/>
      <c r="B166" s="113"/>
      <c r="D166" s="113"/>
      <c r="E166" s="114"/>
      <c r="F166" s="114"/>
      <c r="G166" s="114"/>
      <c r="H166" s="114"/>
      <c r="I166" s="114"/>
      <c r="J166" s="114"/>
      <c r="K166" s="114"/>
      <c r="L166" s="114"/>
      <c r="M166" s="114"/>
      <c r="N166" s="114"/>
      <c r="O166" s="114"/>
      <c r="P166" s="114"/>
      <c r="Q166" s="114"/>
      <c r="R166" s="114"/>
      <c r="S166" s="114"/>
      <c r="T166" s="114"/>
      <c r="U166" s="114"/>
      <c r="V166" s="114"/>
      <c r="W166" s="114"/>
      <c r="X166" s="114"/>
      <c r="Y166" s="114"/>
    </row>
    <row r="167">
      <c r="A167" s="1"/>
      <c r="B167" s="113"/>
      <c r="D167" s="113"/>
      <c r="E167" s="114"/>
      <c r="F167" s="114"/>
      <c r="G167" s="114"/>
      <c r="H167" s="114"/>
      <c r="I167" s="114"/>
      <c r="J167" s="114"/>
      <c r="K167" s="114"/>
      <c r="L167" s="114"/>
      <c r="M167" s="114"/>
      <c r="N167" s="114"/>
      <c r="O167" s="114"/>
      <c r="P167" s="114"/>
      <c r="Q167" s="114"/>
      <c r="R167" s="114"/>
      <c r="S167" s="114"/>
      <c r="T167" s="114"/>
      <c r="U167" s="114"/>
      <c r="V167" s="114"/>
      <c r="W167" s="114"/>
      <c r="X167" s="114"/>
      <c r="Y167" s="114"/>
    </row>
    <row r="168">
      <c r="A168" s="1"/>
      <c r="B168" s="113"/>
      <c r="D168" s="113"/>
      <c r="E168" s="114"/>
      <c r="F168" s="114"/>
      <c r="G168" s="114"/>
      <c r="H168" s="114"/>
      <c r="I168" s="114"/>
      <c r="J168" s="114"/>
      <c r="K168" s="114"/>
      <c r="L168" s="114"/>
      <c r="M168" s="114"/>
      <c r="N168" s="114"/>
      <c r="O168" s="114"/>
      <c r="P168" s="114"/>
      <c r="Q168" s="114"/>
      <c r="R168" s="114"/>
      <c r="S168" s="114"/>
      <c r="T168" s="114"/>
      <c r="U168" s="114"/>
      <c r="V168" s="114"/>
      <c r="W168" s="114"/>
      <c r="X168" s="114"/>
      <c r="Y168" s="114"/>
    </row>
    <row r="169">
      <c r="A169" s="1"/>
      <c r="B169" s="113"/>
      <c r="D169" s="113"/>
      <c r="E169" s="114"/>
      <c r="F169" s="114"/>
      <c r="G169" s="114"/>
      <c r="H169" s="114"/>
      <c r="I169" s="114"/>
      <c r="J169" s="114"/>
      <c r="K169" s="114"/>
      <c r="L169" s="114"/>
      <c r="M169" s="114"/>
      <c r="N169" s="114"/>
      <c r="O169" s="114"/>
      <c r="P169" s="114"/>
      <c r="Q169" s="114"/>
      <c r="R169" s="114"/>
      <c r="S169" s="114"/>
      <c r="T169" s="114"/>
      <c r="U169" s="114"/>
      <c r="V169" s="114"/>
      <c r="W169" s="114"/>
      <c r="X169" s="114"/>
      <c r="Y169" s="114"/>
    </row>
    <row r="170">
      <c r="A170" s="1"/>
      <c r="B170" s="113"/>
      <c r="D170" s="113"/>
      <c r="E170" s="114"/>
      <c r="F170" s="114"/>
      <c r="G170" s="114"/>
      <c r="H170" s="114"/>
      <c r="I170" s="114"/>
      <c r="J170" s="114"/>
      <c r="K170" s="114"/>
      <c r="L170" s="114"/>
      <c r="M170" s="114"/>
      <c r="N170" s="114"/>
      <c r="O170" s="114"/>
      <c r="P170" s="114"/>
      <c r="Q170" s="114"/>
      <c r="R170" s="114"/>
      <c r="S170" s="114"/>
      <c r="T170" s="114"/>
      <c r="U170" s="114"/>
      <c r="V170" s="114"/>
      <c r="W170" s="114"/>
      <c r="X170" s="114"/>
      <c r="Y170" s="114"/>
    </row>
    <row r="171">
      <c r="A171" s="1"/>
      <c r="B171" s="113"/>
      <c r="D171" s="113"/>
      <c r="E171" s="114"/>
      <c r="F171" s="114"/>
      <c r="G171" s="114"/>
      <c r="H171" s="114"/>
      <c r="I171" s="114"/>
      <c r="J171" s="114"/>
      <c r="K171" s="114"/>
      <c r="L171" s="114"/>
      <c r="M171" s="114"/>
      <c r="N171" s="114"/>
      <c r="O171" s="114"/>
      <c r="P171" s="114"/>
      <c r="Q171" s="114"/>
      <c r="R171" s="114"/>
      <c r="S171" s="114"/>
      <c r="T171" s="114"/>
      <c r="U171" s="114"/>
      <c r="V171" s="114"/>
      <c r="W171" s="114"/>
      <c r="X171" s="114"/>
      <c r="Y171" s="114"/>
    </row>
    <row r="172">
      <c r="A172" s="1"/>
      <c r="B172" s="113"/>
      <c r="D172" s="113"/>
      <c r="E172" s="114"/>
      <c r="F172" s="114"/>
      <c r="G172" s="114"/>
      <c r="H172" s="114"/>
      <c r="I172" s="114"/>
      <c r="J172" s="114"/>
      <c r="K172" s="114"/>
      <c r="L172" s="114"/>
      <c r="M172" s="114"/>
      <c r="N172" s="114"/>
      <c r="O172" s="114"/>
      <c r="P172" s="114"/>
      <c r="Q172" s="114"/>
      <c r="R172" s="114"/>
      <c r="S172" s="114"/>
      <c r="T172" s="114"/>
      <c r="U172" s="114"/>
      <c r="V172" s="114"/>
      <c r="W172" s="114"/>
      <c r="X172" s="114"/>
      <c r="Y172" s="114"/>
    </row>
    <row r="173">
      <c r="A173" s="1"/>
      <c r="B173" s="113"/>
      <c r="D173" s="113"/>
      <c r="E173" s="114"/>
      <c r="F173" s="114"/>
      <c r="G173" s="114"/>
      <c r="H173" s="114"/>
      <c r="I173" s="114"/>
      <c r="J173" s="114"/>
      <c r="K173" s="114"/>
      <c r="L173" s="114"/>
      <c r="M173" s="114"/>
      <c r="N173" s="114"/>
      <c r="O173" s="114"/>
      <c r="P173" s="114"/>
      <c r="Q173" s="114"/>
      <c r="R173" s="114"/>
      <c r="S173" s="114"/>
      <c r="T173" s="114"/>
      <c r="U173" s="114"/>
      <c r="V173" s="114"/>
      <c r="W173" s="114"/>
      <c r="X173" s="114"/>
      <c r="Y173" s="114"/>
    </row>
    <row r="174">
      <c r="A174" s="1"/>
      <c r="B174" s="113"/>
      <c r="D174" s="113"/>
      <c r="E174" s="114"/>
      <c r="F174" s="114"/>
      <c r="G174" s="114"/>
      <c r="H174" s="114"/>
      <c r="I174" s="114"/>
      <c r="J174" s="114"/>
      <c r="K174" s="114"/>
      <c r="L174" s="114"/>
      <c r="M174" s="114"/>
      <c r="N174" s="114"/>
      <c r="O174" s="114"/>
      <c r="P174" s="114"/>
      <c r="Q174" s="114"/>
      <c r="R174" s="114"/>
      <c r="S174" s="114"/>
      <c r="T174" s="114"/>
      <c r="U174" s="114"/>
      <c r="V174" s="114"/>
      <c r="W174" s="114"/>
      <c r="X174" s="114"/>
      <c r="Y174" s="114"/>
    </row>
    <row r="175">
      <c r="A175" s="1"/>
      <c r="B175" s="113"/>
      <c r="D175" s="113"/>
      <c r="E175" s="114"/>
      <c r="F175" s="114"/>
      <c r="G175" s="114"/>
      <c r="H175" s="114"/>
      <c r="I175" s="114"/>
      <c r="J175" s="114"/>
      <c r="K175" s="114"/>
      <c r="L175" s="114"/>
      <c r="M175" s="114"/>
      <c r="N175" s="114"/>
      <c r="O175" s="114"/>
      <c r="P175" s="114"/>
      <c r="Q175" s="114"/>
      <c r="R175" s="114"/>
      <c r="S175" s="114"/>
      <c r="T175" s="114"/>
      <c r="U175" s="114"/>
      <c r="V175" s="114"/>
      <c r="W175" s="114"/>
      <c r="X175" s="114"/>
      <c r="Y175" s="114"/>
    </row>
    <row r="176">
      <c r="A176" s="1"/>
      <c r="B176" s="113"/>
      <c r="D176" s="113"/>
      <c r="E176" s="114"/>
      <c r="F176" s="114"/>
      <c r="G176" s="114"/>
      <c r="H176" s="114"/>
      <c r="I176" s="114"/>
      <c r="J176" s="114"/>
      <c r="K176" s="114"/>
      <c r="L176" s="114"/>
      <c r="M176" s="114"/>
      <c r="N176" s="114"/>
      <c r="O176" s="114"/>
      <c r="P176" s="114"/>
      <c r="Q176" s="114"/>
      <c r="R176" s="114"/>
      <c r="S176" s="114"/>
      <c r="T176" s="114"/>
      <c r="U176" s="114"/>
      <c r="V176" s="114"/>
      <c r="W176" s="114"/>
      <c r="X176" s="114"/>
      <c r="Y176" s="114"/>
    </row>
    <row r="177">
      <c r="A177" s="1"/>
      <c r="B177" s="113"/>
      <c r="D177" s="113"/>
      <c r="E177" s="114"/>
      <c r="F177" s="114"/>
      <c r="G177" s="114"/>
      <c r="H177" s="114"/>
      <c r="I177" s="114"/>
      <c r="J177" s="114"/>
      <c r="K177" s="114"/>
      <c r="L177" s="114"/>
      <c r="M177" s="114"/>
      <c r="N177" s="114"/>
      <c r="O177" s="114"/>
      <c r="P177" s="114"/>
      <c r="Q177" s="114"/>
      <c r="R177" s="114"/>
      <c r="S177" s="114"/>
      <c r="T177" s="114"/>
      <c r="U177" s="114"/>
      <c r="V177" s="114"/>
      <c r="W177" s="114"/>
      <c r="X177" s="114"/>
      <c r="Y177" s="114"/>
    </row>
    <row r="178">
      <c r="A178" s="1"/>
      <c r="B178" s="113"/>
      <c r="D178" s="113"/>
      <c r="E178" s="114"/>
      <c r="F178" s="114"/>
      <c r="G178" s="114"/>
      <c r="H178" s="114"/>
      <c r="I178" s="114"/>
      <c r="J178" s="114"/>
      <c r="K178" s="114"/>
      <c r="L178" s="114"/>
      <c r="M178" s="114"/>
      <c r="N178" s="114"/>
      <c r="O178" s="114"/>
      <c r="P178" s="114"/>
      <c r="Q178" s="114"/>
      <c r="R178" s="114"/>
      <c r="S178" s="114"/>
      <c r="T178" s="114"/>
      <c r="U178" s="114"/>
      <c r="V178" s="114"/>
      <c r="W178" s="114"/>
      <c r="X178" s="114"/>
      <c r="Y178" s="114"/>
    </row>
    <row r="179">
      <c r="A179" s="1"/>
      <c r="B179" s="113"/>
      <c r="D179" s="113"/>
      <c r="E179" s="114"/>
      <c r="F179" s="114"/>
      <c r="G179" s="114"/>
      <c r="H179" s="114"/>
      <c r="I179" s="114"/>
      <c r="J179" s="114"/>
      <c r="K179" s="114"/>
      <c r="L179" s="114"/>
      <c r="M179" s="114"/>
      <c r="N179" s="114"/>
      <c r="O179" s="114"/>
      <c r="P179" s="114"/>
      <c r="Q179" s="114"/>
      <c r="R179" s="114"/>
      <c r="S179" s="114"/>
      <c r="T179" s="114"/>
      <c r="U179" s="114"/>
      <c r="V179" s="114"/>
      <c r="W179" s="114"/>
      <c r="X179" s="114"/>
      <c r="Y179" s="114"/>
    </row>
    <row r="180">
      <c r="A180" s="1"/>
      <c r="B180" s="113"/>
      <c r="D180" s="113"/>
      <c r="E180" s="114"/>
      <c r="F180" s="114"/>
      <c r="G180" s="114"/>
      <c r="H180" s="114"/>
      <c r="I180" s="114"/>
      <c r="J180" s="114"/>
      <c r="K180" s="114"/>
      <c r="L180" s="114"/>
      <c r="M180" s="114"/>
      <c r="N180" s="114"/>
      <c r="O180" s="114"/>
      <c r="P180" s="114"/>
      <c r="Q180" s="114"/>
      <c r="R180" s="114"/>
      <c r="S180" s="114"/>
      <c r="T180" s="114"/>
      <c r="U180" s="114"/>
      <c r="V180" s="114"/>
      <c r="W180" s="114"/>
      <c r="X180" s="114"/>
      <c r="Y180" s="114"/>
    </row>
    <row r="181">
      <c r="A181" s="1"/>
      <c r="B181" s="113"/>
      <c r="D181" s="113"/>
      <c r="E181" s="114"/>
      <c r="F181" s="114"/>
      <c r="G181" s="114"/>
      <c r="H181" s="114"/>
      <c r="I181" s="114"/>
      <c r="J181" s="114"/>
      <c r="K181" s="114"/>
      <c r="L181" s="114"/>
      <c r="M181" s="114"/>
      <c r="N181" s="114"/>
      <c r="O181" s="114"/>
      <c r="P181" s="114"/>
      <c r="Q181" s="114"/>
      <c r="R181" s="114"/>
      <c r="S181" s="114"/>
      <c r="T181" s="114"/>
      <c r="U181" s="114"/>
      <c r="V181" s="114"/>
      <c r="W181" s="114"/>
      <c r="X181" s="114"/>
      <c r="Y181" s="114"/>
    </row>
    <row r="182">
      <c r="A182" s="1"/>
      <c r="B182" s="113"/>
      <c r="D182" s="113"/>
      <c r="E182" s="114"/>
      <c r="F182" s="114"/>
      <c r="G182" s="114"/>
      <c r="H182" s="114"/>
      <c r="I182" s="114"/>
      <c r="J182" s="114"/>
      <c r="K182" s="114"/>
      <c r="L182" s="114"/>
      <c r="M182" s="114"/>
      <c r="N182" s="114"/>
      <c r="O182" s="114"/>
      <c r="P182" s="114"/>
      <c r="Q182" s="114"/>
      <c r="R182" s="114"/>
      <c r="S182" s="114"/>
      <c r="T182" s="114"/>
      <c r="U182" s="114"/>
      <c r="V182" s="114"/>
      <c r="W182" s="114"/>
      <c r="X182" s="114"/>
      <c r="Y182" s="114"/>
    </row>
    <row r="183">
      <c r="A183" s="1"/>
      <c r="B183" s="113"/>
      <c r="D183" s="113"/>
      <c r="E183" s="114"/>
      <c r="F183" s="114"/>
      <c r="G183" s="114"/>
      <c r="H183" s="114"/>
      <c r="I183" s="114"/>
      <c r="J183" s="114"/>
      <c r="K183" s="114"/>
      <c r="L183" s="114"/>
      <c r="M183" s="114"/>
      <c r="N183" s="114"/>
      <c r="O183" s="114"/>
      <c r="P183" s="114"/>
      <c r="Q183" s="114"/>
      <c r="R183" s="114"/>
      <c r="S183" s="114"/>
      <c r="T183" s="114"/>
      <c r="U183" s="114"/>
      <c r="V183" s="114"/>
      <c r="W183" s="114"/>
      <c r="X183" s="114"/>
      <c r="Y183" s="114"/>
    </row>
    <row r="184">
      <c r="A184" s="1"/>
      <c r="B184" s="113"/>
      <c r="D184" s="113"/>
      <c r="E184" s="114"/>
      <c r="F184" s="114"/>
      <c r="G184" s="114"/>
      <c r="H184" s="114"/>
      <c r="I184" s="114"/>
      <c r="J184" s="114"/>
      <c r="K184" s="114"/>
      <c r="L184" s="114"/>
      <c r="M184" s="114"/>
      <c r="N184" s="114"/>
      <c r="O184" s="114"/>
      <c r="P184" s="114"/>
      <c r="Q184" s="114"/>
      <c r="R184" s="114"/>
      <c r="S184" s="114"/>
      <c r="T184" s="114"/>
      <c r="U184" s="114"/>
      <c r="V184" s="114"/>
      <c r="W184" s="114"/>
      <c r="X184" s="114"/>
      <c r="Y184" s="114"/>
    </row>
    <row r="185">
      <c r="A185" s="1"/>
      <c r="B185" s="113"/>
      <c r="D185" s="113"/>
      <c r="E185" s="114"/>
      <c r="F185" s="114"/>
      <c r="G185" s="114"/>
      <c r="H185" s="114"/>
      <c r="I185" s="114"/>
      <c r="J185" s="114"/>
      <c r="K185" s="114"/>
      <c r="L185" s="114"/>
      <c r="M185" s="114"/>
      <c r="N185" s="114"/>
      <c r="O185" s="114"/>
      <c r="P185" s="114"/>
      <c r="Q185" s="114"/>
      <c r="R185" s="114"/>
      <c r="S185" s="114"/>
      <c r="T185" s="114"/>
      <c r="U185" s="114"/>
      <c r="V185" s="114"/>
      <c r="W185" s="114"/>
      <c r="X185" s="114"/>
      <c r="Y185" s="114"/>
    </row>
    <row r="186">
      <c r="A186" s="1"/>
      <c r="B186" s="113"/>
      <c r="D186" s="113"/>
      <c r="E186" s="114"/>
      <c r="F186" s="114"/>
      <c r="G186" s="114"/>
      <c r="H186" s="114"/>
      <c r="I186" s="114"/>
      <c r="J186" s="114"/>
      <c r="K186" s="114"/>
      <c r="L186" s="114"/>
      <c r="M186" s="114"/>
      <c r="N186" s="114"/>
      <c r="O186" s="114"/>
      <c r="P186" s="114"/>
      <c r="Q186" s="114"/>
      <c r="R186" s="114"/>
      <c r="S186" s="114"/>
      <c r="T186" s="114"/>
      <c r="U186" s="114"/>
      <c r="V186" s="114"/>
      <c r="W186" s="114"/>
      <c r="X186" s="114"/>
      <c r="Y186" s="114"/>
    </row>
    <row r="187">
      <c r="A187" s="1"/>
      <c r="B187" s="113"/>
      <c r="D187" s="113"/>
      <c r="E187" s="114"/>
      <c r="F187" s="114"/>
      <c r="G187" s="114"/>
      <c r="H187" s="114"/>
      <c r="I187" s="114"/>
      <c r="J187" s="114"/>
      <c r="K187" s="114"/>
      <c r="L187" s="114"/>
      <c r="M187" s="114"/>
      <c r="N187" s="114"/>
      <c r="O187" s="114"/>
      <c r="P187" s="114"/>
      <c r="Q187" s="114"/>
      <c r="R187" s="114"/>
      <c r="S187" s="114"/>
      <c r="T187" s="114"/>
      <c r="U187" s="114"/>
      <c r="V187" s="114"/>
      <c r="W187" s="114"/>
      <c r="X187" s="114"/>
      <c r="Y187" s="114"/>
    </row>
    <row r="188">
      <c r="A188" s="1"/>
      <c r="B188" s="113"/>
      <c r="D188" s="113"/>
      <c r="E188" s="114"/>
      <c r="F188" s="114"/>
      <c r="G188" s="114"/>
      <c r="H188" s="114"/>
      <c r="I188" s="114"/>
      <c r="J188" s="114"/>
      <c r="K188" s="114"/>
      <c r="L188" s="114"/>
      <c r="M188" s="114"/>
      <c r="N188" s="114"/>
      <c r="O188" s="114"/>
      <c r="P188" s="114"/>
      <c r="Q188" s="114"/>
      <c r="R188" s="114"/>
      <c r="S188" s="114"/>
      <c r="T188" s="114"/>
      <c r="U188" s="114"/>
      <c r="V188" s="114"/>
      <c r="W188" s="114"/>
      <c r="X188" s="114"/>
      <c r="Y188" s="114"/>
    </row>
    <row r="189">
      <c r="A189" s="1"/>
      <c r="B189" s="113"/>
      <c r="D189" s="113"/>
      <c r="E189" s="114"/>
      <c r="F189" s="114"/>
      <c r="G189" s="114"/>
      <c r="H189" s="114"/>
      <c r="I189" s="114"/>
      <c r="J189" s="114"/>
      <c r="K189" s="114"/>
      <c r="L189" s="114"/>
      <c r="M189" s="114"/>
      <c r="N189" s="114"/>
      <c r="O189" s="114"/>
      <c r="P189" s="114"/>
      <c r="Q189" s="114"/>
      <c r="R189" s="114"/>
      <c r="S189" s="114"/>
      <c r="T189" s="114"/>
      <c r="U189" s="114"/>
      <c r="V189" s="114"/>
      <c r="W189" s="114"/>
      <c r="X189" s="114"/>
      <c r="Y189" s="114"/>
    </row>
    <row r="190">
      <c r="A190" s="1"/>
      <c r="B190" s="113"/>
      <c r="D190" s="113"/>
      <c r="E190" s="114"/>
      <c r="F190" s="114"/>
      <c r="G190" s="114"/>
      <c r="H190" s="114"/>
      <c r="I190" s="114"/>
      <c r="J190" s="114"/>
      <c r="K190" s="114"/>
      <c r="L190" s="114"/>
      <c r="M190" s="114"/>
      <c r="N190" s="114"/>
      <c r="O190" s="114"/>
      <c r="P190" s="114"/>
      <c r="Q190" s="114"/>
      <c r="R190" s="114"/>
      <c r="S190" s="114"/>
      <c r="T190" s="114"/>
      <c r="U190" s="114"/>
      <c r="V190" s="114"/>
      <c r="W190" s="114"/>
      <c r="X190" s="114"/>
      <c r="Y190" s="114"/>
    </row>
    <row r="191">
      <c r="A191" s="1"/>
      <c r="B191" s="113"/>
      <c r="D191" s="113"/>
      <c r="E191" s="114"/>
      <c r="F191" s="114"/>
      <c r="G191" s="114"/>
      <c r="H191" s="114"/>
      <c r="I191" s="114"/>
      <c r="J191" s="114"/>
      <c r="K191" s="114"/>
      <c r="L191" s="114"/>
      <c r="M191" s="114"/>
      <c r="N191" s="114"/>
      <c r="O191" s="114"/>
      <c r="P191" s="114"/>
      <c r="Q191" s="114"/>
      <c r="R191" s="114"/>
      <c r="S191" s="114"/>
      <c r="T191" s="114"/>
      <c r="U191" s="114"/>
      <c r="V191" s="114"/>
      <c r="W191" s="114"/>
      <c r="X191" s="114"/>
      <c r="Y191" s="114"/>
    </row>
    <row r="192">
      <c r="A192" s="1"/>
      <c r="B192" s="113"/>
      <c r="D192" s="113"/>
      <c r="E192" s="114"/>
      <c r="F192" s="114"/>
      <c r="G192" s="114"/>
      <c r="H192" s="114"/>
      <c r="I192" s="114"/>
      <c r="J192" s="114"/>
      <c r="K192" s="114"/>
      <c r="L192" s="114"/>
      <c r="M192" s="114"/>
      <c r="N192" s="114"/>
      <c r="O192" s="114"/>
      <c r="P192" s="114"/>
      <c r="Q192" s="114"/>
      <c r="R192" s="114"/>
      <c r="S192" s="114"/>
      <c r="T192" s="114"/>
      <c r="U192" s="114"/>
      <c r="V192" s="114"/>
      <c r="W192" s="114"/>
      <c r="X192" s="114"/>
      <c r="Y192" s="114"/>
    </row>
    <row r="193">
      <c r="A193" s="1"/>
      <c r="B193" s="113"/>
      <c r="D193" s="113"/>
      <c r="E193" s="114"/>
      <c r="F193" s="114"/>
      <c r="G193" s="114"/>
      <c r="H193" s="114"/>
      <c r="I193" s="114"/>
      <c r="J193" s="114"/>
      <c r="K193" s="114"/>
      <c r="L193" s="114"/>
      <c r="M193" s="114"/>
      <c r="N193" s="114"/>
      <c r="O193" s="114"/>
      <c r="P193" s="114"/>
      <c r="Q193" s="114"/>
      <c r="R193" s="114"/>
      <c r="S193" s="114"/>
      <c r="T193" s="114"/>
      <c r="U193" s="114"/>
      <c r="V193" s="114"/>
      <c r="W193" s="114"/>
      <c r="X193" s="114"/>
      <c r="Y193" s="114"/>
    </row>
    <row r="194">
      <c r="A194" s="1"/>
      <c r="B194" s="113"/>
      <c r="D194" s="113"/>
      <c r="E194" s="114"/>
      <c r="F194" s="114"/>
      <c r="G194" s="114"/>
      <c r="H194" s="114"/>
      <c r="I194" s="114"/>
      <c r="J194" s="114"/>
      <c r="K194" s="114"/>
      <c r="L194" s="114"/>
      <c r="M194" s="114"/>
      <c r="N194" s="114"/>
      <c r="O194" s="114"/>
      <c r="P194" s="114"/>
      <c r="Q194" s="114"/>
      <c r="R194" s="114"/>
      <c r="S194" s="114"/>
      <c r="T194" s="114"/>
      <c r="U194" s="114"/>
      <c r="V194" s="114"/>
      <c r="W194" s="114"/>
      <c r="X194" s="114"/>
      <c r="Y194" s="114"/>
    </row>
    <row r="195">
      <c r="A195" s="1"/>
      <c r="B195" s="113"/>
      <c r="D195" s="113"/>
      <c r="E195" s="114"/>
      <c r="F195" s="114"/>
      <c r="G195" s="114"/>
      <c r="H195" s="114"/>
      <c r="I195" s="114"/>
      <c r="J195" s="114"/>
      <c r="K195" s="114"/>
      <c r="L195" s="114"/>
      <c r="M195" s="114"/>
      <c r="N195" s="114"/>
      <c r="O195" s="114"/>
      <c r="P195" s="114"/>
      <c r="Q195" s="114"/>
      <c r="R195" s="114"/>
      <c r="S195" s="114"/>
      <c r="T195" s="114"/>
      <c r="U195" s="114"/>
      <c r="V195" s="114"/>
      <c r="W195" s="114"/>
      <c r="X195" s="114"/>
      <c r="Y195" s="114"/>
    </row>
    <row r="196">
      <c r="A196" s="1"/>
      <c r="B196" s="113"/>
      <c r="D196" s="113"/>
      <c r="E196" s="114"/>
      <c r="F196" s="114"/>
      <c r="G196" s="114"/>
      <c r="H196" s="114"/>
      <c r="I196" s="114"/>
      <c r="J196" s="114"/>
      <c r="K196" s="114"/>
      <c r="L196" s="114"/>
      <c r="M196" s="114"/>
      <c r="N196" s="114"/>
      <c r="O196" s="114"/>
      <c r="P196" s="114"/>
      <c r="Q196" s="114"/>
      <c r="R196" s="114"/>
      <c r="S196" s="114"/>
      <c r="T196" s="114"/>
      <c r="U196" s="114"/>
      <c r="V196" s="114"/>
      <c r="W196" s="114"/>
      <c r="X196" s="114"/>
      <c r="Y196" s="114"/>
    </row>
    <row r="197">
      <c r="A197" s="1"/>
      <c r="B197" s="113"/>
      <c r="D197" s="113"/>
      <c r="E197" s="114"/>
      <c r="F197" s="114"/>
      <c r="G197" s="114"/>
      <c r="H197" s="114"/>
      <c r="I197" s="114"/>
      <c r="J197" s="114"/>
      <c r="K197" s="114"/>
      <c r="L197" s="114"/>
      <c r="M197" s="114"/>
      <c r="N197" s="114"/>
      <c r="O197" s="114"/>
      <c r="P197" s="114"/>
      <c r="Q197" s="114"/>
      <c r="R197" s="114"/>
      <c r="S197" s="114"/>
      <c r="T197" s="114"/>
      <c r="U197" s="114"/>
      <c r="V197" s="114"/>
      <c r="W197" s="114"/>
      <c r="X197" s="114"/>
      <c r="Y197" s="114"/>
    </row>
    <row r="198">
      <c r="A198" s="1"/>
      <c r="B198" s="113"/>
      <c r="D198" s="113"/>
      <c r="E198" s="114"/>
      <c r="F198" s="114"/>
      <c r="G198" s="114"/>
      <c r="H198" s="114"/>
      <c r="I198" s="114"/>
      <c r="J198" s="114"/>
      <c r="K198" s="114"/>
      <c r="L198" s="114"/>
      <c r="M198" s="114"/>
      <c r="N198" s="114"/>
      <c r="O198" s="114"/>
      <c r="P198" s="114"/>
      <c r="Q198" s="114"/>
      <c r="R198" s="114"/>
      <c r="S198" s="114"/>
      <c r="T198" s="114"/>
      <c r="U198" s="114"/>
      <c r="V198" s="114"/>
      <c r="W198" s="114"/>
      <c r="X198" s="114"/>
      <c r="Y198" s="114"/>
    </row>
    <row r="199">
      <c r="A199" s="1"/>
      <c r="B199" s="113"/>
      <c r="D199" s="113"/>
      <c r="E199" s="114"/>
      <c r="F199" s="114"/>
      <c r="G199" s="114"/>
      <c r="H199" s="114"/>
      <c r="I199" s="114"/>
      <c r="J199" s="114"/>
      <c r="K199" s="114"/>
      <c r="L199" s="114"/>
      <c r="M199" s="114"/>
      <c r="N199" s="114"/>
      <c r="O199" s="114"/>
      <c r="P199" s="114"/>
      <c r="Q199" s="114"/>
      <c r="R199" s="114"/>
      <c r="S199" s="114"/>
      <c r="T199" s="114"/>
      <c r="U199" s="114"/>
      <c r="V199" s="114"/>
      <c r="W199" s="114"/>
      <c r="X199" s="114"/>
      <c r="Y199" s="114"/>
    </row>
    <row r="200">
      <c r="A200" s="1"/>
      <c r="B200" s="113"/>
      <c r="D200" s="113"/>
      <c r="E200" s="114"/>
      <c r="F200" s="114"/>
      <c r="G200" s="114"/>
      <c r="H200" s="114"/>
      <c r="I200" s="114"/>
      <c r="J200" s="114"/>
      <c r="K200" s="114"/>
      <c r="L200" s="114"/>
      <c r="M200" s="114"/>
      <c r="N200" s="114"/>
      <c r="O200" s="114"/>
      <c r="P200" s="114"/>
      <c r="Q200" s="114"/>
      <c r="R200" s="114"/>
      <c r="S200" s="114"/>
      <c r="T200" s="114"/>
      <c r="U200" s="114"/>
      <c r="V200" s="114"/>
      <c r="W200" s="114"/>
      <c r="X200" s="114"/>
      <c r="Y200" s="114"/>
    </row>
    <row r="201">
      <c r="A201" s="1"/>
      <c r="B201" s="113"/>
      <c r="D201" s="113"/>
      <c r="E201" s="114"/>
      <c r="F201" s="114"/>
      <c r="G201" s="114"/>
      <c r="H201" s="114"/>
      <c r="I201" s="114"/>
      <c r="J201" s="114"/>
      <c r="K201" s="114"/>
      <c r="L201" s="114"/>
      <c r="M201" s="114"/>
      <c r="N201" s="114"/>
      <c r="O201" s="114"/>
      <c r="P201" s="114"/>
      <c r="Q201" s="114"/>
      <c r="R201" s="114"/>
      <c r="S201" s="114"/>
      <c r="T201" s="114"/>
      <c r="U201" s="114"/>
      <c r="V201" s="114"/>
      <c r="W201" s="114"/>
      <c r="X201" s="114"/>
      <c r="Y201" s="114"/>
    </row>
    <row r="202">
      <c r="A202" s="1"/>
      <c r="B202" s="113"/>
      <c r="D202" s="113"/>
      <c r="E202" s="114"/>
      <c r="F202" s="114"/>
      <c r="G202" s="114"/>
      <c r="H202" s="114"/>
      <c r="I202" s="114"/>
      <c r="J202" s="114"/>
      <c r="K202" s="114"/>
      <c r="L202" s="114"/>
      <c r="M202" s="114"/>
      <c r="N202" s="114"/>
      <c r="O202" s="114"/>
      <c r="P202" s="114"/>
      <c r="Q202" s="114"/>
      <c r="R202" s="114"/>
      <c r="S202" s="114"/>
      <c r="T202" s="114"/>
      <c r="U202" s="114"/>
      <c r="V202" s="114"/>
      <c r="W202" s="114"/>
      <c r="X202" s="114"/>
      <c r="Y202" s="114"/>
    </row>
    <row r="203">
      <c r="A203" s="1"/>
      <c r="B203" s="113"/>
      <c r="D203" s="113"/>
      <c r="E203" s="114"/>
      <c r="F203" s="114"/>
      <c r="G203" s="114"/>
      <c r="H203" s="114"/>
      <c r="I203" s="114"/>
      <c r="J203" s="114"/>
      <c r="K203" s="114"/>
      <c r="L203" s="114"/>
      <c r="M203" s="114"/>
      <c r="N203" s="114"/>
      <c r="O203" s="114"/>
      <c r="P203" s="114"/>
      <c r="Q203" s="114"/>
      <c r="R203" s="114"/>
      <c r="S203" s="114"/>
      <c r="T203" s="114"/>
      <c r="U203" s="114"/>
      <c r="V203" s="114"/>
      <c r="W203" s="114"/>
      <c r="X203" s="114"/>
      <c r="Y203" s="114"/>
    </row>
    <row r="204">
      <c r="A204" s="1"/>
      <c r="B204" s="113"/>
      <c r="D204" s="113"/>
      <c r="E204" s="114"/>
      <c r="F204" s="114"/>
      <c r="G204" s="114"/>
      <c r="H204" s="114"/>
      <c r="I204" s="114"/>
      <c r="J204" s="114"/>
      <c r="K204" s="114"/>
      <c r="L204" s="114"/>
      <c r="M204" s="114"/>
      <c r="N204" s="114"/>
      <c r="O204" s="114"/>
      <c r="P204" s="114"/>
      <c r="Q204" s="114"/>
      <c r="R204" s="114"/>
      <c r="S204" s="114"/>
      <c r="T204" s="114"/>
      <c r="U204" s="114"/>
      <c r="V204" s="114"/>
      <c r="W204" s="114"/>
      <c r="X204" s="114"/>
      <c r="Y204" s="114"/>
    </row>
    <row r="205">
      <c r="A205" s="1"/>
      <c r="B205" s="113"/>
      <c r="D205" s="113"/>
      <c r="E205" s="114"/>
      <c r="F205" s="114"/>
      <c r="G205" s="114"/>
      <c r="H205" s="114"/>
      <c r="I205" s="114"/>
      <c r="J205" s="114"/>
      <c r="K205" s="114"/>
      <c r="L205" s="114"/>
      <c r="M205" s="114"/>
      <c r="N205" s="114"/>
      <c r="O205" s="114"/>
      <c r="P205" s="114"/>
      <c r="Q205" s="114"/>
      <c r="R205" s="114"/>
      <c r="S205" s="114"/>
      <c r="T205" s="114"/>
      <c r="U205" s="114"/>
      <c r="V205" s="114"/>
      <c r="W205" s="114"/>
      <c r="X205" s="114"/>
      <c r="Y205" s="114"/>
    </row>
    <row r="206">
      <c r="A206" s="1"/>
      <c r="B206" s="113"/>
      <c r="D206" s="113"/>
      <c r="E206" s="114"/>
      <c r="F206" s="114"/>
      <c r="G206" s="114"/>
      <c r="H206" s="114"/>
      <c r="I206" s="114"/>
      <c r="J206" s="114"/>
      <c r="K206" s="114"/>
      <c r="L206" s="114"/>
      <c r="M206" s="114"/>
      <c r="N206" s="114"/>
      <c r="O206" s="114"/>
      <c r="P206" s="114"/>
      <c r="Q206" s="114"/>
      <c r="R206" s="114"/>
      <c r="S206" s="114"/>
      <c r="T206" s="114"/>
      <c r="U206" s="114"/>
      <c r="V206" s="114"/>
      <c r="W206" s="114"/>
      <c r="X206" s="114"/>
      <c r="Y206" s="114"/>
    </row>
    <row r="207">
      <c r="A207" s="1"/>
      <c r="B207" s="113"/>
      <c r="D207" s="113"/>
      <c r="E207" s="114"/>
      <c r="F207" s="114"/>
      <c r="G207" s="114"/>
      <c r="H207" s="114"/>
      <c r="I207" s="114"/>
      <c r="J207" s="114"/>
      <c r="K207" s="114"/>
      <c r="L207" s="114"/>
      <c r="M207" s="114"/>
      <c r="N207" s="114"/>
      <c r="O207" s="114"/>
      <c r="P207" s="114"/>
      <c r="Q207" s="114"/>
      <c r="R207" s="114"/>
      <c r="S207" s="114"/>
      <c r="T207" s="114"/>
      <c r="U207" s="114"/>
      <c r="V207" s="114"/>
      <c r="W207" s="114"/>
      <c r="X207" s="114"/>
      <c r="Y207" s="114"/>
    </row>
    <row r="208">
      <c r="A208" s="1"/>
      <c r="B208" s="113"/>
      <c r="D208" s="113"/>
      <c r="E208" s="114"/>
      <c r="F208" s="114"/>
      <c r="G208" s="114"/>
      <c r="H208" s="114"/>
      <c r="I208" s="114"/>
      <c r="J208" s="114"/>
      <c r="K208" s="114"/>
      <c r="L208" s="114"/>
      <c r="M208" s="114"/>
      <c r="N208" s="114"/>
      <c r="O208" s="114"/>
      <c r="P208" s="114"/>
      <c r="Q208" s="114"/>
      <c r="R208" s="114"/>
      <c r="S208" s="114"/>
      <c r="T208" s="114"/>
      <c r="U208" s="114"/>
      <c r="V208" s="114"/>
      <c r="W208" s="114"/>
      <c r="X208" s="114"/>
      <c r="Y208" s="114"/>
    </row>
    <row r="209">
      <c r="A209" s="1"/>
      <c r="B209" s="113"/>
      <c r="D209" s="113"/>
      <c r="E209" s="114"/>
      <c r="F209" s="114"/>
      <c r="G209" s="114"/>
      <c r="H209" s="114"/>
      <c r="I209" s="114"/>
      <c r="J209" s="114"/>
      <c r="K209" s="114"/>
      <c r="L209" s="114"/>
      <c r="M209" s="114"/>
      <c r="N209" s="114"/>
      <c r="O209" s="114"/>
      <c r="P209" s="114"/>
      <c r="Q209" s="114"/>
      <c r="R209" s="114"/>
      <c r="S209" s="114"/>
      <c r="T209" s="114"/>
      <c r="U209" s="114"/>
      <c r="V209" s="114"/>
      <c r="W209" s="114"/>
      <c r="X209" s="114"/>
      <c r="Y209" s="114"/>
    </row>
    <row r="210">
      <c r="A210" s="1"/>
      <c r="B210" s="113"/>
      <c r="D210" s="113"/>
      <c r="E210" s="114"/>
      <c r="F210" s="114"/>
      <c r="G210" s="114"/>
      <c r="H210" s="114"/>
      <c r="I210" s="114"/>
      <c r="J210" s="114"/>
      <c r="K210" s="114"/>
      <c r="L210" s="114"/>
      <c r="M210" s="114"/>
      <c r="N210" s="114"/>
      <c r="O210" s="114"/>
      <c r="P210" s="114"/>
      <c r="Q210" s="114"/>
      <c r="R210" s="114"/>
      <c r="S210" s="114"/>
      <c r="T210" s="114"/>
      <c r="U210" s="114"/>
      <c r="V210" s="114"/>
      <c r="W210" s="114"/>
      <c r="X210" s="114"/>
      <c r="Y210" s="114"/>
    </row>
    <row r="211">
      <c r="A211" s="1"/>
      <c r="B211" s="113"/>
      <c r="D211" s="113"/>
      <c r="E211" s="114"/>
      <c r="F211" s="114"/>
      <c r="G211" s="114"/>
      <c r="H211" s="114"/>
      <c r="I211" s="114"/>
      <c r="J211" s="114"/>
      <c r="K211" s="114"/>
      <c r="L211" s="114"/>
      <c r="M211" s="114"/>
      <c r="N211" s="114"/>
      <c r="O211" s="114"/>
      <c r="P211" s="114"/>
      <c r="Q211" s="114"/>
      <c r="R211" s="114"/>
      <c r="S211" s="114"/>
      <c r="T211" s="114"/>
      <c r="U211" s="114"/>
      <c r="V211" s="114"/>
      <c r="W211" s="114"/>
      <c r="X211" s="114"/>
      <c r="Y211" s="114"/>
    </row>
    <row r="212">
      <c r="A212" s="1"/>
      <c r="B212" s="113"/>
      <c r="D212" s="113"/>
      <c r="E212" s="114"/>
      <c r="F212" s="114"/>
      <c r="G212" s="114"/>
      <c r="H212" s="114"/>
      <c r="I212" s="114"/>
      <c r="J212" s="114"/>
      <c r="K212" s="114"/>
      <c r="L212" s="114"/>
      <c r="M212" s="114"/>
      <c r="N212" s="114"/>
      <c r="O212" s="114"/>
      <c r="P212" s="114"/>
      <c r="Q212" s="114"/>
      <c r="R212" s="114"/>
      <c r="S212" s="114"/>
      <c r="T212" s="114"/>
      <c r="U212" s="114"/>
      <c r="V212" s="114"/>
      <c r="W212" s="114"/>
      <c r="X212" s="114"/>
      <c r="Y212" s="114"/>
    </row>
    <row r="213">
      <c r="A213" s="1"/>
      <c r="B213" s="113"/>
      <c r="D213" s="113"/>
      <c r="E213" s="114"/>
      <c r="F213" s="114"/>
      <c r="G213" s="114"/>
      <c r="H213" s="114"/>
      <c r="I213" s="114"/>
      <c r="J213" s="114"/>
      <c r="K213" s="114"/>
      <c r="L213" s="114"/>
      <c r="M213" s="114"/>
      <c r="N213" s="114"/>
      <c r="O213" s="114"/>
      <c r="P213" s="114"/>
      <c r="Q213" s="114"/>
      <c r="R213" s="114"/>
      <c r="S213" s="114"/>
      <c r="T213" s="114"/>
      <c r="U213" s="114"/>
      <c r="V213" s="114"/>
      <c r="W213" s="114"/>
      <c r="X213" s="114"/>
      <c r="Y213" s="114"/>
    </row>
    <row r="214">
      <c r="A214" s="1"/>
      <c r="B214" s="113"/>
      <c r="D214" s="113"/>
      <c r="E214" s="114"/>
      <c r="F214" s="114"/>
      <c r="G214" s="114"/>
      <c r="H214" s="114"/>
      <c r="I214" s="114"/>
      <c r="J214" s="114"/>
      <c r="K214" s="114"/>
      <c r="L214" s="114"/>
      <c r="M214" s="114"/>
      <c r="N214" s="114"/>
      <c r="O214" s="114"/>
      <c r="P214" s="114"/>
      <c r="Q214" s="114"/>
      <c r="R214" s="114"/>
      <c r="S214" s="114"/>
      <c r="T214" s="114"/>
      <c r="U214" s="114"/>
      <c r="V214" s="114"/>
      <c r="W214" s="114"/>
      <c r="X214" s="114"/>
      <c r="Y214" s="114"/>
    </row>
    <row r="215">
      <c r="A215" s="1"/>
      <c r="B215" s="113"/>
      <c r="D215" s="113"/>
      <c r="E215" s="114"/>
      <c r="F215" s="114"/>
      <c r="G215" s="114"/>
      <c r="H215" s="114"/>
      <c r="I215" s="114"/>
      <c r="J215" s="114"/>
      <c r="K215" s="114"/>
      <c r="L215" s="114"/>
      <c r="M215" s="114"/>
      <c r="N215" s="114"/>
      <c r="O215" s="114"/>
      <c r="P215" s="114"/>
      <c r="Q215" s="114"/>
      <c r="R215" s="114"/>
      <c r="S215" s="114"/>
      <c r="T215" s="114"/>
      <c r="U215" s="114"/>
      <c r="V215" s="114"/>
      <c r="W215" s="114"/>
      <c r="X215" s="114"/>
      <c r="Y215" s="114"/>
    </row>
    <row r="216">
      <c r="A216" s="1"/>
      <c r="B216" s="113"/>
      <c r="D216" s="113"/>
      <c r="E216" s="114"/>
      <c r="F216" s="114"/>
      <c r="G216" s="114"/>
      <c r="H216" s="114"/>
      <c r="I216" s="114"/>
      <c r="J216" s="114"/>
      <c r="K216" s="114"/>
      <c r="L216" s="114"/>
      <c r="M216" s="114"/>
      <c r="N216" s="114"/>
      <c r="O216" s="114"/>
      <c r="P216" s="114"/>
      <c r="Q216" s="114"/>
      <c r="R216" s="114"/>
      <c r="S216" s="114"/>
      <c r="T216" s="114"/>
      <c r="U216" s="114"/>
      <c r="V216" s="114"/>
      <c r="W216" s="114"/>
      <c r="X216" s="114"/>
      <c r="Y216" s="114"/>
    </row>
    <row r="217">
      <c r="A217" s="1"/>
      <c r="B217" s="113"/>
      <c r="D217" s="113"/>
      <c r="E217" s="114"/>
      <c r="F217" s="114"/>
      <c r="G217" s="114"/>
      <c r="H217" s="114"/>
      <c r="I217" s="114"/>
      <c r="J217" s="114"/>
      <c r="K217" s="114"/>
      <c r="L217" s="114"/>
      <c r="M217" s="114"/>
      <c r="N217" s="114"/>
      <c r="O217" s="114"/>
      <c r="P217" s="114"/>
      <c r="Q217" s="114"/>
      <c r="R217" s="114"/>
      <c r="S217" s="114"/>
      <c r="T217" s="114"/>
      <c r="U217" s="114"/>
      <c r="V217" s="114"/>
      <c r="W217" s="114"/>
      <c r="X217" s="114"/>
      <c r="Y217" s="114"/>
    </row>
    <row r="218">
      <c r="A218" s="1"/>
      <c r="B218" s="113"/>
      <c r="D218" s="113"/>
      <c r="E218" s="114"/>
      <c r="F218" s="114"/>
      <c r="G218" s="114"/>
      <c r="H218" s="114"/>
      <c r="I218" s="114"/>
      <c r="J218" s="114"/>
      <c r="K218" s="114"/>
      <c r="L218" s="114"/>
      <c r="M218" s="114"/>
      <c r="N218" s="114"/>
      <c r="O218" s="114"/>
      <c r="P218" s="114"/>
      <c r="Q218" s="114"/>
      <c r="R218" s="114"/>
      <c r="S218" s="114"/>
      <c r="T218" s="114"/>
      <c r="U218" s="114"/>
      <c r="V218" s="114"/>
      <c r="W218" s="114"/>
      <c r="X218" s="114"/>
      <c r="Y218" s="114"/>
    </row>
    <row r="219">
      <c r="A219" s="1"/>
      <c r="B219" s="113"/>
      <c r="D219" s="113"/>
      <c r="E219" s="114"/>
      <c r="F219" s="114"/>
      <c r="G219" s="114"/>
      <c r="H219" s="114"/>
      <c r="I219" s="114"/>
      <c r="J219" s="114"/>
      <c r="K219" s="114"/>
      <c r="L219" s="114"/>
      <c r="M219" s="114"/>
      <c r="N219" s="114"/>
      <c r="O219" s="114"/>
      <c r="P219" s="114"/>
      <c r="Q219" s="114"/>
      <c r="R219" s="114"/>
      <c r="S219" s="114"/>
      <c r="T219" s="114"/>
      <c r="U219" s="114"/>
      <c r="V219" s="114"/>
      <c r="W219" s="114"/>
      <c r="X219" s="114"/>
      <c r="Y219" s="114"/>
    </row>
    <row r="220">
      <c r="A220" s="1"/>
      <c r="B220" s="113"/>
      <c r="D220" s="113"/>
      <c r="E220" s="114"/>
      <c r="F220" s="114"/>
      <c r="G220" s="114"/>
      <c r="H220" s="114"/>
      <c r="I220" s="114"/>
      <c r="J220" s="114"/>
      <c r="K220" s="114"/>
      <c r="L220" s="114"/>
      <c r="M220" s="114"/>
      <c r="N220" s="114"/>
      <c r="O220" s="114"/>
      <c r="P220" s="114"/>
      <c r="Q220" s="114"/>
      <c r="R220" s="114"/>
      <c r="S220" s="114"/>
      <c r="T220" s="114"/>
      <c r="U220" s="114"/>
      <c r="V220" s="114"/>
      <c r="W220" s="114"/>
      <c r="X220" s="114"/>
      <c r="Y220" s="114"/>
    </row>
    <row r="221">
      <c r="A221" s="1"/>
      <c r="B221" s="113"/>
      <c r="D221" s="113"/>
      <c r="E221" s="114"/>
      <c r="F221" s="114"/>
      <c r="G221" s="114"/>
      <c r="H221" s="114"/>
      <c r="I221" s="114"/>
      <c r="J221" s="114"/>
      <c r="K221" s="114"/>
      <c r="L221" s="114"/>
      <c r="M221" s="114"/>
      <c r="N221" s="114"/>
      <c r="O221" s="114"/>
      <c r="P221" s="114"/>
      <c r="Q221" s="114"/>
      <c r="R221" s="114"/>
      <c r="S221" s="114"/>
      <c r="T221" s="114"/>
      <c r="U221" s="114"/>
      <c r="V221" s="114"/>
      <c r="W221" s="114"/>
      <c r="X221" s="114"/>
      <c r="Y221" s="114"/>
    </row>
    <row r="222">
      <c r="A222" s="1"/>
      <c r="B222" s="113"/>
      <c r="D222" s="113"/>
      <c r="E222" s="114"/>
      <c r="F222" s="114"/>
      <c r="G222" s="114"/>
      <c r="H222" s="114"/>
      <c r="I222" s="114"/>
      <c r="J222" s="114"/>
      <c r="K222" s="114"/>
      <c r="L222" s="114"/>
      <c r="M222" s="114"/>
      <c r="N222" s="114"/>
      <c r="O222" s="114"/>
      <c r="P222" s="114"/>
      <c r="Q222" s="114"/>
      <c r="R222" s="114"/>
      <c r="S222" s="114"/>
      <c r="T222" s="114"/>
      <c r="U222" s="114"/>
      <c r="V222" s="114"/>
      <c r="W222" s="114"/>
      <c r="X222" s="114"/>
      <c r="Y222" s="114"/>
    </row>
    <row r="223">
      <c r="A223" s="1"/>
      <c r="B223" s="113"/>
      <c r="D223" s="113"/>
      <c r="E223" s="114"/>
      <c r="F223" s="114"/>
      <c r="G223" s="114"/>
      <c r="H223" s="114"/>
      <c r="I223" s="114"/>
      <c r="J223" s="114"/>
      <c r="K223" s="114"/>
      <c r="L223" s="114"/>
      <c r="M223" s="114"/>
      <c r="N223" s="114"/>
      <c r="O223" s="114"/>
      <c r="P223" s="114"/>
      <c r="Q223" s="114"/>
      <c r="R223" s="114"/>
      <c r="S223" s="114"/>
      <c r="T223" s="114"/>
      <c r="U223" s="114"/>
      <c r="V223" s="114"/>
      <c r="W223" s="114"/>
      <c r="X223" s="114"/>
      <c r="Y223" s="114"/>
    </row>
    <row r="224">
      <c r="A224" s="1"/>
      <c r="B224" s="113"/>
      <c r="D224" s="113"/>
      <c r="E224" s="114"/>
      <c r="F224" s="114"/>
      <c r="G224" s="114"/>
      <c r="H224" s="114"/>
      <c r="I224" s="114"/>
      <c r="J224" s="114"/>
      <c r="K224" s="114"/>
      <c r="L224" s="114"/>
      <c r="M224" s="114"/>
      <c r="N224" s="114"/>
      <c r="O224" s="114"/>
      <c r="P224" s="114"/>
      <c r="Q224" s="114"/>
      <c r="R224" s="114"/>
      <c r="S224" s="114"/>
      <c r="T224" s="114"/>
      <c r="U224" s="114"/>
      <c r="V224" s="114"/>
      <c r="W224" s="114"/>
      <c r="X224" s="114"/>
      <c r="Y224" s="114"/>
    </row>
    <row r="225">
      <c r="A225" s="1"/>
      <c r="B225" s="113"/>
      <c r="D225" s="113"/>
      <c r="E225" s="114"/>
      <c r="F225" s="114"/>
      <c r="G225" s="114"/>
      <c r="H225" s="114"/>
      <c r="I225" s="114"/>
      <c r="J225" s="114"/>
      <c r="K225" s="114"/>
      <c r="L225" s="114"/>
      <c r="M225" s="114"/>
      <c r="N225" s="114"/>
      <c r="O225" s="114"/>
      <c r="P225" s="114"/>
      <c r="Q225" s="114"/>
      <c r="R225" s="114"/>
      <c r="S225" s="114"/>
      <c r="T225" s="114"/>
      <c r="U225" s="114"/>
      <c r="V225" s="114"/>
      <c r="W225" s="114"/>
      <c r="X225" s="114"/>
      <c r="Y225" s="114"/>
    </row>
    <row r="226">
      <c r="A226" s="1"/>
      <c r="B226" s="113"/>
      <c r="D226" s="113"/>
      <c r="E226" s="114"/>
      <c r="F226" s="114"/>
      <c r="G226" s="114"/>
      <c r="H226" s="114"/>
      <c r="I226" s="114"/>
      <c r="J226" s="114"/>
      <c r="K226" s="114"/>
      <c r="L226" s="114"/>
      <c r="M226" s="114"/>
      <c r="N226" s="114"/>
      <c r="O226" s="114"/>
      <c r="P226" s="114"/>
      <c r="Q226" s="114"/>
      <c r="R226" s="114"/>
      <c r="S226" s="114"/>
      <c r="T226" s="114"/>
      <c r="U226" s="114"/>
      <c r="V226" s="114"/>
      <c r="W226" s="114"/>
      <c r="X226" s="114"/>
      <c r="Y226" s="114"/>
    </row>
    <row r="227">
      <c r="A227" s="1"/>
      <c r="B227" s="113"/>
      <c r="D227" s="113"/>
      <c r="E227" s="114"/>
      <c r="F227" s="114"/>
      <c r="G227" s="114"/>
      <c r="H227" s="114"/>
      <c r="I227" s="114"/>
      <c r="J227" s="114"/>
      <c r="K227" s="114"/>
      <c r="L227" s="114"/>
      <c r="M227" s="114"/>
      <c r="N227" s="114"/>
      <c r="O227" s="114"/>
      <c r="P227" s="114"/>
      <c r="Q227" s="114"/>
      <c r="R227" s="114"/>
      <c r="S227" s="114"/>
      <c r="T227" s="114"/>
      <c r="U227" s="114"/>
      <c r="V227" s="114"/>
      <c r="W227" s="114"/>
      <c r="X227" s="114"/>
      <c r="Y227" s="114"/>
    </row>
    <row r="228">
      <c r="A228" s="1"/>
      <c r="B228" s="113"/>
      <c r="D228" s="113"/>
      <c r="E228" s="114"/>
      <c r="F228" s="114"/>
      <c r="G228" s="114"/>
      <c r="H228" s="114"/>
      <c r="I228" s="114"/>
      <c r="J228" s="114"/>
      <c r="K228" s="114"/>
      <c r="L228" s="114"/>
      <c r="M228" s="114"/>
      <c r="N228" s="114"/>
      <c r="O228" s="114"/>
      <c r="P228" s="114"/>
      <c r="Q228" s="114"/>
      <c r="R228" s="114"/>
      <c r="S228" s="114"/>
      <c r="T228" s="114"/>
      <c r="U228" s="114"/>
      <c r="V228" s="114"/>
      <c r="W228" s="114"/>
      <c r="X228" s="114"/>
      <c r="Y228" s="114"/>
    </row>
    <row r="229">
      <c r="A229" s="1"/>
      <c r="B229" s="113"/>
      <c r="D229" s="113"/>
      <c r="E229" s="114"/>
      <c r="F229" s="114"/>
      <c r="G229" s="114"/>
      <c r="H229" s="114"/>
      <c r="I229" s="114"/>
      <c r="J229" s="114"/>
      <c r="K229" s="114"/>
      <c r="L229" s="114"/>
      <c r="M229" s="114"/>
      <c r="N229" s="114"/>
      <c r="O229" s="114"/>
      <c r="P229" s="114"/>
      <c r="Q229" s="114"/>
      <c r="R229" s="114"/>
      <c r="S229" s="114"/>
      <c r="T229" s="114"/>
      <c r="U229" s="114"/>
      <c r="V229" s="114"/>
      <c r="W229" s="114"/>
      <c r="X229" s="114"/>
      <c r="Y229" s="114"/>
    </row>
    <row r="230">
      <c r="A230" s="1"/>
      <c r="B230" s="113"/>
      <c r="D230" s="113"/>
      <c r="E230" s="114"/>
      <c r="F230" s="114"/>
      <c r="G230" s="114"/>
      <c r="H230" s="114"/>
      <c r="I230" s="114"/>
      <c r="J230" s="114"/>
      <c r="K230" s="114"/>
      <c r="L230" s="114"/>
      <c r="M230" s="114"/>
      <c r="N230" s="114"/>
      <c r="O230" s="114"/>
      <c r="P230" s="114"/>
      <c r="Q230" s="114"/>
      <c r="R230" s="114"/>
      <c r="S230" s="114"/>
      <c r="T230" s="114"/>
      <c r="U230" s="114"/>
      <c r="V230" s="114"/>
      <c r="W230" s="114"/>
      <c r="X230" s="114"/>
      <c r="Y230" s="114"/>
    </row>
    <row r="231">
      <c r="A231" s="1"/>
      <c r="B231" s="113"/>
      <c r="D231" s="113"/>
      <c r="E231" s="114"/>
      <c r="F231" s="114"/>
      <c r="G231" s="114"/>
      <c r="H231" s="114"/>
      <c r="I231" s="114"/>
      <c r="J231" s="114"/>
      <c r="K231" s="114"/>
      <c r="L231" s="114"/>
      <c r="M231" s="114"/>
      <c r="N231" s="114"/>
      <c r="O231" s="114"/>
      <c r="P231" s="114"/>
      <c r="Q231" s="114"/>
      <c r="R231" s="114"/>
      <c r="S231" s="114"/>
      <c r="T231" s="114"/>
      <c r="U231" s="114"/>
      <c r="V231" s="114"/>
      <c r="W231" s="114"/>
      <c r="X231" s="114"/>
      <c r="Y231" s="114"/>
    </row>
    <row r="232">
      <c r="A232" s="1"/>
      <c r="B232" s="113"/>
      <c r="D232" s="113"/>
      <c r="E232" s="114"/>
      <c r="F232" s="114"/>
      <c r="G232" s="114"/>
      <c r="H232" s="114"/>
      <c r="I232" s="114"/>
      <c r="J232" s="114"/>
      <c r="K232" s="114"/>
      <c r="L232" s="114"/>
      <c r="M232" s="114"/>
      <c r="N232" s="114"/>
      <c r="O232" s="114"/>
      <c r="P232" s="114"/>
      <c r="Q232" s="114"/>
      <c r="R232" s="114"/>
      <c r="S232" s="114"/>
      <c r="T232" s="114"/>
      <c r="U232" s="114"/>
      <c r="V232" s="114"/>
      <c r="W232" s="114"/>
      <c r="X232" s="114"/>
      <c r="Y232" s="114"/>
    </row>
    <row r="233">
      <c r="A233" s="1"/>
      <c r="B233" s="113"/>
      <c r="D233" s="113"/>
      <c r="E233" s="114"/>
      <c r="F233" s="114"/>
      <c r="G233" s="114"/>
      <c r="H233" s="114"/>
      <c r="I233" s="114"/>
      <c r="J233" s="114"/>
      <c r="K233" s="114"/>
      <c r="L233" s="114"/>
      <c r="M233" s="114"/>
      <c r="N233" s="114"/>
      <c r="O233" s="114"/>
      <c r="P233" s="114"/>
      <c r="Q233" s="114"/>
      <c r="R233" s="114"/>
      <c r="S233" s="114"/>
      <c r="T233" s="114"/>
      <c r="U233" s="114"/>
      <c r="V233" s="114"/>
      <c r="W233" s="114"/>
      <c r="X233" s="114"/>
      <c r="Y233" s="114"/>
    </row>
    <row r="234">
      <c r="A234" s="1"/>
      <c r="B234" s="113"/>
      <c r="D234" s="113"/>
      <c r="E234" s="114"/>
      <c r="F234" s="114"/>
      <c r="G234" s="114"/>
      <c r="H234" s="114"/>
      <c r="I234" s="114"/>
      <c r="J234" s="114"/>
      <c r="K234" s="114"/>
      <c r="L234" s="114"/>
      <c r="M234" s="114"/>
      <c r="N234" s="114"/>
      <c r="O234" s="114"/>
      <c r="P234" s="114"/>
      <c r="Q234" s="114"/>
      <c r="R234" s="114"/>
      <c r="S234" s="114"/>
      <c r="T234" s="114"/>
      <c r="U234" s="114"/>
      <c r="V234" s="114"/>
      <c r="W234" s="114"/>
      <c r="X234" s="114"/>
      <c r="Y234" s="114"/>
    </row>
    <row r="235">
      <c r="A235" s="1"/>
      <c r="B235" s="113"/>
      <c r="D235" s="113"/>
      <c r="E235" s="114"/>
      <c r="F235" s="114"/>
      <c r="G235" s="114"/>
      <c r="H235" s="114"/>
      <c r="I235" s="114"/>
      <c r="J235" s="114"/>
      <c r="K235" s="114"/>
      <c r="L235" s="114"/>
      <c r="M235" s="114"/>
      <c r="N235" s="114"/>
      <c r="O235" s="114"/>
      <c r="P235" s="114"/>
      <c r="Q235" s="114"/>
      <c r="R235" s="114"/>
      <c r="S235" s="114"/>
      <c r="T235" s="114"/>
      <c r="U235" s="114"/>
      <c r="V235" s="114"/>
      <c r="W235" s="114"/>
      <c r="X235" s="114"/>
      <c r="Y235" s="114"/>
    </row>
    <row r="236">
      <c r="A236" s="1"/>
      <c r="B236" s="113"/>
      <c r="D236" s="113"/>
      <c r="E236" s="114"/>
      <c r="F236" s="114"/>
      <c r="G236" s="114"/>
      <c r="H236" s="114"/>
      <c r="I236" s="114"/>
      <c r="J236" s="114"/>
      <c r="K236" s="114"/>
      <c r="L236" s="114"/>
      <c r="M236" s="114"/>
      <c r="N236" s="114"/>
      <c r="O236" s="114"/>
      <c r="P236" s="114"/>
      <c r="Q236" s="114"/>
      <c r="R236" s="114"/>
      <c r="S236" s="114"/>
      <c r="T236" s="114"/>
      <c r="U236" s="114"/>
      <c r="V236" s="114"/>
      <c r="W236" s="114"/>
      <c r="X236" s="114"/>
      <c r="Y236" s="114"/>
    </row>
    <row r="237">
      <c r="A237" s="1"/>
      <c r="B237" s="113"/>
      <c r="D237" s="113"/>
      <c r="E237" s="114"/>
      <c r="F237" s="114"/>
      <c r="G237" s="114"/>
      <c r="H237" s="114"/>
      <c r="I237" s="114"/>
      <c r="J237" s="114"/>
      <c r="K237" s="114"/>
      <c r="L237" s="114"/>
      <c r="M237" s="114"/>
      <c r="N237" s="114"/>
      <c r="O237" s="114"/>
      <c r="P237" s="114"/>
      <c r="Q237" s="114"/>
      <c r="R237" s="114"/>
      <c r="S237" s="114"/>
      <c r="T237" s="114"/>
      <c r="U237" s="114"/>
      <c r="V237" s="114"/>
      <c r="W237" s="114"/>
      <c r="X237" s="114"/>
      <c r="Y237" s="114"/>
    </row>
    <row r="238">
      <c r="A238" s="1"/>
      <c r="B238" s="113"/>
      <c r="D238" s="113"/>
      <c r="E238" s="114"/>
      <c r="F238" s="114"/>
      <c r="G238" s="114"/>
      <c r="H238" s="114"/>
      <c r="I238" s="114"/>
      <c r="J238" s="114"/>
      <c r="K238" s="114"/>
      <c r="L238" s="114"/>
      <c r="M238" s="114"/>
      <c r="N238" s="114"/>
      <c r="O238" s="114"/>
      <c r="P238" s="114"/>
      <c r="Q238" s="114"/>
      <c r="R238" s="114"/>
      <c r="S238" s="114"/>
      <c r="T238" s="114"/>
      <c r="U238" s="114"/>
      <c r="V238" s="114"/>
      <c r="W238" s="114"/>
      <c r="X238" s="114"/>
      <c r="Y238" s="114"/>
    </row>
    <row r="239">
      <c r="A239" s="1"/>
      <c r="B239" s="113"/>
      <c r="D239" s="113"/>
      <c r="E239" s="114"/>
      <c r="F239" s="114"/>
      <c r="G239" s="114"/>
      <c r="H239" s="114"/>
      <c r="I239" s="114"/>
      <c r="J239" s="114"/>
      <c r="K239" s="114"/>
      <c r="L239" s="114"/>
      <c r="M239" s="114"/>
      <c r="N239" s="114"/>
      <c r="O239" s="114"/>
      <c r="P239" s="114"/>
      <c r="Q239" s="114"/>
      <c r="R239" s="114"/>
      <c r="S239" s="114"/>
      <c r="T239" s="114"/>
      <c r="U239" s="114"/>
      <c r="V239" s="114"/>
      <c r="W239" s="114"/>
      <c r="X239" s="114"/>
      <c r="Y239" s="114"/>
    </row>
    <row r="240">
      <c r="A240" s="1"/>
      <c r="B240" s="113"/>
      <c r="D240" s="113"/>
      <c r="E240" s="114"/>
      <c r="F240" s="114"/>
      <c r="G240" s="114"/>
      <c r="H240" s="114"/>
      <c r="I240" s="114"/>
      <c r="J240" s="114"/>
      <c r="K240" s="114"/>
      <c r="L240" s="114"/>
      <c r="M240" s="114"/>
      <c r="N240" s="114"/>
      <c r="O240" s="114"/>
      <c r="P240" s="114"/>
      <c r="Q240" s="114"/>
      <c r="R240" s="114"/>
      <c r="S240" s="114"/>
      <c r="T240" s="114"/>
      <c r="U240" s="114"/>
      <c r="V240" s="114"/>
      <c r="W240" s="114"/>
      <c r="X240" s="114"/>
      <c r="Y240" s="114"/>
    </row>
    <row r="241">
      <c r="A241" s="1"/>
      <c r="B241" s="113"/>
      <c r="D241" s="113"/>
      <c r="E241" s="114"/>
      <c r="F241" s="114"/>
      <c r="G241" s="114"/>
      <c r="H241" s="114"/>
      <c r="I241" s="114"/>
      <c r="J241" s="114"/>
      <c r="K241" s="114"/>
      <c r="L241" s="114"/>
      <c r="M241" s="114"/>
      <c r="N241" s="114"/>
      <c r="O241" s="114"/>
      <c r="P241" s="114"/>
      <c r="Q241" s="114"/>
      <c r="R241" s="114"/>
      <c r="S241" s="114"/>
      <c r="T241" s="114"/>
      <c r="U241" s="114"/>
      <c r="V241" s="114"/>
      <c r="W241" s="114"/>
      <c r="X241" s="114"/>
      <c r="Y241" s="114"/>
    </row>
    <row r="242">
      <c r="A242" s="1"/>
      <c r="B242" s="113"/>
      <c r="D242" s="113"/>
      <c r="E242" s="114"/>
      <c r="F242" s="114"/>
      <c r="G242" s="114"/>
      <c r="H242" s="114"/>
      <c r="I242" s="114"/>
      <c r="J242" s="114"/>
      <c r="K242" s="114"/>
      <c r="L242" s="114"/>
      <c r="M242" s="114"/>
      <c r="N242" s="114"/>
      <c r="O242" s="114"/>
      <c r="P242" s="114"/>
      <c r="Q242" s="114"/>
      <c r="R242" s="114"/>
      <c r="S242" s="114"/>
      <c r="T242" s="114"/>
      <c r="U242" s="114"/>
      <c r="V242" s="114"/>
      <c r="W242" s="114"/>
      <c r="X242" s="114"/>
      <c r="Y242" s="114"/>
    </row>
    <row r="243">
      <c r="A243" s="1"/>
      <c r="B243" s="113"/>
      <c r="D243" s="113"/>
      <c r="E243" s="114"/>
      <c r="F243" s="114"/>
      <c r="G243" s="114"/>
      <c r="H243" s="114"/>
      <c r="I243" s="114"/>
      <c r="J243" s="114"/>
      <c r="K243" s="114"/>
      <c r="L243" s="114"/>
      <c r="M243" s="114"/>
      <c r="N243" s="114"/>
      <c r="O243" s="114"/>
      <c r="P243" s="114"/>
      <c r="Q243" s="114"/>
      <c r="R243" s="114"/>
      <c r="S243" s="114"/>
      <c r="T243" s="114"/>
      <c r="U243" s="114"/>
      <c r="V243" s="114"/>
      <c r="W243" s="114"/>
      <c r="X243" s="114"/>
      <c r="Y243" s="114"/>
    </row>
    <row r="244">
      <c r="A244" s="1"/>
      <c r="B244" s="113"/>
      <c r="D244" s="113"/>
      <c r="E244" s="114"/>
      <c r="F244" s="114"/>
      <c r="G244" s="114"/>
      <c r="H244" s="114"/>
      <c r="I244" s="114"/>
      <c r="J244" s="114"/>
      <c r="K244" s="114"/>
      <c r="L244" s="114"/>
      <c r="M244" s="114"/>
      <c r="N244" s="114"/>
      <c r="O244" s="114"/>
      <c r="P244" s="114"/>
      <c r="Q244" s="114"/>
      <c r="R244" s="114"/>
      <c r="S244" s="114"/>
      <c r="T244" s="114"/>
      <c r="U244" s="114"/>
      <c r="V244" s="114"/>
      <c r="W244" s="114"/>
      <c r="X244" s="114"/>
      <c r="Y244" s="114"/>
    </row>
    <row r="245">
      <c r="A245" s="1"/>
      <c r="B245" s="113"/>
      <c r="D245" s="113"/>
      <c r="E245" s="114"/>
      <c r="F245" s="114"/>
      <c r="G245" s="114"/>
      <c r="H245" s="114"/>
      <c r="I245" s="114"/>
      <c r="J245" s="114"/>
      <c r="K245" s="114"/>
      <c r="L245" s="114"/>
      <c r="M245" s="114"/>
      <c r="N245" s="114"/>
      <c r="O245" s="114"/>
      <c r="P245" s="114"/>
      <c r="Q245" s="114"/>
      <c r="R245" s="114"/>
      <c r="S245" s="114"/>
      <c r="T245" s="114"/>
      <c r="U245" s="114"/>
      <c r="V245" s="114"/>
      <c r="W245" s="114"/>
      <c r="X245" s="114"/>
      <c r="Y245" s="114"/>
    </row>
    <row r="246">
      <c r="A246" s="1"/>
      <c r="B246" s="113"/>
      <c r="D246" s="113"/>
      <c r="E246" s="114"/>
      <c r="F246" s="114"/>
      <c r="G246" s="114"/>
      <c r="H246" s="114"/>
      <c r="I246" s="114"/>
      <c r="J246" s="114"/>
      <c r="K246" s="114"/>
      <c r="L246" s="114"/>
      <c r="M246" s="114"/>
      <c r="N246" s="114"/>
      <c r="O246" s="114"/>
      <c r="P246" s="114"/>
      <c r="Q246" s="114"/>
      <c r="R246" s="114"/>
      <c r="S246" s="114"/>
      <c r="T246" s="114"/>
      <c r="U246" s="114"/>
      <c r="V246" s="114"/>
      <c r="W246" s="114"/>
      <c r="X246" s="114"/>
      <c r="Y246" s="114"/>
    </row>
    <row r="247">
      <c r="A247" s="1"/>
      <c r="B247" s="113"/>
      <c r="D247" s="113"/>
      <c r="E247" s="114"/>
      <c r="F247" s="114"/>
      <c r="G247" s="114"/>
      <c r="H247" s="114"/>
      <c r="I247" s="114"/>
      <c r="J247" s="114"/>
      <c r="K247" s="114"/>
      <c r="L247" s="114"/>
      <c r="M247" s="114"/>
      <c r="N247" s="114"/>
      <c r="O247" s="114"/>
      <c r="P247" s="114"/>
      <c r="Q247" s="114"/>
      <c r="R247" s="114"/>
      <c r="S247" s="114"/>
      <c r="T247" s="114"/>
      <c r="U247" s="114"/>
      <c r="V247" s="114"/>
      <c r="W247" s="114"/>
      <c r="X247" s="114"/>
      <c r="Y247" s="114"/>
    </row>
    <row r="248">
      <c r="A248" s="1"/>
      <c r="B248" s="113"/>
      <c r="D248" s="113"/>
      <c r="E248" s="114"/>
      <c r="F248" s="114"/>
      <c r="G248" s="114"/>
      <c r="H248" s="114"/>
      <c r="I248" s="114"/>
      <c r="J248" s="114"/>
      <c r="K248" s="114"/>
      <c r="L248" s="114"/>
      <c r="M248" s="114"/>
      <c r="N248" s="114"/>
      <c r="O248" s="114"/>
      <c r="P248" s="114"/>
      <c r="Q248" s="114"/>
      <c r="R248" s="114"/>
      <c r="S248" s="114"/>
      <c r="T248" s="114"/>
      <c r="U248" s="114"/>
      <c r="V248" s="114"/>
      <c r="W248" s="114"/>
      <c r="X248" s="114"/>
      <c r="Y248" s="114"/>
    </row>
    <row r="249">
      <c r="A249" s="1"/>
      <c r="B249" s="113"/>
      <c r="D249" s="113"/>
      <c r="E249" s="114"/>
      <c r="F249" s="114"/>
      <c r="G249" s="114"/>
      <c r="H249" s="114"/>
      <c r="I249" s="114"/>
      <c r="J249" s="114"/>
      <c r="K249" s="114"/>
      <c r="L249" s="114"/>
      <c r="M249" s="114"/>
      <c r="N249" s="114"/>
      <c r="O249" s="114"/>
      <c r="P249" s="114"/>
      <c r="Q249" s="114"/>
      <c r="R249" s="114"/>
      <c r="S249" s="114"/>
      <c r="T249" s="114"/>
      <c r="U249" s="114"/>
      <c r="V249" s="114"/>
      <c r="W249" s="114"/>
      <c r="X249" s="114"/>
      <c r="Y249" s="114"/>
    </row>
    <row r="250">
      <c r="A250" s="1"/>
      <c r="B250" s="113"/>
      <c r="D250" s="113"/>
      <c r="E250" s="114"/>
      <c r="F250" s="114"/>
      <c r="G250" s="114"/>
      <c r="H250" s="114"/>
      <c r="I250" s="114"/>
      <c r="J250" s="114"/>
      <c r="K250" s="114"/>
      <c r="L250" s="114"/>
      <c r="M250" s="114"/>
      <c r="N250" s="114"/>
      <c r="O250" s="114"/>
      <c r="P250" s="114"/>
      <c r="Q250" s="114"/>
      <c r="R250" s="114"/>
      <c r="S250" s="114"/>
      <c r="T250" s="114"/>
      <c r="U250" s="114"/>
      <c r="V250" s="114"/>
      <c r="W250" s="114"/>
      <c r="X250" s="114"/>
      <c r="Y250" s="114"/>
    </row>
    <row r="251">
      <c r="A251" s="1"/>
      <c r="B251" s="113"/>
      <c r="D251" s="113"/>
      <c r="E251" s="114"/>
      <c r="F251" s="114"/>
      <c r="G251" s="114"/>
      <c r="H251" s="114"/>
      <c r="I251" s="114"/>
      <c r="J251" s="114"/>
      <c r="K251" s="114"/>
      <c r="L251" s="114"/>
      <c r="M251" s="114"/>
      <c r="N251" s="114"/>
      <c r="O251" s="114"/>
      <c r="P251" s="114"/>
      <c r="Q251" s="114"/>
      <c r="R251" s="114"/>
      <c r="S251" s="114"/>
      <c r="T251" s="114"/>
      <c r="U251" s="114"/>
      <c r="V251" s="114"/>
      <c r="W251" s="114"/>
      <c r="X251" s="114"/>
      <c r="Y251" s="114"/>
    </row>
    <row r="252">
      <c r="A252" s="1"/>
      <c r="B252" s="113"/>
      <c r="D252" s="113"/>
      <c r="E252" s="114"/>
      <c r="F252" s="114"/>
      <c r="G252" s="114"/>
      <c r="H252" s="114"/>
      <c r="I252" s="114"/>
      <c r="J252" s="114"/>
      <c r="K252" s="114"/>
      <c r="L252" s="114"/>
      <c r="M252" s="114"/>
      <c r="N252" s="114"/>
      <c r="O252" s="114"/>
      <c r="P252" s="114"/>
      <c r="Q252" s="114"/>
      <c r="R252" s="114"/>
      <c r="S252" s="114"/>
      <c r="T252" s="114"/>
      <c r="U252" s="114"/>
      <c r="V252" s="114"/>
      <c r="W252" s="114"/>
      <c r="X252" s="114"/>
      <c r="Y252" s="114"/>
    </row>
    <row r="253">
      <c r="A253" s="1"/>
      <c r="B253" s="113"/>
      <c r="D253" s="113"/>
      <c r="E253" s="114"/>
      <c r="F253" s="114"/>
      <c r="G253" s="114"/>
      <c r="H253" s="114"/>
      <c r="I253" s="114"/>
      <c r="J253" s="114"/>
      <c r="K253" s="114"/>
      <c r="L253" s="114"/>
      <c r="M253" s="114"/>
      <c r="N253" s="114"/>
      <c r="O253" s="114"/>
      <c r="P253" s="114"/>
      <c r="Q253" s="114"/>
      <c r="R253" s="114"/>
      <c r="S253" s="114"/>
      <c r="T253" s="114"/>
      <c r="U253" s="114"/>
      <c r="V253" s="114"/>
      <c r="W253" s="114"/>
      <c r="X253" s="114"/>
      <c r="Y253" s="114"/>
    </row>
    <row r="254">
      <c r="A254" s="1"/>
      <c r="B254" s="113"/>
      <c r="D254" s="113"/>
      <c r="E254" s="114"/>
      <c r="F254" s="114"/>
      <c r="G254" s="114"/>
      <c r="H254" s="114"/>
      <c r="I254" s="114"/>
      <c r="J254" s="114"/>
      <c r="K254" s="114"/>
      <c r="L254" s="114"/>
      <c r="M254" s="114"/>
      <c r="N254" s="114"/>
      <c r="O254" s="114"/>
      <c r="P254" s="114"/>
      <c r="Q254" s="114"/>
      <c r="R254" s="114"/>
      <c r="S254" s="114"/>
      <c r="T254" s="114"/>
      <c r="U254" s="114"/>
      <c r="V254" s="114"/>
      <c r="W254" s="114"/>
      <c r="X254" s="114"/>
      <c r="Y254" s="114"/>
    </row>
    <row r="255">
      <c r="A255" s="1"/>
      <c r="B255" s="113"/>
      <c r="D255" s="113"/>
      <c r="E255" s="114"/>
      <c r="F255" s="114"/>
      <c r="G255" s="114"/>
      <c r="H255" s="114"/>
      <c r="I255" s="114"/>
      <c r="J255" s="114"/>
      <c r="K255" s="114"/>
      <c r="L255" s="114"/>
      <c r="M255" s="114"/>
      <c r="N255" s="114"/>
      <c r="O255" s="114"/>
      <c r="P255" s="114"/>
      <c r="Q255" s="114"/>
      <c r="R255" s="114"/>
      <c r="S255" s="114"/>
      <c r="T255" s="114"/>
      <c r="U255" s="114"/>
      <c r="V255" s="114"/>
      <c r="W255" s="114"/>
      <c r="X255" s="114"/>
      <c r="Y255" s="114"/>
    </row>
    <row r="256">
      <c r="A256" s="1"/>
      <c r="B256" s="113"/>
      <c r="D256" s="113"/>
      <c r="E256" s="114"/>
      <c r="F256" s="114"/>
      <c r="G256" s="114"/>
      <c r="H256" s="114"/>
      <c r="I256" s="114"/>
      <c r="J256" s="114"/>
      <c r="K256" s="114"/>
      <c r="L256" s="114"/>
      <c r="M256" s="114"/>
      <c r="N256" s="114"/>
      <c r="O256" s="114"/>
      <c r="P256" s="114"/>
      <c r="Q256" s="114"/>
      <c r="R256" s="114"/>
      <c r="S256" s="114"/>
      <c r="T256" s="114"/>
      <c r="U256" s="114"/>
      <c r="V256" s="114"/>
      <c r="W256" s="114"/>
      <c r="X256" s="114"/>
      <c r="Y256" s="114"/>
    </row>
    <row r="257">
      <c r="A257" s="1"/>
      <c r="B257" s="113"/>
      <c r="D257" s="113"/>
      <c r="E257" s="114"/>
      <c r="F257" s="114"/>
      <c r="G257" s="114"/>
      <c r="H257" s="114"/>
      <c r="I257" s="114"/>
      <c r="J257" s="114"/>
      <c r="K257" s="114"/>
      <c r="L257" s="114"/>
      <c r="M257" s="114"/>
      <c r="N257" s="114"/>
      <c r="O257" s="114"/>
      <c r="P257" s="114"/>
      <c r="Q257" s="114"/>
      <c r="R257" s="114"/>
      <c r="S257" s="114"/>
      <c r="T257" s="114"/>
      <c r="U257" s="114"/>
      <c r="V257" s="114"/>
      <c r="W257" s="114"/>
      <c r="X257" s="114"/>
      <c r="Y257" s="114"/>
    </row>
    <row r="258">
      <c r="A258" s="1"/>
      <c r="B258" s="113"/>
      <c r="D258" s="113"/>
      <c r="E258" s="114"/>
      <c r="F258" s="114"/>
      <c r="G258" s="114"/>
      <c r="H258" s="114"/>
      <c r="I258" s="114"/>
      <c r="J258" s="114"/>
      <c r="K258" s="114"/>
      <c r="L258" s="114"/>
      <c r="M258" s="114"/>
      <c r="N258" s="114"/>
      <c r="O258" s="114"/>
      <c r="P258" s="114"/>
      <c r="Q258" s="114"/>
      <c r="R258" s="114"/>
      <c r="S258" s="114"/>
      <c r="T258" s="114"/>
      <c r="U258" s="114"/>
      <c r="V258" s="114"/>
      <c r="W258" s="114"/>
      <c r="X258" s="114"/>
      <c r="Y258" s="114"/>
    </row>
    <row r="259">
      <c r="A259" s="1"/>
      <c r="B259" s="113"/>
      <c r="D259" s="113"/>
      <c r="E259" s="114"/>
      <c r="F259" s="114"/>
      <c r="G259" s="114"/>
      <c r="H259" s="114"/>
      <c r="I259" s="114"/>
      <c r="J259" s="114"/>
      <c r="K259" s="114"/>
      <c r="L259" s="114"/>
      <c r="M259" s="114"/>
      <c r="N259" s="114"/>
      <c r="O259" s="114"/>
      <c r="P259" s="114"/>
      <c r="Q259" s="114"/>
      <c r="R259" s="114"/>
      <c r="S259" s="114"/>
      <c r="T259" s="114"/>
      <c r="U259" s="114"/>
      <c r="V259" s="114"/>
      <c r="W259" s="114"/>
      <c r="X259" s="114"/>
      <c r="Y259" s="114"/>
    </row>
    <row r="260">
      <c r="A260" s="1"/>
      <c r="B260" s="113"/>
      <c r="D260" s="113"/>
      <c r="E260" s="114"/>
      <c r="F260" s="114"/>
      <c r="G260" s="114"/>
      <c r="H260" s="114"/>
      <c r="I260" s="114"/>
      <c r="J260" s="114"/>
      <c r="K260" s="114"/>
      <c r="L260" s="114"/>
      <c r="M260" s="114"/>
      <c r="N260" s="114"/>
      <c r="O260" s="114"/>
      <c r="P260" s="114"/>
      <c r="Q260" s="114"/>
      <c r="R260" s="114"/>
      <c r="S260" s="114"/>
      <c r="T260" s="114"/>
      <c r="U260" s="114"/>
      <c r="V260" s="114"/>
      <c r="W260" s="114"/>
      <c r="X260" s="114"/>
      <c r="Y260" s="114"/>
    </row>
    <row r="261">
      <c r="A261" s="1"/>
      <c r="B261" s="113"/>
      <c r="D261" s="113"/>
      <c r="E261" s="114"/>
      <c r="F261" s="114"/>
      <c r="G261" s="114"/>
      <c r="H261" s="114"/>
      <c r="I261" s="114"/>
      <c r="J261" s="114"/>
      <c r="K261" s="114"/>
      <c r="L261" s="114"/>
      <c r="M261" s="114"/>
      <c r="N261" s="114"/>
      <c r="O261" s="114"/>
      <c r="P261" s="114"/>
      <c r="Q261" s="114"/>
      <c r="R261" s="114"/>
      <c r="S261" s="114"/>
      <c r="T261" s="114"/>
      <c r="U261" s="114"/>
      <c r="V261" s="114"/>
      <c r="W261" s="114"/>
      <c r="X261" s="114"/>
      <c r="Y261" s="114"/>
    </row>
    <row r="262">
      <c r="A262" s="1"/>
      <c r="B262" s="113"/>
      <c r="D262" s="113"/>
      <c r="E262" s="114"/>
      <c r="F262" s="114"/>
      <c r="G262" s="114"/>
      <c r="H262" s="114"/>
      <c r="I262" s="114"/>
      <c r="J262" s="114"/>
      <c r="K262" s="114"/>
      <c r="L262" s="114"/>
      <c r="M262" s="114"/>
      <c r="N262" s="114"/>
      <c r="O262" s="114"/>
      <c r="P262" s="114"/>
      <c r="Q262" s="114"/>
      <c r="R262" s="114"/>
      <c r="S262" s="114"/>
      <c r="T262" s="114"/>
      <c r="U262" s="114"/>
      <c r="V262" s="114"/>
      <c r="W262" s="114"/>
      <c r="X262" s="114"/>
      <c r="Y262" s="114"/>
    </row>
    <row r="263">
      <c r="A263" s="1"/>
      <c r="B263" s="113"/>
      <c r="D263" s="113"/>
      <c r="E263" s="114"/>
      <c r="F263" s="114"/>
      <c r="G263" s="114"/>
      <c r="H263" s="114"/>
      <c r="I263" s="114"/>
      <c r="J263" s="114"/>
      <c r="K263" s="114"/>
      <c r="L263" s="114"/>
      <c r="M263" s="114"/>
      <c r="N263" s="114"/>
      <c r="O263" s="114"/>
      <c r="P263" s="114"/>
      <c r="Q263" s="114"/>
      <c r="R263" s="114"/>
      <c r="S263" s="114"/>
      <c r="T263" s="114"/>
      <c r="U263" s="114"/>
      <c r="V263" s="114"/>
      <c r="W263" s="114"/>
      <c r="X263" s="114"/>
      <c r="Y263" s="114"/>
    </row>
    <row r="264">
      <c r="A264" s="1"/>
      <c r="B264" s="113"/>
      <c r="D264" s="113"/>
      <c r="E264" s="114"/>
      <c r="F264" s="114"/>
      <c r="G264" s="114"/>
      <c r="H264" s="114"/>
      <c r="I264" s="114"/>
      <c r="J264" s="114"/>
      <c r="K264" s="114"/>
      <c r="L264" s="114"/>
      <c r="M264" s="114"/>
      <c r="N264" s="114"/>
      <c r="O264" s="114"/>
      <c r="P264" s="114"/>
      <c r="Q264" s="114"/>
      <c r="R264" s="114"/>
      <c r="S264" s="114"/>
      <c r="T264" s="114"/>
      <c r="U264" s="114"/>
      <c r="V264" s="114"/>
      <c r="W264" s="114"/>
      <c r="X264" s="114"/>
      <c r="Y264" s="114"/>
    </row>
    <row r="265">
      <c r="A265" s="1"/>
      <c r="B265" s="113"/>
      <c r="D265" s="113"/>
      <c r="E265" s="114"/>
      <c r="F265" s="114"/>
      <c r="G265" s="114"/>
      <c r="H265" s="114"/>
      <c r="I265" s="114"/>
      <c r="J265" s="114"/>
      <c r="K265" s="114"/>
      <c r="L265" s="114"/>
      <c r="M265" s="114"/>
      <c r="N265" s="114"/>
      <c r="O265" s="114"/>
      <c r="P265" s="114"/>
      <c r="Q265" s="114"/>
      <c r="R265" s="114"/>
      <c r="S265" s="114"/>
      <c r="T265" s="114"/>
      <c r="U265" s="114"/>
      <c r="V265" s="114"/>
      <c r="W265" s="114"/>
      <c r="X265" s="114"/>
      <c r="Y265" s="114"/>
    </row>
    <row r="266">
      <c r="A266" s="1"/>
      <c r="B266" s="113"/>
      <c r="D266" s="113"/>
      <c r="E266" s="114"/>
      <c r="F266" s="114"/>
      <c r="G266" s="114"/>
      <c r="H266" s="114"/>
      <c r="I266" s="114"/>
      <c r="J266" s="114"/>
      <c r="K266" s="114"/>
      <c r="L266" s="114"/>
      <c r="M266" s="114"/>
      <c r="N266" s="114"/>
      <c r="O266" s="114"/>
      <c r="P266" s="114"/>
      <c r="Q266" s="114"/>
      <c r="R266" s="114"/>
      <c r="S266" s="114"/>
      <c r="T266" s="114"/>
      <c r="U266" s="114"/>
      <c r="V266" s="114"/>
      <c r="W266" s="114"/>
      <c r="X266" s="114"/>
      <c r="Y266" s="114"/>
    </row>
    <row r="267">
      <c r="A267" s="1"/>
      <c r="B267" s="113"/>
      <c r="D267" s="113"/>
      <c r="E267" s="114"/>
      <c r="F267" s="114"/>
      <c r="G267" s="114"/>
      <c r="H267" s="114"/>
      <c r="I267" s="114"/>
      <c r="J267" s="114"/>
      <c r="K267" s="114"/>
      <c r="L267" s="114"/>
      <c r="M267" s="114"/>
      <c r="N267" s="114"/>
      <c r="O267" s="114"/>
      <c r="P267" s="114"/>
      <c r="Q267" s="114"/>
      <c r="R267" s="114"/>
      <c r="S267" s="114"/>
      <c r="T267" s="114"/>
      <c r="U267" s="114"/>
      <c r="V267" s="114"/>
      <c r="W267" s="114"/>
      <c r="X267" s="114"/>
      <c r="Y267" s="114"/>
    </row>
    <row r="268">
      <c r="A268" s="1"/>
      <c r="B268" s="113"/>
      <c r="D268" s="113"/>
      <c r="E268" s="114"/>
      <c r="F268" s="114"/>
      <c r="G268" s="114"/>
      <c r="H268" s="114"/>
      <c r="I268" s="114"/>
      <c r="J268" s="114"/>
      <c r="K268" s="114"/>
      <c r="L268" s="114"/>
      <c r="M268" s="114"/>
      <c r="N268" s="114"/>
      <c r="O268" s="114"/>
      <c r="P268" s="114"/>
      <c r="Q268" s="114"/>
      <c r="R268" s="114"/>
      <c r="S268" s="114"/>
      <c r="T268" s="114"/>
      <c r="U268" s="114"/>
      <c r="V268" s="114"/>
      <c r="W268" s="114"/>
      <c r="X268" s="114"/>
      <c r="Y268" s="114"/>
    </row>
    <row r="269">
      <c r="A269" s="1"/>
      <c r="B269" s="113"/>
      <c r="D269" s="113"/>
      <c r="E269" s="114"/>
      <c r="F269" s="114"/>
      <c r="G269" s="114"/>
      <c r="H269" s="114"/>
      <c r="I269" s="114"/>
      <c r="J269" s="114"/>
      <c r="K269" s="114"/>
      <c r="L269" s="114"/>
      <c r="M269" s="114"/>
      <c r="N269" s="114"/>
      <c r="O269" s="114"/>
      <c r="P269" s="114"/>
      <c r="Q269" s="114"/>
      <c r="R269" s="114"/>
      <c r="S269" s="114"/>
      <c r="T269" s="114"/>
      <c r="U269" s="114"/>
      <c r="V269" s="114"/>
      <c r="W269" s="114"/>
      <c r="X269" s="114"/>
      <c r="Y269" s="114"/>
    </row>
    <row r="270">
      <c r="A270" s="1"/>
      <c r="B270" s="113"/>
      <c r="D270" s="113"/>
      <c r="E270" s="114"/>
      <c r="F270" s="114"/>
      <c r="G270" s="114"/>
      <c r="H270" s="114"/>
      <c r="I270" s="114"/>
      <c r="J270" s="114"/>
      <c r="K270" s="114"/>
      <c r="L270" s="114"/>
      <c r="M270" s="114"/>
      <c r="N270" s="114"/>
      <c r="O270" s="114"/>
      <c r="P270" s="114"/>
      <c r="Q270" s="114"/>
      <c r="R270" s="114"/>
      <c r="S270" s="114"/>
      <c r="T270" s="114"/>
      <c r="U270" s="114"/>
      <c r="V270" s="114"/>
      <c r="W270" s="114"/>
      <c r="X270" s="114"/>
      <c r="Y270" s="114"/>
    </row>
    <row r="271">
      <c r="A271" s="1"/>
      <c r="B271" s="113"/>
      <c r="D271" s="113"/>
      <c r="E271" s="114"/>
      <c r="F271" s="114"/>
      <c r="G271" s="114"/>
      <c r="H271" s="114"/>
      <c r="I271" s="114"/>
      <c r="J271" s="114"/>
      <c r="K271" s="114"/>
      <c r="L271" s="114"/>
      <c r="M271" s="114"/>
      <c r="N271" s="114"/>
      <c r="O271" s="114"/>
      <c r="P271" s="114"/>
      <c r="Q271" s="114"/>
      <c r="R271" s="114"/>
      <c r="S271" s="114"/>
      <c r="T271" s="114"/>
      <c r="U271" s="114"/>
      <c r="V271" s="114"/>
      <c r="W271" s="114"/>
      <c r="X271" s="114"/>
      <c r="Y271" s="114"/>
    </row>
    <row r="272">
      <c r="A272" s="1"/>
      <c r="B272" s="113"/>
      <c r="D272" s="113"/>
      <c r="E272" s="114"/>
      <c r="F272" s="114"/>
      <c r="G272" s="114"/>
      <c r="H272" s="114"/>
      <c r="I272" s="114"/>
      <c r="J272" s="114"/>
      <c r="K272" s="114"/>
      <c r="L272" s="114"/>
      <c r="M272" s="114"/>
      <c r="N272" s="114"/>
      <c r="O272" s="114"/>
      <c r="P272" s="114"/>
      <c r="Q272" s="114"/>
      <c r="R272" s="114"/>
      <c r="S272" s="114"/>
      <c r="T272" s="114"/>
      <c r="U272" s="114"/>
      <c r="V272" s="114"/>
      <c r="W272" s="114"/>
      <c r="X272" s="114"/>
      <c r="Y272" s="114"/>
    </row>
    <row r="273">
      <c r="A273" s="1"/>
      <c r="B273" s="113"/>
      <c r="D273" s="113"/>
      <c r="E273" s="114"/>
      <c r="F273" s="114"/>
      <c r="G273" s="114"/>
      <c r="H273" s="114"/>
      <c r="I273" s="114"/>
      <c r="J273" s="114"/>
      <c r="K273" s="114"/>
      <c r="L273" s="114"/>
      <c r="M273" s="114"/>
      <c r="N273" s="114"/>
      <c r="O273" s="114"/>
      <c r="P273" s="114"/>
      <c r="Q273" s="114"/>
      <c r="R273" s="114"/>
      <c r="S273" s="114"/>
      <c r="T273" s="114"/>
      <c r="U273" s="114"/>
      <c r="V273" s="114"/>
      <c r="W273" s="114"/>
      <c r="X273" s="114"/>
      <c r="Y273" s="114"/>
    </row>
    <row r="274">
      <c r="A274" s="1"/>
      <c r="B274" s="113"/>
      <c r="D274" s="113"/>
      <c r="E274" s="114"/>
      <c r="F274" s="114"/>
      <c r="G274" s="114"/>
      <c r="H274" s="114"/>
      <c r="I274" s="114"/>
      <c r="J274" s="114"/>
      <c r="K274" s="114"/>
      <c r="L274" s="114"/>
      <c r="M274" s="114"/>
      <c r="N274" s="114"/>
      <c r="O274" s="114"/>
      <c r="P274" s="114"/>
      <c r="Q274" s="114"/>
      <c r="R274" s="114"/>
      <c r="S274" s="114"/>
      <c r="T274" s="114"/>
      <c r="U274" s="114"/>
      <c r="V274" s="114"/>
      <c r="W274" s="114"/>
      <c r="X274" s="114"/>
      <c r="Y274" s="114"/>
    </row>
    <row r="275">
      <c r="A275" s="1"/>
      <c r="B275" s="113"/>
      <c r="D275" s="113"/>
      <c r="E275" s="114"/>
      <c r="F275" s="114"/>
      <c r="G275" s="114"/>
      <c r="H275" s="114"/>
      <c r="I275" s="114"/>
      <c r="J275" s="114"/>
      <c r="K275" s="114"/>
      <c r="L275" s="114"/>
      <c r="M275" s="114"/>
      <c r="N275" s="114"/>
      <c r="O275" s="114"/>
      <c r="P275" s="114"/>
      <c r="Q275" s="114"/>
      <c r="R275" s="114"/>
      <c r="S275" s="114"/>
      <c r="T275" s="114"/>
      <c r="U275" s="114"/>
      <c r="V275" s="114"/>
      <c r="W275" s="114"/>
      <c r="X275" s="114"/>
      <c r="Y275" s="114"/>
    </row>
    <row r="276">
      <c r="A276" s="1"/>
      <c r="B276" s="113"/>
      <c r="D276" s="113"/>
      <c r="E276" s="114"/>
      <c r="F276" s="114"/>
      <c r="G276" s="114"/>
      <c r="H276" s="114"/>
      <c r="I276" s="114"/>
      <c r="J276" s="114"/>
      <c r="K276" s="114"/>
      <c r="L276" s="114"/>
      <c r="M276" s="114"/>
      <c r="N276" s="114"/>
      <c r="O276" s="114"/>
      <c r="P276" s="114"/>
      <c r="Q276" s="114"/>
      <c r="R276" s="114"/>
      <c r="S276" s="114"/>
      <c r="T276" s="114"/>
      <c r="U276" s="114"/>
      <c r="V276" s="114"/>
      <c r="W276" s="114"/>
      <c r="X276" s="114"/>
      <c r="Y276" s="114"/>
    </row>
    <row r="277">
      <c r="A277" s="1"/>
      <c r="B277" s="113"/>
      <c r="D277" s="113"/>
      <c r="E277" s="114"/>
      <c r="F277" s="114"/>
      <c r="G277" s="114"/>
      <c r="H277" s="114"/>
      <c r="I277" s="114"/>
      <c r="J277" s="114"/>
      <c r="K277" s="114"/>
      <c r="L277" s="114"/>
      <c r="M277" s="114"/>
      <c r="N277" s="114"/>
      <c r="O277" s="114"/>
      <c r="P277" s="114"/>
      <c r="Q277" s="114"/>
      <c r="R277" s="114"/>
      <c r="S277" s="114"/>
      <c r="T277" s="114"/>
      <c r="U277" s="114"/>
      <c r="V277" s="114"/>
      <c r="W277" s="114"/>
      <c r="X277" s="114"/>
      <c r="Y277" s="114"/>
    </row>
    <row r="278">
      <c r="A278" s="1"/>
      <c r="B278" s="113"/>
      <c r="D278" s="113"/>
      <c r="E278" s="114"/>
      <c r="F278" s="114"/>
      <c r="G278" s="114"/>
      <c r="H278" s="114"/>
      <c r="I278" s="114"/>
      <c r="J278" s="114"/>
      <c r="K278" s="114"/>
      <c r="L278" s="114"/>
      <c r="M278" s="114"/>
      <c r="N278" s="114"/>
      <c r="O278" s="114"/>
      <c r="P278" s="114"/>
      <c r="Q278" s="114"/>
      <c r="R278" s="114"/>
      <c r="S278" s="114"/>
      <c r="T278" s="114"/>
      <c r="U278" s="114"/>
      <c r="V278" s="114"/>
      <c r="W278" s="114"/>
      <c r="X278" s="114"/>
      <c r="Y278" s="114"/>
    </row>
    <row r="279">
      <c r="A279" s="1"/>
      <c r="B279" s="113"/>
      <c r="D279" s="113"/>
      <c r="E279" s="114"/>
      <c r="F279" s="114"/>
      <c r="G279" s="114"/>
      <c r="H279" s="114"/>
      <c r="I279" s="114"/>
      <c r="J279" s="114"/>
      <c r="K279" s="114"/>
      <c r="L279" s="114"/>
      <c r="M279" s="114"/>
      <c r="N279" s="114"/>
      <c r="O279" s="114"/>
      <c r="P279" s="114"/>
      <c r="Q279" s="114"/>
      <c r="R279" s="114"/>
      <c r="S279" s="114"/>
      <c r="T279" s="114"/>
      <c r="U279" s="114"/>
      <c r="V279" s="114"/>
      <c r="W279" s="114"/>
      <c r="X279" s="114"/>
      <c r="Y279" s="114"/>
    </row>
    <row r="280">
      <c r="A280" s="1"/>
      <c r="B280" s="113"/>
      <c r="D280" s="113"/>
      <c r="E280" s="114"/>
      <c r="F280" s="114"/>
      <c r="G280" s="114"/>
      <c r="H280" s="114"/>
      <c r="I280" s="114"/>
      <c r="J280" s="114"/>
      <c r="K280" s="114"/>
      <c r="L280" s="114"/>
      <c r="M280" s="114"/>
      <c r="N280" s="114"/>
      <c r="O280" s="114"/>
      <c r="P280" s="114"/>
      <c r="Q280" s="114"/>
      <c r="R280" s="114"/>
      <c r="S280" s="114"/>
      <c r="T280" s="114"/>
      <c r="U280" s="114"/>
      <c r="V280" s="114"/>
      <c r="W280" s="114"/>
      <c r="X280" s="114"/>
      <c r="Y280" s="114"/>
    </row>
    <row r="281">
      <c r="A281" s="1"/>
      <c r="B281" s="113"/>
      <c r="D281" s="113"/>
      <c r="E281" s="114"/>
      <c r="F281" s="114"/>
      <c r="G281" s="114"/>
      <c r="H281" s="114"/>
      <c r="I281" s="114"/>
      <c r="J281" s="114"/>
      <c r="K281" s="114"/>
      <c r="L281" s="114"/>
      <c r="M281" s="114"/>
      <c r="N281" s="114"/>
      <c r="O281" s="114"/>
      <c r="P281" s="114"/>
      <c r="Q281" s="114"/>
      <c r="R281" s="114"/>
      <c r="S281" s="114"/>
      <c r="T281" s="114"/>
      <c r="U281" s="114"/>
      <c r="V281" s="114"/>
      <c r="W281" s="114"/>
      <c r="X281" s="114"/>
      <c r="Y281" s="114"/>
    </row>
    <row r="282">
      <c r="A282" s="1"/>
      <c r="B282" s="113"/>
      <c r="D282" s="113"/>
      <c r="E282" s="114"/>
      <c r="F282" s="114"/>
      <c r="G282" s="114"/>
      <c r="H282" s="114"/>
      <c r="I282" s="114"/>
      <c r="J282" s="114"/>
      <c r="K282" s="114"/>
      <c r="L282" s="114"/>
      <c r="M282" s="114"/>
      <c r="N282" s="114"/>
      <c r="O282" s="114"/>
      <c r="P282" s="114"/>
      <c r="Q282" s="114"/>
      <c r="R282" s="114"/>
      <c r="S282" s="114"/>
      <c r="T282" s="114"/>
      <c r="U282" s="114"/>
      <c r="V282" s="114"/>
      <c r="W282" s="114"/>
      <c r="X282" s="114"/>
      <c r="Y282" s="114"/>
    </row>
    <row r="283">
      <c r="A283" s="1"/>
      <c r="B283" s="113"/>
      <c r="D283" s="113"/>
      <c r="E283" s="114"/>
      <c r="F283" s="114"/>
      <c r="G283" s="114"/>
      <c r="H283" s="114"/>
      <c r="I283" s="114"/>
      <c r="J283" s="114"/>
      <c r="K283" s="114"/>
      <c r="L283" s="114"/>
      <c r="M283" s="114"/>
      <c r="N283" s="114"/>
      <c r="O283" s="114"/>
      <c r="P283" s="114"/>
      <c r="Q283" s="114"/>
      <c r="R283" s="114"/>
      <c r="S283" s="114"/>
      <c r="T283" s="114"/>
      <c r="U283" s="114"/>
      <c r="V283" s="114"/>
      <c r="W283" s="114"/>
      <c r="X283" s="114"/>
      <c r="Y283" s="114"/>
    </row>
    <row r="284">
      <c r="A284" s="1"/>
      <c r="B284" s="113"/>
      <c r="D284" s="113"/>
      <c r="E284" s="114"/>
      <c r="F284" s="114"/>
      <c r="G284" s="114"/>
      <c r="H284" s="114"/>
      <c r="I284" s="114"/>
      <c r="J284" s="114"/>
      <c r="K284" s="114"/>
      <c r="L284" s="114"/>
      <c r="M284" s="114"/>
      <c r="N284" s="114"/>
      <c r="O284" s="114"/>
      <c r="P284" s="114"/>
      <c r="Q284" s="114"/>
      <c r="R284" s="114"/>
      <c r="S284" s="114"/>
      <c r="T284" s="114"/>
      <c r="U284" s="114"/>
      <c r="V284" s="114"/>
      <c r="W284" s="114"/>
      <c r="X284" s="114"/>
      <c r="Y284" s="114"/>
    </row>
    <row r="285">
      <c r="A285" s="1"/>
      <c r="B285" s="113"/>
      <c r="D285" s="113"/>
      <c r="E285" s="114"/>
      <c r="F285" s="114"/>
      <c r="G285" s="114"/>
      <c r="H285" s="114"/>
      <c r="I285" s="114"/>
      <c r="J285" s="114"/>
      <c r="K285" s="114"/>
      <c r="L285" s="114"/>
      <c r="M285" s="114"/>
      <c r="N285" s="114"/>
      <c r="O285" s="114"/>
      <c r="P285" s="114"/>
      <c r="Q285" s="114"/>
      <c r="R285" s="114"/>
      <c r="S285" s="114"/>
      <c r="T285" s="114"/>
      <c r="U285" s="114"/>
      <c r="V285" s="114"/>
      <c r="W285" s="114"/>
      <c r="X285" s="114"/>
      <c r="Y285" s="114"/>
    </row>
    <row r="286">
      <c r="A286" s="1"/>
      <c r="B286" s="113"/>
      <c r="D286" s="113"/>
      <c r="E286" s="114"/>
      <c r="F286" s="114"/>
      <c r="G286" s="114"/>
      <c r="H286" s="114"/>
      <c r="I286" s="114"/>
      <c r="J286" s="114"/>
      <c r="K286" s="114"/>
      <c r="L286" s="114"/>
      <c r="M286" s="114"/>
      <c r="N286" s="114"/>
      <c r="O286" s="114"/>
      <c r="P286" s="114"/>
      <c r="Q286" s="114"/>
      <c r="R286" s="114"/>
      <c r="S286" s="114"/>
      <c r="T286" s="114"/>
      <c r="U286" s="114"/>
      <c r="V286" s="114"/>
      <c r="W286" s="114"/>
      <c r="X286" s="114"/>
      <c r="Y286" s="114"/>
    </row>
    <row r="287">
      <c r="A287" s="1"/>
      <c r="B287" s="113"/>
      <c r="D287" s="113"/>
      <c r="E287" s="114"/>
      <c r="F287" s="114"/>
      <c r="G287" s="114"/>
      <c r="H287" s="114"/>
      <c r="I287" s="114"/>
      <c r="J287" s="114"/>
      <c r="K287" s="114"/>
      <c r="L287" s="114"/>
      <c r="M287" s="114"/>
      <c r="N287" s="114"/>
      <c r="O287" s="114"/>
      <c r="P287" s="114"/>
      <c r="Q287" s="114"/>
      <c r="R287" s="114"/>
      <c r="S287" s="114"/>
      <c r="T287" s="114"/>
      <c r="U287" s="114"/>
      <c r="V287" s="114"/>
      <c r="W287" s="114"/>
      <c r="X287" s="114"/>
      <c r="Y287" s="114"/>
    </row>
    <row r="288">
      <c r="A288" s="1"/>
      <c r="B288" s="113"/>
      <c r="D288" s="113"/>
      <c r="E288" s="114"/>
      <c r="F288" s="114"/>
      <c r="G288" s="114"/>
      <c r="H288" s="114"/>
      <c r="I288" s="114"/>
      <c r="J288" s="114"/>
      <c r="K288" s="114"/>
      <c r="L288" s="114"/>
      <c r="M288" s="114"/>
      <c r="N288" s="114"/>
      <c r="O288" s="114"/>
      <c r="P288" s="114"/>
      <c r="Q288" s="114"/>
      <c r="R288" s="114"/>
      <c r="S288" s="114"/>
      <c r="T288" s="114"/>
      <c r="U288" s="114"/>
      <c r="V288" s="114"/>
      <c r="W288" s="114"/>
      <c r="X288" s="114"/>
      <c r="Y288" s="114"/>
    </row>
    <row r="289">
      <c r="A289" s="1"/>
      <c r="B289" s="113"/>
      <c r="D289" s="113"/>
      <c r="E289" s="114"/>
      <c r="F289" s="114"/>
      <c r="G289" s="114"/>
      <c r="H289" s="114"/>
      <c r="I289" s="114"/>
      <c r="J289" s="114"/>
      <c r="K289" s="114"/>
      <c r="L289" s="114"/>
      <c r="M289" s="114"/>
      <c r="N289" s="114"/>
      <c r="O289" s="114"/>
      <c r="P289" s="114"/>
      <c r="Q289" s="114"/>
      <c r="R289" s="114"/>
      <c r="S289" s="114"/>
      <c r="T289" s="114"/>
      <c r="U289" s="114"/>
      <c r="V289" s="114"/>
      <c r="W289" s="114"/>
      <c r="X289" s="114"/>
      <c r="Y289" s="114"/>
    </row>
    <row r="290">
      <c r="A290" s="1"/>
      <c r="B290" s="113"/>
      <c r="D290" s="113"/>
      <c r="E290" s="114"/>
      <c r="F290" s="114"/>
      <c r="G290" s="114"/>
      <c r="H290" s="114"/>
      <c r="I290" s="114"/>
      <c r="J290" s="114"/>
      <c r="K290" s="114"/>
      <c r="L290" s="114"/>
      <c r="M290" s="114"/>
      <c r="N290" s="114"/>
      <c r="O290" s="114"/>
      <c r="P290" s="114"/>
      <c r="Q290" s="114"/>
      <c r="R290" s="114"/>
      <c r="S290" s="114"/>
      <c r="T290" s="114"/>
      <c r="U290" s="114"/>
      <c r="V290" s="114"/>
      <c r="W290" s="114"/>
      <c r="X290" s="114"/>
      <c r="Y290" s="114"/>
    </row>
    <row r="291">
      <c r="A291" s="1"/>
      <c r="B291" s="113"/>
      <c r="D291" s="113"/>
      <c r="E291" s="114"/>
      <c r="F291" s="114"/>
      <c r="G291" s="114"/>
      <c r="H291" s="114"/>
      <c r="I291" s="114"/>
      <c r="J291" s="114"/>
      <c r="K291" s="114"/>
      <c r="L291" s="114"/>
      <c r="M291" s="114"/>
      <c r="N291" s="114"/>
      <c r="O291" s="114"/>
      <c r="P291" s="114"/>
      <c r="Q291" s="114"/>
      <c r="R291" s="114"/>
      <c r="S291" s="114"/>
      <c r="T291" s="114"/>
      <c r="U291" s="114"/>
      <c r="V291" s="114"/>
      <c r="W291" s="114"/>
      <c r="X291" s="114"/>
      <c r="Y291" s="114"/>
    </row>
    <row r="292">
      <c r="A292" s="1"/>
      <c r="B292" s="113"/>
      <c r="D292" s="113"/>
      <c r="E292" s="114"/>
      <c r="F292" s="114"/>
      <c r="G292" s="114"/>
      <c r="H292" s="114"/>
      <c r="I292" s="114"/>
      <c r="J292" s="114"/>
      <c r="K292" s="114"/>
      <c r="L292" s="114"/>
      <c r="M292" s="114"/>
      <c r="N292" s="114"/>
      <c r="O292" s="114"/>
      <c r="P292" s="114"/>
      <c r="Q292" s="114"/>
      <c r="R292" s="114"/>
      <c r="S292" s="114"/>
      <c r="T292" s="114"/>
      <c r="U292" s="114"/>
      <c r="V292" s="114"/>
      <c r="W292" s="114"/>
      <c r="X292" s="114"/>
      <c r="Y292" s="114"/>
    </row>
    <row r="293">
      <c r="A293" s="1"/>
      <c r="B293" s="113"/>
      <c r="D293" s="113"/>
      <c r="E293" s="114"/>
      <c r="F293" s="114"/>
      <c r="G293" s="114"/>
      <c r="H293" s="114"/>
      <c r="I293" s="114"/>
      <c r="J293" s="114"/>
      <c r="K293" s="114"/>
      <c r="L293" s="114"/>
      <c r="M293" s="114"/>
      <c r="N293" s="114"/>
      <c r="O293" s="114"/>
      <c r="P293" s="114"/>
      <c r="Q293" s="114"/>
      <c r="R293" s="114"/>
      <c r="S293" s="114"/>
      <c r="T293" s="114"/>
      <c r="U293" s="114"/>
      <c r="V293" s="114"/>
      <c r="W293" s="114"/>
      <c r="X293" s="114"/>
      <c r="Y293" s="114"/>
    </row>
    <row r="294">
      <c r="A294" s="1"/>
      <c r="B294" s="113"/>
      <c r="D294" s="113"/>
      <c r="E294" s="114"/>
      <c r="F294" s="114"/>
      <c r="G294" s="114"/>
      <c r="H294" s="114"/>
      <c r="I294" s="114"/>
      <c r="J294" s="114"/>
      <c r="K294" s="114"/>
      <c r="L294" s="114"/>
      <c r="M294" s="114"/>
      <c r="N294" s="114"/>
      <c r="O294" s="114"/>
      <c r="P294" s="114"/>
      <c r="Q294" s="114"/>
      <c r="R294" s="114"/>
      <c r="S294" s="114"/>
      <c r="T294" s="114"/>
      <c r="U294" s="114"/>
      <c r="V294" s="114"/>
      <c r="W294" s="114"/>
      <c r="X294" s="114"/>
      <c r="Y294" s="114"/>
    </row>
    <row r="295">
      <c r="A295" s="1"/>
      <c r="B295" s="113"/>
      <c r="D295" s="113"/>
      <c r="E295" s="114"/>
      <c r="F295" s="114"/>
      <c r="G295" s="114"/>
      <c r="H295" s="114"/>
      <c r="I295" s="114"/>
      <c r="J295" s="114"/>
      <c r="K295" s="114"/>
      <c r="L295" s="114"/>
      <c r="M295" s="114"/>
      <c r="N295" s="114"/>
      <c r="O295" s="114"/>
      <c r="P295" s="114"/>
      <c r="Q295" s="114"/>
      <c r="R295" s="114"/>
      <c r="S295" s="114"/>
      <c r="T295" s="114"/>
      <c r="U295" s="114"/>
      <c r="V295" s="114"/>
      <c r="W295" s="114"/>
      <c r="X295" s="114"/>
      <c r="Y295" s="114"/>
    </row>
    <row r="296">
      <c r="A296" s="1"/>
      <c r="B296" s="113"/>
      <c r="D296" s="113"/>
      <c r="E296" s="114"/>
      <c r="F296" s="114"/>
      <c r="G296" s="114"/>
      <c r="H296" s="114"/>
      <c r="I296" s="114"/>
      <c r="J296" s="114"/>
      <c r="K296" s="114"/>
      <c r="L296" s="114"/>
      <c r="M296" s="114"/>
      <c r="N296" s="114"/>
      <c r="O296" s="114"/>
      <c r="P296" s="114"/>
      <c r="Q296" s="114"/>
      <c r="R296" s="114"/>
      <c r="S296" s="114"/>
      <c r="T296" s="114"/>
      <c r="U296" s="114"/>
      <c r="V296" s="114"/>
      <c r="W296" s="114"/>
      <c r="X296" s="114"/>
      <c r="Y296" s="114"/>
    </row>
    <row r="297">
      <c r="A297" s="1"/>
      <c r="B297" s="113"/>
      <c r="D297" s="113"/>
      <c r="E297" s="114"/>
      <c r="F297" s="114"/>
      <c r="G297" s="114"/>
      <c r="H297" s="114"/>
      <c r="I297" s="114"/>
      <c r="J297" s="114"/>
      <c r="K297" s="114"/>
      <c r="L297" s="114"/>
      <c r="M297" s="114"/>
      <c r="N297" s="114"/>
      <c r="O297" s="114"/>
      <c r="P297" s="114"/>
      <c r="Q297" s="114"/>
      <c r="R297" s="114"/>
      <c r="S297" s="114"/>
      <c r="T297" s="114"/>
      <c r="U297" s="114"/>
      <c r="V297" s="114"/>
      <c r="W297" s="114"/>
      <c r="X297" s="114"/>
      <c r="Y297" s="114"/>
    </row>
    <row r="298">
      <c r="A298" s="1"/>
      <c r="B298" s="113"/>
      <c r="D298" s="113"/>
      <c r="E298" s="114"/>
      <c r="F298" s="114"/>
      <c r="G298" s="114"/>
      <c r="H298" s="114"/>
      <c r="I298" s="114"/>
      <c r="J298" s="114"/>
      <c r="K298" s="114"/>
      <c r="L298" s="114"/>
      <c r="M298" s="114"/>
      <c r="N298" s="114"/>
      <c r="O298" s="114"/>
      <c r="P298" s="114"/>
      <c r="Q298" s="114"/>
      <c r="R298" s="114"/>
      <c r="S298" s="114"/>
      <c r="T298" s="114"/>
      <c r="U298" s="114"/>
      <c r="V298" s="114"/>
      <c r="W298" s="114"/>
      <c r="X298" s="114"/>
      <c r="Y298" s="114"/>
    </row>
    <row r="299">
      <c r="A299" s="1"/>
      <c r="B299" s="113"/>
      <c r="D299" s="113"/>
      <c r="E299" s="114"/>
      <c r="F299" s="114"/>
      <c r="G299" s="114"/>
      <c r="H299" s="114"/>
      <c r="I299" s="114"/>
      <c r="J299" s="114"/>
      <c r="K299" s="114"/>
      <c r="L299" s="114"/>
      <c r="M299" s="114"/>
      <c r="N299" s="114"/>
      <c r="O299" s="114"/>
      <c r="P299" s="114"/>
      <c r="Q299" s="114"/>
      <c r="R299" s="114"/>
      <c r="S299" s="114"/>
      <c r="T299" s="114"/>
      <c r="U299" s="114"/>
      <c r="V299" s="114"/>
      <c r="W299" s="114"/>
      <c r="X299" s="114"/>
      <c r="Y299" s="114"/>
    </row>
    <row r="300">
      <c r="A300" s="1"/>
      <c r="B300" s="113"/>
      <c r="D300" s="113"/>
      <c r="E300" s="114"/>
      <c r="F300" s="114"/>
      <c r="G300" s="114"/>
      <c r="H300" s="114"/>
      <c r="I300" s="114"/>
      <c r="J300" s="114"/>
      <c r="K300" s="114"/>
      <c r="L300" s="114"/>
      <c r="M300" s="114"/>
      <c r="N300" s="114"/>
      <c r="O300" s="114"/>
      <c r="P300" s="114"/>
      <c r="Q300" s="114"/>
      <c r="R300" s="114"/>
      <c r="S300" s="114"/>
      <c r="T300" s="114"/>
      <c r="U300" s="114"/>
      <c r="V300" s="114"/>
      <c r="W300" s="114"/>
      <c r="X300" s="114"/>
      <c r="Y300" s="114"/>
    </row>
    <row r="301">
      <c r="A301" s="1"/>
      <c r="B301" s="113"/>
      <c r="D301" s="113"/>
      <c r="E301" s="114"/>
      <c r="F301" s="114"/>
      <c r="G301" s="114"/>
      <c r="H301" s="114"/>
      <c r="I301" s="114"/>
      <c r="J301" s="114"/>
      <c r="K301" s="114"/>
      <c r="L301" s="114"/>
      <c r="M301" s="114"/>
      <c r="N301" s="114"/>
      <c r="O301" s="114"/>
      <c r="P301" s="114"/>
      <c r="Q301" s="114"/>
      <c r="R301" s="114"/>
      <c r="S301" s="114"/>
      <c r="T301" s="114"/>
      <c r="U301" s="114"/>
      <c r="V301" s="114"/>
      <c r="W301" s="114"/>
      <c r="X301" s="114"/>
      <c r="Y301" s="114"/>
    </row>
    <row r="302">
      <c r="A302" s="1"/>
      <c r="B302" s="113"/>
      <c r="D302" s="113"/>
      <c r="E302" s="114"/>
      <c r="F302" s="114"/>
      <c r="G302" s="114"/>
      <c r="H302" s="114"/>
      <c r="I302" s="114"/>
      <c r="J302" s="114"/>
      <c r="K302" s="114"/>
      <c r="L302" s="114"/>
      <c r="M302" s="114"/>
      <c r="N302" s="114"/>
      <c r="O302" s="114"/>
      <c r="P302" s="114"/>
      <c r="Q302" s="114"/>
      <c r="R302" s="114"/>
      <c r="S302" s="114"/>
      <c r="T302" s="114"/>
      <c r="U302" s="114"/>
      <c r="V302" s="114"/>
      <c r="W302" s="114"/>
      <c r="X302" s="114"/>
      <c r="Y302" s="114"/>
    </row>
    <row r="303">
      <c r="A303" s="1"/>
      <c r="B303" s="113"/>
      <c r="D303" s="113"/>
      <c r="E303" s="114"/>
      <c r="F303" s="114"/>
      <c r="G303" s="114"/>
      <c r="H303" s="114"/>
      <c r="I303" s="114"/>
      <c r="J303" s="114"/>
      <c r="K303" s="114"/>
      <c r="L303" s="114"/>
      <c r="M303" s="114"/>
      <c r="N303" s="114"/>
      <c r="O303" s="114"/>
      <c r="P303" s="114"/>
      <c r="Q303" s="114"/>
      <c r="R303" s="114"/>
      <c r="S303" s="114"/>
      <c r="T303" s="114"/>
      <c r="U303" s="114"/>
      <c r="V303" s="114"/>
      <c r="W303" s="114"/>
      <c r="X303" s="114"/>
      <c r="Y303" s="114"/>
    </row>
    <row r="304">
      <c r="A304" s="1"/>
      <c r="B304" s="113"/>
      <c r="D304" s="113"/>
      <c r="E304" s="114"/>
      <c r="F304" s="114"/>
      <c r="G304" s="114"/>
      <c r="H304" s="114"/>
      <c r="I304" s="114"/>
      <c r="J304" s="114"/>
      <c r="K304" s="114"/>
      <c r="L304" s="114"/>
      <c r="M304" s="114"/>
      <c r="N304" s="114"/>
      <c r="O304" s="114"/>
      <c r="P304" s="114"/>
      <c r="Q304" s="114"/>
      <c r="R304" s="114"/>
      <c r="S304" s="114"/>
      <c r="T304" s="114"/>
      <c r="U304" s="114"/>
      <c r="V304" s="114"/>
      <c r="W304" s="114"/>
      <c r="X304" s="114"/>
      <c r="Y304" s="114"/>
    </row>
    <row r="305">
      <c r="A305" s="1"/>
      <c r="B305" s="113"/>
      <c r="D305" s="113"/>
      <c r="E305" s="114"/>
      <c r="F305" s="114"/>
      <c r="G305" s="114"/>
      <c r="H305" s="114"/>
      <c r="I305" s="114"/>
      <c r="J305" s="114"/>
      <c r="K305" s="114"/>
      <c r="L305" s="114"/>
      <c r="M305" s="114"/>
      <c r="N305" s="114"/>
      <c r="O305" s="114"/>
      <c r="P305" s="114"/>
      <c r="Q305" s="114"/>
      <c r="R305" s="114"/>
      <c r="S305" s="114"/>
      <c r="T305" s="114"/>
      <c r="U305" s="114"/>
      <c r="V305" s="114"/>
      <c r="W305" s="114"/>
      <c r="X305" s="114"/>
      <c r="Y305" s="114"/>
    </row>
    <row r="306">
      <c r="A306" s="1"/>
      <c r="B306" s="113"/>
      <c r="D306" s="113"/>
      <c r="E306" s="114"/>
      <c r="F306" s="114"/>
      <c r="G306" s="114"/>
      <c r="H306" s="114"/>
      <c r="I306" s="114"/>
      <c r="J306" s="114"/>
      <c r="K306" s="114"/>
      <c r="L306" s="114"/>
      <c r="M306" s="114"/>
      <c r="N306" s="114"/>
      <c r="O306" s="114"/>
      <c r="P306" s="114"/>
      <c r="Q306" s="114"/>
      <c r="R306" s="114"/>
      <c r="S306" s="114"/>
      <c r="T306" s="114"/>
      <c r="U306" s="114"/>
      <c r="V306" s="114"/>
      <c r="W306" s="114"/>
      <c r="X306" s="114"/>
      <c r="Y306" s="114"/>
    </row>
    <row r="307">
      <c r="A307" s="1"/>
      <c r="B307" s="113"/>
      <c r="D307" s="113"/>
      <c r="E307" s="114"/>
      <c r="F307" s="114"/>
      <c r="G307" s="114"/>
      <c r="H307" s="114"/>
      <c r="I307" s="114"/>
      <c r="J307" s="114"/>
      <c r="K307" s="114"/>
      <c r="L307" s="114"/>
      <c r="M307" s="114"/>
      <c r="N307" s="114"/>
      <c r="O307" s="114"/>
      <c r="P307" s="114"/>
      <c r="Q307" s="114"/>
      <c r="R307" s="114"/>
      <c r="S307" s="114"/>
      <c r="T307" s="114"/>
      <c r="U307" s="114"/>
      <c r="V307" s="114"/>
      <c r="W307" s="114"/>
      <c r="X307" s="114"/>
      <c r="Y307" s="114"/>
    </row>
    <row r="308">
      <c r="A308" s="1"/>
      <c r="B308" s="113"/>
      <c r="D308" s="113"/>
      <c r="E308" s="114"/>
      <c r="F308" s="114"/>
      <c r="G308" s="114"/>
      <c r="H308" s="114"/>
      <c r="I308" s="114"/>
      <c r="J308" s="114"/>
      <c r="K308" s="114"/>
      <c r="L308" s="114"/>
      <c r="M308" s="114"/>
      <c r="N308" s="114"/>
      <c r="O308" s="114"/>
      <c r="P308" s="114"/>
      <c r="Q308" s="114"/>
      <c r="R308" s="114"/>
      <c r="S308" s="114"/>
      <c r="T308" s="114"/>
      <c r="U308" s="114"/>
      <c r="V308" s="114"/>
      <c r="W308" s="114"/>
      <c r="X308" s="114"/>
      <c r="Y308" s="114"/>
    </row>
    <row r="309">
      <c r="A309" s="1"/>
      <c r="B309" s="113"/>
      <c r="D309" s="113"/>
      <c r="E309" s="114"/>
      <c r="F309" s="114"/>
      <c r="G309" s="114"/>
      <c r="H309" s="114"/>
      <c r="I309" s="114"/>
      <c r="J309" s="114"/>
      <c r="K309" s="114"/>
      <c r="L309" s="114"/>
      <c r="M309" s="114"/>
      <c r="N309" s="114"/>
      <c r="O309" s="114"/>
      <c r="P309" s="114"/>
      <c r="Q309" s="114"/>
      <c r="R309" s="114"/>
      <c r="S309" s="114"/>
      <c r="T309" s="114"/>
      <c r="U309" s="114"/>
      <c r="V309" s="114"/>
      <c r="W309" s="114"/>
      <c r="X309" s="114"/>
      <c r="Y309" s="114"/>
    </row>
    <row r="310">
      <c r="A310" s="1"/>
      <c r="B310" s="113"/>
      <c r="D310" s="113"/>
      <c r="E310" s="114"/>
      <c r="F310" s="114"/>
      <c r="G310" s="114"/>
      <c r="H310" s="114"/>
      <c r="I310" s="114"/>
      <c r="J310" s="114"/>
      <c r="K310" s="114"/>
      <c r="L310" s="114"/>
      <c r="M310" s="114"/>
      <c r="N310" s="114"/>
      <c r="O310" s="114"/>
      <c r="P310" s="114"/>
      <c r="Q310" s="114"/>
      <c r="R310" s="114"/>
      <c r="S310" s="114"/>
      <c r="T310" s="114"/>
      <c r="U310" s="114"/>
      <c r="V310" s="114"/>
      <c r="W310" s="114"/>
      <c r="X310" s="114"/>
      <c r="Y310" s="114"/>
    </row>
    <row r="311">
      <c r="A311" s="1"/>
      <c r="B311" s="113"/>
      <c r="D311" s="113"/>
      <c r="E311" s="114"/>
      <c r="F311" s="114"/>
      <c r="G311" s="114"/>
      <c r="H311" s="114"/>
      <c r="I311" s="114"/>
      <c r="J311" s="114"/>
      <c r="K311" s="114"/>
      <c r="L311" s="114"/>
      <c r="M311" s="114"/>
      <c r="N311" s="114"/>
      <c r="O311" s="114"/>
      <c r="P311" s="114"/>
      <c r="Q311" s="114"/>
      <c r="R311" s="114"/>
      <c r="S311" s="114"/>
      <c r="T311" s="114"/>
      <c r="U311" s="114"/>
      <c r="V311" s="114"/>
      <c r="W311" s="114"/>
      <c r="X311" s="114"/>
      <c r="Y311" s="114"/>
    </row>
    <row r="312">
      <c r="A312" s="1"/>
      <c r="B312" s="113"/>
      <c r="D312" s="113"/>
      <c r="E312" s="114"/>
      <c r="F312" s="114"/>
      <c r="G312" s="114"/>
      <c r="H312" s="114"/>
      <c r="I312" s="114"/>
      <c r="J312" s="114"/>
      <c r="K312" s="114"/>
      <c r="L312" s="114"/>
      <c r="M312" s="114"/>
      <c r="N312" s="114"/>
      <c r="O312" s="114"/>
      <c r="P312" s="114"/>
      <c r="Q312" s="114"/>
      <c r="R312" s="114"/>
      <c r="S312" s="114"/>
      <c r="T312" s="114"/>
      <c r="U312" s="114"/>
      <c r="V312" s="114"/>
      <c r="W312" s="114"/>
      <c r="X312" s="114"/>
      <c r="Y312" s="114"/>
    </row>
    <row r="313">
      <c r="A313" s="1"/>
      <c r="B313" s="113"/>
      <c r="D313" s="113"/>
      <c r="E313" s="114"/>
      <c r="F313" s="114"/>
      <c r="G313" s="114"/>
      <c r="H313" s="114"/>
      <c r="I313" s="114"/>
      <c r="J313" s="114"/>
      <c r="K313" s="114"/>
      <c r="L313" s="114"/>
      <c r="M313" s="114"/>
      <c r="N313" s="114"/>
      <c r="O313" s="114"/>
      <c r="P313" s="114"/>
      <c r="Q313" s="114"/>
      <c r="R313" s="114"/>
      <c r="S313" s="114"/>
      <c r="T313" s="114"/>
      <c r="U313" s="114"/>
      <c r="V313" s="114"/>
      <c r="W313" s="114"/>
      <c r="X313" s="114"/>
      <c r="Y313" s="114"/>
    </row>
    <row r="314">
      <c r="A314" s="1"/>
      <c r="B314" s="113"/>
      <c r="D314" s="113"/>
      <c r="E314" s="114"/>
      <c r="F314" s="114"/>
      <c r="G314" s="114"/>
      <c r="H314" s="114"/>
      <c r="I314" s="114"/>
      <c r="J314" s="114"/>
      <c r="K314" s="114"/>
      <c r="L314" s="114"/>
      <c r="M314" s="114"/>
      <c r="N314" s="114"/>
      <c r="O314" s="114"/>
      <c r="P314" s="114"/>
      <c r="Q314" s="114"/>
      <c r="R314" s="114"/>
      <c r="S314" s="114"/>
      <c r="T314" s="114"/>
      <c r="U314" s="114"/>
      <c r="V314" s="114"/>
      <c r="W314" s="114"/>
      <c r="X314" s="114"/>
      <c r="Y314" s="114"/>
    </row>
    <row r="315">
      <c r="A315" s="1"/>
      <c r="B315" s="113"/>
      <c r="D315" s="113"/>
      <c r="E315" s="114"/>
      <c r="F315" s="114"/>
      <c r="G315" s="114"/>
      <c r="H315" s="114"/>
      <c r="I315" s="114"/>
      <c r="J315" s="114"/>
      <c r="K315" s="114"/>
      <c r="L315" s="114"/>
      <c r="M315" s="114"/>
      <c r="N315" s="114"/>
      <c r="O315" s="114"/>
      <c r="P315" s="114"/>
      <c r="Q315" s="114"/>
      <c r="R315" s="114"/>
      <c r="S315" s="114"/>
      <c r="T315" s="114"/>
      <c r="U315" s="114"/>
      <c r="V315" s="114"/>
      <c r="W315" s="114"/>
      <c r="X315" s="114"/>
      <c r="Y315" s="114"/>
    </row>
    <row r="316">
      <c r="A316" s="1"/>
      <c r="B316" s="113"/>
      <c r="D316" s="113"/>
      <c r="E316" s="114"/>
      <c r="F316" s="114"/>
      <c r="G316" s="114"/>
      <c r="H316" s="114"/>
      <c r="I316" s="114"/>
      <c r="J316" s="114"/>
      <c r="K316" s="114"/>
      <c r="L316" s="114"/>
      <c r="M316" s="114"/>
      <c r="N316" s="114"/>
      <c r="O316" s="114"/>
      <c r="P316" s="114"/>
      <c r="Q316" s="114"/>
      <c r="R316" s="114"/>
      <c r="S316" s="114"/>
      <c r="T316" s="114"/>
      <c r="U316" s="114"/>
      <c r="V316" s="114"/>
      <c r="W316" s="114"/>
      <c r="X316" s="114"/>
      <c r="Y316" s="114"/>
    </row>
    <row r="317">
      <c r="A317" s="1"/>
      <c r="B317" s="113"/>
      <c r="D317" s="113"/>
      <c r="E317" s="114"/>
      <c r="F317" s="114"/>
      <c r="G317" s="114"/>
      <c r="H317" s="114"/>
      <c r="I317" s="114"/>
      <c r="J317" s="114"/>
      <c r="K317" s="114"/>
      <c r="L317" s="114"/>
      <c r="M317" s="114"/>
      <c r="N317" s="114"/>
      <c r="O317" s="114"/>
      <c r="P317" s="114"/>
      <c r="Q317" s="114"/>
      <c r="R317" s="114"/>
      <c r="S317" s="114"/>
      <c r="T317" s="114"/>
      <c r="U317" s="114"/>
      <c r="V317" s="114"/>
      <c r="W317" s="114"/>
      <c r="X317" s="114"/>
      <c r="Y317" s="114"/>
    </row>
    <row r="318">
      <c r="A318" s="1"/>
      <c r="B318" s="113"/>
      <c r="D318" s="113"/>
      <c r="E318" s="114"/>
      <c r="F318" s="114"/>
      <c r="G318" s="114"/>
      <c r="H318" s="114"/>
      <c r="I318" s="114"/>
      <c r="J318" s="114"/>
      <c r="K318" s="114"/>
      <c r="L318" s="114"/>
      <c r="M318" s="114"/>
      <c r="N318" s="114"/>
      <c r="O318" s="114"/>
      <c r="P318" s="114"/>
      <c r="Q318" s="114"/>
      <c r="R318" s="114"/>
      <c r="S318" s="114"/>
      <c r="T318" s="114"/>
      <c r="U318" s="114"/>
      <c r="V318" s="114"/>
      <c r="W318" s="114"/>
      <c r="X318" s="114"/>
      <c r="Y318" s="114"/>
    </row>
    <row r="319">
      <c r="A319" s="1"/>
      <c r="B319" s="113"/>
      <c r="D319" s="113"/>
      <c r="E319" s="114"/>
      <c r="F319" s="114"/>
      <c r="G319" s="114"/>
      <c r="H319" s="114"/>
      <c r="I319" s="114"/>
      <c r="J319" s="114"/>
      <c r="K319" s="114"/>
      <c r="L319" s="114"/>
      <c r="M319" s="114"/>
      <c r="N319" s="114"/>
      <c r="O319" s="114"/>
      <c r="P319" s="114"/>
      <c r="Q319" s="114"/>
      <c r="R319" s="114"/>
      <c r="S319" s="114"/>
      <c r="T319" s="114"/>
      <c r="U319" s="114"/>
      <c r="V319" s="114"/>
      <c r="W319" s="114"/>
      <c r="X319" s="114"/>
      <c r="Y319" s="114"/>
    </row>
    <row r="320">
      <c r="A320" s="1"/>
      <c r="B320" s="113"/>
      <c r="D320" s="113"/>
      <c r="E320" s="114"/>
      <c r="F320" s="114"/>
      <c r="G320" s="114"/>
      <c r="H320" s="114"/>
      <c r="I320" s="114"/>
      <c r="J320" s="114"/>
      <c r="K320" s="114"/>
      <c r="L320" s="114"/>
      <c r="M320" s="114"/>
      <c r="N320" s="114"/>
      <c r="O320" s="114"/>
      <c r="P320" s="114"/>
      <c r="Q320" s="114"/>
      <c r="R320" s="114"/>
      <c r="S320" s="114"/>
      <c r="T320" s="114"/>
      <c r="U320" s="114"/>
      <c r="V320" s="114"/>
      <c r="W320" s="114"/>
      <c r="X320" s="114"/>
      <c r="Y320" s="114"/>
    </row>
    <row r="321">
      <c r="A321" s="1"/>
      <c r="B321" s="113"/>
      <c r="D321" s="113"/>
      <c r="E321" s="114"/>
      <c r="F321" s="114"/>
      <c r="G321" s="114"/>
      <c r="H321" s="114"/>
      <c r="I321" s="114"/>
      <c r="J321" s="114"/>
      <c r="K321" s="114"/>
      <c r="L321" s="114"/>
      <c r="M321" s="114"/>
      <c r="N321" s="114"/>
      <c r="O321" s="114"/>
      <c r="P321" s="114"/>
      <c r="Q321" s="114"/>
      <c r="R321" s="114"/>
      <c r="S321" s="114"/>
      <c r="T321" s="114"/>
      <c r="U321" s="114"/>
      <c r="V321" s="114"/>
      <c r="W321" s="114"/>
      <c r="X321" s="114"/>
      <c r="Y321" s="114"/>
    </row>
    <row r="322">
      <c r="A322" s="1"/>
      <c r="B322" s="113"/>
      <c r="D322" s="113"/>
      <c r="E322" s="114"/>
      <c r="F322" s="114"/>
      <c r="G322" s="114"/>
      <c r="H322" s="114"/>
      <c r="I322" s="114"/>
      <c r="J322" s="114"/>
      <c r="K322" s="114"/>
      <c r="L322" s="114"/>
      <c r="M322" s="114"/>
      <c r="N322" s="114"/>
      <c r="O322" s="114"/>
      <c r="P322" s="114"/>
      <c r="Q322" s="114"/>
      <c r="R322" s="114"/>
      <c r="S322" s="114"/>
      <c r="T322" s="114"/>
      <c r="U322" s="114"/>
      <c r="V322" s="114"/>
      <c r="W322" s="114"/>
      <c r="X322" s="114"/>
      <c r="Y322" s="114"/>
    </row>
    <row r="323">
      <c r="A323" s="1"/>
      <c r="B323" s="113"/>
      <c r="D323" s="113"/>
      <c r="E323" s="114"/>
      <c r="F323" s="114"/>
      <c r="G323" s="114"/>
      <c r="H323" s="114"/>
      <c r="I323" s="114"/>
      <c r="J323" s="114"/>
      <c r="K323" s="114"/>
      <c r="L323" s="114"/>
      <c r="M323" s="114"/>
      <c r="N323" s="114"/>
      <c r="O323" s="114"/>
      <c r="P323" s="114"/>
      <c r="Q323" s="114"/>
      <c r="R323" s="114"/>
      <c r="S323" s="114"/>
      <c r="T323" s="114"/>
      <c r="U323" s="114"/>
      <c r="V323" s="114"/>
      <c r="W323" s="114"/>
      <c r="X323" s="114"/>
      <c r="Y323" s="114"/>
    </row>
    <row r="324">
      <c r="A324" s="1"/>
      <c r="B324" s="113"/>
      <c r="D324" s="113"/>
      <c r="E324" s="114"/>
      <c r="F324" s="114"/>
      <c r="G324" s="114"/>
      <c r="H324" s="114"/>
      <c r="I324" s="114"/>
      <c r="J324" s="114"/>
      <c r="K324" s="114"/>
      <c r="L324" s="114"/>
      <c r="M324" s="114"/>
      <c r="N324" s="114"/>
      <c r="O324" s="114"/>
      <c r="P324" s="114"/>
      <c r="Q324" s="114"/>
      <c r="R324" s="114"/>
      <c r="S324" s="114"/>
      <c r="T324" s="114"/>
      <c r="U324" s="114"/>
      <c r="V324" s="114"/>
      <c r="W324" s="114"/>
      <c r="X324" s="114"/>
      <c r="Y324" s="114"/>
    </row>
    <row r="325">
      <c r="A325" s="1"/>
      <c r="B325" s="113"/>
      <c r="D325" s="113"/>
      <c r="E325" s="114"/>
      <c r="F325" s="114"/>
      <c r="G325" s="114"/>
      <c r="H325" s="114"/>
      <c r="I325" s="114"/>
      <c r="J325" s="114"/>
      <c r="K325" s="114"/>
      <c r="L325" s="114"/>
      <c r="M325" s="114"/>
      <c r="N325" s="114"/>
      <c r="O325" s="114"/>
      <c r="P325" s="114"/>
      <c r="Q325" s="114"/>
      <c r="R325" s="114"/>
      <c r="S325" s="114"/>
      <c r="T325" s="114"/>
      <c r="U325" s="114"/>
      <c r="V325" s="114"/>
      <c r="W325" s="114"/>
      <c r="X325" s="114"/>
      <c r="Y325" s="114"/>
    </row>
    <row r="326">
      <c r="A326" s="1"/>
      <c r="B326" s="113"/>
      <c r="D326" s="113"/>
      <c r="E326" s="114"/>
      <c r="F326" s="114"/>
      <c r="G326" s="114"/>
      <c r="H326" s="114"/>
      <c r="I326" s="114"/>
      <c r="J326" s="114"/>
      <c r="K326" s="114"/>
      <c r="L326" s="114"/>
      <c r="M326" s="114"/>
      <c r="N326" s="114"/>
      <c r="O326" s="114"/>
      <c r="P326" s="114"/>
      <c r="Q326" s="114"/>
      <c r="R326" s="114"/>
      <c r="S326" s="114"/>
      <c r="T326" s="114"/>
      <c r="U326" s="114"/>
      <c r="V326" s="114"/>
      <c r="W326" s="114"/>
      <c r="X326" s="114"/>
      <c r="Y326" s="114"/>
    </row>
    <row r="327">
      <c r="A327" s="1"/>
      <c r="B327" s="113"/>
      <c r="D327" s="113"/>
      <c r="E327" s="114"/>
      <c r="F327" s="114"/>
      <c r="G327" s="114"/>
      <c r="H327" s="114"/>
      <c r="I327" s="114"/>
      <c r="J327" s="114"/>
      <c r="K327" s="114"/>
      <c r="L327" s="114"/>
      <c r="M327" s="114"/>
      <c r="N327" s="114"/>
      <c r="O327" s="114"/>
      <c r="P327" s="114"/>
      <c r="Q327" s="114"/>
      <c r="R327" s="114"/>
      <c r="S327" s="114"/>
      <c r="T327" s="114"/>
      <c r="U327" s="114"/>
      <c r="V327" s="114"/>
      <c r="W327" s="114"/>
      <c r="X327" s="114"/>
      <c r="Y327" s="114"/>
    </row>
    <row r="328">
      <c r="A328" s="1"/>
      <c r="B328" s="113"/>
      <c r="D328" s="113"/>
      <c r="E328" s="114"/>
      <c r="F328" s="114"/>
      <c r="G328" s="114"/>
      <c r="H328" s="114"/>
      <c r="I328" s="114"/>
      <c r="J328" s="114"/>
      <c r="K328" s="114"/>
      <c r="L328" s="114"/>
      <c r="M328" s="114"/>
      <c r="N328" s="114"/>
      <c r="O328" s="114"/>
      <c r="P328" s="114"/>
      <c r="Q328" s="114"/>
      <c r="R328" s="114"/>
      <c r="S328" s="114"/>
      <c r="T328" s="114"/>
      <c r="U328" s="114"/>
      <c r="V328" s="114"/>
      <c r="W328" s="114"/>
      <c r="X328" s="114"/>
      <c r="Y328" s="114"/>
    </row>
    <row r="329">
      <c r="A329" s="1"/>
      <c r="B329" s="113"/>
      <c r="D329" s="113"/>
      <c r="E329" s="114"/>
      <c r="F329" s="114"/>
      <c r="G329" s="114"/>
      <c r="H329" s="114"/>
      <c r="I329" s="114"/>
      <c r="J329" s="114"/>
      <c r="K329" s="114"/>
      <c r="L329" s="114"/>
      <c r="M329" s="114"/>
      <c r="N329" s="114"/>
      <c r="O329" s="114"/>
      <c r="P329" s="114"/>
      <c r="Q329" s="114"/>
      <c r="R329" s="114"/>
      <c r="S329" s="114"/>
      <c r="T329" s="114"/>
      <c r="U329" s="114"/>
      <c r="V329" s="114"/>
      <c r="W329" s="114"/>
      <c r="X329" s="114"/>
      <c r="Y329" s="114"/>
    </row>
    <row r="330">
      <c r="A330" s="1"/>
      <c r="B330" s="113"/>
      <c r="D330" s="113"/>
      <c r="E330" s="114"/>
      <c r="F330" s="114"/>
      <c r="G330" s="114"/>
      <c r="H330" s="114"/>
      <c r="I330" s="114"/>
      <c r="J330" s="114"/>
      <c r="K330" s="114"/>
      <c r="L330" s="114"/>
      <c r="M330" s="114"/>
      <c r="N330" s="114"/>
      <c r="O330" s="114"/>
      <c r="P330" s="114"/>
      <c r="Q330" s="114"/>
      <c r="R330" s="114"/>
      <c r="S330" s="114"/>
      <c r="T330" s="114"/>
      <c r="U330" s="114"/>
      <c r="V330" s="114"/>
      <c r="W330" s="114"/>
      <c r="X330" s="114"/>
      <c r="Y330" s="114"/>
    </row>
    <row r="331">
      <c r="A331" s="1"/>
      <c r="B331" s="113"/>
      <c r="D331" s="113"/>
      <c r="E331" s="114"/>
      <c r="F331" s="114"/>
      <c r="G331" s="114"/>
      <c r="H331" s="114"/>
      <c r="I331" s="114"/>
      <c r="J331" s="114"/>
      <c r="K331" s="114"/>
      <c r="L331" s="114"/>
      <c r="M331" s="114"/>
      <c r="N331" s="114"/>
      <c r="O331" s="114"/>
      <c r="P331" s="114"/>
      <c r="Q331" s="114"/>
      <c r="R331" s="114"/>
      <c r="S331" s="114"/>
      <c r="T331" s="114"/>
      <c r="U331" s="114"/>
      <c r="V331" s="114"/>
      <c r="W331" s="114"/>
      <c r="X331" s="114"/>
      <c r="Y331" s="114"/>
    </row>
    <row r="332">
      <c r="A332" s="1"/>
      <c r="B332" s="113"/>
      <c r="D332" s="113"/>
      <c r="E332" s="114"/>
      <c r="F332" s="114"/>
      <c r="G332" s="114"/>
      <c r="H332" s="114"/>
      <c r="I332" s="114"/>
      <c r="J332" s="114"/>
      <c r="K332" s="114"/>
      <c r="L332" s="114"/>
      <c r="M332" s="114"/>
      <c r="N332" s="114"/>
      <c r="O332" s="114"/>
      <c r="P332" s="114"/>
      <c r="Q332" s="114"/>
      <c r="R332" s="114"/>
      <c r="S332" s="114"/>
      <c r="T332" s="114"/>
      <c r="U332" s="114"/>
      <c r="V332" s="114"/>
      <c r="W332" s="114"/>
      <c r="X332" s="114"/>
      <c r="Y332" s="114"/>
    </row>
    <row r="333">
      <c r="A333" s="1"/>
      <c r="B333" s="113"/>
      <c r="D333" s="113"/>
      <c r="E333" s="114"/>
      <c r="F333" s="114"/>
      <c r="G333" s="114"/>
      <c r="H333" s="114"/>
      <c r="I333" s="114"/>
      <c r="J333" s="114"/>
      <c r="K333" s="114"/>
      <c r="L333" s="114"/>
      <c r="M333" s="114"/>
      <c r="N333" s="114"/>
      <c r="O333" s="114"/>
      <c r="P333" s="114"/>
      <c r="Q333" s="114"/>
      <c r="R333" s="114"/>
      <c r="S333" s="114"/>
      <c r="T333" s="114"/>
      <c r="U333" s="114"/>
      <c r="V333" s="114"/>
      <c r="W333" s="114"/>
      <c r="X333" s="114"/>
      <c r="Y333" s="114"/>
    </row>
    <row r="334">
      <c r="A334" s="1"/>
      <c r="B334" s="113"/>
      <c r="D334" s="113"/>
      <c r="E334" s="114"/>
      <c r="F334" s="114"/>
      <c r="G334" s="114"/>
      <c r="H334" s="114"/>
      <c r="I334" s="114"/>
      <c r="J334" s="114"/>
      <c r="K334" s="114"/>
      <c r="L334" s="114"/>
      <c r="M334" s="114"/>
      <c r="N334" s="114"/>
      <c r="O334" s="114"/>
      <c r="P334" s="114"/>
      <c r="Q334" s="114"/>
      <c r="R334" s="114"/>
      <c r="S334" s="114"/>
      <c r="T334" s="114"/>
      <c r="U334" s="114"/>
      <c r="V334" s="114"/>
      <c r="W334" s="114"/>
      <c r="X334" s="114"/>
      <c r="Y334" s="114"/>
    </row>
    <row r="335">
      <c r="A335" s="1"/>
      <c r="B335" s="113"/>
      <c r="D335" s="113"/>
      <c r="E335" s="114"/>
      <c r="F335" s="114"/>
      <c r="G335" s="114"/>
      <c r="H335" s="114"/>
      <c r="I335" s="114"/>
      <c r="J335" s="114"/>
      <c r="K335" s="114"/>
      <c r="L335" s="114"/>
      <c r="M335" s="114"/>
      <c r="N335" s="114"/>
      <c r="O335" s="114"/>
      <c r="P335" s="114"/>
      <c r="Q335" s="114"/>
      <c r="R335" s="114"/>
      <c r="S335" s="114"/>
      <c r="T335" s="114"/>
      <c r="U335" s="114"/>
      <c r="V335" s="114"/>
      <c r="W335" s="114"/>
      <c r="X335" s="114"/>
      <c r="Y335" s="114"/>
    </row>
    <row r="336">
      <c r="A336" s="1"/>
      <c r="B336" s="113"/>
      <c r="D336" s="113"/>
      <c r="E336" s="114"/>
      <c r="F336" s="114"/>
      <c r="G336" s="114"/>
      <c r="H336" s="114"/>
      <c r="I336" s="114"/>
      <c r="J336" s="114"/>
      <c r="K336" s="114"/>
      <c r="L336" s="114"/>
      <c r="M336" s="114"/>
      <c r="N336" s="114"/>
      <c r="O336" s="114"/>
      <c r="P336" s="114"/>
      <c r="Q336" s="114"/>
      <c r="R336" s="114"/>
      <c r="S336" s="114"/>
      <c r="T336" s="114"/>
      <c r="U336" s="114"/>
      <c r="V336" s="114"/>
      <c r="W336" s="114"/>
      <c r="X336" s="114"/>
      <c r="Y336" s="114"/>
    </row>
    <row r="337">
      <c r="A337" s="1"/>
      <c r="B337" s="113"/>
      <c r="D337" s="113"/>
      <c r="E337" s="114"/>
      <c r="F337" s="114"/>
      <c r="G337" s="114"/>
      <c r="H337" s="114"/>
      <c r="I337" s="114"/>
      <c r="J337" s="114"/>
      <c r="K337" s="114"/>
      <c r="L337" s="114"/>
      <c r="M337" s="114"/>
      <c r="N337" s="114"/>
      <c r="O337" s="114"/>
      <c r="P337" s="114"/>
      <c r="Q337" s="114"/>
      <c r="R337" s="114"/>
      <c r="S337" s="114"/>
      <c r="T337" s="114"/>
      <c r="U337" s="114"/>
      <c r="V337" s="114"/>
      <c r="W337" s="114"/>
      <c r="X337" s="114"/>
      <c r="Y337" s="114"/>
    </row>
    <row r="338">
      <c r="A338" s="1"/>
      <c r="B338" s="113"/>
      <c r="D338" s="113"/>
      <c r="E338" s="114"/>
      <c r="F338" s="114"/>
      <c r="G338" s="114"/>
      <c r="H338" s="114"/>
      <c r="I338" s="114"/>
      <c r="J338" s="114"/>
      <c r="K338" s="114"/>
      <c r="L338" s="114"/>
      <c r="M338" s="114"/>
      <c r="N338" s="114"/>
      <c r="O338" s="114"/>
      <c r="P338" s="114"/>
      <c r="Q338" s="114"/>
      <c r="R338" s="114"/>
      <c r="S338" s="114"/>
      <c r="T338" s="114"/>
      <c r="U338" s="114"/>
      <c r="V338" s="114"/>
      <c r="W338" s="114"/>
      <c r="X338" s="114"/>
      <c r="Y338" s="114"/>
    </row>
    <row r="339">
      <c r="A339" s="1"/>
      <c r="B339" s="113"/>
      <c r="D339" s="113"/>
      <c r="E339" s="114"/>
      <c r="F339" s="114"/>
      <c r="G339" s="114"/>
      <c r="H339" s="114"/>
      <c r="I339" s="114"/>
      <c r="J339" s="114"/>
      <c r="K339" s="114"/>
      <c r="L339" s="114"/>
      <c r="M339" s="114"/>
      <c r="N339" s="114"/>
      <c r="O339" s="114"/>
      <c r="P339" s="114"/>
      <c r="Q339" s="114"/>
      <c r="R339" s="114"/>
      <c r="S339" s="114"/>
      <c r="T339" s="114"/>
      <c r="U339" s="114"/>
      <c r="V339" s="114"/>
      <c r="W339" s="114"/>
      <c r="X339" s="114"/>
      <c r="Y339" s="114"/>
    </row>
    <row r="340">
      <c r="A340" s="1"/>
      <c r="B340" s="113"/>
      <c r="D340" s="113"/>
      <c r="E340" s="114"/>
      <c r="F340" s="114"/>
      <c r="G340" s="114"/>
      <c r="H340" s="114"/>
      <c r="I340" s="114"/>
      <c r="J340" s="114"/>
      <c r="K340" s="114"/>
      <c r="L340" s="114"/>
      <c r="M340" s="114"/>
      <c r="N340" s="114"/>
      <c r="O340" s="114"/>
      <c r="P340" s="114"/>
      <c r="Q340" s="114"/>
      <c r="R340" s="114"/>
      <c r="S340" s="114"/>
      <c r="T340" s="114"/>
      <c r="U340" s="114"/>
      <c r="V340" s="114"/>
      <c r="W340" s="114"/>
      <c r="X340" s="114"/>
      <c r="Y340" s="114"/>
    </row>
    <row r="341">
      <c r="A341" s="1"/>
      <c r="B341" s="113"/>
      <c r="D341" s="113"/>
      <c r="E341" s="114"/>
      <c r="F341" s="114"/>
      <c r="G341" s="114"/>
      <c r="H341" s="114"/>
      <c r="I341" s="114"/>
      <c r="J341" s="114"/>
      <c r="K341" s="114"/>
      <c r="L341" s="114"/>
      <c r="M341" s="114"/>
      <c r="N341" s="114"/>
      <c r="O341" s="114"/>
      <c r="P341" s="114"/>
      <c r="Q341" s="114"/>
      <c r="R341" s="114"/>
      <c r="S341" s="114"/>
      <c r="T341" s="114"/>
      <c r="U341" s="114"/>
      <c r="V341" s="114"/>
      <c r="W341" s="114"/>
      <c r="X341" s="114"/>
      <c r="Y341" s="114"/>
    </row>
    <row r="342">
      <c r="A342" s="1"/>
      <c r="B342" s="113"/>
      <c r="D342" s="113"/>
      <c r="E342" s="114"/>
      <c r="F342" s="114"/>
      <c r="G342" s="114"/>
      <c r="H342" s="114"/>
      <c r="I342" s="114"/>
      <c r="J342" s="114"/>
      <c r="K342" s="114"/>
      <c r="L342" s="114"/>
      <c r="M342" s="114"/>
      <c r="N342" s="114"/>
      <c r="O342" s="114"/>
      <c r="P342" s="114"/>
      <c r="Q342" s="114"/>
      <c r="R342" s="114"/>
      <c r="S342" s="114"/>
      <c r="T342" s="114"/>
      <c r="U342" s="114"/>
      <c r="V342" s="114"/>
      <c r="W342" s="114"/>
      <c r="X342" s="114"/>
      <c r="Y342" s="114"/>
    </row>
    <row r="343">
      <c r="A343" s="1"/>
      <c r="B343" s="113"/>
      <c r="D343" s="113"/>
      <c r="E343" s="114"/>
      <c r="F343" s="114"/>
      <c r="G343" s="114"/>
      <c r="H343" s="114"/>
      <c r="I343" s="114"/>
      <c r="J343" s="114"/>
      <c r="K343" s="114"/>
      <c r="L343" s="114"/>
      <c r="M343" s="114"/>
      <c r="N343" s="114"/>
      <c r="O343" s="114"/>
      <c r="P343" s="114"/>
      <c r="Q343" s="114"/>
      <c r="R343" s="114"/>
      <c r="S343" s="114"/>
      <c r="T343" s="114"/>
      <c r="U343" s="114"/>
      <c r="V343" s="114"/>
      <c r="W343" s="114"/>
      <c r="X343" s="114"/>
      <c r="Y343" s="114"/>
    </row>
    <row r="344">
      <c r="A344" s="1"/>
      <c r="B344" s="113"/>
      <c r="D344" s="113"/>
      <c r="E344" s="114"/>
      <c r="F344" s="114"/>
      <c r="G344" s="114"/>
      <c r="H344" s="114"/>
      <c r="I344" s="114"/>
      <c r="J344" s="114"/>
      <c r="K344" s="114"/>
      <c r="L344" s="114"/>
      <c r="M344" s="114"/>
      <c r="N344" s="114"/>
      <c r="O344" s="114"/>
      <c r="P344" s="114"/>
      <c r="Q344" s="114"/>
      <c r="R344" s="114"/>
      <c r="S344" s="114"/>
      <c r="T344" s="114"/>
      <c r="U344" s="114"/>
      <c r="V344" s="114"/>
      <c r="W344" s="114"/>
      <c r="X344" s="114"/>
      <c r="Y344" s="114"/>
    </row>
    <row r="345">
      <c r="A345" s="1"/>
      <c r="B345" s="113"/>
      <c r="D345" s="113"/>
      <c r="E345" s="114"/>
      <c r="F345" s="114"/>
      <c r="G345" s="114"/>
      <c r="H345" s="114"/>
      <c r="I345" s="114"/>
      <c r="J345" s="114"/>
      <c r="K345" s="114"/>
      <c r="L345" s="114"/>
      <c r="M345" s="114"/>
      <c r="N345" s="114"/>
      <c r="O345" s="114"/>
      <c r="P345" s="114"/>
      <c r="Q345" s="114"/>
      <c r="R345" s="114"/>
      <c r="S345" s="114"/>
      <c r="T345" s="114"/>
      <c r="U345" s="114"/>
      <c r="V345" s="114"/>
      <c r="W345" s="114"/>
      <c r="X345" s="114"/>
      <c r="Y345" s="114"/>
    </row>
    <row r="346">
      <c r="A346" s="1"/>
      <c r="B346" s="113"/>
      <c r="D346" s="113"/>
      <c r="E346" s="114"/>
      <c r="F346" s="114"/>
      <c r="G346" s="114"/>
      <c r="H346" s="114"/>
      <c r="I346" s="114"/>
      <c r="J346" s="114"/>
      <c r="K346" s="114"/>
      <c r="L346" s="114"/>
      <c r="M346" s="114"/>
      <c r="N346" s="114"/>
      <c r="O346" s="114"/>
      <c r="P346" s="114"/>
      <c r="Q346" s="114"/>
      <c r="R346" s="114"/>
      <c r="S346" s="114"/>
      <c r="T346" s="114"/>
      <c r="U346" s="114"/>
      <c r="V346" s="114"/>
      <c r="W346" s="114"/>
      <c r="X346" s="114"/>
      <c r="Y346" s="114"/>
    </row>
    <row r="347">
      <c r="A347" s="1"/>
      <c r="B347" s="113"/>
      <c r="D347" s="113"/>
      <c r="E347" s="114"/>
      <c r="F347" s="114"/>
      <c r="G347" s="114"/>
      <c r="H347" s="114"/>
      <c r="I347" s="114"/>
      <c r="J347" s="114"/>
      <c r="K347" s="114"/>
      <c r="L347" s="114"/>
      <c r="M347" s="114"/>
      <c r="N347" s="114"/>
      <c r="O347" s="114"/>
      <c r="P347" s="114"/>
      <c r="Q347" s="114"/>
      <c r="R347" s="114"/>
      <c r="S347" s="114"/>
      <c r="T347" s="114"/>
      <c r="U347" s="114"/>
      <c r="V347" s="114"/>
      <c r="W347" s="114"/>
      <c r="X347" s="114"/>
      <c r="Y347" s="114"/>
    </row>
    <row r="348">
      <c r="A348" s="1"/>
      <c r="B348" s="113"/>
      <c r="D348" s="113"/>
      <c r="E348" s="114"/>
      <c r="F348" s="114"/>
      <c r="G348" s="114"/>
      <c r="H348" s="114"/>
      <c r="I348" s="114"/>
      <c r="J348" s="114"/>
      <c r="K348" s="114"/>
      <c r="L348" s="114"/>
      <c r="M348" s="114"/>
      <c r="N348" s="114"/>
      <c r="O348" s="114"/>
      <c r="P348" s="114"/>
      <c r="Q348" s="114"/>
      <c r="R348" s="114"/>
      <c r="S348" s="114"/>
      <c r="T348" s="114"/>
      <c r="U348" s="114"/>
      <c r="V348" s="114"/>
      <c r="W348" s="114"/>
      <c r="X348" s="114"/>
      <c r="Y348" s="114"/>
    </row>
    <row r="349">
      <c r="A349" s="1"/>
      <c r="B349" s="113"/>
      <c r="D349" s="113"/>
      <c r="E349" s="114"/>
      <c r="F349" s="114"/>
      <c r="G349" s="114"/>
      <c r="H349" s="114"/>
      <c r="I349" s="114"/>
      <c r="J349" s="114"/>
      <c r="K349" s="114"/>
      <c r="L349" s="114"/>
      <c r="M349" s="114"/>
      <c r="N349" s="114"/>
      <c r="O349" s="114"/>
      <c r="P349" s="114"/>
      <c r="Q349" s="114"/>
      <c r="R349" s="114"/>
      <c r="S349" s="114"/>
      <c r="T349" s="114"/>
      <c r="U349" s="114"/>
      <c r="V349" s="114"/>
      <c r="W349" s="114"/>
      <c r="X349" s="114"/>
      <c r="Y349" s="114"/>
    </row>
    <row r="350">
      <c r="A350" s="1"/>
      <c r="B350" s="113"/>
      <c r="D350" s="113"/>
      <c r="E350" s="114"/>
      <c r="F350" s="114"/>
      <c r="G350" s="114"/>
      <c r="H350" s="114"/>
      <c r="I350" s="114"/>
      <c r="J350" s="114"/>
      <c r="K350" s="114"/>
      <c r="L350" s="114"/>
      <c r="M350" s="114"/>
      <c r="N350" s="114"/>
      <c r="O350" s="114"/>
      <c r="P350" s="114"/>
      <c r="Q350" s="114"/>
      <c r="R350" s="114"/>
      <c r="S350" s="114"/>
      <c r="T350" s="114"/>
      <c r="U350" s="114"/>
      <c r="V350" s="114"/>
      <c r="W350" s="114"/>
      <c r="X350" s="114"/>
      <c r="Y350" s="114"/>
    </row>
    <row r="351">
      <c r="A351" s="1"/>
      <c r="B351" s="113"/>
      <c r="D351" s="113"/>
      <c r="E351" s="114"/>
      <c r="F351" s="114"/>
      <c r="G351" s="114"/>
      <c r="H351" s="114"/>
      <c r="I351" s="114"/>
      <c r="J351" s="114"/>
      <c r="K351" s="114"/>
      <c r="L351" s="114"/>
      <c r="M351" s="114"/>
      <c r="N351" s="114"/>
      <c r="O351" s="114"/>
      <c r="P351" s="114"/>
      <c r="Q351" s="114"/>
      <c r="R351" s="114"/>
      <c r="S351" s="114"/>
      <c r="T351" s="114"/>
      <c r="U351" s="114"/>
      <c r="V351" s="114"/>
      <c r="W351" s="114"/>
      <c r="X351" s="114"/>
      <c r="Y351" s="114"/>
    </row>
    <row r="352">
      <c r="A352" s="1"/>
      <c r="B352" s="113"/>
      <c r="D352" s="113"/>
      <c r="E352" s="114"/>
      <c r="F352" s="114"/>
      <c r="G352" s="114"/>
      <c r="H352" s="114"/>
      <c r="I352" s="114"/>
      <c r="J352" s="114"/>
      <c r="K352" s="114"/>
      <c r="L352" s="114"/>
      <c r="M352" s="114"/>
      <c r="N352" s="114"/>
      <c r="O352" s="114"/>
      <c r="P352" s="114"/>
      <c r="Q352" s="114"/>
      <c r="R352" s="114"/>
      <c r="S352" s="114"/>
      <c r="T352" s="114"/>
      <c r="U352" s="114"/>
      <c r="V352" s="114"/>
      <c r="W352" s="114"/>
      <c r="X352" s="114"/>
      <c r="Y352" s="114"/>
    </row>
    <row r="353">
      <c r="A353" s="1"/>
      <c r="B353" s="113"/>
      <c r="D353" s="113"/>
      <c r="E353" s="114"/>
      <c r="F353" s="114"/>
      <c r="G353" s="114"/>
      <c r="H353" s="114"/>
      <c r="I353" s="114"/>
      <c r="J353" s="114"/>
      <c r="K353" s="114"/>
      <c r="L353" s="114"/>
      <c r="M353" s="114"/>
      <c r="N353" s="114"/>
      <c r="O353" s="114"/>
      <c r="P353" s="114"/>
      <c r="Q353" s="114"/>
      <c r="R353" s="114"/>
      <c r="S353" s="114"/>
      <c r="T353" s="114"/>
      <c r="U353" s="114"/>
      <c r="V353" s="114"/>
      <c r="W353" s="114"/>
      <c r="X353" s="114"/>
      <c r="Y353" s="114"/>
    </row>
    <row r="354">
      <c r="A354" s="1"/>
      <c r="B354" s="113"/>
      <c r="D354" s="113"/>
      <c r="E354" s="114"/>
      <c r="F354" s="114"/>
      <c r="G354" s="114"/>
      <c r="H354" s="114"/>
      <c r="I354" s="114"/>
      <c r="J354" s="114"/>
      <c r="K354" s="114"/>
      <c r="L354" s="114"/>
      <c r="M354" s="114"/>
      <c r="N354" s="114"/>
      <c r="O354" s="114"/>
      <c r="P354" s="114"/>
      <c r="Q354" s="114"/>
      <c r="R354" s="114"/>
      <c r="S354" s="114"/>
      <c r="T354" s="114"/>
      <c r="U354" s="114"/>
      <c r="V354" s="114"/>
      <c r="W354" s="114"/>
      <c r="X354" s="114"/>
      <c r="Y354" s="114"/>
    </row>
    <row r="355">
      <c r="A355" s="1"/>
      <c r="B355" s="113"/>
      <c r="D355" s="113"/>
      <c r="E355" s="114"/>
      <c r="F355" s="114"/>
      <c r="G355" s="114"/>
      <c r="H355" s="114"/>
      <c r="I355" s="114"/>
      <c r="J355" s="114"/>
      <c r="K355" s="114"/>
      <c r="L355" s="114"/>
      <c r="M355" s="114"/>
      <c r="N355" s="114"/>
      <c r="O355" s="114"/>
      <c r="P355" s="114"/>
      <c r="Q355" s="114"/>
      <c r="R355" s="114"/>
      <c r="S355" s="114"/>
      <c r="T355" s="114"/>
      <c r="U355" s="114"/>
      <c r="V355" s="114"/>
      <c r="W355" s="114"/>
      <c r="X355" s="114"/>
      <c r="Y355" s="114"/>
    </row>
    <row r="356">
      <c r="A356" s="1"/>
      <c r="B356" s="113"/>
      <c r="D356" s="113"/>
      <c r="E356" s="114"/>
      <c r="F356" s="114"/>
      <c r="G356" s="114"/>
      <c r="H356" s="114"/>
      <c r="I356" s="114"/>
      <c r="J356" s="114"/>
      <c r="K356" s="114"/>
      <c r="L356" s="114"/>
      <c r="M356" s="114"/>
      <c r="N356" s="114"/>
      <c r="O356" s="114"/>
      <c r="P356" s="114"/>
      <c r="Q356" s="114"/>
      <c r="R356" s="114"/>
      <c r="S356" s="114"/>
      <c r="T356" s="114"/>
      <c r="U356" s="114"/>
      <c r="V356" s="114"/>
      <c r="W356" s="114"/>
      <c r="X356" s="114"/>
      <c r="Y356" s="114"/>
    </row>
    <row r="357">
      <c r="A357" s="1"/>
      <c r="B357" s="113"/>
      <c r="D357" s="113"/>
      <c r="E357" s="114"/>
      <c r="F357" s="114"/>
      <c r="G357" s="114"/>
      <c r="H357" s="114"/>
      <c r="I357" s="114"/>
      <c r="J357" s="114"/>
      <c r="K357" s="114"/>
      <c r="L357" s="114"/>
      <c r="M357" s="114"/>
      <c r="N357" s="114"/>
      <c r="O357" s="114"/>
      <c r="P357" s="114"/>
      <c r="Q357" s="114"/>
      <c r="R357" s="114"/>
      <c r="S357" s="114"/>
      <c r="T357" s="114"/>
      <c r="U357" s="114"/>
      <c r="V357" s="114"/>
      <c r="W357" s="114"/>
      <c r="X357" s="114"/>
      <c r="Y357" s="114"/>
    </row>
    <row r="358">
      <c r="A358" s="1"/>
      <c r="B358" s="113"/>
      <c r="D358" s="113"/>
      <c r="E358" s="114"/>
      <c r="F358" s="114"/>
      <c r="G358" s="114"/>
      <c r="H358" s="114"/>
      <c r="I358" s="114"/>
      <c r="J358" s="114"/>
      <c r="K358" s="114"/>
      <c r="L358" s="114"/>
      <c r="M358" s="114"/>
      <c r="N358" s="114"/>
      <c r="O358" s="114"/>
      <c r="P358" s="114"/>
      <c r="Q358" s="114"/>
      <c r="R358" s="114"/>
      <c r="S358" s="114"/>
      <c r="T358" s="114"/>
      <c r="U358" s="114"/>
      <c r="V358" s="114"/>
      <c r="W358" s="114"/>
      <c r="X358" s="114"/>
      <c r="Y358" s="114"/>
    </row>
    <row r="359">
      <c r="A359" s="1"/>
      <c r="B359" s="113"/>
      <c r="D359" s="113"/>
      <c r="E359" s="114"/>
      <c r="F359" s="114"/>
      <c r="G359" s="114"/>
      <c r="H359" s="114"/>
      <c r="I359" s="114"/>
      <c r="J359" s="114"/>
      <c r="K359" s="114"/>
      <c r="L359" s="114"/>
      <c r="M359" s="114"/>
      <c r="N359" s="114"/>
      <c r="O359" s="114"/>
      <c r="P359" s="114"/>
      <c r="Q359" s="114"/>
      <c r="R359" s="114"/>
      <c r="S359" s="114"/>
      <c r="T359" s="114"/>
      <c r="U359" s="114"/>
      <c r="V359" s="114"/>
      <c r="W359" s="114"/>
      <c r="X359" s="114"/>
      <c r="Y359" s="114"/>
    </row>
    <row r="360">
      <c r="A360" s="1"/>
      <c r="B360" s="113"/>
      <c r="D360" s="113"/>
      <c r="E360" s="114"/>
      <c r="F360" s="114"/>
      <c r="G360" s="114"/>
      <c r="H360" s="114"/>
      <c r="I360" s="114"/>
      <c r="J360" s="114"/>
      <c r="K360" s="114"/>
      <c r="L360" s="114"/>
      <c r="M360" s="114"/>
      <c r="N360" s="114"/>
      <c r="O360" s="114"/>
      <c r="P360" s="114"/>
      <c r="Q360" s="114"/>
      <c r="R360" s="114"/>
      <c r="S360" s="114"/>
      <c r="T360" s="114"/>
      <c r="U360" s="114"/>
      <c r="V360" s="114"/>
      <c r="W360" s="114"/>
      <c r="X360" s="114"/>
      <c r="Y360" s="114"/>
    </row>
    <row r="361">
      <c r="A361" s="1"/>
      <c r="B361" s="113"/>
      <c r="D361" s="113"/>
      <c r="E361" s="114"/>
      <c r="F361" s="114"/>
      <c r="G361" s="114"/>
      <c r="H361" s="114"/>
      <c r="I361" s="114"/>
      <c r="J361" s="114"/>
      <c r="K361" s="114"/>
      <c r="L361" s="114"/>
      <c r="M361" s="114"/>
      <c r="N361" s="114"/>
      <c r="O361" s="114"/>
      <c r="P361" s="114"/>
      <c r="Q361" s="114"/>
      <c r="R361" s="114"/>
      <c r="S361" s="114"/>
      <c r="T361" s="114"/>
      <c r="U361" s="114"/>
      <c r="V361" s="114"/>
      <c r="W361" s="114"/>
      <c r="X361" s="114"/>
      <c r="Y361" s="114"/>
    </row>
    <row r="362">
      <c r="A362" s="1"/>
      <c r="B362" s="113"/>
      <c r="D362" s="113"/>
      <c r="E362" s="114"/>
      <c r="F362" s="114"/>
      <c r="G362" s="114"/>
      <c r="H362" s="114"/>
      <c r="I362" s="114"/>
      <c r="J362" s="114"/>
      <c r="K362" s="114"/>
      <c r="L362" s="114"/>
      <c r="M362" s="114"/>
      <c r="N362" s="114"/>
      <c r="O362" s="114"/>
      <c r="P362" s="114"/>
      <c r="Q362" s="114"/>
      <c r="R362" s="114"/>
      <c r="S362" s="114"/>
      <c r="T362" s="114"/>
      <c r="U362" s="114"/>
      <c r="V362" s="114"/>
      <c r="W362" s="114"/>
      <c r="X362" s="114"/>
      <c r="Y362" s="114"/>
    </row>
    <row r="363">
      <c r="A363" s="1"/>
      <c r="B363" s="113"/>
      <c r="D363" s="113"/>
      <c r="E363" s="114"/>
      <c r="F363" s="114"/>
      <c r="G363" s="114"/>
      <c r="H363" s="114"/>
      <c r="I363" s="114"/>
      <c r="J363" s="114"/>
      <c r="K363" s="114"/>
      <c r="L363" s="114"/>
      <c r="M363" s="114"/>
      <c r="N363" s="114"/>
      <c r="O363" s="114"/>
      <c r="P363" s="114"/>
      <c r="Q363" s="114"/>
      <c r="R363" s="114"/>
      <c r="S363" s="114"/>
      <c r="T363" s="114"/>
      <c r="U363" s="114"/>
      <c r="V363" s="114"/>
      <c r="W363" s="114"/>
      <c r="X363" s="114"/>
      <c r="Y363" s="114"/>
    </row>
    <row r="364">
      <c r="A364" s="1"/>
      <c r="B364" s="113"/>
      <c r="D364" s="113"/>
      <c r="E364" s="114"/>
      <c r="F364" s="114"/>
      <c r="G364" s="114"/>
      <c r="H364" s="114"/>
      <c r="I364" s="114"/>
      <c r="J364" s="114"/>
      <c r="K364" s="114"/>
      <c r="L364" s="114"/>
      <c r="M364" s="114"/>
      <c r="N364" s="114"/>
      <c r="O364" s="114"/>
      <c r="P364" s="114"/>
      <c r="Q364" s="114"/>
      <c r="R364" s="114"/>
      <c r="S364" s="114"/>
      <c r="T364" s="114"/>
      <c r="U364" s="114"/>
      <c r="V364" s="114"/>
      <c r="W364" s="114"/>
      <c r="X364" s="114"/>
      <c r="Y364" s="114"/>
    </row>
    <row r="365">
      <c r="A365" s="1"/>
      <c r="B365" s="113"/>
      <c r="D365" s="113"/>
      <c r="E365" s="114"/>
      <c r="F365" s="114"/>
      <c r="G365" s="114"/>
      <c r="H365" s="114"/>
      <c r="I365" s="114"/>
      <c r="J365" s="114"/>
      <c r="K365" s="114"/>
      <c r="L365" s="114"/>
      <c r="M365" s="114"/>
      <c r="N365" s="114"/>
      <c r="O365" s="114"/>
      <c r="P365" s="114"/>
      <c r="Q365" s="114"/>
      <c r="R365" s="114"/>
      <c r="S365" s="114"/>
      <c r="T365" s="114"/>
      <c r="U365" s="114"/>
      <c r="V365" s="114"/>
      <c r="W365" s="114"/>
      <c r="X365" s="114"/>
      <c r="Y365" s="114"/>
    </row>
    <row r="366">
      <c r="A366" s="1"/>
      <c r="B366" s="113"/>
      <c r="D366" s="113"/>
      <c r="E366" s="114"/>
      <c r="F366" s="114"/>
      <c r="G366" s="114"/>
      <c r="H366" s="114"/>
      <c r="I366" s="114"/>
      <c r="J366" s="114"/>
      <c r="K366" s="114"/>
      <c r="L366" s="114"/>
      <c r="M366" s="114"/>
      <c r="N366" s="114"/>
      <c r="O366" s="114"/>
      <c r="P366" s="114"/>
      <c r="Q366" s="114"/>
      <c r="R366" s="114"/>
      <c r="S366" s="114"/>
      <c r="T366" s="114"/>
      <c r="U366" s="114"/>
      <c r="V366" s="114"/>
      <c r="W366" s="114"/>
      <c r="X366" s="114"/>
      <c r="Y366" s="114"/>
    </row>
    <row r="367">
      <c r="A367" s="1"/>
      <c r="B367" s="113"/>
      <c r="D367" s="113"/>
      <c r="E367" s="114"/>
      <c r="F367" s="114"/>
      <c r="G367" s="114"/>
      <c r="H367" s="114"/>
      <c r="I367" s="114"/>
      <c r="J367" s="114"/>
      <c r="K367" s="114"/>
      <c r="L367" s="114"/>
      <c r="M367" s="114"/>
      <c r="N367" s="114"/>
      <c r="O367" s="114"/>
      <c r="P367" s="114"/>
      <c r="Q367" s="114"/>
      <c r="R367" s="114"/>
      <c r="S367" s="114"/>
      <c r="T367" s="114"/>
      <c r="U367" s="114"/>
      <c r="V367" s="114"/>
      <c r="W367" s="114"/>
      <c r="X367" s="114"/>
      <c r="Y367" s="114"/>
    </row>
    <row r="368">
      <c r="A368" s="1"/>
      <c r="B368" s="113"/>
      <c r="D368" s="113"/>
      <c r="E368" s="114"/>
      <c r="F368" s="114"/>
      <c r="G368" s="114"/>
      <c r="H368" s="114"/>
      <c r="I368" s="114"/>
      <c r="J368" s="114"/>
      <c r="K368" s="114"/>
      <c r="L368" s="114"/>
      <c r="M368" s="114"/>
      <c r="N368" s="114"/>
      <c r="O368" s="114"/>
      <c r="P368" s="114"/>
      <c r="Q368" s="114"/>
      <c r="R368" s="114"/>
      <c r="S368" s="114"/>
      <c r="T368" s="114"/>
      <c r="U368" s="114"/>
      <c r="V368" s="114"/>
      <c r="W368" s="114"/>
      <c r="X368" s="114"/>
      <c r="Y368" s="114"/>
    </row>
    <row r="369">
      <c r="A369" s="1"/>
      <c r="B369" s="113"/>
      <c r="D369" s="113"/>
      <c r="E369" s="114"/>
      <c r="F369" s="114"/>
      <c r="G369" s="114"/>
      <c r="H369" s="114"/>
      <c r="I369" s="114"/>
      <c r="J369" s="114"/>
      <c r="K369" s="114"/>
      <c r="L369" s="114"/>
      <c r="M369" s="114"/>
      <c r="N369" s="114"/>
      <c r="O369" s="114"/>
      <c r="P369" s="114"/>
      <c r="Q369" s="114"/>
      <c r="R369" s="114"/>
      <c r="S369" s="114"/>
      <c r="T369" s="114"/>
      <c r="U369" s="114"/>
      <c r="V369" s="114"/>
      <c r="W369" s="114"/>
      <c r="X369" s="114"/>
      <c r="Y369" s="114"/>
    </row>
    <row r="370">
      <c r="A370" s="1"/>
      <c r="B370" s="113"/>
      <c r="D370" s="113"/>
      <c r="E370" s="114"/>
      <c r="F370" s="114"/>
      <c r="G370" s="114"/>
      <c r="H370" s="114"/>
      <c r="I370" s="114"/>
      <c r="J370" s="114"/>
      <c r="K370" s="114"/>
      <c r="L370" s="114"/>
      <c r="M370" s="114"/>
      <c r="N370" s="114"/>
      <c r="O370" s="114"/>
      <c r="P370" s="114"/>
      <c r="Q370" s="114"/>
      <c r="R370" s="114"/>
      <c r="S370" s="114"/>
      <c r="T370" s="114"/>
      <c r="U370" s="114"/>
      <c r="V370" s="114"/>
      <c r="W370" s="114"/>
      <c r="X370" s="114"/>
      <c r="Y370" s="114"/>
    </row>
    <row r="371">
      <c r="A371" s="1"/>
      <c r="B371" s="113"/>
      <c r="D371" s="113"/>
      <c r="E371" s="114"/>
      <c r="F371" s="114"/>
      <c r="G371" s="114"/>
      <c r="H371" s="114"/>
      <c r="I371" s="114"/>
      <c r="J371" s="114"/>
      <c r="K371" s="114"/>
      <c r="L371" s="114"/>
      <c r="M371" s="114"/>
      <c r="N371" s="114"/>
      <c r="O371" s="114"/>
      <c r="P371" s="114"/>
      <c r="Q371" s="114"/>
      <c r="R371" s="114"/>
      <c r="S371" s="114"/>
      <c r="T371" s="114"/>
      <c r="U371" s="114"/>
      <c r="V371" s="114"/>
      <c r="W371" s="114"/>
      <c r="X371" s="114"/>
      <c r="Y371" s="114"/>
    </row>
    <row r="372">
      <c r="A372" s="1"/>
      <c r="B372" s="113"/>
      <c r="D372" s="113"/>
      <c r="E372" s="114"/>
      <c r="F372" s="114"/>
      <c r="G372" s="114"/>
      <c r="H372" s="114"/>
      <c r="I372" s="114"/>
      <c r="J372" s="114"/>
      <c r="K372" s="114"/>
      <c r="L372" s="114"/>
      <c r="M372" s="114"/>
      <c r="N372" s="114"/>
      <c r="O372" s="114"/>
      <c r="P372" s="114"/>
      <c r="Q372" s="114"/>
      <c r="R372" s="114"/>
      <c r="S372" s="114"/>
      <c r="T372" s="114"/>
      <c r="U372" s="114"/>
      <c r="V372" s="114"/>
      <c r="W372" s="114"/>
      <c r="X372" s="114"/>
      <c r="Y372" s="114"/>
    </row>
    <row r="373">
      <c r="A373" s="1"/>
      <c r="B373" s="113"/>
      <c r="D373" s="113"/>
      <c r="E373" s="114"/>
      <c r="F373" s="114"/>
      <c r="G373" s="114"/>
      <c r="H373" s="114"/>
      <c r="I373" s="114"/>
      <c r="J373" s="114"/>
      <c r="K373" s="114"/>
      <c r="L373" s="114"/>
      <c r="M373" s="114"/>
      <c r="N373" s="114"/>
      <c r="O373" s="114"/>
      <c r="P373" s="114"/>
      <c r="Q373" s="114"/>
      <c r="R373" s="114"/>
      <c r="S373" s="114"/>
      <c r="T373" s="114"/>
      <c r="U373" s="114"/>
      <c r="V373" s="114"/>
      <c r="W373" s="114"/>
      <c r="X373" s="114"/>
      <c r="Y373" s="114"/>
    </row>
    <row r="374">
      <c r="A374" s="1"/>
      <c r="B374" s="113"/>
      <c r="D374" s="113"/>
      <c r="E374" s="114"/>
      <c r="F374" s="114"/>
      <c r="G374" s="114"/>
      <c r="H374" s="114"/>
      <c r="I374" s="114"/>
      <c r="J374" s="114"/>
      <c r="K374" s="114"/>
      <c r="L374" s="114"/>
      <c r="M374" s="114"/>
      <c r="N374" s="114"/>
      <c r="O374" s="114"/>
      <c r="P374" s="114"/>
      <c r="Q374" s="114"/>
      <c r="R374" s="114"/>
      <c r="S374" s="114"/>
      <c r="T374" s="114"/>
      <c r="U374" s="114"/>
      <c r="V374" s="114"/>
      <c r="W374" s="114"/>
      <c r="X374" s="114"/>
      <c r="Y374" s="114"/>
    </row>
    <row r="375">
      <c r="A375" s="1"/>
      <c r="B375" s="113"/>
      <c r="D375" s="113"/>
      <c r="E375" s="114"/>
      <c r="F375" s="114"/>
      <c r="G375" s="114"/>
      <c r="H375" s="114"/>
      <c r="I375" s="114"/>
      <c r="J375" s="114"/>
      <c r="K375" s="114"/>
      <c r="L375" s="114"/>
      <c r="M375" s="114"/>
      <c r="N375" s="114"/>
      <c r="O375" s="114"/>
      <c r="P375" s="114"/>
      <c r="Q375" s="114"/>
      <c r="R375" s="114"/>
      <c r="S375" s="114"/>
      <c r="T375" s="114"/>
      <c r="U375" s="114"/>
      <c r="V375" s="114"/>
      <c r="W375" s="114"/>
      <c r="X375" s="114"/>
      <c r="Y375" s="114"/>
    </row>
    <row r="376">
      <c r="A376" s="1"/>
      <c r="B376" s="113"/>
      <c r="D376" s="113"/>
      <c r="E376" s="114"/>
      <c r="F376" s="114"/>
      <c r="G376" s="114"/>
      <c r="H376" s="114"/>
      <c r="I376" s="114"/>
      <c r="J376" s="114"/>
      <c r="K376" s="114"/>
      <c r="L376" s="114"/>
      <c r="M376" s="114"/>
      <c r="N376" s="114"/>
      <c r="O376" s="114"/>
      <c r="P376" s="114"/>
      <c r="Q376" s="114"/>
      <c r="R376" s="114"/>
      <c r="S376" s="114"/>
      <c r="T376" s="114"/>
      <c r="U376" s="114"/>
      <c r="V376" s="114"/>
      <c r="W376" s="114"/>
      <c r="X376" s="114"/>
      <c r="Y376" s="114"/>
    </row>
    <row r="377">
      <c r="A377" s="1"/>
      <c r="B377" s="113"/>
      <c r="D377" s="113"/>
      <c r="E377" s="114"/>
      <c r="F377" s="114"/>
      <c r="G377" s="114"/>
      <c r="H377" s="114"/>
      <c r="I377" s="114"/>
      <c r="J377" s="114"/>
      <c r="K377" s="114"/>
      <c r="L377" s="114"/>
      <c r="M377" s="114"/>
      <c r="N377" s="114"/>
      <c r="O377" s="114"/>
      <c r="P377" s="114"/>
      <c r="Q377" s="114"/>
      <c r="R377" s="114"/>
      <c r="S377" s="114"/>
      <c r="T377" s="114"/>
      <c r="U377" s="114"/>
      <c r="V377" s="114"/>
      <c r="W377" s="114"/>
      <c r="X377" s="114"/>
      <c r="Y377" s="114"/>
    </row>
    <row r="378">
      <c r="A378" s="1"/>
      <c r="B378" s="113"/>
      <c r="D378" s="113"/>
      <c r="E378" s="114"/>
      <c r="F378" s="114"/>
      <c r="G378" s="114"/>
      <c r="H378" s="114"/>
      <c r="I378" s="114"/>
      <c r="J378" s="114"/>
      <c r="K378" s="114"/>
      <c r="L378" s="114"/>
      <c r="M378" s="114"/>
      <c r="N378" s="114"/>
      <c r="O378" s="114"/>
      <c r="P378" s="114"/>
      <c r="Q378" s="114"/>
      <c r="R378" s="114"/>
      <c r="S378" s="114"/>
      <c r="T378" s="114"/>
      <c r="U378" s="114"/>
      <c r="V378" s="114"/>
      <c r="W378" s="114"/>
      <c r="X378" s="114"/>
      <c r="Y378" s="114"/>
    </row>
    <row r="379">
      <c r="A379" s="1"/>
      <c r="B379" s="113"/>
      <c r="D379" s="113"/>
      <c r="E379" s="114"/>
      <c r="F379" s="114"/>
      <c r="G379" s="114"/>
      <c r="H379" s="114"/>
      <c r="I379" s="114"/>
      <c r="J379" s="114"/>
      <c r="K379" s="114"/>
      <c r="L379" s="114"/>
      <c r="M379" s="114"/>
      <c r="N379" s="114"/>
      <c r="O379" s="114"/>
      <c r="P379" s="114"/>
      <c r="Q379" s="114"/>
      <c r="R379" s="114"/>
      <c r="S379" s="114"/>
      <c r="T379" s="114"/>
      <c r="U379" s="114"/>
      <c r="V379" s="114"/>
      <c r="W379" s="114"/>
      <c r="X379" s="114"/>
      <c r="Y379" s="114"/>
    </row>
    <row r="380">
      <c r="A380" s="1"/>
      <c r="B380" s="113"/>
      <c r="D380" s="113"/>
      <c r="E380" s="114"/>
      <c r="F380" s="114"/>
      <c r="G380" s="114"/>
      <c r="H380" s="114"/>
      <c r="I380" s="114"/>
      <c r="J380" s="114"/>
      <c r="K380" s="114"/>
      <c r="L380" s="114"/>
      <c r="M380" s="114"/>
      <c r="N380" s="114"/>
      <c r="O380" s="114"/>
      <c r="P380" s="114"/>
      <c r="Q380" s="114"/>
      <c r="R380" s="114"/>
      <c r="S380" s="114"/>
      <c r="T380" s="114"/>
      <c r="U380" s="114"/>
      <c r="V380" s="114"/>
      <c r="W380" s="114"/>
      <c r="X380" s="114"/>
      <c r="Y380" s="114"/>
    </row>
    <row r="381">
      <c r="A381" s="1"/>
      <c r="B381" s="113"/>
      <c r="D381" s="113"/>
      <c r="E381" s="114"/>
      <c r="F381" s="114"/>
      <c r="G381" s="114"/>
      <c r="H381" s="114"/>
      <c r="I381" s="114"/>
      <c r="J381" s="114"/>
      <c r="K381" s="114"/>
      <c r="L381" s="114"/>
      <c r="M381" s="114"/>
      <c r="N381" s="114"/>
      <c r="O381" s="114"/>
      <c r="P381" s="114"/>
      <c r="Q381" s="114"/>
      <c r="R381" s="114"/>
      <c r="S381" s="114"/>
      <c r="T381" s="114"/>
      <c r="U381" s="114"/>
      <c r="V381" s="114"/>
      <c r="W381" s="114"/>
      <c r="X381" s="114"/>
      <c r="Y381" s="114"/>
    </row>
    <row r="382">
      <c r="A382" s="1"/>
      <c r="B382" s="113"/>
      <c r="D382" s="113"/>
      <c r="E382" s="114"/>
      <c r="F382" s="114"/>
      <c r="G382" s="114"/>
      <c r="H382" s="114"/>
      <c r="I382" s="114"/>
      <c r="J382" s="114"/>
      <c r="K382" s="114"/>
      <c r="L382" s="114"/>
      <c r="M382" s="114"/>
      <c r="N382" s="114"/>
      <c r="O382" s="114"/>
      <c r="P382" s="114"/>
      <c r="Q382" s="114"/>
      <c r="R382" s="114"/>
      <c r="S382" s="114"/>
      <c r="T382" s="114"/>
      <c r="U382" s="114"/>
      <c r="V382" s="114"/>
      <c r="W382" s="114"/>
      <c r="X382" s="114"/>
      <c r="Y382" s="114"/>
    </row>
    <row r="383">
      <c r="A383" s="1"/>
      <c r="B383" s="113"/>
      <c r="D383" s="113"/>
      <c r="E383" s="114"/>
      <c r="F383" s="114"/>
      <c r="G383" s="114"/>
      <c r="H383" s="114"/>
      <c r="I383" s="114"/>
      <c r="J383" s="114"/>
      <c r="K383" s="114"/>
      <c r="L383" s="114"/>
      <c r="M383" s="114"/>
      <c r="N383" s="114"/>
      <c r="O383" s="114"/>
      <c r="P383" s="114"/>
      <c r="Q383" s="114"/>
      <c r="R383" s="114"/>
      <c r="S383" s="114"/>
      <c r="T383" s="114"/>
      <c r="U383" s="114"/>
      <c r="V383" s="114"/>
      <c r="W383" s="114"/>
      <c r="X383" s="114"/>
      <c r="Y383" s="114"/>
    </row>
    <row r="384">
      <c r="A384" s="1"/>
      <c r="B384" s="113"/>
      <c r="D384" s="113"/>
      <c r="E384" s="114"/>
      <c r="F384" s="114"/>
      <c r="G384" s="114"/>
      <c r="H384" s="114"/>
      <c r="I384" s="114"/>
      <c r="J384" s="114"/>
      <c r="K384" s="114"/>
      <c r="L384" s="114"/>
      <c r="M384" s="114"/>
      <c r="N384" s="114"/>
      <c r="O384" s="114"/>
      <c r="P384" s="114"/>
      <c r="Q384" s="114"/>
      <c r="R384" s="114"/>
      <c r="S384" s="114"/>
      <c r="T384" s="114"/>
      <c r="U384" s="114"/>
      <c r="V384" s="114"/>
      <c r="W384" s="114"/>
      <c r="X384" s="114"/>
      <c r="Y384" s="114"/>
    </row>
    <row r="385">
      <c r="A385" s="1"/>
      <c r="B385" s="113"/>
      <c r="D385" s="113"/>
      <c r="E385" s="114"/>
      <c r="F385" s="114"/>
      <c r="G385" s="114"/>
      <c r="H385" s="114"/>
      <c r="I385" s="114"/>
      <c r="J385" s="114"/>
      <c r="K385" s="114"/>
      <c r="L385" s="114"/>
      <c r="M385" s="114"/>
      <c r="N385" s="114"/>
      <c r="O385" s="114"/>
      <c r="P385" s="114"/>
      <c r="Q385" s="114"/>
      <c r="R385" s="114"/>
      <c r="S385" s="114"/>
      <c r="T385" s="114"/>
      <c r="U385" s="114"/>
      <c r="V385" s="114"/>
      <c r="W385" s="114"/>
      <c r="X385" s="114"/>
      <c r="Y385" s="114"/>
    </row>
    <row r="386">
      <c r="A386" s="1"/>
      <c r="B386" s="113"/>
      <c r="D386" s="113"/>
      <c r="E386" s="114"/>
      <c r="F386" s="114"/>
      <c r="G386" s="114"/>
      <c r="H386" s="114"/>
      <c r="I386" s="114"/>
      <c r="J386" s="114"/>
      <c r="K386" s="114"/>
      <c r="L386" s="114"/>
      <c r="M386" s="114"/>
      <c r="N386" s="114"/>
      <c r="O386" s="114"/>
      <c r="P386" s="114"/>
      <c r="Q386" s="114"/>
      <c r="R386" s="114"/>
      <c r="S386" s="114"/>
      <c r="T386" s="114"/>
      <c r="U386" s="114"/>
      <c r="V386" s="114"/>
      <c r="W386" s="114"/>
      <c r="X386" s="114"/>
      <c r="Y386" s="114"/>
    </row>
    <row r="387">
      <c r="A387" s="1"/>
      <c r="B387" s="113"/>
      <c r="D387" s="113"/>
      <c r="E387" s="114"/>
      <c r="F387" s="114"/>
      <c r="G387" s="114"/>
      <c r="H387" s="114"/>
      <c r="I387" s="114"/>
      <c r="J387" s="114"/>
      <c r="K387" s="114"/>
      <c r="L387" s="114"/>
      <c r="M387" s="114"/>
      <c r="N387" s="114"/>
      <c r="O387" s="114"/>
      <c r="P387" s="114"/>
      <c r="Q387" s="114"/>
      <c r="R387" s="114"/>
      <c r="S387" s="114"/>
      <c r="T387" s="114"/>
      <c r="U387" s="114"/>
      <c r="V387" s="114"/>
      <c r="W387" s="114"/>
      <c r="X387" s="114"/>
      <c r="Y387" s="114"/>
    </row>
    <row r="388">
      <c r="A388" s="1"/>
      <c r="B388" s="113"/>
      <c r="D388" s="113"/>
      <c r="E388" s="114"/>
      <c r="F388" s="114"/>
      <c r="G388" s="114"/>
      <c r="H388" s="114"/>
      <c r="I388" s="114"/>
      <c r="J388" s="114"/>
      <c r="K388" s="114"/>
      <c r="L388" s="114"/>
      <c r="M388" s="114"/>
      <c r="N388" s="114"/>
      <c r="O388" s="114"/>
      <c r="P388" s="114"/>
      <c r="Q388" s="114"/>
      <c r="R388" s="114"/>
      <c r="S388" s="114"/>
      <c r="T388" s="114"/>
      <c r="U388" s="114"/>
      <c r="V388" s="114"/>
      <c r="W388" s="114"/>
      <c r="X388" s="114"/>
      <c r="Y388" s="114"/>
    </row>
    <row r="389">
      <c r="A389" s="1"/>
      <c r="B389" s="113"/>
      <c r="D389" s="113"/>
      <c r="E389" s="114"/>
      <c r="F389" s="114"/>
      <c r="G389" s="114"/>
      <c r="H389" s="114"/>
      <c r="I389" s="114"/>
      <c r="J389" s="114"/>
      <c r="K389" s="114"/>
      <c r="L389" s="114"/>
      <c r="M389" s="114"/>
      <c r="N389" s="114"/>
      <c r="O389" s="114"/>
      <c r="P389" s="114"/>
      <c r="Q389" s="114"/>
      <c r="R389" s="114"/>
      <c r="S389" s="114"/>
      <c r="T389" s="114"/>
      <c r="U389" s="114"/>
      <c r="V389" s="114"/>
      <c r="W389" s="114"/>
      <c r="X389" s="114"/>
      <c r="Y389" s="114"/>
    </row>
    <row r="390">
      <c r="A390" s="1"/>
      <c r="B390" s="113"/>
      <c r="D390" s="113"/>
      <c r="E390" s="114"/>
      <c r="F390" s="114"/>
      <c r="G390" s="114"/>
      <c r="H390" s="114"/>
      <c r="I390" s="114"/>
      <c r="J390" s="114"/>
      <c r="K390" s="114"/>
      <c r="L390" s="114"/>
      <c r="M390" s="114"/>
      <c r="N390" s="114"/>
      <c r="O390" s="114"/>
      <c r="P390" s="114"/>
      <c r="Q390" s="114"/>
      <c r="R390" s="114"/>
      <c r="S390" s="114"/>
      <c r="T390" s="114"/>
      <c r="U390" s="114"/>
      <c r="V390" s="114"/>
      <c r="W390" s="114"/>
      <c r="X390" s="114"/>
      <c r="Y390" s="114"/>
    </row>
    <row r="391">
      <c r="A391" s="1"/>
      <c r="B391" s="113"/>
      <c r="D391" s="113"/>
      <c r="E391" s="114"/>
      <c r="F391" s="114"/>
      <c r="G391" s="114"/>
      <c r="H391" s="114"/>
      <c r="I391" s="114"/>
      <c r="J391" s="114"/>
      <c r="K391" s="114"/>
      <c r="L391" s="114"/>
      <c r="M391" s="114"/>
      <c r="N391" s="114"/>
      <c r="O391" s="114"/>
      <c r="P391" s="114"/>
      <c r="Q391" s="114"/>
      <c r="R391" s="114"/>
      <c r="S391" s="114"/>
      <c r="T391" s="114"/>
      <c r="U391" s="114"/>
      <c r="V391" s="114"/>
      <c r="W391" s="114"/>
      <c r="X391" s="114"/>
      <c r="Y391" s="114"/>
    </row>
    <row r="392">
      <c r="A392" s="1"/>
      <c r="B392" s="113"/>
      <c r="D392" s="113"/>
      <c r="E392" s="114"/>
      <c r="F392" s="114"/>
      <c r="G392" s="114"/>
      <c r="H392" s="114"/>
      <c r="I392" s="114"/>
      <c r="J392" s="114"/>
      <c r="K392" s="114"/>
      <c r="L392" s="114"/>
      <c r="M392" s="114"/>
      <c r="N392" s="114"/>
      <c r="O392" s="114"/>
      <c r="P392" s="114"/>
      <c r="Q392" s="114"/>
      <c r="R392" s="114"/>
      <c r="S392" s="114"/>
      <c r="T392" s="114"/>
      <c r="U392" s="114"/>
      <c r="V392" s="114"/>
      <c r="W392" s="114"/>
      <c r="X392" s="114"/>
      <c r="Y392" s="114"/>
    </row>
    <row r="393">
      <c r="A393" s="1"/>
      <c r="B393" s="113"/>
      <c r="D393" s="113"/>
      <c r="E393" s="114"/>
      <c r="F393" s="114"/>
      <c r="G393" s="114"/>
      <c r="H393" s="114"/>
      <c r="I393" s="114"/>
      <c r="J393" s="114"/>
      <c r="K393" s="114"/>
      <c r="L393" s="114"/>
      <c r="M393" s="114"/>
      <c r="N393" s="114"/>
      <c r="O393" s="114"/>
      <c r="P393" s="114"/>
      <c r="Q393" s="114"/>
      <c r="R393" s="114"/>
      <c r="S393" s="114"/>
      <c r="T393" s="114"/>
      <c r="U393" s="114"/>
      <c r="V393" s="114"/>
      <c r="W393" s="114"/>
      <c r="X393" s="114"/>
      <c r="Y393" s="114"/>
    </row>
    <row r="394">
      <c r="A394" s="1"/>
      <c r="B394" s="113"/>
      <c r="D394" s="113"/>
      <c r="E394" s="114"/>
      <c r="F394" s="114"/>
      <c r="G394" s="114"/>
      <c r="H394" s="114"/>
      <c r="I394" s="114"/>
      <c r="J394" s="114"/>
      <c r="K394" s="114"/>
      <c r="L394" s="114"/>
      <c r="M394" s="114"/>
      <c r="N394" s="114"/>
      <c r="O394" s="114"/>
      <c r="P394" s="114"/>
      <c r="Q394" s="114"/>
      <c r="R394" s="114"/>
      <c r="S394" s="114"/>
      <c r="T394" s="114"/>
      <c r="U394" s="114"/>
      <c r="V394" s="114"/>
      <c r="W394" s="114"/>
      <c r="X394" s="114"/>
      <c r="Y394" s="114"/>
    </row>
    <row r="395">
      <c r="A395" s="1"/>
      <c r="B395" s="113"/>
      <c r="D395" s="113"/>
      <c r="E395" s="114"/>
      <c r="F395" s="114"/>
      <c r="G395" s="114"/>
      <c r="H395" s="114"/>
      <c r="I395" s="114"/>
      <c r="J395" s="114"/>
      <c r="K395" s="114"/>
      <c r="L395" s="114"/>
      <c r="M395" s="114"/>
      <c r="N395" s="114"/>
      <c r="O395" s="114"/>
      <c r="P395" s="114"/>
      <c r="Q395" s="114"/>
      <c r="R395" s="114"/>
      <c r="S395" s="114"/>
      <c r="T395" s="114"/>
      <c r="U395" s="114"/>
      <c r="V395" s="114"/>
      <c r="W395" s="114"/>
      <c r="X395" s="114"/>
      <c r="Y395" s="114"/>
    </row>
    <row r="396">
      <c r="A396" s="1"/>
      <c r="B396" s="113"/>
      <c r="D396" s="113"/>
      <c r="E396" s="114"/>
      <c r="F396" s="114"/>
      <c r="G396" s="114"/>
      <c r="H396" s="114"/>
      <c r="I396" s="114"/>
      <c r="J396" s="114"/>
      <c r="K396" s="114"/>
      <c r="L396" s="114"/>
      <c r="M396" s="114"/>
      <c r="N396" s="114"/>
      <c r="O396" s="114"/>
      <c r="P396" s="114"/>
      <c r="Q396" s="114"/>
      <c r="R396" s="114"/>
      <c r="S396" s="114"/>
      <c r="T396" s="114"/>
      <c r="U396" s="114"/>
      <c r="V396" s="114"/>
      <c r="W396" s="114"/>
      <c r="X396" s="114"/>
      <c r="Y396" s="114"/>
    </row>
    <row r="397">
      <c r="A397" s="1"/>
      <c r="B397" s="113"/>
      <c r="D397" s="113"/>
      <c r="E397" s="114"/>
      <c r="F397" s="114"/>
      <c r="G397" s="114"/>
      <c r="H397" s="114"/>
      <c r="I397" s="114"/>
      <c r="J397" s="114"/>
      <c r="K397" s="114"/>
      <c r="L397" s="114"/>
      <c r="M397" s="114"/>
      <c r="N397" s="114"/>
      <c r="O397" s="114"/>
      <c r="P397" s="114"/>
      <c r="Q397" s="114"/>
      <c r="R397" s="114"/>
      <c r="S397" s="114"/>
      <c r="T397" s="114"/>
      <c r="U397" s="114"/>
      <c r="V397" s="114"/>
      <c r="W397" s="114"/>
      <c r="X397" s="114"/>
      <c r="Y397" s="114"/>
    </row>
    <row r="398">
      <c r="A398" s="1"/>
      <c r="B398" s="113"/>
      <c r="D398" s="113"/>
      <c r="E398" s="114"/>
      <c r="F398" s="114"/>
      <c r="G398" s="114"/>
      <c r="H398" s="114"/>
      <c r="I398" s="114"/>
      <c r="J398" s="114"/>
      <c r="K398" s="114"/>
      <c r="L398" s="114"/>
      <c r="M398" s="114"/>
      <c r="N398" s="114"/>
      <c r="O398" s="114"/>
      <c r="P398" s="114"/>
      <c r="Q398" s="114"/>
      <c r="R398" s="114"/>
      <c r="S398" s="114"/>
      <c r="T398" s="114"/>
      <c r="U398" s="114"/>
      <c r="V398" s="114"/>
      <c r="W398" s="114"/>
      <c r="X398" s="114"/>
      <c r="Y398" s="114"/>
    </row>
    <row r="399">
      <c r="A399" s="1"/>
      <c r="B399" s="113"/>
      <c r="D399" s="113"/>
      <c r="E399" s="114"/>
      <c r="F399" s="114"/>
      <c r="G399" s="114"/>
      <c r="H399" s="114"/>
      <c r="I399" s="114"/>
      <c r="J399" s="114"/>
      <c r="K399" s="114"/>
      <c r="L399" s="114"/>
      <c r="M399" s="114"/>
      <c r="N399" s="114"/>
      <c r="O399" s="114"/>
      <c r="P399" s="114"/>
      <c r="Q399" s="114"/>
      <c r="R399" s="114"/>
      <c r="S399" s="114"/>
      <c r="T399" s="114"/>
      <c r="U399" s="114"/>
      <c r="V399" s="114"/>
      <c r="W399" s="114"/>
      <c r="X399" s="114"/>
      <c r="Y399" s="114"/>
    </row>
    <row r="400">
      <c r="A400" s="1"/>
      <c r="B400" s="113"/>
      <c r="D400" s="113"/>
      <c r="E400" s="114"/>
      <c r="F400" s="114"/>
      <c r="G400" s="114"/>
      <c r="H400" s="114"/>
      <c r="I400" s="114"/>
      <c r="J400" s="114"/>
      <c r="K400" s="114"/>
      <c r="L400" s="114"/>
      <c r="M400" s="114"/>
      <c r="N400" s="114"/>
      <c r="O400" s="114"/>
      <c r="P400" s="114"/>
      <c r="Q400" s="114"/>
      <c r="R400" s="114"/>
      <c r="S400" s="114"/>
      <c r="T400" s="114"/>
      <c r="U400" s="114"/>
      <c r="V400" s="114"/>
      <c r="W400" s="114"/>
      <c r="X400" s="114"/>
      <c r="Y400" s="114"/>
    </row>
    <row r="401">
      <c r="A401" s="1"/>
      <c r="B401" s="113"/>
      <c r="D401" s="113"/>
      <c r="E401" s="114"/>
      <c r="F401" s="114"/>
      <c r="G401" s="114"/>
      <c r="H401" s="114"/>
      <c r="I401" s="114"/>
      <c r="J401" s="114"/>
      <c r="K401" s="114"/>
      <c r="L401" s="114"/>
      <c r="M401" s="114"/>
      <c r="N401" s="114"/>
      <c r="O401" s="114"/>
      <c r="P401" s="114"/>
      <c r="Q401" s="114"/>
      <c r="R401" s="114"/>
      <c r="S401" s="114"/>
      <c r="T401" s="114"/>
      <c r="U401" s="114"/>
      <c r="V401" s="114"/>
      <c r="W401" s="114"/>
      <c r="X401" s="114"/>
      <c r="Y401" s="114"/>
    </row>
    <row r="402">
      <c r="A402" s="1"/>
      <c r="B402" s="113"/>
      <c r="D402" s="113"/>
      <c r="E402" s="114"/>
      <c r="F402" s="114"/>
      <c r="G402" s="114"/>
      <c r="H402" s="114"/>
      <c r="I402" s="114"/>
      <c r="J402" s="114"/>
      <c r="K402" s="114"/>
      <c r="L402" s="114"/>
      <c r="M402" s="114"/>
      <c r="N402" s="114"/>
      <c r="O402" s="114"/>
      <c r="P402" s="114"/>
      <c r="Q402" s="114"/>
      <c r="R402" s="114"/>
      <c r="S402" s="114"/>
      <c r="T402" s="114"/>
      <c r="U402" s="114"/>
      <c r="V402" s="114"/>
      <c r="W402" s="114"/>
      <c r="X402" s="114"/>
      <c r="Y402" s="114"/>
    </row>
    <row r="403">
      <c r="A403" s="1"/>
      <c r="B403" s="113"/>
      <c r="D403" s="113"/>
      <c r="E403" s="114"/>
      <c r="F403" s="114"/>
      <c r="G403" s="114"/>
      <c r="H403" s="114"/>
      <c r="I403" s="114"/>
      <c r="J403" s="114"/>
      <c r="K403" s="114"/>
      <c r="L403" s="114"/>
      <c r="M403" s="114"/>
      <c r="N403" s="114"/>
      <c r="O403" s="114"/>
      <c r="P403" s="114"/>
      <c r="Q403" s="114"/>
      <c r="R403" s="114"/>
      <c r="S403" s="114"/>
      <c r="T403" s="114"/>
      <c r="U403" s="114"/>
      <c r="V403" s="114"/>
      <c r="W403" s="114"/>
      <c r="X403" s="114"/>
      <c r="Y403" s="114"/>
    </row>
    <row r="404">
      <c r="A404" s="1"/>
      <c r="B404" s="113"/>
      <c r="D404" s="113"/>
      <c r="E404" s="114"/>
      <c r="F404" s="114"/>
      <c r="G404" s="114"/>
      <c r="H404" s="114"/>
      <c r="I404" s="114"/>
      <c r="J404" s="114"/>
      <c r="K404" s="114"/>
      <c r="L404" s="114"/>
      <c r="M404" s="114"/>
      <c r="N404" s="114"/>
      <c r="O404" s="114"/>
      <c r="P404" s="114"/>
      <c r="Q404" s="114"/>
      <c r="R404" s="114"/>
      <c r="S404" s="114"/>
      <c r="T404" s="114"/>
      <c r="U404" s="114"/>
      <c r="V404" s="114"/>
      <c r="W404" s="114"/>
      <c r="X404" s="114"/>
      <c r="Y404" s="114"/>
    </row>
    <row r="405">
      <c r="A405" s="1"/>
      <c r="B405" s="113"/>
      <c r="D405" s="113"/>
      <c r="E405" s="114"/>
      <c r="F405" s="114"/>
      <c r="G405" s="114"/>
      <c r="H405" s="114"/>
      <c r="I405" s="114"/>
      <c r="J405" s="114"/>
      <c r="K405" s="114"/>
      <c r="L405" s="114"/>
      <c r="M405" s="114"/>
      <c r="N405" s="114"/>
      <c r="O405" s="114"/>
      <c r="P405" s="114"/>
      <c r="Q405" s="114"/>
      <c r="R405" s="114"/>
      <c r="S405" s="114"/>
      <c r="T405" s="114"/>
      <c r="U405" s="114"/>
      <c r="V405" s="114"/>
      <c r="W405" s="114"/>
      <c r="X405" s="114"/>
      <c r="Y405" s="114"/>
    </row>
    <row r="406">
      <c r="A406" s="1"/>
      <c r="B406" s="113"/>
      <c r="D406" s="113"/>
      <c r="E406" s="114"/>
      <c r="F406" s="114"/>
      <c r="G406" s="114"/>
      <c r="H406" s="114"/>
      <c r="I406" s="114"/>
      <c r="J406" s="114"/>
      <c r="K406" s="114"/>
      <c r="L406" s="114"/>
      <c r="M406" s="114"/>
      <c r="N406" s="114"/>
      <c r="O406" s="114"/>
      <c r="P406" s="114"/>
      <c r="Q406" s="114"/>
      <c r="R406" s="114"/>
      <c r="S406" s="114"/>
      <c r="T406" s="114"/>
      <c r="U406" s="114"/>
      <c r="V406" s="114"/>
      <c r="W406" s="114"/>
      <c r="X406" s="114"/>
      <c r="Y406" s="114"/>
    </row>
    <row r="407">
      <c r="A407" s="1"/>
      <c r="B407" s="113"/>
      <c r="D407" s="113"/>
      <c r="E407" s="114"/>
      <c r="F407" s="114"/>
      <c r="G407" s="114"/>
      <c r="H407" s="114"/>
      <c r="I407" s="114"/>
      <c r="J407" s="114"/>
      <c r="K407" s="114"/>
      <c r="L407" s="114"/>
      <c r="M407" s="114"/>
      <c r="N407" s="114"/>
      <c r="O407" s="114"/>
      <c r="P407" s="114"/>
      <c r="Q407" s="114"/>
      <c r="R407" s="114"/>
      <c r="S407" s="114"/>
      <c r="T407" s="114"/>
      <c r="U407" s="114"/>
      <c r="V407" s="114"/>
      <c r="W407" s="114"/>
      <c r="X407" s="114"/>
      <c r="Y407" s="114"/>
    </row>
    <row r="408">
      <c r="A408" s="1"/>
      <c r="B408" s="113"/>
      <c r="D408" s="113"/>
      <c r="E408" s="114"/>
      <c r="F408" s="114"/>
      <c r="G408" s="114"/>
      <c r="H408" s="114"/>
      <c r="I408" s="114"/>
      <c r="J408" s="114"/>
      <c r="K408" s="114"/>
      <c r="L408" s="114"/>
      <c r="M408" s="114"/>
      <c r="N408" s="114"/>
      <c r="O408" s="114"/>
      <c r="P408" s="114"/>
      <c r="Q408" s="114"/>
      <c r="R408" s="114"/>
      <c r="S408" s="114"/>
      <c r="T408" s="114"/>
      <c r="U408" s="114"/>
      <c r="V408" s="114"/>
      <c r="W408" s="114"/>
      <c r="X408" s="114"/>
      <c r="Y408" s="114"/>
    </row>
    <row r="409">
      <c r="A409" s="1"/>
      <c r="B409" s="113"/>
      <c r="D409" s="113"/>
      <c r="E409" s="114"/>
      <c r="F409" s="114"/>
      <c r="G409" s="114"/>
      <c r="H409" s="114"/>
      <c r="I409" s="114"/>
      <c r="J409" s="114"/>
      <c r="K409" s="114"/>
      <c r="L409" s="114"/>
      <c r="M409" s="114"/>
      <c r="N409" s="114"/>
      <c r="O409" s="114"/>
      <c r="P409" s="114"/>
      <c r="Q409" s="114"/>
      <c r="R409" s="114"/>
      <c r="S409" s="114"/>
      <c r="T409" s="114"/>
      <c r="U409" s="114"/>
      <c r="V409" s="114"/>
      <c r="W409" s="114"/>
      <c r="X409" s="114"/>
      <c r="Y409" s="114"/>
    </row>
    <row r="410">
      <c r="A410" s="1"/>
      <c r="B410" s="113"/>
      <c r="D410" s="113"/>
      <c r="E410" s="114"/>
      <c r="F410" s="114"/>
      <c r="G410" s="114"/>
      <c r="H410" s="114"/>
      <c r="I410" s="114"/>
      <c r="J410" s="114"/>
      <c r="K410" s="114"/>
      <c r="L410" s="114"/>
      <c r="M410" s="114"/>
      <c r="N410" s="114"/>
      <c r="O410" s="114"/>
      <c r="P410" s="114"/>
      <c r="Q410" s="114"/>
      <c r="R410" s="114"/>
      <c r="S410" s="114"/>
      <c r="T410" s="114"/>
      <c r="U410" s="114"/>
      <c r="V410" s="114"/>
      <c r="W410" s="114"/>
      <c r="X410" s="114"/>
      <c r="Y410" s="114"/>
    </row>
    <row r="411">
      <c r="A411" s="1"/>
      <c r="B411" s="113"/>
      <c r="D411" s="113"/>
      <c r="E411" s="114"/>
      <c r="F411" s="114"/>
      <c r="G411" s="114"/>
      <c r="H411" s="114"/>
      <c r="I411" s="114"/>
      <c r="J411" s="114"/>
      <c r="K411" s="114"/>
      <c r="L411" s="114"/>
      <c r="M411" s="114"/>
      <c r="N411" s="114"/>
      <c r="O411" s="114"/>
      <c r="P411" s="114"/>
      <c r="Q411" s="114"/>
      <c r="R411" s="114"/>
      <c r="S411" s="114"/>
      <c r="T411" s="114"/>
      <c r="U411" s="114"/>
      <c r="V411" s="114"/>
      <c r="W411" s="114"/>
      <c r="X411" s="114"/>
      <c r="Y411" s="114"/>
    </row>
    <row r="412">
      <c r="A412" s="1"/>
      <c r="B412" s="113"/>
      <c r="D412" s="113"/>
      <c r="E412" s="114"/>
      <c r="F412" s="114"/>
      <c r="G412" s="114"/>
      <c r="H412" s="114"/>
      <c r="I412" s="114"/>
      <c r="J412" s="114"/>
      <c r="K412" s="114"/>
      <c r="L412" s="114"/>
      <c r="M412" s="114"/>
      <c r="N412" s="114"/>
      <c r="O412" s="114"/>
      <c r="P412" s="114"/>
      <c r="Q412" s="114"/>
      <c r="R412" s="114"/>
      <c r="S412" s="114"/>
      <c r="T412" s="114"/>
      <c r="U412" s="114"/>
      <c r="V412" s="114"/>
      <c r="W412" s="114"/>
      <c r="X412" s="114"/>
      <c r="Y412" s="114"/>
    </row>
    <row r="413">
      <c r="A413" s="1"/>
      <c r="B413" s="113"/>
      <c r="D413" s="113"/>
      <c r="E413" s="114"/>
      <c r="F413" s="114"/>
      <c r="G413" s="114"/>
      <c r="H413" s="114"/>
      <c r="I413" s="114"/>
      <c r="J413" s="114"/>
      <c r="K413" s="114"/>
      <c r="L413" s="114"/>
      <c r="M413" s="114"/>
      <c r="N413" s="114"/>
      <c r="O413" s="114"/>
      <c r="P413" s="114"/>
      <c r="Q413" s="114"/>
      <c r="R413" s="114"/>
      <c r="S413" s="114"/>
      <c r="T413" s="114"/>
      <c r="U413" s="114"/>
      <c r="V413" s="114"/>
      <c r="W413" s="114"/>
      <c r="X413" s="114"/>
      <c r="Y413" s="114"/>
    </row>
    <row r="414">
      <c r="A414" s="1"/>
      <c r="B414" s="113"/>
      <c r="D414" s="113"/>
      <c r="E414" s="114"/>
      <c r="F414" s="114"/>
      <c r="G414" s="114"/>
      <c r="H414" s="114"/>
      <c r="I414" s="114"/>
      <c r="J414" s="114"/>
      <c r="K414" s="114"/>
      <c r="L414" s="114"/>
      <c r="M414" s="114"/>
      <c r="N414" s="114"/>
      <c r="O414" s="114"/>
      <c r="P414" s="114"/>
      <c r="Q414" s="114"/>
      <c r="R414" s="114"/>
      <c r="S414" s="114"/>
      <c r="T414" s="114"/>
      <c r="U414" s="114"/>
      <c r="V414" s="114"/>
      <c r="W414" s="114"/>
      <c r="X414" s="114"/>
      <c r="Y414" s="114"/>
    </row>
    <row r="415">
      <c r="A415" s="1"/>
      <c r="B415" s="113"/>
      <c r="D415" s="113"/>
      <c r="E415" s="114"/>
      <c r="F415" s="114"/>
      <c r="G415" s="114"/>
      <c r="H415" s="114"/>
      <c r="I415" s="114"/>
      <c r="J415" s="114"/>
      <c r="K415" s="114"/>
      <c r="L415" s="114"/>
      <c r="M415" s="114"/>
      <c r="N415" s="114"/>
      <c r="O415" s="114"/>
      <c r="P415" s="114"/>
      <c r="Q415" s="114"/>
      <c r="R415" s="114"/>
      <c r="S415" s="114"/>
      <c r="T415" s="114"/>
      <c r="U415" s="114"/>
      <c r="V415" s="114"/>
      <c r="W415" s="114"/>
      <c r="X415" s="114"/>
      <c r="Y415" s="114"/>
    </row>
    <row r="416">
      <c r="A416" s="1"/>
      <c r="B416" s="113"/>
      <c r="D416" s="113"/>
      <c r="E416" s="114"/>
      <c r="F416" s="114"/>
      <c r="G416" s="114"/>
      <c r="H416" s="114"/>
      <c r="I416" s="114"/>
      <c r="J416" s="114"/>
      <c r="K416" s="114"/>
      <c r="L416" s="114"/>
      <c r="M416" s="114"/>
      <c r="N416" s="114"/>
      <c r="O416" s="114"/>
      <c r="P416" s="114"/>
      <c r="Q416" s="114"/>
      <c r="R416" s="114"/>
      <c r="S416" s="114"/>
      <c r="T416" s="114"/>
      <c r="U416" s="114"/>
      <c r="V416" s="114"/>
      <c r="W416" s="114"/>
      <c r="X416" s="114"/>
      <c r="Y416" s="114"/>
    </row>
    <row r="417">
      <c r="A417" s="1"/>
      <c r="B417" s="113"/>
      <c r="D417" s="113"/>
      <c r="E417" s="114"/>
      <c r="F417" s="114"/>
      <c r="G417" s="114"/>
      <c r="H417" s="114"/>
      <c r="I417" s="114"/>
      <c r="J417" s="114"/>
      <c r="K417" s="114"/>
      <c r="L417" s="114"/>
      <c r="M417" s="114"/>
      <c r="N417" s="114"/>
      <c r="O417" s="114"/>
      <c r="P417" s="114"/>
      <c r="Q417" s="114"/>
      <c r="R417" s="114"/>
      <c r="S417" s="114"/>
      <c r="T417" s="114"/>
      <c r="U417" s="114"/>
      <c r="V417" s="114"/>
      <c r="W417" s="114"/>
      <c r="X417" s="114"/>
      <c r="Y417" s="114"/>
    </row>
    <row r="418">
      <c r="A418" s="1"/>
      <c r="B418" s="113"/>
      <c r="D418" s="113"/>
      <c r="E418" s="114"/>
      <c r="F418" s="114"/>
      <c r="G418" s="114"/>
      <c r="H418" s="114"/>
      <c r="I418" s="114"/>
      <c r="J418" s="114"/>
      <c r="K418" s="114"/>
      <c r="L418" s="114"/>
      <c r="M418" s="114"/>
      <c r="N418" s="114"/>
      <c r="O418" s="114"/>
      <c r="P418" s="114"/>
      <c r="Q418" s="114"/>
      <c r="R418" s="114"/>
      <c r="S418" s="114"/>
      <c r="T418" s="114"/>
      <c r="U418" s="114"/>
      <c r="V418" s="114"/>
      <c r="W418" s="114"/>
      <c r="X418" s="114"/>
      <c r="Y418" s="114"/>
    </row>
    <row r="419">
      <c r="A419" s="1"/>
      <c r="B419" s="113"/>
      <c r="D419" s="113"/>
      <c r="E419" s="114"/>
      <c r="F419" s="114"/>
      <c r="G419" s="114"/>
      <c r="H419" s="114"/>
      <c r="I419" s="114"/>
      <c r="J419" s="114"/>
      <c r="K419" s="114"/>
      <c r="L419" s="114"/>
      <c r="M419" s="114"/>
      <c r="N419" s="114"/>
      <c r="O419" s="114"/>
      <c r="P419" s="114"/>
      <c r="Q419" s="114"/>
      <c r="R419" s="114"/>
      <c r="S419" s="114"/>
      <c r="T419" s="114"/>
      <c r="U419" s="114"/>
      <c r="V419" s="114"/>
      <c r="W419" s="114"/>
      <c r="X419" s="114"/>
      <c r="Y419" s="114"/>
    </row>
    <row r="420">
      <c r="A420" s="1"/>
      <c r="B420" s="113"/>
      <c r="D420" s="113"/>
      <c r="E420" s="114"/>
      <c r="F420" s="114"/>
      <c r="G420" s="114"/>
      <c r="H420" s="114"/>
      <c r="I420" s="114"/>
      <c r="J420" s="114"/>
      <c r="K420" s="114"/>
      <c r="L420" s="114"/>
      <c r="M420" s="114"/>
      <c r="N420" s="114"/>
      <c r="O420" s="114"/>
      <c r="P420" s="114"/>
      <c r="Q420" s="114"/>
      <c r="R420" s="114"/>
      <c r="S420" s="114"/>
      <c r="T420" s="114"/>
      <c r="U420" s="114"/>
      <c r="V420" s="114"/>
      <c r="W420" s="114"/>
      <c r="X420" s="114"/>
      <c r="Y420" s="114"/>
    </row>
    <row r="421">
      <c r="A421" s="1"/>
      <c r="B421" s="113"/>
      <c r="D421" s="113"/>
      <c r="E421" s="114"/>
      <c r="F421" s="114"/>
      <c r="G421" s="114"/>
      <c r="H421" s="114"/>
      <c r="I421" s="114"/>
      <c r="J421" s="114"/>
      <c r="K421" s="114"/>
      <c r="L421" s="114"/>
      <c r="M421" s="114"/>
      <c r="N421" s="114"/>
      <c r="O421" s="114"/>
      <c r="P421" s="114"/>
      <c r="Q421" s="114"/>
      <c r="R421" s="114"/>
      <c r="S421" s="114"/>
      <c r="T421" s="114"/>
      <c r="U421" s="114"/>
      <c r="V421" s="114"/>
      <c r="W421" s="114"/>
      <c r="X421" s="114"/>
      <c r="Y421" s="114"/>
    </row>
    <row r="422">
      <c r="A422" s="1"/>
      <c r="B422" s="113"/>
      <c r="D422" s="113"/>
      <c r="E422" s="114"/>
      <c r="F422" s="114"/>
      <c r="G422" s="114"/>
      <c r="H422" s="114"/>
      <c r="I422" s="114"/>
      <c r="J422" s="114"/>
      <c r="K422" s="114"/>
      <c r="L422" s="114"/>
      <c r="M422" s="114"/>
      <c r="N422" s="114"/>
      <c r="O422" s="114"/>
      <c r="P422" s="114"/>
      <c r="Q422" s="114"/>
      <c r="R422" s="114"/>
      <c r="S422" s="114"/>
      <c r="T422" s="114"/>
      <c r="U422" s="114"/>
      <c r="V422" s="114"/>
      <c r="W422" s="114"/>
      <c r="X422" s="114"/>
      <c r="Y422" s="114"/>
    </row>
    <row r="423">
      <c r="A423" s="1"/>
      <c r="B423" s="113"/>
      <c r="D423" s="113"/>
      <c r="E423" s="114"/>
      <c r="F423" s="114"/>
      <c r="G423" s="114"/>
      <c r="H423" s="114"/>
      <c r="I423" s="114"/>
      <c r="J423" s="114"/>
      <c r="K423" s="114"/>
      <c r="L423" s="114"/>
      <c r="M423" s="114"/>
      <c r="N423" s="114"/>
      <c r="O423" s="114"/>
      <c r="P423" s="114"/>
      <c r="Q423" s="114"/>
      <c r="R423" s="114"/>
      <c r="S423" s="114"/>
      <c r="T423" s="114"/>
      <c r="U423" s="114"/>
      <c r="V423" s="114"/>
      <c r="W423" s="114"/>
      <c r="X423" s="114"/>
      <c r="Y423" s="114"/>
    </row>
    <row r="424">
      <c r="A424" s="1"/>
      <c r="B424" s="113"/>
      <c r="D424" s="113"/>
      <c r="E424" s="114"/>
      <c r="F424" s="114"/>
      <c r="G424" s="114"/>
      <c r="H424" s="114"/>
      <c r="I424" s="114"/>
      <c r="J424" s="114"/>
      <c r="K424" s="114"/>
      <c r="L424" s="114"/>
      <c r="M424" s="114"/>
      <c r="N424" s="114"/>
      <c r="O424" s="114"/>
      <c r="P424" s="114"/>
      <c r="Q424" s="114"/>
      <c r="R424" s="114"/>
      <c r="S424" s="114"/>
      <c r="T424" s="114"/>
      <c r="U424" s="114"/>
      <c r="V424" s="114"/>
      <c r="W424" s="114"/>
      <c r="X424" s="114"/>
      <c r="Y424" s="114"/>
    </row>
    <row r="425">
      <c r="A425" s="1"/>
      <c r="B425" s="113"/>
      <c r="D425" s="113"/>
      <c r="E425" s="114"/>
      <c r="F425" s="114"/>
      <c r="G425" s="114"/>
      <c r="H425" s="114"/>
      <c r="I425" s="114"/>
      <c r="J425" s="114"/>
      <c r="K425" s="114"/>
      <c r="L425" s="114"/>
      <c r="M425" s="114"/>
      <c r="N425" s="114"/>
      <c r="O425" s="114"/>
      <c r="P425" s="114"/>
      <c r="Q425" s="114"/>
      <c r="R425" s="114"/>
      <c r="S425" s="114"/>
      <c r="T425" s="114"/>
      <c r="U425" s="114"/>
      <c r="V425" s="114"/>
      <c r="W425" s="114"/>
      <c r="X425" s="114"/>
      <c r="Y425" s="114"/>
    </row>
    <row r="426">
      <c r="A426" s="1"/>
      <c r="B426" s="113"/>
      <c r="D426" s="113"/>
      <c r="E426" s="114"/>
      <c r="F426" s="114"/>
      <c r="G426" s="114"/>
      <c r="H426" s="114"/>
      <c r="I426" s="114"/>
      <c r="J426" s="114"/>
      <c r="K426" s="114"/>
      <c r="L426" s="114"/>
      <c r="M426" s="114"/>
      <c r="N426" s="114"/>
      <c r="O426" s="114"/>
      <c r="P426" s="114"/>
      <c r="Q426" s="114"/>
      <c r="R426" s="114"/>
      <c r="S426" s="114"/>
      <c r="T426" s="114"/>
      <c r="U426" s="114"/>
      <c r="V426" s="114"/>
      <c r="W426" s="114"/>
      <c r="X426" s="114"/>
      <c r="Y426" s="114"/>
    </row>
    <row r="427">
      <c r="A427" s="1"/>
      <c r="B427" s="113"/>
      <c r="D427" s="113"/>
      <c r="E427" s="114"/>
      <c r="F427" s="114"/>
      <c r="G427" s="114"/>
      <c r="H427" s="114"/>
      <c r="I427" s="114"/>
      <c r="J427" s="114"/>
      <c r="K427" s="114"/>
      <c r="L427" s="114"/>
      <c r="M427" s="114"/>
      <c r="N427" s="114"/>
      <c r="O427" s="114"/>
      <c r="P427" s="114"/>
      <c r="Q427" s="114"/>
      <c r="R427" s="114"/>
      <c r="S427" s="114"/>
      <c r="T427" s="114"/>
      <c r="U427" s="114"/>
      <c r="V427" s="114"/>
      <c r="W427" s="114"/>
      <c r="X427" s="114"/>
      <c r="Y427" s="114"/>
    </row>
    <row r="428">
      <c r="A428" s="1"/>
      <c r="B428" s="113"/>
      <c r="D428" s="113"/>
      <c r="E428" s="114"/>
      <c r="F428" s="114"/>
      <c r="G428" s="114"/>
      <c r="H428" s="114"/>
      <c r="I428" s="114"/>
      <c r="J428" s="114"/>
      <c r="K428" s="114"/>
      <c r="L428" s="114"/>
      <c r="M428" s="114"/>
      <c r="N428" s="114"/>
      <c r="O428" s="114"/>
      <c r="P428" s="114"/>
      <c r="Q428" s="114"/>
      <c r="R428" s="114"/>
      <c r="S428" s="114"/>
      <c r="T428" s="114"/>
      <c r="U428" s="114"/>
      <c r="V428" s="114"/>
      <c r="W428" s="114"/>
      <c r="X428" s="114"/>
      <c r="Y428" s="114"/>
    </row>
    <row r="429">
      <c r="A429" s="1"/>
      <c r="B429" s="113"/>
      <c r="D429" s="113"/>
      <c r="E429" s="114"/>
      <c r="F429" s="114"/>
      <c r="G429" s="114"/>
      <c r="H429" s="114"/>
      <c r="I429" s="114"/>
      <c r="J429" s="114"/>
      <c r="K429" s="114"/>
      <c r="L429" s="114"/>
      <c r="M429" s="114"/>
      <c r="N429" s="114"/>
      <c r="O429" s="114"/>
      <c r="P429" s="114"/>
      <c r="Q429" s="114"/>
      <c r="R429" s="114"/>
      <c r="S429" s="114"/>
      <c r="T429" s="114"/>
      <c r="U429" s="114"/>
      <c r="V429" s="114"/>
      <c r="W429" s="114"/>
      <c r="X429" s="114"/>
      <c r="Y429" s="114"/>
    </row>
    <row r="430">
      <c r="A430" s="1"/>
      <c r="B430" s="113"/>
      <c r="D430" s="113"/>
      <c r="E430" s="114"/>
      <c r="F430" s="114"/>
      <c r="G430" s="114"/>
      <c r="H430" s="114"/>
      <c r="I430" s="114"/>
      <c r="J430" s="114"/>
      <c r="K430" s="114"/>
      <c r="L430" s="114"/>
      <c r="M430" s="114"/>
      <c r="N430" s="114"/>
      <c r="O430" s="114"/>
      <c r="P430" s="114"/>
      <c r="Q430" s="114"/>
      <c r="R430" s="114"/>
      <c r="S430" s="114"/>
      <c r="T430" s="114"/>
      <c r="U430" s="114"/>
      <c r="V430" s="114"/>
      <c r="W430" s="114"/>
      <c r="X430" s="114"/>
      <c r="Y430" s="114"/>
    </row>
    <row r="431">
      <c r="A431" s="1"/>
      <c r="B431" s="113"/>
      <c r="D431" s="113"/>
      <c r="E431" s="114"/>
      <c r="F431" s="114"/>
      <c r="G431" s="114"/>
      <c r="H431" s="114"/>
      <c r="I431" s="114"/>
      <c r="J431" s="114"/>
      <c r="K431" s="114"/>
      <c r="L431" s="114"/>
      <c r="M431" s="114"/>
      <c r="N431" s="114"/>
      <c r="O431" s="114"/>
      <c r="P431" s="114"/>
      <c r="Q431" s="114"/>
      <c r="R431" s="114"/>
      <c r="S431" s="114"/>
      <c r="T431" s="114"/>
      <c r="U431" s="114"/>
      <c r="V431" s="114"/>
      <c r="W431" s="114"/>
      <c r="X431" s="114"/>
      <c r="Y431" s="114"/>
    </row>
    <row r="432">
      <c r="A432" s="1"/>
      <c r="B432" s="113"/>
      <c r="D432" s="113"/>
      <c r="E432" s="114"/>
      <c r="F432" s="114"/>
      <c r="G432" s="114"/>
      <c r="H432" s="114"/>
      <c r="I432" s="114"/>
      <c r="J432" s="114"/>
      <c r="K432" s="114"/>
      <c r="L432" s="114"/>
      <c r="M432" s="114"/>
      <c r="N432" s="114"/>
      <c r="O432" s="114"/>
      <c r="P432" s="114"/>
      <c r="Q432" s="114"/>
      <c r="R432" s="114"/>
      <c r="S432" s="114"/>
      <c r="T432" s="114"/>
      <c r="U432" s="114"/>
      <c r="V432" s="114"/>
      <c r="W432" s="114"/>
      <c r="X432" s="114"/>
      <c r="Y432" s="114"/>
    </row>
    <row r="433">
      <c r="A433" s="1"/>
      <c r="B433" s="113"/>
      <c r="D433" s="113"/>
      <c r="E433" s="114"/>
      <c r="F433" s="114"/>
      <c r="G433" s="114"/>
      <c r="H433" s="114"/>
      <c r="I433" s="114"/>
      <c r="J433" s="114"/>
      <c r="K433" s="114"/>
      <c r="L433" s="114"/>
      <c r="M433" s="114"/>
      <c r="N433" s="114"/>
      <c r="O433" s="114"/>
      <c r="P433" s="114"/>
      <c r="Q433" s="114"/>
      <c r="R433" s="114"/>
      <c r="S433" s="114"/>
      <c r="T433" s="114"/>
      <c r="U433" s="114"/>
      <c r="V433" s="114"/>
      <c r="W433" s="114"/>
      <c r="X433" s="114"/>
      <c r="Y433" s="114"/>
    </row>
    <row r="434">
      <c r="A434" s="1"/>
      <c r="B434" s="113"/>
      <c r="D434" s="113"/>
      <c r="E434" s="114"/>
      <c r="F434" s="114"/>
      <c r="G434" s="114"/>
      <c r="H434" s="114"/>
      <c r="I434" s="114"/>
      <c r="J434" s="114"/>
      <c r="K434" s="114"/>
      <c r="L434" s="114"/>
      <c r="M434" s="114"/>
      <c r="N434" s="114"/>
      <c r="O434" s="114"/>
      <c r="P434" s="114"/>
      <c r="Q434" s="114"/>
      <c r="R434" s="114"/>
      <c r="S434" s="114"/>
      <c r="T434" s="114"/>
      <c r="U434" s="114"/>
      <c r="V434" s="114"/>
      <c r="W434" s="114"/>
      <c r="X434" s="114"/>
      <c r="Y434" s="114"/>
    </row>
    <row r="435">
      <c r="A435" s="1"/>
      <c r="B435" s="113"/>
      <c r="D435" s="113"/>
      <c r="E435" s="114"/>
      <c r="F435" s="114"/>
      <c r="G435" s="114"/>
      <c r="H435" s="114"/>
      <c r="I435" s="114"/>
      <c r="J435" s="114"/>
      <c r="K435" s="114"/>
      <c r="L435" s="114"/>
      <c r="M435" s="114"/>
      <c r="N435" s="114"/>
      <c r="O435" s="114"/>
      <c r="P435" s="114"/>
      <c r="Q435" s="114"/>
      <c r="R435" s="114"/>
      <c r="S435" s="114"/>
      <c r="T435" s="114"/>
      <c r="U435" s="114"/>
      <c r="V435" s="114"/>
      <c r="W435" s="114"/>
      <c r="X435" s="114"/>
      <c r="Y435" s="114"/>
    </row>
    <row r="436">
      <c r="A436" s="1"/>
      <c r="B436" s="113"/>
      <c r="D436" s="113"/>
      <c r="E436" s="114"/>
      <c r="F436" s="114"/>
      <c r="G436" s="114"/>
      <c r="H436" s="114"/>
      <c r="I436" s="114"/>
      <c r="J436" s="114"/>
      <c r="K436" s="114"/>
      <c r="L436" s="114"/>
      <c r="M436" s="114"/>
      <c r="N436" s="114"/>
      <c r="O436" s="114"/>
      <c r="P436" s="114"/>
      <c r="Q436" s="114"/>
      <c r="R436" s="114"/>
      <c r="S436" s="114"/>
      <c r="T436" s="114"/>
      <c r="U436" s="114"/>
      <c r="V436" s="114"/>
      <c r="W436" s="114"/>
      <c r="X436" s="114"/>
      <c r="Y436" s="114"/>
    </row>
    <row r="437">
      <c r="A437" s="1"/>
      <c r="B437" s="113"/>
      <c r="D437" s="113"/>
      <c r="E437" s="114"/>
      <c r="F437" s="114"/>
      <c r="G437" s="114"/>
      <c r="H437" s="114"/>
      <c r="I437" s="114"/>
      <c r="J437" s="114"/>
      <c r="K437" s="114"/>
      <c r="L437" s="114"/>
      <c r="M437" s="114"/>
      <c r="N437" s="114"/>
      <c r="O437" s="114"/>
      <c r="P437" s="114"/>
      <c r="Q437" s="114"/>
      <c r="R437" s="114"/>
      <c r="S437" s="114"/>
      <c r="T437" s="114"/>
      <c r="U437" s="114"/>
      <c r="V437" s="114"/>
      <c r="W437" s="114"/>
      <c r="X437" s="114"/>
      <c r="Y437" s="114"/>
    </row>
    <row r="438">
      <c r="A438" s="1"/>
      <c r="B438" s="113"/>
      <c r="D438" s="113"/>
      <c r="E438" s="114"/>
      <c r="F438" s="114"/>
      <c r="G438" s="114"/>
      <c r="H438" s="114"/>
      <c r="I438" s="114"/>
      <c r="J438" s="114"/>
      <c r="K438" s="114"/>
      <c r="L438" s="114"/>
      <c r="M438" s="114"/>
      <c r="N438" s="114"/>
      <c r="O438" s="114"/>
      <c r="P438" s="114"/>
      <c r="Q438" s="114"/>
      <c r="R438" s="114"/>
      <c r="S438" s="114"/>
      <c r="T438" s="114"/>
      <c r="U438" s="114"/>
      <c r="V438" s="114"/>
      <c r="W438" s="114"/>
      <c r="X438" s="114"/>
      <c r="Y438" s="114"/>
    </row>
    <row r="439">
      <c r="A439" s="1"/>
      <c r="B439" s="113"/>
      <c r="D439" s="113"/>
      <c r="E439" s="114"/>
      <c r="F439" s="114"/>
      <c r="G439" s="114"/>
      <c r="H439" s="114"/>
      <c r="I439" s="114"/>
      <c r="J439" s="114"/>
      <c r="K439" s="114"/>
      <c r="L439" s="114"/>
      <c r="M439" s="114"/>
      <c r="N439" s="114"/>
      <c r="O439" s="114"/>
      <c r="P439" s="114"/>
      <c r="Q439" s="114"/>
      <c r="R439" s="114"/>
      <c r="S439" s="114"/>
      <c r="T439" s="114"/>
      <c r="U439" s="114"/>
      <c r="V439" s="114"/>
      <c r="W439" s="114"/>
      <c r="X439" s="114"/>
      <c r="Y439" s="114"/>
    </row>
    <row r="440">
      <c r="A440" s="1"/>
      <c r="B440" s="113"/>
      <c r="D440" s="113"/>
      <c r="E440" s="114"/>
      <c r="F440" s="114"/>
      <c r="G440" s="114"/>
      <c r="H440" s="114"/>
      <c r="I440" s="114"/>
      <c r="J440" s="114"/>
      <c r="K440" s="114"/>
      <c r="L440" s="114"/>
      <c r="M440" s="114"/>
      <c r="N440" s="114"/>
      <c r="O440" s="114"/>
      <c r="P440" s="114"/>
      <c r="Q440" s="114"/>
      <c r="R440" s="114"/>
      <c r="S440" s="114"/>
      <c r="T440" s="114"/>
      <c r="U440" s="114"/>
      <c r="V440" s="114"/>
      <c r="W440" s="114"/>
      <c r="X440" s="114"/>
      <c r="Y440" s="114"/>
    </row>
    <row r="441">
      <c r="A441" s="1"/>
      <c r="B441" s="113"/>
      <c r="D441" s="113"/>
      <c r="E441" s="114"/>
      <c r="F441" s="114"/>
      <c r="G441" s="114"/>
      <c r="H441" s="114"/>
      <c r="I441" s="114"/>
      <c r="J441" s="114"/>
      <c r="K441" s="114"/>
      <c r="L441" s="114"/>
      <c r="M441" s="114"/>
      <c r="N441" s="114"/>
      <c r="O441" s="114"/>
      <c r="P441" s="114"/>
      <c r="Q441" s="114"/>
      <c r="R441" s="114"/>
      <c r="S441" s="114"/>
      <c r="T441" s="114"/>
      <c r="U441" s="114"/>
      <c r="V441" s="114"/>
      <c r="W441" s="114"/>
      <c r="X441" s="114"/>
      <c r="Y441" s="114"/>
    </row>
    <row r="442">
      <c r="A442" s="1"/>
      <c r="B442" s="113"/>
      <c r="D442" s="113"/>
      <c r="E442" s="114"/>
      <c r="F442" s="114"/>
      <c r="G442" s="114"/>
      <c r="H442" s="114"/>
      <c r="I442" s="114"/>
      <c r="J442" s="114"/>
      <c r="K442" s="114"/>
      <c r="L442" s="114"/>
      <c r="M442" s="114"/>
      <c r="N442" s="114"/>
      <c r="O442" s="114"/>
      <c r="P442" s="114"/>
      <c r="Q442" s="114"/>
      <c r="R442" s="114"/>
      <c r="S442" s="114"/>
      <c r="T442" s="114"/>
      <c r="U442" s="114"/>
      <c r="V442" s="114"/>
      <c r="W442" s="114"/>
      <c r="X442" s="114"/>
      <c r="Y442" s="114"/>
    </row>
    <row r="443">
      <c r="A443" s="1"/>
      <c r="B443" s="113"/>
      <c r="D443" s="113"/>
      <c r="E443" s="114"/>
      <c r="F443" s="114"/>
      <c r="G443" s="114"/>
      <c r="H443" s="114"/>
      <c r="I443" s="114"/>
      <c r="J443" s="114"/>
      <c r="K443" s="114"/>
      <c r="L443" s="114"/>
      <c r="M443" s="114"/>
      <c r="N443" s="114"/>
      <c r="O443" s="114"/>
      <c r="P443" s="114"/>
      <c r="Q443" s="114"/>
      <c r="R443" s="114"/>
      <c r="S443" s="114"/>
      <c r="T443" s="114"/>
      <c r="U443" s="114"/>
      <c r="V443" s="114"/>
      <c r="W443" s="114"/>
      <c r="X443" s="114"/>
      <c r="Y443" s="114"/>
    </row>
    <row r="444">
      <c r="A444" s="1"/>
      <c r="B444" s="113"/>
      <c r="D444" s="113"/>
      <c r="E444" s="114"/>
      <c r="F444" s="114"/>
      <c r="G444" s="114"/>
      <c r="H444" s="114"/>
      <c r="I444" s="114"/>
      <c r="J444" s="114"/>
      <c r="K444" s="114"/>
      <c r="L444" s="114"/>
      <c r="M444" s="114"/>
      <c r="N444" s="114"/>
      <c r="O444" s="114"/>
      <c r="P444" s="114"/>
      <c r="Q444" s="114"/>
      <c r="R444" s="114"/>
      <c r="S444" s="114"/>
      <c r="T444" s="114"/>
      <c r="U444" s="114"/>
      <c r="V444" s="114"/>
      <c r="W444" s="114"/>
      <c r="X444" s="114"/>
      <c r="Y444" s="114"/>
    </row>
    <row r="445">
      <c r="A445" s="1"/>
      <c r="B445" s="113"/>
      <c r="D445" s="113"/>
      <c r="E445" s="114"/>
      <c r="F445" s="114"/>
      <c r="G445" s="114"/>
      <c r="H445" s="114"/>
      <c r="I445" s="114"/>
      <c r="J445" s="114"/>
      <c r="K445" s="114"/>
      <c r="L445" s="114"/>
      <c r="M445" s="114"/>
      <c r="N445" s="114"/>
      <c r="O445" s="114"/>
      <c r="P445" s="114"/>
      <c r="Q445" s="114"/>
      <c r="R445" s="114"/>
      <c r="S445" s="114"/>
      <c r="T445" s="114"/>
      <c r="U445" s="114"/>
      <c r="V445" s="114"/>
      <c r="W445" s="114"/>
      <c r="X445" s="114"/>
      <c r="Y445" s="114"/>
    </row>
    <row r="446">
      <c r="A446" s="1"/>
      <c r="B446" s="113"/>
      <c r="D446" s="113"/>
      <c r="E446" s="114"/>
      <c r="F446" s="114"/>
      <c r="G446" s="114"/>
      <c r="H446" s="114"/>
      <c r="I446" s="114"/>
      <c r="J446" s="114"/>
      <c r="K446" s="114"/>
      <c r="L446" s="114"/>
      <c r="M446" s="114"/>
      <c r="N446" s="114"/>
      <c r="O446" s="114"/>
      <c r="P446" s="114"/>
      <c r="Q446" s="114"/>
      <c r="R446" s="114"/>
      <c r="S446" s="114"/>
      <c r="T446" s="114"/>
      <c r="U446" s="114"/>
      <c r="V446" s="114"/>
      <c r="W446" s="114"/>
      <c r="X446" s="114"/>
      <c r="Y446" s="114"/>
    </row>
    <row r="447">
      <c r="A447" s="1"/>
      <c r="B447" s="113"/>
      <c r="D447" s="113"/>
      <c r="E447" s="114"/>
      <c r="F447" s="114"/>
      <c r="G447" s="114"/>
      <c r="H447" s="114"/>
      <c r="I447" s="114"/>
      <c r="J447" s="114"/>
      <c r="K447" s="114"/>
      <c r="L447" s="114"/>
      <c r="M447" s="114"/>
      <c r="N447" s="114"/>
      <c r="O447" s="114"/>
      <c r="P447" s="114"/>
      <c r="Q447" s="114"/>
      <c r="R447" s="114"/>
      <c r="S447" s="114"/>
      <c r="T447" s="114"/>
      <c r="U447" s="114"/>
      <c r="V447" s="114"/>
      <c r="W447" s="114"/>
      <c r="X447" s="114"/>
      <c r="Y447" s="114"/>
    </row>
    <row r="448">
      <c r="A448" s="1"/>
      <c r="B448" s="113"/>
      <c r="D448" s="113"/>
      <c r="E448" s="114"/>
      <c r="F448" s="114"/>
      <c r="G448" s="114"/>
      <c r="H448" s="114"/>
      <c r="I448" s="114"/>
      <c r="J448" s="114"/>
      <c r="K448" s="114"/>
      <c r="L448" s="114"/>
      <c r="M448" s="114"/>
      <c r="N448" s="114"/>
      <c r="O448" s="114"/>
      <c r="P448" s="114"/>
      <c r="Q448" s="114"/>
      <c r="R448" s="114"/>
      <c r="S448" s="114"/>
      <c r="T448" s="114"/>
      <c r="U448" s="114"/>
      <c r="V448" s="114"/>
      <c r="W448" s="114"/>
      <c r="X448" s="114"/>
      <c r="Y448" s="114"/>
    </row>
    <row r="449">
      <c r="A449" s="1"/>
      <c r="B449" s="113"/>
      <c r="D449" s="113"/>
      <c r="E449" s="114"/>
      <c r="F449" s="114"/>
      <c r="G449" s="114"/>
      <c r="H449" s="114"/>
      <c r="I449" s="114"/>
      <c r="J449" s="114"/>
      <c r="K449" s="114"/>
      <c r="L449" s="114"/>
      <c r="M449" s="114"/>
      <c r="N449" s="114"/>
      <c r="O449" s="114"/>
      <c r="P449" s="114"/>
      <c r="Q449" s="114"/>
      <c r="R449" s="114"/>
      <c r="S449" s="114"/>
      <c r="T449" s="114"/>
      <c r="U449" s="114"/>
      <c r="V449" s="114"/>
      <c r="W449" s="114"/>
      <c r="X449" s="114"/>
      <c r="Y449" s="114"/>
    </row>
    <row r="450">
      <c r="A450" s="1"/>
      <c r="B450" s="113"/>
      <c r="D450" s="113"/>
      <c r="E450" s="114"/>
      <c r="F450" s="114"/>
      <c r="G450" s="114"/>
      <c r="H450" s="114"/>
      <c r="I450" s="114"/>
      <c r="J450" s="114"/>
      <c r="K450" s="114"/>
      <c r="L450" s="114"/>
      <c r="M450" s="114"/>
      <c r="N450" s="114"/>
      <c r="O450" s="114"/>
      <c r="P450" s="114"/>
      <c r="Q450" s="114"/>
      <c r="R450" s="114"/>
      <c r="S450" s="114"/>
      <c r="T450" s="114"/>
      <c r="U450" s="114"/>
      <c r="V450" s="114"/>
      <c r="W450" s="114"/>
      <c r="X450" s="114"/>
      <c r="Y450" s="114"/>
    </row>
    <row r="451">
      <c r="A451" s="1"/>
      <c r="B451" s="113"/>
      <c r="D451" s="113"/>
      <c r="E451" s="114"/>
      <c r="F451" s="114"/>
      <c r="G451" s="114"/>
      <c r="H451" s="114"/>
      <c r="I451" s="114"/>
      <c r="J451" s="114"/>
      <c r="K451" s="114"/>
      <c r="L451" s="114"/>
      <c r="M451" s="114"/>
      <c r="N451" s="114"/>
      <c r="O451" s="114"/>
      <c r="P451" s="114"/>
      <c r="Q451" s="114"/>
      <c r="R451" s="114"/>
      <c r="S451" s="114"/>
      <c r="T451" s="114"/>
      <c r="U451" s="114"/>
      <c r="V451" s="114"/>
      <c r="W451" s="114"/>
      <c r="X451" s="114"/>
      <c r="Y451" s="114"/>
    </row>
    <row r="452">
      <c r="A452" s="1"/>
      <c r="B452" s="113"/>
      <c r="D452" s="113"/>
      <c r="E452" s="114"/>
      <c r="F452" s="114"/>
      <c r="G452" s="114"/>
      <c r="H452" s="114"/>
      <c r="I452" s="114"/>
      <c r="J452" s="114"/>
      <c r="K452" s="114"/>
      <c r="L452" s="114"/>
      <c r="M452" s="114"/>
      <c r="N452" s="114"/>
      <c r="O452" s="114"/>
      <c r="P452" s="114"/>
      <c r="Q452" s="114"/>
      <c r="R452" s="114"/>
      <c r="S452" s="114"/>
      <c r="T452" s="114"/>
      <c r="U452" s="114"/>
      <c r="V452" s="114"/>
      <c r="W452" s="114"/>
      <c r="X452" s="114"/>
      <c r="Y452" s="114"/>
    </row>
    <row r="453">
      <c r="A453" s="1"/>
      <c r="B453" s="113"/>
      <c r="D453" s="113"/>
      <c r="E453" s="114"/>
      <c r="F453" s="114"/>
      <c r="G453" s="114"/>
      <c r="H453" s="114"/>
      <c r="I453" s="114"/>
      <c r="J453" s="114"/>
      <c r="K453" s="114"/>
      <c r="L453" s="114"/>
      <c r="M453" s="114"/>
      <c r="N453" s="114"/>
      <c r="O453" s="114"/>
      <c r="P453" s="114"/>
      <c r="Q453" s="114"/>
      <c r="R453" s="114"/>
      <c r="S453" s="114"/>
      <c r="T453" s="114"/>
      <c r="U453" s="114"/>
      <c r="V453" s="114"/>
      <c r="W453" s="114"/>
      <c r="X453" s="114"/>
      <c r="Y453" s="114"/>
    </row>
    <row r="454">
      <c r="A454" s="1"/>
      <c r="B454" s="113"/>
      <c r="D454" s="113"/>
      <c r="E454" s="114"/>
      <c r="F454" s="114"/>
      <c r="G454" s="114"/>
      <c r="H454" s="114"/>
      <c r="I454" s="114"/>
      <c r="J454" s="114"/>
      <c r="K454" s="114"/>
      <c r="L454" s="114"/>
      <c r="M454" s="114"/>
      <c r="N454" s="114"/>
      <c r="O454" s="114"/>
      <c r="P454" s="114"/>
      <c r="Q454" s="114"/>
      <c r="R454" s="114"/>
      <c r="S454" s="114"/>
      <c r="T454" s="114"/>
      <c r="U454" s="114"/>
      <c r="V454" s="114"/>
      <c r="W454" s="114"/>
      <c r="X454" s="114"/>
      <c r="Y454" s="114"/>
    </row>
    <row r="455">
      <c r="A455" s="1"/>
      <c r="B455" s="113"/>
      <c r="D455" s="113"/>
      <c r="E455" s="114"/>
      <c r="F455" s="114"/>
      <c r="G455" s="114"/>
      <c r="H455" s="114"/>
      <c r="I455" s="114"/>
      <c r="J455" s="114"/>
      <c r="K455" s="114"/>
      <c r="L455" s="114"/>
      <c r="M455" s="114"/>
      <c r="N455" s="114"/>
      <c r="O455" s="114"/>
      <c r="P455" s="114"/>
      <c r="Q455" s="114"/>
      <c r="R455" s="114"/>
      <c r="S455" s="114"/>
      <c r="T455" s="114"/>
      <c r="U455" s="114"/>
      <c r="V455" s="114"/>
      <c r="W455" s="114"/>
      <c r="X455" s="114"/>
      <c r="Y455" s="114"/>
    </row>
    <row r="456">
      <c r="A456" s="1"/>
      <c r="B456" s="113"/>
      <c r="D456" s="113"/>
      <c r="E456" s="114"/>
      <c r="F456" s="114"/>
      <c r="G456" s="114"/>
      <c r="H456" s="114"/>
      <c r="I456" s="114"/>
      <c r="J456" s="114"/>
      <c r="K456" s="114"/>
      <c r="L456" s="114"/>
      <c r="M456" s="114"/>
      <c r="N456" s="114"/>
      <c r="O456" s="114"/>
      <c r="P456" s="114"/>
      <c r="Q456" s="114"/>
      <c r="R456" s="114"/>
      <c r="S456" s="114"/>
      <c r="T456" s="114"/>
      <c r="U456" s="114"/>
      <c r="V456" s="114"/>
      <c r="W456" s="114"/>
      <c r="X456" s="114"/>
      <c r="Y456" s="114"/>
    </row>
    <row r="457">
      <c r="A457" s="1"/>
      <c r="B457" s="113"/>
      <c r="D457" s="113"/>
      <c r="E457" s="114"/>
      <c r="F457" s="114"/>
      <c r="G457" s="114"/>
      <c r="H457" s="114"/>
      <c r="I457" s="114"/>
      <c r="J457" s="114"/>
      <c r="K457" s="114"/>
      <c r="L457" s="114"/>
      <c r="M457" s="114"/>
      <c r="N457" s="114"/>
      <c r="O457" s="114"/>
      <c r="P457" s="114"/>
      <c r="Q457" s="114"/>
      <c r="R457" s="114"/>
      <c r="S457" s="114"/>
      <c r="T457" s="114"/>
      <c r="U457" s="114"/>
      <c r="V457" s="114"/>
      <c r="W457" s="114"/>
      <c r="X457" s="114"/>
      <c r="Y457" s="114"/>
    </row>
    <row r="458">
      <c r="A458" s="1"/>
      <c r="B458" s="113"/>
      <c r="D458" s="113"/>
      <c r="E458" s="114"/>
      <c r="F458" s="114"/>
      <c r="G458" s="114"/>
      <c r="H458" s="114"/>
      <c r="I458" s="114"/>
      <c r="J458" s="114"/>
      <c r="K458" s="114"/>
      <c r="L458" s="114"/>
      <c r="M458" s="114"/>
      <c r="N458" s="114"/>
      <c r="O458" s="114"/>
      <c r="P458" s="114"/>
      <c r="Q458" s="114"/>
      <c r="R458" s="114"/>
      <c r="S458" s="114"/>
      <c r="T458" s="114"/>
      <c r="U458" s="114"/>
      <c r="V458" s="114"/>
      <c r="W458" s="114"/>
      <c r="X458" s="114"/>
      <c r="Y458" s="114"/>
    </row>
    <row r="459">
      <c r="A459" s="1"/>
      <c r="B459" s="113"/>
      <c r="D459" s="113"/>
      <c r="E459" s="114"/>
      <c r="F459" s="114"/>
      <c r="G459" s="114"/>
      <c r="H459" s="114"/>
      <c r="I459" s="114"/>
      <c r="J459" s="114"/>
      <c r="K459" s="114"/>
      <c r="L459" s="114"/>
      <c r="M459" s="114"/>
      <c r="N459" s="114"/>
      <c r="O459" s="114"/>
      <c r="P459" s="114"/>
      <c r="Q459" s="114"/>
      <c r="R459" s="114"/>
      <c r="S459" s="114"/>
      <c r="T459" s="114"/>
      <c r="U459" s="114"/>
      <c r="V459" s="114"/>
      <c r="W459" s="114"/>
      <c r="X459" s="114"/>
      <c r="Y459" s="114"/>
    </row>
    <row r="460">
      <c r="A460" s="1"/>
      <c r="B460" s="113"/>
      <c r="D460" s="113"/>
      <c r="E460" s="114"/>
      <c r="F460" s="114"/>
      <c r="G460" s="114"/>
      <c r="H460" s="114"/>
      <c r="I460" s="114"/>
      <c r="J460" s="114"/>
      <c r="K460" s="114"/>
      <c r="L460" s="114"/>
      <c r="M460" s="114"/>
      <c r="N460" s="114"/>
      <c r="O460" s="114"/>
      <c r="P460" s="114"/>
      <c r="Q460" s="114"/>
      <c r="R460" s="114"/>
      <c r="S460" s="114"/>
      <c r="T460" s="114"/>
      <c r="U460" s="114"/>
      <c r="V460" s="114"/>
      <c r="W460" s="114"/>
      <c r="X460" s="114"/>
      <c r="Y460" s="114"/>
    </row>
    <row r="461">
      <c r="A461" s="1"/>
      <c r="B461" s="113"/>
      <c r="D461" s="113"/>
      <c r="E461" s="114"/>
      <c r="F461" s="114"/>
      <c r="G461" s="114"/>
      <c r="H461" s="114"/>
      <c r="I461" s="114"/>
      <c r="J461" s="114"/>
      <c r="K461" s="114"/>
      <c r="L461" s="114"/>
      <c r="M461" s="114"/>
      <c r="N461" s="114"/>
      <c r="O461" s="114"/>
      <c r="P461" s="114"/>
      <c r="Q461" s="114"/>
      <c r="R461" s="114"/>
      <c r="S461" s="114"/>
      <c r="T461" s="114"/>
      <c r="U461" s="114"/>
      <c r="V461" s="114"/>
      <c r="W461" s="114"/>
      <c r="X461" s="114"/>
      <c r="Y461" s="114"/>
    </row>
    <row r="462">
      <c r="A462" s="1"/>
      <c r="B462" s="113"/>
      <c r="D462" s="113"/>
      <c r="E462" s="114"/>
      <c r="F462" s="114"/>
      <c r="G462" s="114"/>
      <c r="H462" s="114"/>
      <c r="I462" s="114"/>
      <c r="J462" s="114"/>
      <c r="K462" s="114"/>
      <c r="L462" s="114"/>
      <c r="M462" s="114"/>
      <c r="N462" s="114"/>
      <c r="O462" s="114"/>
      <c r="P462" s="114"/>
      <c r="Q462" s="114"/>
      <c r="R462" s="114"/>
      <c r="S462" s="114"/>
      <c r="T462" s="114"/>
      <c r="U462" s="114"/>
      <c r="V462" s="114"/>
      <c r="W462" s="114"/>
      <c r="X462" s="114"/>
      <c r="Y462" s="114"/>
    </row>
    <row r="463">
      <c r="A463" s="1"/>
      <c r="B463" s="113"/>
      <c r="D463" s="113"/>
      <c r="E463" s="114"/>
      <c r="F463" s="114"/>
      <c r="G463" s="114"/>
      <c r="H463" s="114"/>
      <c r="I463" s="114"/>
      <c r="J463" s="114"/>
      <c r="K463" s="114"/>
      <c r="L463" s="114"/>
      <c r="M463" s="114"/>
      <c r="N463" s="114"/>
      <c r="O463" s="114"/>
      <c r="P463" s="114"/>
      <c r="Q463" s="114"/>
      <c r="R463" s="114"/>
      <c r="S463" s="114"/>
      <c r="T463" s="114"/>
      <c r="U463" s="114"/>
      <c r="V463" s="114"/>
      <c r="W463" s="114"/>
      <c r="X463" s="114"/>
      <c r="Y463" s="114"/>
    </row>
    <row r="464">
      <c r="A464" s="1"/>
      <c r="B464" s="113"/>
      <c r="D464" s="113"/>
      <c r="E464" s="114"/>
      <c r="F464" s="114"/>
      <c r="G464" s="114"/>
      <c r="H464" s="114"/>
      <c r="I464" s="114"/>
      <c r="J464" s="114"/>
      <c r="K464" s="114"/>
      <c r="L464" s="114"/>
      <c r="M464" s="114"/>
      <c r="N464" s="114"/>
      <c r="O464" s="114"/>
      <c r="P464" s="114"/>
      <c r="Q464" s="114"/>
      <c r="R464" s="114"/>
      <c r="S464" s="114"/>
      <c r="T464" s="114"/>
      <c r="U464" s="114"/>
      <c r="V464" s="114"/>
      <c r="W464" s="114"/>
      <c r="X464" s="114"/>
      <c r="Y464" s="114"/>
    </row>
    <row r="465">
      <c r="A465" s="1"/>
      <c r="B465" s="113"/>
      <c r="D465" s="113"/>
      <c r="E465" s="114"/>
      <c r="F465" s="114"/>
      <c r="G465" s="114"/>
      <c r="H465" s="114"/>
      <c r="I465" s="114"/>
      <c r="J465" s="114"/>
      <c r="K465" s="114"/>
      <c r="L465" s="114"/>
      <c r="M465" s="114"/>
      <c r="N465" s="114"/>
      <c r="O465" s="114"/>
      <c r="P465" s="114"/>
      <c r="Q465" s="114"/>
      <c r="R465" s="114"/>
      <c r="S465" s="114"/>
      <c r="T465" s="114"/>
      <c r="U465" s="114"/>
      <c r="V465" s="114"/>
      <c r="W465" s="114"/>
      <c r="X465" s="114"/>
      <c r="Y465" s="114"/>
    </row>
    <row r="466">
      <c r="A466" s="1"/>
      <c r="B466" s="113"/>
      <c r="D466" s="113"/>
      <c r="E466" s="114"/>
      <c r="F466" s="114"/>
      <c r="G466" s="114"/>
      <c r="H466" s="114"/>
      <c r="I466" s="114"/>
      <c r="J466" s="114"/>
      <c r="K466" s="114"/>
      <c r="L466" s="114"/>
      <c r="M466" s="114"/>
      <c r="N466" s="114"/>
      <c r="O466" s="114"/>
      <c r="P466" s="114"/>
      <c r="Q466" s="114"/>
      <c r="R466" s="114"/>
      <c r="S466" s="114"/>
      <c r="T466" s="114"/>
      <c r="U466" s="114"/>
      <c r="V466" s="114"/>
      <c r="W466" s="114"/>
      <c r="X466" s="114"/>
      <c r="Y466" s="114"/>
    </row>
    <row r="467">
      <c r="A467" s="1"/>
      <c r="B467" s="113"/>
      <c r="D467" s="113"/>
      <c r="E467" s="114"/>
      <c r="F467" s="114"/>
      <c r="G467" s="114"/>
      <c r="H467" s="114"/>
      <c r="I467" s="114"/>
      <c r="J467" s="114"/>
      <c r="K467" s="114"/>
      <c r="L467" s="114"/>
      <c r="M467" s="114"/>
      <c r="N467" s="114"/>
      <c r="O467" s="114"/>
      <c r="P467" s="114"/>
      <c r="Q467" s="114"/>
      <c r="R467" s="114"/>
      <c r="S467" s="114"/>
      <c r="T467" s="114"/>
      <c r="U467" s="114"/>
      <c r="V467" s="114"/>
      <c r="W467" s="114"/>
      <c r="X467" s="114"/>
      <c r="Y467" s="114"/>
    </row>
    <row r="468">
      <c r="A468" s="1"/>
      <c r="B468" s="113"/>
      <c r="D468" s="113"/>
      <c r="E468" s="114"/>
      <c r="F468" s="114"/>
      <c r="G468" s="114"/>
      <c r="H468" s="114"/>
      <c r="I468" s="114"/>
      <c r="J468" s="114"/>
      <c r="K468" s="114"/>
      <c r="L468" s="114"/>
      <c r="M468" s="114"/>
      <c r="N468" s="114"/>
      <c r="O468" s="114"/>
      <c r="P468" s="114"/>
      <c r="Q468" s="114"/>
      <c r="R468" s="114"/>
      <c r="S468" s="114"/>
      <c r="T468" s="114"/>
      <c r="U468" s="114"/>
      <c r="V468" s="114"/>
      <c r="W468" s="114"/>
      <c r="X468" s="114"/>
      <c r="Y468" s="114"/>
    </row>
    <row r="469">
      <c r="A469" s="1"/>
      <c r="B469" s="113"/>
      <c r="D469" s="113"/>
      <c r="E469" s="114"/>
      <c r="F469" s="114"/>
      <c r="G469" s="114"/>
      <c r="H469" s="114"/>
      <c r="I469" s="114"/>
      <c r="J469" s="114"/>
      <c r="K469" s="114"/>
      <c r="L469" s="114"/>
      <c r="M469" s="114"/>
      <c r="N469" s="114"/>
      <c r="O469" s="114"/>
      <c r="P469" s="114"/>
      <c r="Q469" s="114"/>
      <c r="R469" s="114"/>
      <c r="S469" s="114"/>
      <c r="T469" s="114"/>
      <c r="U469" s="114"/>
      <c r="V469" s="114"/>
      <c r="W469" s="114"/>
      <c r="X469" s="114"/>
      <c r="Y469" s="114"/>
    </row>
    <row r="470">
      <c r="A470" s="1"/>
      <c r="B470" s="113"/>
      <c r="D470" s="113"/>
      <c r="E470" s="114"/>
      <c r="F470" s="114"/>
      <c r="G470" s="114"/>
      <c r="H470" s="114"/>
      <c r="I470" s="114"/>
      <c r="J470" s="114"/>
      <c r="K470" s="114"/>
      <c r="L470" s="114"/>
      <c r="M470" s="114"/>
      <c r="N470" s="114"/>
      <c r="O470" s="114"/>
      <c r="P470" s="114"/>
      <c r="Q470" s="114"/>
      <c r="R470" s="114"/>
      <c r="S470" s="114"/>
      <c r="T470" s="114"/>
      <c r="U470" s="114"/>
      <c r="V470" s="114"/>
      <c r="W470" s="114"/>
      <c r="X470" s="114"/>
      <c r="Y470" s="114"/>
    </row>
    <row r="471">
      <c r="A471" s="1"/>
      <c r="B471" s="113"/>
      <c r="D471" s="113"/>
      <c r="E471" s="114"/>
      <c r="F471" s="114"/>
      <c r="G471" s="114"/>
      <c r="H471" s="114"/>
      <c r="I471" s="114"/>
      <c r="J471" s="114"/>
      <c r="K471" s="114"/>
      <c r="L471" s="114"/>
      <c r="M471" s="114"/>
      <c r="N471" s="114"/>
      <c r="O471" s="114"/>
      <c r="P471" s="114"/>
      <c r="Q471" s="114"/>
      <c r="R471" s="114"/>
      <c r="S471" s="114"/>
      <c r="T471" s="114"/>
      <c r="U471" s="114"/>
      <c r="V471" s="114"/>
      <c r="W471" s="114"/>
      <c r="X471" s="114"/>
      <c r="Y471" s="114"/>
    </row>
    <row r="472">
      <c r="A472" s="1"/>
      <c r="B472" s="113"/>
      <c r="D472" s="113"/>
      <c r="E472" s="114"/>
      <c r="F472" s="114"/>
      <c r="G472" s="114"/>
      <c r="H472" s="114"/>
      <c r="I472" s="114"/>
      <c r="J472" s="114"/>
      <c r="K472" s="114"/>
      <c r="L472" s="114"/>
      <c r="M472" s="114"/>
      <c r="N472" s="114"/>
      <c r="O472" s="114"/>
      <c r="P472" s="114"/>
      <c r="Q472" s="114"/>
      <c r="R472" s="114"/>
      <c r="S472" s="114"/>
      <c r="T472" s="114"/>
      <c r="U472" s="114"/>
      <c r="V472" s="114"/>
      <c r="W472" s="114"/>
      <c r="X472" s="114"/>
      <c r="Y472" s="114"/>
    </row>
    <row r="473">
      <c r="A473" s="1"/>
      <c r="B473" s="113"/>
      <c r="D473" s="113"/>
      <c r="E473" s="114"/>
      <c r="F473" s="114"/>
      <c r="G473" s="114"/>
      <c r="H473" s="114"/>
      <c r="I473" s="114"/>
      <c r="J473" s="114"/>
      <c r="K473" s="114"/>
      <c r="L473" s="114"/>
      <c r="M473" s="114"/>
      <c r="N473" s="114"/>
      <c r="O473" s="114"/>
      <c r="P473" s="114"/>
      <c r="Q473" s="114"/>
      <c r="R473" s="114"/>
      <c r="S473" s="114"/>
      <c r="T473" s="114"/>
      <c r="U473" s="114"/>
      <c r="V473" s="114"/>
      <c r="W473" s="114"/>
      <c r="X473" s="114"/>
      <c r="Y473" s="114"/>
    </row>
    <row r="474">
      <c r="A474" s="1"/>
      <c r="B474" s="113"/>
      <c r="D474" s="113"/>
      <c r="E474" s="114"/>
      <c r="F474" s="114"/>
      <c r="G474" s="114"/>
      <c r="H474" s="114"/>
      <c r="I474" s="114"/>
      <c r="J474" s="114"/>
      <c r="K474" s="114"/>
      <c r="L474" s="114"/>
      <c r="M474" s="114"/>
      <c r="N474" s="114"/>
      <c r="O474" s="114"/>
      <c r="P474" s="114"/>
      <c r="Q474" s="114"/>
      <c r="R474" s="114"/>
      <c r="S474" s="114"/>
      <c r="T474" s="114"/>
      <c r="U474" s="114"/>
      <c r="V474" s="114"/>
      <c r="W474" s="114"/>
      <c r="X474" s="114"/>
      <c r="Y474" s="114"/>
    </row>
    <row r="475">
      <c r="A475" s="1"/>
      <c r="B475" s="113"/>
      <c r="D475" s="113"/>
      <c r="E475" s="114"/>
      <c r="F475" s="114"/>
      <c r="G475" s="114"/>
      <c r="H475" s="114"/>
      <c r="I475" s="114"/>
      <c r="J475" s="114"/>
      <c r="K475" s="114"/>
      <c r="L475" s="114"/>
      <c r="M475" s="114"/>
      <c r="N475" s="114"/>
      <c r="O475" s="114"/>
      <c r="P475" s="114"/>
      <c r="Q475" s="114"/>
      <c r="R475" s="114"/>
      <c r="S475" s="114"/>
      <c r="T475" s="114"/>
      <c r="U475" s="114"/>
      <c r="V475" s="114"/>
      <c r="W475" s="114"/>
      <c r="X475" s="114"/>
      <c r="Y475" s="114"/>
    </row>
    <row r="476">
      <c r="A476" s="1"/>
      <c r="B476" s="113"/>
      <c r="D476" s="113"/>
      <c r="E476" s="114"/>
      <c r="F476" s="114"/>
      <c r="G476" s="114"/>
      <c r="H476" s="114"/>
      <c r="I476" s="114"/>
      <c r="J476" s="114"/>
      <c r="K476" s="114"/>
      <c r="L476" s="114"/>
      <c r="M476" s="114"/>
      <c r="N476" s="114"/>
      <c r="O476" s="114"/>
      <c r="P476" s="114"/>
      <c r="Q476" s="114"/>
      <c r="R476" s="114"/>
      <c r="S476" s="114"/>
      <c r="T476" s="114"/>
      <c r="U476" s="114"/>
      <c r="V476" s="114"/>
      <c r="W476" s="114"/>
      <c r="X476" s="114"/>
      <c r="Y476" s="114"/>
    </row>
    <row r="477">
      <c r="A477" s="1"/>
      <c r="B477" s="113"/>
      <c r="D477" s="113"/>
      <c r="E477" s="114"/>
      <c r="F477" s="114"/>
      <c r="G477" s="114"/>
      <c r="H477" s="114"/>
      <c r="I477" s="114"/>
      <c r="J477" s="114"/>
      <c r="K477" s="114"/>
      <c r="L477" s="114"/>
      <c r="M477" s="114"/>
      <c r="N477" s="114"/>
      <c r="O477" s="114"/>
      <c r="P477" s="114"/>
      <c r="Q477" s="114"/>
      <c r="R477" s="114"/>
      <c r="S477" s="114"/>
      <c r="T477" s="114"/>
      <c r="U477" s="114"/>
      <c r="V477" s="114"/>
      <c r="W477" s="114"/>
      <c r="X477" s="114"/>
      <c r="Y477" s="114"/>
    </row>
    <row r="478">
      <c r="A478" s="1"/>
      <c r="B478" s="113"/>
      <c r="D478" s="113"/>
      <c r="E478" s="114"/>
      <c r="F478" s="114"/>
      <c r="G478" s="114"/>
      <c r="H478" s="114"/>
      <c r="I478" s="114"/>
      <c r="J478" s="114"/>
      <c r="K478" s="114"/>
      <c r="L478" s="114"/>
      <c r="M478" s="114"/>
      <c r="N478" s="114"/>
      <c r="O478" s="114"/>
      <c r="P478" s="114"/>
      <c r="Q478" s="114"/>
      <c r="R478" s="114"/>
      <c r="S478" s="114"/>
      <c r="T478" s="114"/>
      <c r="U478" s="114"/>
      <c r="V478" s="114"/>
      <c r="W478" s="114"/>
      <c r="X478" s="114"/>
      <c r="Y478" s="114"/>
    </row>
    <row r="479">
      <c r="A479" s="1"/>
      <c r="B479" s="113"/>
      <c r="D479" s="113"/>
      <c r="E479" s="114"/>
      <c r="F479" s="114"/>
      <c r="G479" s="114"/>
      <c r="H479" s="114"/>
      <c r="I479" s="114"/>
      <c r="J479" s="114"/>
      <c r="K479" s="114"/>
      <c r="L479" s="114"/>
      <c r="M479" s="114"/>
      <c r="N479" s="114"/>
      <c r="O479" s="114"/>
      <c r="P479" s="114"/>
      <c r="Q479" s="114"/>
      <c r="R479" s="114"/>
      <c r="S479" s="114"/>
      <c r="T479" s="114"/>
      <c r="U479" s="114"/>
      <c r="V479" s="114"/>
      <c r="W479" s="114"/>
      <c r="X479" s="114"/>
      <c r="Y479" s="114"/>
    </row>
    <row r="480">
      <c r="A480" s="1"/>
      <c r="B480" s="113"/>
      <c r="D480" s="113"/>
      <c r="E480" s="114"/>
      <c r="F480" s="114"/>
      <c r="G480" s="114"/>
      <c r="H480" s="114"/>
      <c r="I480" s="114"/>
      <c r="J480" s="114"/>
      <c r="K480" s="114"/>
      <c r="L480" s="114"/>
      <c r="M480" s="114"/>
      <c r="N480" s="114"/>
      <c r="O480" s="114"/>
      <c r="P480" s="114"/>
      <c r="Q480" s="114"/>
      <c r="R480" s="114"/>
      <c r="S480" s="114"/>
      <c r="T480" s="114"/>
      <c r="U480" s="114"/>
      <c r="V480" s="114"/>
      <c r="W480" s="114"/>
      <c r="X480" s="114"/>
      <c r="Y480" s="114"/>
    </row>
    <row r="481">
      <c r="A481" s="1"/>
      <c r="B481" s="113"/>
      <c r="D481" s="113"/>
      <c r="E481" s="114"/>
      <c r="F481" s="114"/>
      <c r="G481" s="114"/>
      <c r="H481" s="114"/>
      <c r="I481" s="114"/>
      <c r="J481" s="114"/>
      <c r="K481" s="114"/>
      <c r="L481" s="114"/>
      <c r="M481" s="114"/>
      <c r="N481" s="114"/>
      <c r="O481" s="114"/>
      <c r="P481" s="114"/>
      <c r="Q481" s="114"/>
      <c r="R481" s="114"/>
      <c r="S481" s="114"/>
      <c r="T481" s="114"/>
      <c r="U481" s="114"/>
      <c r="V481" s="114"/>
      <c r="W481" s="114"/>
      <c r="X481" s="114"/>
      <c r="Y481" s="114"/>
    </row>
    <row r="482">
      <c r="A482" s="1"/>
      <c r="B482" s="113"/>
      <c r="D482" s="113"/>
      <c r="E482" s="114"/>
      <c r="F482" s="114"/>
      <c r="G482" s="114"/>
      <c r="H482" s="114"/>
      <c r="I482" s="114"/>
      <c r="J482" s="114"/>
      <c r="K482" s="114"/>
      <c r="L482" s="114"/>
      <c r="M482" s="114"/>
      <c r="N482" s="114"/>
      <c r="O482" s="114"/>
      <c r="P482" s="114"/>
      <c r="Q482" s="114"/>
      <c r="R482" s="114"/>
      <c r="S482" s="114"/>
      <c r="T482" s="114"/>
      <c r="U482" s="114"/>
      <c r="V482" s="114"/>
      <c r="W482" s="114"/>
      <c r="X482" s="114"/>
      <c r="Y482" s="114"/>
    </row>
    <row r="483">
      <c r="A483" s="1"/>
      <c r="B483" s="113"/>
      <c r="D483" s="113"/>
      <c r="E483" s="114"/>
      <c r="F483" s="114"/>
      <c r="G483" s="114"/>
      <c r="H483" s="114"/>
      <c r="I483" s="114"/>
      <c r="J483" s="114"/>
      <c r="K483" s="114"/>
      <c r="L483" s="114"/>
      <c r="M483" s="114"/>
      <c r="N483" s="114"/>
      <c r="O483" s="114"/>
      <c r="P483" s="114"/>
      <c r="Q483" s="114"/>
      <c r="R483" s="114"/>
      <c r="S483" s="114"/>
      <c r="T483" s="114"/>
      <c r="U483" s="114"/>
      <c r="V483" s="114"/>
      <c r="W483" s="114"/>
      <c r="X483" s="114"/>
      <c r="Y483" s="114"/>
    </row>
    <row r="484">
      <c r="A484" s="1"/>
      <c r="B484" s="113"/>
      <c r="D484" s="113"/>
      <c r="E484" s="114"/>
      <c r="F484" s="114"/>
      <c r="G484" s="114"/>
      <c r="H484" s="114"/>
      <c r="I484" s="114"/>
      <c r="J484" s="114"/>
      <c r="K484" s="114"/>
      <c r="L484" s="114"/>
      <c r="M484" s="114"/>
      <c r="N484" s="114"/>
      <c r="O484" s="114"/>
      <c r="P484" s="114"/>
      <c r="Q484" s="114"/>
      <c r="R484" s="114"/>
      <c r="S484" s="114"/>
      <c r="T484" s="114"/>
      <c r="U484" s="114"/>
      <c r="V484" s="114"/>
      <c r="W484" s="114"/>
      <c r="X484" s="114"/>
      <c r="Y484" s="114"/>
    </row>
    <row r="485">
      <c r="A485" s="1"/>
      <c r="B485" s="114"/>
      <c r="C485" s="114"/>
      <c r="D485" s="114"/>
      <c r="E485" s="114"/>
      <c r="F485" s="114"/>
      <c r="G485" s="114"/>
      <c r="H485" s="114"/>
      <c r="I485" s="114"/>
      <c r="J485" s="114"/>
      <c r="K485" s="114"/>
      <c r="L485" s="114"/>
      <c r="M485" s="114"/>
      <c r="N485" s="114"/>
      <c r="O485" s="114"/>
      <c r="P485" s="114"/>
      <c r="Q485" s="114"/>
      <c r="R485" s="114"/>
      <c r="S485" s="114"/>
      <c r="T485" s="114"/>
      <c r="U485" s="114"/>
      <c r="V485" s="114"/>
      <c r="W485" s="114"/>
      <c r="X485" s="114"/>
      <c r="Y485" s="114"/>
    </row>
    <row r="486">
      <c r="A486" s="1"/>
      <c r="B486" s="114"/>
      <c r="C486" s="114"/>
      <c r="D486" s="114"/>
      <c r="E486" s="114"/>
      <c r="F486" s="114"/>
      <c r="G486" s="114"/>
      <c r="H486" s="114"/>
      <c r="I486" s="114"/>
      <c r="J486" s="114"/>
      <c r="K486" s="114"/>
      <c r="L486" s="114"/>
      <c r="M486" s="114"/>
      <c r="N486" s="114"/>
      <c r="O486" s="114"/>
      <c r="P486" s="114"/>
      <c r="Q486" s="114"/>
      <c r="R486" s="114"/>
      <c r="S486" s="114"/>
      <c r="T486" s="114"/>
      <c r="U486" s="114"/>
      <c r="V486" s="114"/>
      <c r="W486" s="114"/>
      <c r="X486" s="114"/>
      <c r="Y486" s="114"/>
    </row>
    <row r="487">
      <c r="A487" s="1"/>
      <c r="B487" s="114"/>
      <c r="C487" s="114"/>
      <c r="D487" s="114"/>
      <c r="E487" s="114"/>
      <c r="F487" s="114"/>
      <c r="G487" s="114"/>
      <c r="H487" s="114"/>
      <c r="I487" s="114"/>
      <c r="J487" s="114"/>
      <c r="K487" s="114"/>
      <c r="L487" s="114"/>
      <c r="M487" s="114"/>
      <c r="N487" s="114"/>
      <c r="O487" s="114"/>
      <c r="P487" s="114"/>
      <c r="Q487" s="114"/>
      <c r="R487" s="114"/>
      <c r="S487" s="114"/>
      <c r="T487" s="114"/>
      <c r="U487" s="114"/>
      <c r="V487" s="114"/>
      <c r="W487" s="114"/>
      <c r="X487" s="114"/>
      <c r="Y487" s="114"/>
    </row>
    <row r="488">
      <c r="A488" s="1"/>
      <c r="B488" s="114"/>
      <c r="C488" s="114"/>
      <c r="D488" s="114"/>
      <c r="E488" s="114"/>
      <c r="F488" s="114"/>
      <c r="G488" s="114"/>
      <c r="H488" s="114"/>
      <c r="I488" s="114"/>
      <c r="J488" s="114"/>
      <c r="K488" s="114"/>
      <c r="L488" s="114"/>
      <c r="M488" s="114"/>
      <c r="N488" s="114"/>
      <c r="O488" s="114"/>
      <c r="P488" s="114"/>
      <c r="Q488" s="114"/>
      <c r="R488" s="114"/>
      <c r="S488" s="114"/>
      <c r="T488" s="114"/>
      <c r="U488" s="114"/>
      <c r="V488" s="114"/>
      <c r="W488" s="114"/>
      <c r="X488" s="114"/>
      <c r="Y488" s="114"/>
    </row>
    <row r="489">
      <c r="A489" s="1"/>
      <c r="B489" s="114"/>
      <c r="C489" s="114"/>
      <c r="D489" s="114"/>
      <c r="E489" s="114"/>
      <c r="F489" s="114"/>
      <c r="G489" s="114"/>
      <c r="H489" s="114"/>
      <c r="I489" s="114"/>
      <c r="J489" s="114"/>
      <c r="K489" s="114"/>
      <c r="L489" s="114"/>
      <c r="M489" s="114"/>
      <c r="N489" s="114"/>
      <c r="O489" s="114"/>
      <c r="P489" s="114"/>
      <c r="Q489" s="114"/>
      <c r="R489" s="114"/>
      <c r="S489" s="114"/>
      <c r="T489" s="114"/>
      <c r="U489" s="114"/>
      <c r="V489" s="114"/>
      <c r="W489" s="114"/>
      <c r="X489" s="114"/>
      <c r="Y489" s="114"/>
    </row>
    <row r="490">
      <c r="A490" s="1"/>
      <c r="B490" s="114"/>
      <c r="C490" s="114"/>
      <c r="D490" s="114"/>
      <c r="E490" s="114"/>
      <c r="F490" s="114"/>
      <c r="G490" s="114"/>
      <c r="H490" s="114"/>
      <c r="I490" s="114"/>
      <c r="J490" s="114"/>
      <c r="K490" s="114"/>
      <c r="L490" s="114"/>
      <c r="M490" s="114"/>
      <c r="N490" s="114"/>
      <c r="O490" s="114"/>
      <c r="P490" s="114"/>
      <c r="Q490" s="114"/>
      <c r="R490" s="114"/>
      <c r="S490" s="114"/>
      <c r="T490" s="114"/>
      <c r="U490" s="114"/>
      <c r="V490" s="114"/>
      <c r="W490" s="114"/>
      <c r="X490" s="114"/>
      <c r="Y490" s="114"/>
    </row>
    <row r="491">
      <c r="A491" s="1"/>
      <c r="B491" s="114"/>
      <c r="C491" s="114"/>
      <c r="D491" s="114"/>
      <c r="E491" s="114"/>
      <c r="F491" s="114"/>
      <c r="G491" s="114"/>
      <c r="H491" s="114"/>
      <c r="I491" s="114"/>
      <c r="J491" s="114"/>
      <c r="K491" s="114"/>
      <c r="L491" s="114"/>
      <c r="M491" s="114"/>
      <c r="N491" s="114"/>
      <c r="O491" s="114"/>
      <c r="P491" s="114"/>
      <c r="Q491" s="114"/>
      <c r="R491" s="114"/>
      <c r="S491" s="114"/>
      <c r="T491" s="114"/>
      <c r="U491" s="114"/>
      <c r="V491" s="114"/>
      <c r="W491" s="114"/>
      <c r="X491" s="114"/>
      <c r="Y491" s="114"/>
    </row>
    <row r="492">
      <c r="A492" s="1"/>
      <c r="B492" s="114"/>
      <c r="C492" s="114"/>
      <c r="D492" s="114"/>
      <c r="E492" s="114"/>
      <c r="F492" s="114"/>
      <c r="G492" s="114"/>
      <c r="H492" s="114"/>
      <c r="I492" s="114"/>
      <c r="J492" s="114"/>
      <c r="K492" s="114"/>
      <c r="L492" s="114"/>
      <c r="M492" s="114"/>
      <c r="N492" s="114"/>
      <c r="O492" s="114"/>
      <c r="P492" s="114"/>
      <c r="Q492" s="114"/>
      <c r="R492" s="114"/>
      <c r="S492" s="114"/>
      <c r="T492" s="114"/>
      <c r="U492" s="114"/>
      <c r="V492" s="114"/>
      <c r="W492" s="114"/>
      <c r="X492" s="114"/>
      <c r="Y492" s="114"/>
    </row>
    <row r="493">
      <c r="A493" s="1"/>
      <c r="B493" s="114"/>
      <c r="C493" s="114"/>
      <c r="D493" s="114"/>
      <c r="E493" s="114"/>
      <c r="F493" s="114"/>
      <c r="G493" s="114"/>
      <c r="H493" s="114"/>
      <c r="I493" s="114"/>
      <c r="J493" s="114"/>
      <c r="K493" s="114"/>
      <c r="L493" s="114"/>
      <c r="M493" s="114"/>
      <c r="N493" s="114"/>
      <c r="O493" s="114"/>
      <c r="P493" s="114"/>
      <c r="Q493" s="114"/>
      <c r="R493" s="114"/>
      <c r="S493" s="114"/>
      <c r="T493" s="114"/>
      <c r="U493" s="114"/>
      <c r="V493" s="114"/>
      <c r="W493" s="114"/>
      <c r="X493" s="114"/>
      <c r="Y493" s="114"/>
    </row>
    <row r="494">
      <c r="A494" s="1"/>
      <c r="B494" s="114"/>
      <c r="C494" s="114"/>
      <c r="D494" s="114"/>
      <c r="E494" s="114"/>
      <c r="F494" s="114"/>
      <c r="G494" s="114"/>
      <c r="H494" s="114"/>
      <c r="I494" s="114"/>
      <c r="J494" s="114"/>
      <c r="K494" s="114"/>
      <c r="L494" s="114"/>
      <c r="M494" s="114"/>
      <c r="N494" s="114"/>
      <c r="O494" s="114"/>
      <c r="P494" s="114"/>
      <c r="Q494" s="114"/>
      <c r="R494" s="114"/>
      <c r="S494" s="114"/>
      <c r="T494" s="114"/>
      <c r="U494" s="114"/>
      <c r="V494" s="114"/>
      <c r="W494" s="114"/>
      <c r="X494" s="114"/>
      <c r="Y494" s="114"/>
    </row>
    <row r="495">
      <c r="A495" s="1"/>
      <c r="B495" s="114"/>
      <c r="C495" s="114"/>
      <c r="D495" s="114"/>
      <c r="E495" s="114"/>
      <c r="F495" s="114"/>
      <c r="G495" s="114"/>
      <c r="H495" s="114"/>
      <c r="I495" s="114"/>
      <c r="J495" s="114"/>
      <c r="K495" s="114"/>
      <c r="L495" s="114"/>
      <c r="M495" s="114"/>
      <c r="N495" s="114"/>
      <c r="O495" s="114"/>
      <c r="P495" s="114"/>
      <c r="Q495" s="114"/>
      <c r="R495" s="114"/>
      <c r="S495" s="114"/>
      <c r="T495" s="114"/>
      <c r="U495" s="114"/>
      <c r="V495" s="114"/>
      <c r="W495" s="114"/>
      <c r="X495" s="114"/>
      <c r="Y495" s="114"/>
    </row>
    <row r="496">
      <c r="A496" s="1"/>
      <c r="B496" s="114"/>
      <c r="C496" s="114"/>
      <c r="D496" s="114"/>
      <c r="E496" s="114"/>
      <c r="F496" s="114"/>
      <c r="G496" s="114"/>
      <c r="H496" s="114"/>
      <c r="I496" s="114"/>
      <c r="J496" s="114"/>
      <c r="K496" s="114"/>
      <c r="L496" s="114"/>
      <c r="M496" s="114"/>
      <c r="N496" s="114"/>
      <c r="O496" s="114"/>
      <c r="P496" s="114"/>
      <c r="Q496" s="114"/>
      <c r="R496" s="114"/>
      <c r="S496" s="114"/>
      <c r="T496" s="114"/>
      <c r="U496" s="114"/>
      <c r="V496" s="114"/>
      <c r="W496" s="114"/>
      <c r="X496" s="114"/>
      <c r="Y496" s="114"/>
    </row>
    <row r="497">
      <c r="A497" s="1"/>
      <c r="B497" s="114"/>
      <c r="C497" s="114"/>
      <c r="D497" s="114"/>
      <c r="E497" s="114"/>
      <c r="F497" s="114"/>
      <c r="G497" s="114"/>
      <c r="H497" s="114"/>
      <c r="I497" s="114"/>
      <c r="J497" s="114"/>
      <c r="K497" s="114"/>
      <c r="L497" s="114"/>
      <c r="M497" s="114"/>
      <c r="N497" s="114"/>
      <c r="O497" s="114"/>
      <c r="P497" s="114"/>
      <c r="Q497" s="114"/>
      <c r="R497" s="114"/>
      <c r="S497" s="114"/>
      <c r="T497" s="114"/>
      <c r="U497" s="114"/>
      <c r="V497" s="114"/>
      <c r="W497" s="114"/>
      <c r="X497" s="114"/>
      <c r="Y497" s="114"/>
    </row>
    <row r="498">
      <c r="A498" s="1"/>
      <c r="B498" s="114"/>
      <c r="C498" s="114"/>
      <c r="D498" s="114"/>
      <c r="E498" s="114"/>
      <c r="F498" s="114"/>
      <c r="G498" s="114"/>
      <c r="H498" s="114"/>
      <c r="I498" s="114"/>
      <c r="J498" s="114"/>
      <c r="K498" s="114"/>
      <c r="L498" s="114"/>
      <c r="M498" s="114"/>
      <c r="N498" s="114"/>
      <c r="O498" s="114"/>
      <c r="P498" s="114"/>
      <c r="Q498" s="114"/>
      <c r="R498" s="114"/>
      <c r="S498" s="114"/>
      <c r="T498" s="114"/>
      <c r="U498" s="114"/>
      <c r="V498" s="114"/>
      <c r="W498" s="114"/>
      <c r="X498" s="114"/>
      <c r="Y498" s="114"/>
    </row>
    <row r="499">
      <c r="A499" s="1"/>
      <c r="B499" s="114"/>
      <c r="C499" s="114"/>
      <c r="D499" s="114"/>
      <c r="E499" s="114"/>
      <c r="F499" s="114"/>
      <c r="G499" s="114"/>
      <c r="H499" s="114"/>
      <c r="I499" s="114"/>
      <c r="J499" s="114"/>
      <c r="K499" s="114"/>
      <c r="L499" s="114"/>
      <c r="M499" s="114"/>
      <c r="N499" s="114"/>
      <c r="O499" s="114"/>
      <c r="P499" s="114"/>
      <c r="Q499" s="114"/>
      <c r="R499" s="114"/>
      <c r="S499" s="114"/>
      <c r="T499" s="114"/>
      <c r="U499" s="114"/>
      <c r="V499" s="114"/>
      <c r="W499" s="114"/>
      <c r="X499" s="114"/>
      <c r="Y499" s="114"/>
    </row>
    <row r="500">
      <c r="A500" s="1"/>
      <c r="B500" s="114"/>
      <c r="C500" s="114"/>
      <c r="D500" s="114"/>
      <c r="E500" s="114"/>
      <c r="F500" s="114"/>
      <c r="G500" s="114"/>
      <c r="H500" s="114"/>
      <c r="I500" s="114"/>
      <c r="J500" s="114"/>
      <c r="K500" s="114"/>
      <c r="L500" s="114"/>
      <c r="M500" s="114"/>
      <c r="N500" s="114"/>
      <c r="O500" s="114"/>
      <c r="P500" s="114"/>
      <c r="Q500" s="114"/>
      <c r="R500" s="114"/>
      <c r="S500" s="114"/>
      <c r="T500" s="114"/>
      <c r="U500" s="114"/>
      <c r="V500" s="114"/>
      <c r="W500" s="114"/>
      <c r="X500" s="114"/>
      <c r="Y500" s="114"/>
    </row>
    <row r="501">
      <c r="A501" s="1"/>
      <c r="B501" s="114"/>
      <c r="C501" s="114"/>
      <c r="D501" s="114"/>
      <c r="E501" s="114"/>
      <c r="F501" s="114"/>
      <c r="G501" s="114"/>
      <c r="H501" s="114"/>
      <c r="I501" s="114"/>
      <c r="J501" s="114"/>
      <c r="K501" s="114"/>
      <c r="L501" s="114"/>
      <c r="M501" s="114"/>
      <c r="N501" s="114"/>
      <c r="O501" s="114"/>
      <c r="P501" s="114"/>
      <c r="Q501" s="114"/>
      <c r="R501" s="114"/>
      <c r="S501" s="114"/>
      <c r="T501" s="114"/>
      <c r="U501" s="114"/>
      <c r="V501" s="114"/>
      <c r="W501" s="114"/>
      <c r="X501" s="114"/>
      <c r="Y501" s="114"/>
    </row>
    <row r="502">
      <c r="A502" s="1"/>
      <c r="B502" s="114"/>
      <c r="C502" s="114"/>
      <c r="D502" s="114"/>
      <c r="E502" s="114"/>
      <c r="F502" s="114"/>
      <c r="G502" s="114"/>
      <c r="H502" s="114"/>
      <c r="I502" s="114"/>
      <c r="J502" s="114"/>
      <c r="K502" s="114"/>
      <c r="L502" s="114"/>
      <c r="M502" s="114"/>
      <c r="N502" s="114"/>
      <c r="O502" s="114"/>
      <c r="P502" s="114"/>
      <c r="Q502" s="114"/>
      <c r="R502" s="114"/>
      <c r="S502" s="114"/>
      <c r="T502" s="114"/>
      <c r="U502" s="114"/>
      <c r="V502" s="114"/>
      <c r="W502" s="114"/>
      <c r="X502" s="114"/>
      <c r="Y502" s="114"/>
    </row>
    <row r="503">
      <c r="A503" s="1"/>
      <c r="B503" s="114"/>
      <c r="C503" s="114"/>
      <c r="D503" s="114"/>
      <c r="E503" s="114"/>
      <c r="F503" s="114"/>
      <c r="G503" s="114"/>
      <c r="H503" s="114"/>
      <c r="I503" s="114"/>
      <c r="J503" s="114"/>
      <c r="K503" s="114"/>
      <c r="L503" s="114"/>
      <c r="M503" s="114"/>
      <c r="N503" s="114"/>
      <c r="O503" s="114"/>
      <c r="P503" s="114"/>
      <c r="Q503" s="114"/>
      <c r="R503" s="114"/>
      <c r="S503" s="114"/>
      <c r="T503" s="114"/>
      <c r="U503" s="114"/>
      <c r="V503" s="114"/>
      <c r="W503" s="114"/>
      <c r="X503" s="114"/>
      <c r="Y503" s="114"/>
    </row>
    <row r="504">
      <c r="A504" s="1"/>
      <c r="B504" s="114"/>
      <c r="C504" s="114"/>
      <c r="D504" s="114"/>
      <c r="E504" s="114"/>
      <c r="F504" s="114"/>
      <c r="G504" s="114"/>
      <c r="H504" s="114"/>
      <c r="I504" s="114"/>
      <c r="J504" s="114"/>
      <c r="K504" s="114"/>
      <c r="L504" s="114"/>
      <c r="M504" s="114"/>
      <c r="N504" s="114"/>
      <c r="O504" s="114"/>
      <c r="P504" s="114"/>
      <c r="Q504" s="114"/>
      <c r="R504" s="114"/>
      <c r="S504" s="114"/>
      <c r="T504" s="114"/>
      <c r="U504" s="114"/>
      <c r="V504" s="114"/>
      <c r="W504" s="114"/>
      <c r="X504" s="114"/>
      <c r="Y504" s="114"/>
    </row>
    <row r="505">
      <c r="A505" s="1"/>
      <c r="B505" s="114"/>
      <c r="C505" s="114"/>
      <c r="D505" s="114"/>
      <c r="E505" s="114"/>
      <c r="F505" s="114"/>
      <c r="G505" s="114"/>
      <c r="H505" s="114"/>
      <c r="I505" s="114"/>
      <c r="J505" s="114"/>
      <c r="K505" s="114"/>
      <c r="L505" s="114"/>
      <c r="M505" s="114"/>
      <c r="N505" s="114"/>
      <c r="O505" s="114"/>
      <c r="P505" s="114"/>
      <c r="Q505" s="114"/>
      <c r="R505" s="114"/>
      <c r="S505" s="114"/>
      <c r="T505" s="114"/>
      <c r="U505" s="114"/>
      <c r="V505" s="114"/>
      <c r="W505" s="114"/>
      <c r="X505" s="114"/>
      <c r="Y505" s="114"/>
    </row>
    <row r="506">
      <c r="A506" s="1"/>
      <c r="B506" s="114"/>
      <c r="C506" s="114"/>
      <c r="D506" s="114"/>
      <c r="E506" s="114"/>
      <c r="F506" s="114"/>
      <c r="G506" s="114"/>
      <c r="H506" s="114"/>
      <c r="I506" s="114"/>
      <c r="J506" s="114"/>
      <c r="K506" s="114"/>
      <c r="L506" s="114"/>
      <c r="M506" s="114"/>
      <c r="N506" s="114"/>
      <c r="O506" s="114"/>
      <c r="P506" s="114"/>
      <c r="Q506" s="114"/>
      <c r="R506" s="114"/>
      <c r="S506" s="114"/>
      <c r="T506" s="114"/>
      <c r="U506" s="114"/>
      <c r="V506" s="114"/>
      <c r="W506" s="114"/>
      <c r="X506" s="114"/>
      <c r="Y506" s="114"/>
    </row>
    <row r="507">
      <c r="A507" s="1"/>
      <c r="B507" s="114"/>
      <c r="C507" s="114"/>
      <c r="D507" s="114"/>
      <c r="E507" s="114"/>
      <c r="F507" s="114"/>
      <c r="G507" s="114"/>
      <c r="H507" s="114"/>
      <c r="I507" s="114"/>
      <c r="J507" s="114"/>
      <c r="K507" s="114"/>
      <c r="L507" s="114"/>
      <c r="M507" s="114"/>
      <c r="N507" s="114"/>
      <c r="O507" s="114"/>
      <c r="P507" s="114"/>
      <c r="Q507" s="114"/>
      <c r="R507" s="114"/>
      <c r="S507" s="114"/>
      <c r="T507" s="114"/>
      <c r="U507" s="114"/>
      <c r="V507" s="114"/>
      <c r="W507" s="114"/>
      <c r="X507" s="114"/>
      <c r="Y507" s="114"/>
    </row>
    <row r="508">
      <c r="A508" s="1"/>
      <c r="B508" s="114"/>
      <c r="C508" s="114"/>
      <c r="D508" s="114"/>
      <c r="E508" s="114"/>
      <c r="F508" s="114"/>
      <c r="G508" s="114"/>
      <c r="H508" s="114"/>
      <c r="I508" s="114"/>
      <c r="J508" s="114"/>
      <c r="K508" s="114"/>
      <c r="L508" s="114"/>
      <c r="M508" s="114"/>
      <c r="N508" s="114"/>
      <c r="O508" s="114"/>
      <c r="P508" s="114"/>
      <c r="Q508" s="114"/>
      <c r="R508" s="114"/>
      <c r="S508" s="114"/>
      <c r="T508" s="114"/>
      <c r="U508" s="114"/>
      <c r="V508" s="114"/>
      <c r="W508" s="114"/>
      <c r="X508" s="114"/>
      <c r="Y508" s="114"/>
    </row>
    <row r="509">
      <c r="A509" s="1"/>
      <c r="B509" s="114"/>
      <c r="C509" s="114"/>
      <c r="D509" s="114"/>
      <c r="E509" s="114"/>
      <c r="F509" s="114"/>
      <c r="G509" s="114"/>
      <c r="H509" s="114"/>
      <c r="I509" s="114"/>
      <c r="J509" s="114"/>
      <c r="K509" s="114"/>
      <c r="L509" s="114"/>
      <c r="M509" s="114"/>
      <c r="N509" s="114"/>
      <c r="O509" s="114"/>
      <c r="P509" s="114"/>
      <c r="Q509" s="114"/>
      <c r="R509" s="114"/>
      <c r="S509" s="114"/>
      <c r="T509" s="114"/>
      <c r="U509" s="114"/>
      <c r="V509" s="114"/>
      <c r="W509" s="114"/>
      <c r="X509" s="114"/>
      <c r="Y509" s="114"/>
    </row>
    <row r="510">
      <c r="A510" s="1"/>
      <c r="B510" s="114"/>
      <c r="C510" s="114"/>
      <c r="D510" s="114"/>
      <c r="E510" s="114"/>
      <c r="F510" s="114"/>
      <c r="G510" s="114"/>
      <c r="H510" s="114"/>
      <c r="I510" s="114"/>
      <c r="J510" s="114"/>
      <c r="K510" s="114"/>
      <c r="L510" s="114"/>
      <c r="M510" s="114"/>
      <c r="N510" s="114"/>
      <c r="O510" s="114"/>
      <c r="P510" s="114"/>
      <c r="Q510" s="114"/>
      <c r="R510" s="114"/>
      <c r="S510" s="114"/>
      <c r="T510" s="114"/>
      <c r="U510" s="114"/>
      <c r="V510" s="114"/>
      <c r="W510" s="114"/>
      <c r="X510" s="114"/>
      <c r="Y510" s="114"/>
    </row>
    <row r="511">
      <c r="A511" s="1"/>
      <c r="B511" s="114"/>
      <c r="C511" s="114"/>
      <c r="D511" s="114"/>
      <c r="E511" s="114"/>
      <c r="F511" s="114"/>
      <c r="G511" s="114"/>
      <c r="H511" s="114"/>
      <c r="I511" s="114"/>
      <c r="J511" s="114"/>
      <c r="K511" s="114"/>
      <c r="L511" s="114"/>
      <c r="M511" s="114"/>
      <c r="N511" s="114"/>
      <c r="O511" s="114"/>
      <c r="P511" s="114"/>
      <c r="Q511" s="114"/>
      <c r="R511" s="114"/>
      <c r="S511" s="114"/>
      <c r="T511" s="114"/>
      <c r="U511" s="114"/>
      <c r="V511" s="114"/>
      <c r="W511" s="114"/>
      <c r="X511" s="114"/>
      <c r="Y511" s="114"/>
    </row>
    <row r="512">
      <c r="A512" s="1"/>
      <c r="B512" s="114"/>
      <c r="C512" s="114"/>
      <c r="D512" s="114"/>
      <c r="E512" s="114"/>
      <c r="F512" s="114"/>
      <c r="G512" s="114"/>
      <c r="H512" s="114"/>
      <c r="I512" s="114"/>
      <c r="J512" s="114"/>
      <c r="K512" s="114"/>
      <c r="L512" s="114"/>
      <c r="M512" s="114"/>
      <c r="N512" s="114"/>
      <c r="O512" s="114"/>
      <c r="P512" s="114"/>
      <c r="Q512" s="114"/>
      <c r="R512" s="114"/>
      <c r="S512" s="114"/>
      <c r="T512" s="114"/>
      <c r="U512" s="114"/>
      <c r="V512" s="114"/>
      <c r="W512" s="114"/>
      <c r="X512" s="114"/>
      <c r="Y512" s="114"/>
    </row>
    <row r="513">
      <c r="A513" s="1"/>
      <c r="B513" s="114"/>
      <c r="C513" s="114"/>
      <c r="D513" s="114"/>
      <c r="E513" s="114"/>
      <c r="F513" s="114"/>
      <c r="G513" s="114"/>
      <c r="H513" s="114"/>
      <c r="I513" s="114"/>
      <c r="J513" s="114"/>
      <c r="K513" s="114"/>
      <c r="L513" s="114"/>
      <c r="M513" s="114"/>
      <c r="N513" s="114"/>
      <c r="O513" s="114"/>
      <c r="P513" s="114"/>
      <c r="Q513" s="114"/>
      <c r="R513" s="114"/>
      <c r="S513" s="114"/>
      <c r="T513" s="114"/>
      <c r="U513" s="114"/>
      <c r="V513" s="114"/>
      <c r="W513" s="114"/>
      <c r="X513" s="114"/>
      <c r="Y513" s="114"/>
    </row>
    <row r="514">
      <c r="A514" s="1"/>
      <c r="B514" s="114"/>
      <c r="C514" s="114"/>
      <c r="D514" s="114"/>
      <c r="E514" s="114"/>
      <c r="F514" s="114"/>
      <c r="G514" s="114"/>
      <c r="H514" s="114"/>
      <c r="I514" s="114"/>
      <c r="J514" s="114"/>
      <c r="K514" s="114"/>
      <c r="L514" s="114"/>
      <c r="M514" s="114"/>
      <c r="N514" s="114"/>
      <c r="O514" s="114"/>
      <c r="P514" s="114"/>
      <c r="Q514" s="114"/>
      <c r="R514" s="114"/>
      <c r="S514" s="114"/>
      <c r="T514" s="114"/>
      <c r="U514" s="114"/>
      <c r="V514" s="114"/>
      <c r="W514" s="114"/>
      <c r="X514" s="114"/>
      <c r="Y514" s="114"/>
    </row>
    <row r="515">
      <c r="A515" s="1"/>
      <c r="B515" s="114"/>
      <c r="C515" s="114"/>
      <c r="D515" s="114"/>
      <c r="E515" s="114"/>
      <c r="F515" s="114"/>
      <c r="G515" s="114"/>
      <c r="H515" s="114"/>
      <c r="I515" s="114"/>
      <c r="J515" s="114"/>
      <c r="K515" s="114"/>
      <c r="L515" s="114"/>
      <c r="M515" s="114"/>
      <c r="N515" s="114"/>
      <c r="O515" s="114"/>
      <c r="P515" s="114"/>
      <c r="Q515" s="114"/>
      <c r="R515" s="114"/>
      <c r="S515" s="114"/>
      <c r="T515" s="114"/>
      <c r="U515" s="114"/>
      <c r="V515" s="114"/>
      <c r="W515" s="114"/>
      <c r="X515" s="114"/>
      <c r="Y515" s="114"/>
    </row>
    <row r="516">
      <c r="A516" s="1"/>
      <c r="B516" s="114"/>
      <c r="C516" s="114"/>
      <c r="D516" s="114"/>
      <c r="E516" s="114"/>
      <c r="F516" s="114"/>
      <c r="G516" s="114"/>
      <c r="H516" s="114"/>
      <c r="I516" s="114"/>
      <c r="J516" s="114"/>
      <c r="K516" s="114"/>
      <c r="L516" s="114"/>
      <c r="M516" s="114"/>
      <c r="N516" s="114"/>
      <c r="O516" s="114"/>
      <c r="P516" s="114"/>
      <c r="Q516" s="114"/>
      <c r="R516" s="114"/>
      <c r="S516" s="114"/>
      <c r="T516" s="114"/>
      <c r="U516" s="114"/>
      <c r="V516" s="114"/>
      <c r="W516" s="114"/>
      <c r="X516" s="114"/>
      <c r="Y516" s="114"/>
    </row>
    <row r="517">
      <c r="A517" s="1"/>
      <c r="B517" s="114"/>
      <c r="C517" s="114"/>
      <c r="D517" s="114"/>
      <c r="E517" s="114"/>
      <c r="F517" s="114"/>
      <c r="G517" s="114"/>
      <c r="H517" s="114"/>
      <c r="I517" s="114"/>
      <c r="J517" s="114"/>
      <c r="K517" s="114"/>
      <c r="L517" s="114"/>
      <c r="M517" s="114"/>
      <c r="N517" s="114"/>
      <c r="O517" s="114"/>
      <c r="P517" s="114"/>
      <c r="Q517" s="114"/>
      <c r="R517" s="114"/>
      <c r="S517" s="114"/>
      <c r="T517" s="114"/>
      <c r="U517" s="114"/>
      <c r="V517" s="114"/>
      <c r="W517" s="114"/>
      <c r="X517" s="114"/>
      <c r="Y517" s="114"/>
    </row>
    <row r="518">
      <c r="A518" s="1"/>
      <c r="B518" s="114"/>
      <c r="C518" s="114"/>
      <c r="D518" s="114"/>
      <c r="E518" s="114"/>
      <c r="F518" s="114"/>
      <c r="G518" s="114"/>
      <c r="H518" s="114"/>
      <c r="I518" s="114"/>
      <c r="J518" s="114"/>
      <c r="K518" s="114"/>
      <c r="L518" s="114"/>
      <c r="M518" s="114"/>
      <c r="N518" s="114"/>
      <c r="O518" s="114"/>
      <c r="P518" s="114"/>
      <c r="Q518" s="114"/>
      <c r="R518" s="114"/>
      <c r="S518" s="114"/>
      <c r="T518" s="114"/>
      <c r="U518" s="114"/>
      <c r="V518" s="114"/>
      <c r="W518" s="114"/>
      <c r="X518" s="114"/>
      <c r="Y518" s="114"/>
    </row>
    <row r="519">
      <c r="A519" s="1"/>
      <c r="B519" s="114"/>
      <c r="C519" s="114"/>
      <c r="D519" s="114"/>
      <c r="E519" s="114"/>
      <c r="F519" s="114"/>
      <c r="G519" s="114"/>
      <c r="H519" s="114"/>
      <c r="I519" s="114"/>
      <c r="J519" s="114"/>
      <c r="K519" s="114"/>
      <c r="L519" s="114"/>
      <c r="M519" s="114"/>
      <c r="N519" s="114"/>
      <c r="O519" s="114"/>
      <c r="P519" s="114"/>
      <c r="Q519" s="114"/>
      <c r="R519" s="114"/>
      <c r="S519" s="114"/>
      <c r="T519" s="114"/>
      <c r="U519" s="114"/>
      <c r="V519" s="114"/>
      <c r="W519" s="114"/>
      <c r="X519" s="114"/>
      <c r="Y519" s="114"/>
    </row>
    <row r="520">
      <c r="A520" s="1"/>
      <c r="B520" s="114"/>
      <c r="C520" s="114"/>
      <c r="D520" s="114"/>
      <c r="E520" s="114"/>
      <c r="F520" s="114"/>
      <c r="G520" s="114"/>
      <c r="H520" s="114"/>
      <c r="I520" s="114"/>
      <c r="J520" s="114"/>
      <c r="K520" s="114"/>
      <c r="L520" s="114"/>
      <c r="M520" s="114"/>
      <c r="N520" s="114"/>
      <c r="O520" s="114"/>
      <c r="P520" s="114"/>
      <c r="Q520" s="114"/>
      <c r="R520" s="114"/>
      <c r="S520" s="114"/>
      <c r="T520" s="114"/>
      <c r="U520" s="114"/>
      <c r="V520" s="114"/>
      <c r="W520" s="114"/>
      <c r="X520" s="114"/>
      <c r="Y520" s="114"/>
    </row>
    <row r="521">
      <c r="A521" s="1"/>
      <c r="B521" s="114"/>
      <c r="C521" s="114"/>
      <c r="D521" s="114"/>
      <c r="E521" s="114"/>
      <c r="F521" s="114"/>
      <c r="G521" s="114"/>
      <c r="H521" s="114"/>
      <c r="I521" s="114"/>
      <c r="J521" s="114"/>
      <c r="K521" s="114"/>
      <c r="L521" s="114"/>
      <c r="M521" s="114"/>
      <c r="N521" s="114"/>
      <c r="O521" s="114"/>
      <c r="P521" s="114"/>
      <c r="Q521" s="114"/>
      <c r="R521" s="114"/>
      <c r="S521" s="114"/>
      <c r="T521" s="114"/>
      <c r="U521" s="114"/>
      <c r="V521" s="114"/>
      <c r="W521" s="114"/>
      <c r="X521" s="114"/>
      <c r="Y521" s="114"/>
    </row>
    <row r="522">
      <c r="A522" s="1"/>
      <c r="B522" s="114"/>
      <c r="C522" s="114"/>
      <c r="D522" s="114"/>
      <c r="E522" s="114"/>
      <c r="F522" s="114"/>
      <c r="G522" s="114"/>
      <c r="H522" s="114"/>
      <c r="I522" s="114"/>
      <c r="J522" s="114"/>
      <c r="K522" s="114"/>
      <c r="L522" s="114"/>
      <c r="M522" s="114"/>
      <c r="N522" s="114"/>
      <c r="O522" s="114"/>
      <c r="P522" s="114"/>
      <c r="Q522" s="114"/>
      <c r="R522" s="114"/>
      <c r="S522" s="114"/>
      <c r="T522" s="114"/>
      <c r="U522" s="114"/>
      <c r="V522" s="114"/>
      <c r="W522" s="114"/>
      <c r="X522" s="114"/>
      <c r="Y522" s="114"/>
    </row>
    <row r="523">
      <c r="A523" s="1"/>
      <c r="B523" s="114"/>
      <c r="C523" s="114"/>
      <c r="D523" s="114"/>
      <c r="E523" s="114"/>
      <c r="F523" s="114"/>
      <c r="G523" s="114"/>
      <c r="H523" s="114"/>
      <c r="I523" s="114"/>
      <c r="J523" s="114"/>
      <c r="K523" s="114"/>
      <c r="L523" s="114"/>
      <c r="M523" s="114"/>
      <c r="N523" s="114"/>
      <c r="O523" s="114"/>
      <c r="P523" s="114"/>
      <c r="Q523" s="114"/>
      <c r="R523" s="114"/>
      <c r="S523" s="114"/>
      <c r="T523" s="114"/>
      <c r="U523" s="114"/>
      <c r="V523" s="114"/>
      <c r="W523" s="114"/>
      <c r="X523" s="114"/>
      <c r="Y523" s="114"/>
    </row>
    <row r="524">
      <c r="A524" s="1"/>
      <c r="B524" s="114"/>
      <c r="C524" s="114"/>
      <c r="D524" s="114"/>
      <c r="E524" s="114"/>
      <c r="F524" s="114"/>
      <c r="G524" s="114"/>
      <c r="H524" s="114"/>
      <c r="I524" s="114"/>
      <c r="J524" s="114"/>
      <c r="K524" s="114"/>
      <c r="L524" s="114"/>
      <c r="M524" s="114"/>
      <c r="N524" s="114"/>
      <c r="O524" s="114"/>
      <c r="P524" s="114"/>
      <c r="Q524" s="114"/>
      <c r="R524" s="114"/>
      <c r="S524" s="114"/>
      <c r="T524" s="114"/>
      <c r="U524" s="114"/>
      <c r="V524" s="114"/>
      <c r="W524" s="114"/>
      <c r="X524" s="114"/>
      <c r="Y524" s="114"/>
    </row>
    <row r="525">
      <c r="A525" s="1"/>
      <c r="B525" s="114"/>
      <c r="C525" s="114"/>
      <c r="D525" s="114"/>
      <c r="E525" s="114"/>
      <c r="F525" s="114"/>
      <c r="G525" s="114"/>
      <c r="H525" s="114"/>
      <c r="I525" s="114"/>
      <c r="J525" s="114"/>
      <c r="K525" s="114"/>
      <c r="L525" s="114"/>
      <c r="M525" s="114"/>
      <c r="N525" s="114"/>
      <c r="O525" s="114"/>
      <c r="P525" s="114"/>
      <c r="Q525" s="114"/>
      <c r="R525" s="114"/>
      <c r="S525" s="114"/>
      <c r="T525" s="114"/>
      <c r="U525" s="114"/>
      <c r="V525" s="114"/>
      <c r="W525" s="114"/>
      <c r="X525" s="114"/>
      <c r="Y525" s="114"/>
    </row>
    <row r="526">
      <c r="A526" s="1"/>
      <c r="B526" s="114"/>
      <c r="C526" s="114"/>
      <c r="D526" s="114"/>
      <c r="E526" s="114"/>
      <c r="F526" s="114"/>
      <c r="G526" s="114"/>
      <c r="H526" s="114"/>
      <c r="I526" s="114"/>
      <c r="J526" s="114"/>
      <c r="K526" s="114"/>
      <c r="L526" s="114"/>
      <c r="M526" s="114"/>
      <c r="N526" s="114"/>
      <c r="O526" s="114"/>
      <c r="P526" s="114"/>
      <c r="Q526" s="114"/>
      <c r="R526" s="114"/>
      <c r="S526" s="114"/>
      <c r="T526" s="114"/>
      <c r="U526" s="114"/>
      <c r="V526" s="114"/>
      <c r="W526" s="114"/>
      <c r="X526" s="114"/>
      <c r="Y526" s="114"/>
    </row>
    <row r="527">
      <c r="A527" s="1"/>
      <c r="B527" s="114"/>
      <c r="C527" s="114"/>
      <c r="D527" s="114"/>
      <c r="E527" s="114"/>
      <c r="F527" s="114"/>
      <c r="G527" s="114"/>
      <c r="H527" s="114"/>
      <c r="I527" s="114"/>
      <c r="J527" s="114"/>
      <c r="K527" s="114"/>
      <c r="L527" s="114"/>
      <c r="M527" s="114"/>
      <c r="N527" s="114"/>
      <c r="O527" s="114"/>
      <c r="P527" s="114"/>
      <c r="Q527" s="114"/>
      <c r="R527" s="114"/>
      <c r="S527" s="114"/>
      <c r="T527" s="114"/>
      <c r="U527" s="114"/>
      <c r="V527" s="114"/>
      <c r="W527" s="114"/>
      <c r="X527" s="114"/>
      <c r="Y527" s="114"/>
    </row>
    <row r="528">
      <c r="A528" s="1"/>
      <c r="B528" s="114"/>
      <c r="C528" s="114"/>
      <c r="D528" s="114"/>
      <c r="E528" s="114"/>
      <c r="F528" s="114"/>
      <c r="G528" s="114"/>
      <c r="H528" s="114"/>
      <c r="I528" s="114"/>
      <c r="J528" s="114"/>
      <c r="K528" s="114"/>
      <c r="L528" s="114"/>
      <c r="M528" s="114"/>
      <c r="N528" s="114"/>
      <c r="O528" s="114"/>
      <c r="P528" s="114"/>
      <c r="Q528" s="114"/>
      <c r="R528" s="114"/>
      <c r="S528" s="114"/>
      <c r="T528" s="114"/>
      <c r="U528" s="114"/>
      <c r="V528" s="114"/>
      <c r="W528" s="114"/>
      <c r="X528" s="114"/>
      <c r="Y528" s="114"/>
    </row>
    <row r="529">
      <c r="A529" s="1"/>
      <c r="B529" s="114"/>
      <c r="C529" s="114"/>
      <c r="D529" s="114"/>
      <c r="E529" s="114"/>
      <c r="F529" s="114"/>
      <c r="G529" s="114"/>
      <c r="H529" s="114"/>
      <c r="I529" s="114"/>
      <c r="J529" s="114"/>
      <c r="K529" s="114"/>
      <c r="L529" s="114"/>
      <c r="M529" s="114"/>
      <c r="N529" s="114"/>
      <c r="O529" s="114"/>
      <c r="P529" s="114"/>
      <c r="Q529" s="114"/>
      <c r="R529" s="114"/>
      <c r="S529" s="114"/>
      <c r="T529" s="114"/>
      <c r="U529" s="114"/>
      <c r="V529" s="114"/>
      <c r="W529" s="114"/>
      <c r="X529" s="114"/>
      <c r="Y529" s="114"/>
    </row>
    <row r="530">
      <c r="A530" s="1"/>
      <c r="B530" s="114"/>
      <c r="C530" s="114"/>
      <c r="D530" s="114"/>
      <c r="E530" s="114"/>
      <c r="F530" s="114"/>
      <c r="G530" s="114"/>
      <c r="H530" s="114"/>
      <c r="I530" s="114"/>
      <c r="J530" s="114"/>
      <c r="K530" s="114"/>
      <c r="L530" s="114"/>
      <c r="M530" s="114"/>
      <c r="N530" s="114"/>
      <c r="O530" s="114"/>
      <c r="P530" s="114"/>
      <c r="Q530" s="114"/>
      <c r="R530" s="114"/>
      <c r="S530" s="114"/>
      <c r="T530" s="114"/>
      <c r="U530" s="114"/>
      <c r="V530" s="114"/>
      <c r="W530" s="114"/>
      <c r="X530" s="114"/>
      <c r="Y530" s="114"/>
    </row>
    <row r="531">
      <c r="A531" s="1"/>
      <c r="B531" s="114"/>
      <c r="C531" s="114"/>
      <c r="D531" s="114"/>
      <c r="E531" s="114"/>
      <c r="F531" s="114"/>
      <c r="G531" s="114"/>
      <c r="H531" s="114"/>
      <c r="I531" s="114"/>
      <c r="J531" s="114"/>
      <c r="K531" s="114"/>
      <c r="L531" s="114"/>
      <c r="M531" s="114"/>
      <c r="N531" s="114"/>
      <c r="O531" s="114"/>
      <c r="P531" s="114"/>
      <c r="Q531" s="114"/>
      <c r="R531" s="114"/>
      <c r="S531" s="114"/>
      <c r="T531" s="114"/>
      <c r="U531" s="114"/>
      <c r="V531" s="114"/>
      <c r="W531" s="114"/>
      <c r="X531" s="114"/>
      <c r="Y531" s="114"/>
    </row>
    <row r="532">
      <c r="A532" s="1"/>
      <c r="B532" s="114"/>
      <c r="C532" s="114"/>
      <c r="D532" s="114"/>
      <c r="E532" s="114"/>
      <c r="F532" s="114"/>
      <c r="G532" s="114"/>
      <c r="H532" s="114"/>
      <c r="I532" s="114"/>
      <c r="J532" s="114"/>
      <c r="K532" s="114"/>
      <c r="L532" s="114"/>
      <c r="M532" s="114"/>
      <c r="N532" s="114"/>
      <c r="O532" s="114"/>
      <c r="P532" s="114"/>
      <c r="Q532" s="114"/>
      <c r="R532" s="114"/>
      <c r="S532" s="114"/>
      <c r="T532" s="114"/>
      <c r="U532" s="114"/>
      <c r="V532" s="114"/>
      <c r="W532" s="114"/>
      <c r="X532" s="114"/>
      <c r="Y532" s="114"/>
    </row>
    <row r="533">
      <c r="A533" s="1"/>
      <c r="B533" s="114"/>
      <c r="C533" s="114"/>
      <c r="D533" s="114"/>
      <c r="E533" s="114"/>
      <c r="F533" s="114"/>
      <c r="G533" s="114"/>
      <c r="H533" s="114"/>
      <c r="I533" s="114"/>
      <c r="J533" s="114"/>
      <c r="K533" s="114"/>
      <c r="L533" s="114"/>
      <c r="M533" s="114"/>
      <c r="N533" s="114"/>
      <c r="O533" s="114"/>
      <c r="P533" s="114"/>
      <c r="Q533" s="114"/>
      <c r="R533" s="114"/>
      <c r="S533" s="114"/>
      <c r="T533" s="114"/>
      <c r="U533" s="114"/>
      <c r="V533" s="114"/>
      <c r="W533" s="114"/>
      <c r="X533" s="114"/>
      <c r="Y533" s="114"/>
    </row>
    <row r="534">
      <c r="A534" s="1"/>
      <c r="B534" s="114"/>
      <c r="C534" s="114"/>
      <c r="D534" s="114"/>
      <c r="E534" s="114"/>
      <c r="F534" s="114"/>
      <c r="G534" s="114"/>
      <c r="H534" s="114"/>
      <c r="I534" s="114"/>
      <c r="J534" s="114"/>
      <c r="K534" s="114"/>
      <c r="L534" s="114"/>
      <c r="M534" s="114"/>
      <c r="N534" s="114"/>
      <c r="O534" s="114"/>
      <c r="P534" s="114"/>
      <c r="Q534" s="114"/>
      <c r="R534" s="114"/>
      <c r="S534" s="114"/>
      <c r="T534" s="114"/>
      <c r="U534" s="114"/>
      <c r="V534" s="114"/>
      <c r="W534" s="114"/>
      <c r="X534" s="114"/>
      <c r="Y534" s="114"/>
    </row>
    <row r="535">
      <c r="A535" s="1"/>
      <c r="B535" s="114"/>
      <c r="C535" s="114"/>
      <c r="D535" s="114"/>
      <c r="E535" s="114"/>
      <c r="F535" s="114"/>
      <c r="G535" s="114"/>
      <c r="H535" s="114"/>
      <c r="I535" s="114"/>
      <c r="J535" s="114"/>
      <c r="K535" s="114"/>
      <c r="L535" s="114"/>
      <c r="M535" s="114"/>
      <c r="N535" s="114"/>
      <c r="O535" s="114"/>
      <c r="P535" s="114"/>
      <c r="Q535" s="114"/>
      <c r="R535" s="114"/>
      <c r="S535" s="114"/>
      <c r="T535" s="114"/>
      <c r="U535" s="114"/>
      <c r="V535" s="114"/>
      <c r="W535" s="114"/>
      <c r="X535" s="114"/>
      <c r="Y535" s="114"/>
    </row>
    <row r="536">
      <c r="A536" s="1"/>
      <c r="B536" s="114"/>
      <c r="C536" s="114"/>
      <c r="D536" s="114"/>
      <c r="E536" s="114"/>
      <c r="F536" s="114"/>
      <c r="G536" s="114"/>
      <c r="H536" s="114"/>
      <c r="I536" s="114"/>
      <c r="J536" s="114"/>
      <c r="K536" s="114"/>
      <c r="L536" s="114"/>
      <c r="M536" s="114"/>
      <c r="N536" s="114"/>
      <c r="O536" s="114"/>
      <c r="P536" s="114"/>
      <c r="Q536" s="114"/>
      <c r="R536" s="114"/>
      <c r="S536" s="114"/>
      <c r="T536" s="114"/>
      <c r="U536" s="114"/>
      <c r="V536" s="114"/>
      <c r="W536" s="114"/>
      <c r="X536" s="114"/>
      <c r="Y536" s="114"/>
    </row>
    <row r="537">
      <c r="A537" s="1"/>
      <c r="B537" s="114"/>
      <c r="C537" s="114"/>
      <c r="D537" s="114"/>
      <c r="E537" s="114"/>
      <c r="F537" s="114"/>
      <c r="G537" s="114"/>
      <c r="H537" s="114"/>
      <c r="I537" s="114"/>
      <c r="J537" s="114"/>
      <c r="K537" s="114"/>
      <c r="L537" s="114"/>
      <c r="M537" s="114"/>
      <c r="N537" s="114"/>
      <c r="O537" s="114"/>
      <c r="P537" s="114"/>
      <c r="Q537" s="114"/>
      <c r="R537" s="114"/>
      <c r="S537" s="114"/>
      <c r="T537" s="114"/>
      <c r="U537" s="114"/>
      <c r="V537" s="114"/>
      <c r="W537" s="114"/>
      <c r="X537" s="114"/>
      <c r="Y537" s="114"/>
    </row>
    <row r="538">
      <c r="A538" s="1"/>
      <c r="B538" s="114"/>
      <c r="C538" s="114"/>
      <c r="D538" s="114"/>
      <c r="E538" s="114"/>
      <c r="F538" s="114"/>
      <c r="G538" s="114"/>
      <c r="H538" s="114"/>
      <c r="I538" s="114"/>
      <c r="J538" s="114"/>
      <c r="K538" s="114"/>
      <c r="L538" s="114"/>
      <c r="M538" s="114"/>
      <c r="N538" s="114"/>
      <c r="O538" s="114"/>
      <c r="P538" s="114"/>
      <c r="Q538" s="114"/>
      <c r="R538" s="114"/>
      <c r="S538" s="114"/>
      <c r="T538" s="114"/>
      <c r="U538" s="114"/>
      <c r="V538" s="114"/>
      <c r="W538" s="114"/>
      <c r="X538" s="114"/>
      <c r="Y538" s="114"/>
    </row>
    <row r="539">
      <c r="A539" s="1"/>
      <c r="B539" s="114"/>
      <c r="C539" s="114"/>
      <c r="D539" s="114"/>
      <c r="E539" s="114"/>
      <c r="F539" s="114"/>
      <c r="G539" s="114"/>
      <c r="H539" s="114"/>
      <c r="I539" s="114"/>
      <c r="J539" s="114"/>
      <c r="K539" s="114"/>
      <c r="L539" s="114"/>
      <c r="M539" s="114"/>
      <c r="N539" s="114"/>
      <c r="O539" s="114"/>
      <c r="P539" s="114"/>
      <c r="Q539" s="114"/>
      <c r="R539" s="114"/>
      <c r="S539" s="114"/>
      <c r="T539" s="114"/>
      <c r="U539" s="114"/>
      <c r="V539" s="114"/>
      <c r="W539" s="114"/>
      <c r="X539" s="114"/>
      <c r="Y539" s="114"/>
    </row>
    <row r="540">
      <c r="A540" s="1"/>
      <c r="B540" s="114"/>
      <c r="C540" s="114"/>
      <c r="D540" s="114"/>
      <c r="E540" s="114"/>
      <c r="F540" s="114"/>
      <c r="G540" s="114"/>
      <c r="H540" s="114"/>
      <c r="I540" s="114"/>
      <c r="J540" s="114"/>
      <c r="K540" s="114"/>
      <c r="L540" s="114"/>
      <c r="M540" s="114"/>
      <c r="N540" s="114"/>
      <c r="O540" s="114"/>
      <c r="P540" s="114"/>
      <c r="Q540" s="114"/>
      <c r="R540" s="114"/>
      <c r="S540" s="114"/>
      <c r="T540" s="114"/>
      <c r="U540" s="114"/>
      <c r="V540" s="114"/>
      <c r="W540" s="114"/>
      <c r="X540" s="114"/>
      <c r="Y540" s="114"/>
    </row>
    <row r="541">
      <c r="A541" s="1"/>
      <c r="B541" s="114"/>
      <c r="C541" s="114"/>
      <c r="D541" s="114"/>
      <c r="E541" s="114"/>
      <c r="F541" s="114"/>
      <c r="G541" s="114"/>
      <c r="H541" s="114"/>
      <c r="I541" s="114"/>
      <c r="J541" s="114"/>
      <c r="K541" s="114"/>
      <c r="L541" s="114"/>
      <c r="M541" s="114"/>
      <c r="N541" s="114"/>
      <c r="O541" s="114"/>
      <c r="P541" s="114"/>
      <c r="Q541" s="114"/>
      <c r="R541" s="114"/>
      <c r="S541" s="114"/>
      <c r="T541" s="114"/>
      <c r="U541" s="114"/>
      <c r="V541" s="114"/>
      <c r="W541" s="114"/>
      <c r="X541" s="114"/>
      <c r="Y541" s="114"/>
    </row>
    <row r="542">
      <c r="A542" s="1"/>
      <c r="B542" s="114"/>
      <c r="C542" s="114"/>
      <c r="D542" s="114"/>
      <c r="E542" s="114"/>
      <c r="F542" s="114"/>
      <c r="G542" s="114"/>
      <c r="H542" s="114"/>
      <c r="I542" s="114"/>
      <c r="J542" s="114"/>
      <c r="K542" s="114"/>
      <c r="L542" s="114"/>
      <c r="M542" s="114"/>
      <c r="N542" s="114"/>
      <c r="O542" s="114"/>
      <c r="P542" s="114"/>
      <c r="Q542" s="114"/>
      <c r="R542" s="114"/>
      <c r="S542" s="114"/>
      <c r="T542" s="114"/>
      <c r="U542" s="114"/>
      <c r="V542" s="114"/>
      <c r="W542" s="114"/>
      <c r="X542" s="114"/>
      <c r="Y542" s="114"/>
    </row>
    <row r="543">
      <c r="A543" s="1"/>
      <c r="B543" s="114"/>
      <c r="C543" s="114"/>
      <c r="D543" s="114"/>
      <c r="E543" s="114"/>
      <c r="F543" s="114"/>
      <c r="G543" s="114"/>
      <c r="H543" s="114"/>
      <c r="I543" s="114"/>
      <c r="J543" s="114"/>
      <c r="K543" s="114"/>
      <c r="L543" s="114"/>
      <c r="M543" s="114"/>
      <c r="N543" s="114"/>
      <c r="O543" s="114"/>
      <c r="P543" s="114"/>
      <c r="Q543" s="114"/>
      <c r="R543" s="114"/>
      <c r="S543" s="114"/>
      <c r="T543" s="114"/>
      <c r="U543" s="114"/>
      <c r="V543" s="114"/>
      <c r="W543" s="114"/>
      <c r="X543" s="114"/>
      <c r="Y543" s="114"/>
    </row>
    <row r="544">
      <c r="A544" s="1"/>
      <c r="B544" s="114"/>
      <c r="C544" s="114"/>
      <c r="D544" s="114"/>
      <c r="E544" s="114"/>
      <c r="F544" s="114"/>
      <c r="G544" s="114"/>
      <c r="H544" s="114"/>
      <c r="I544" s="114"/>
      <c r="J544" s="114"/>
      <c r="K544" s="114"/>
      <c r="L544" s="114"/>
      <c r="M544" s="114"/>
      <c r="N544" s="114"/>
      <c r="O544" s="114"/>
      <c r="P544" s="114"/>
      <c r="Q544" s="114"/>
      <c r="R544" s="114"/>
      <c r="S544" s="114"/>
      <c r="T544" s="114"/>
      <c r="U544" s="114"/>
      <c r="V544" s="114"/>
      <c r="W544" s="114"/>
      <c r="X544" s="114"/>
      <c r="Y544" s="114"/>
    </row>
    <row r="545">
      <c r="A545" s="1"/>
      <c r="B545" s="114"/>
      <c r="C545" s="114"/>
      <c r="D545" s="114"/>
      <c r="E545" s="114"/>
      <c r="F545" s="114"/>
      <c r="G545" s="114"/>
      <c r="H545" s="114"/>
      <c r="I545" s="114"/>
      <c r="J545" s="114"/>
      <c r="K545" s="114"/>
      <c r="L545" s="114"/>
      <c r="M545" s="114"/>
      <c r="N545" s="114"/>
      <c r="O545" s="114"/>
      <c r="P545" s="114"/>
      <c r="Q545" s="114"/>
      <c r="R545" s="114"/>
      <c r="S545" s="114"/>
      <c r="T545" s="114"/>
      <c r="U545" s="114"/>
      <c r="V545" s="114"/>
      <c r="W545" s="114"/>
      <c r="X545" s="114"/>
      <c r="Y545" s="114"/>
    </row>
    <row r="546">
      <c r="A546" s="1"/>
      <c r="B546" s="114"/>
      <c r="C546" s="114"/>
      <c r="D546" s="114"/>
      <c r="E546" s="114"/>
      <c r="F546" s="114"/>
      <c r="G546" s="114"/>
      <c r="H546" s="114"/>
      <c r="I546" s="114"/>
      <c r="J546" s="114"/>
      <c r="K546" s="114"/>
      <c r="L546" s="114"/>
      <c r="M546" s="114"/>
      <c r="N546" s="114"/>
      <c r="O546" s="114"/>
      <c r="P546" s="114"/>
      <c r="Q546" s="114"/>
      <c r="R546" s="114"/>
      <c r="S546" s="114"/>
      <c r="T546" s="114"/>
      <c r="U546" s="114"/>
      <c r="V546" s="114"/>
      <c r="W546" s="114"/>
      <c r="X546" s="114"/>
      <c r="Y546" s="114"/>
    </row>
    <row r="547">
      <c r="A547" s="1"/>
      <c r="B547" s="114"/>
      <c r="C547" s="114"/>
      <c r="D547" s="114"/>
      <c r="E547" s="114"/>
      <c r="F547" s="114"/>
      <c r="G547" s="114"/>
      <c r="H547" s="114"/>
      <c r="I547" s="114"/>
      <c r="J547" s="114"/>
      <c r="K547" s="114"/>
      <c r="L547" s="114"/>
      <c r="M547" s="114"/>
      <c r="N547" s="114"/>
      <c r="O547" s="114"/>
      <c r="P547" s="114"/>
      <c r="Q547" s="114"/>
      <c r="R547" s="114"/>
      <c r="S547" s="114"/>
      <c r="T547" s="114"/>
      <c r="U547" s="114"/>
      <c r="V547" s="114"/>
      <c r="W547" s="114"/>
      <c r="X547" s="114"/>
      <c r="Y547" s="114"/>
    </row>
    <row r="548">
      <c r="A548" s="1"/>
      <c r="B548" s="114"/>
      <c r="C548" s="114"/>
      <c r="D548" s="114"/>
      <c r="E548" s="114"/>
      <c r="F548" s="114"/>
      <c r="G548" s="114"/>
      <c r="H548" s="114"/>
      <c r="I548" s="114"/>
      <c r="J548" s="114"/>
      <c r="K548" s="114"/>
      <c r="L548" s="114"/>
      <c r="M548" s="114"/>
      <c r="N548" s="114"/>
      <c r="O548" s="114"/>
      <c r="P548" s="114"/>
      <c r="Q548" s="114"/>
      <c r="R548" s="114"/>
      <c r="S548" s="114"/>
      <c r="T548" s="114"/>
      <c r="U548" s="114"/>
      <c r="V548" s="114"/>
      <c r="W548" s="114"/>
      <c r="X548" s="114"/>
      <c r="Y548" s="114"/>
    </row>
    <row r="549">
      <c r="A549" s="1"/>
      <c r="B549" s="114"/>
      <c r="C549" s="114"/>
      <c r="D549" s="114"/>
      <c r="E549" s="114"/>
      <c r="F549" s="114"/>
      <c r="G549" s="114"/>
      <c r="H549" s="114"/>
      <c r="I549" s="114"/>
      <c r="J549" s="114"/>
      <c r="K549" s="114"/>
      <c r="L549" s="114"/>
      <c r="M549" s="114"/>
      <c r="N549" s="114"/>
      <c r="O549" s="114"/>
      <c r="P549" s="114"/>
      <c r="Q549" s="114"/>
      <c r="R549" s="114"/>
      <c r="S549" s="114"/>
      <c r="T549" s="114"/>
      <c r="U549" s="114"/>
      <c r="V549" s="114"/>
      <c r="W549" s="114"/>
      <c r="X549" s="114"/>
      <c r="Y549" s="114"/>
    </row>
    <row r="550">
      <c r="A550" s="1"/>
      <c r="B550" s="114"/>
      <c r="C550" s="114"/>
      <c r="D550" s="114"/>
      <c r="E550" s="114"/>
      <c r="F550" s="114"/>
      <c r="G550" s="114"/>
      <c r="H550" s="114"/>
      <c r="I550" s="114"/>
      <c r="J550" s="114"/>
      <c r="K550" s="114"/>
      <c r="L550" s="114"/>
      <c r="M550" s="114"/>
      <c r="N550" s="114"/>
      <c r="O550" s="114"/>
      <c r="P550" s="114"/>
      <c r="Q550" s="114"/>
      <c r="R550" s="114"/>
      <c r="S550" s="114"/>
      <c r="T550" s="114"/>
      <c r="U550" s="114"/>
      <c r="V550" s="114"/>
      <c r="W550" s="114"/>
      <c r="X550" s="114"/>
      <c r="Y550" s="114"/>
    </row>
    <row r="551">
      <c r="A551" s="1"/>
      <c r="B551" s="114"/>
      <c r="C551" s="114"/>
      <c r="D551" s="114"/>
      <c r="E551" s="114"/>
      <c r="F551" s="114"/>
      <c r="G551" s="114"/>
      <c r="H551" s="114"/>
      <c r="I551" s="114"/>
      <c r="J551" s="114"/>
      <c r="K551" s="114"/>
      <c r="L551" s="114"/>
      <c r="M551" s="114"/>
      <c r="N551" s="114"/>
      <c r="O551" s="114"/>
      <c r="P551" s="114"/>
      <c r="Q551" s="114"/>
      <c r="R551" s="114"/>
      <c r="S551" s="114"/>
      <c r="T551" s="114"/>
      <c r="U551" s="114"/>
      <c r="V551" s="114"/>
      <c r="W551" s="114"/>
      <c r="X551" s="114"/>
      <c r="Y551" s="114"/>
    </row>
    <row r="552">
      <c r="A552" s="1"/>
      <c r="B552" s="114"/>
      <c r="C552" s="114"/>
      <c r="D552" s="114"/>
      <c r="E552" s="114"/>
      <c r="F552" s="114"/>
      <c r="G552" s="114"/>
      <c r="H552" s="114"/>
      <c r="I552" s="114"/>
      <c r="J552" s="114"/>
      <c r="K552" s="114"/>
      <c r="L552" s="114"/>
      <c r="M552" s="114"/>
      <c r="N552" s="114"/>
      <c r="O552" s="114"/>
      <c r="P552" s="114"/>
      <c r="Q552" s="114"/>
      <c r="R552" s="114"/>
      <c r="S552" s="114"/>
      <c r="T552" s="114"/>
      <c r="U552" s="114"/>
      <c r="V552" s="114"/>
      <c r="W552" s="114"/>
      <c r="X552" s="114"/>
      <c r="Y552" s="114"/>
    </row>
    <row r="553">
      <c r="A553" s="1"/>
      <c r="B553" s="114"/>
      <c r="C553" s="114"/>
      <c r="D553" s="114"/>
      <c r="E553" s="114"/>
      <c r="F553" s="114"/>
      <c r="G553" s="114"/>
      <c r="H553" s="114"/>
      <c r="I553" s="114"/>
      <c r="J553" s="114"/>
      <c r="K553" s="114"/>
      <c r="L553" s="114"/>
      <c r="M553" s="114"/>
      <c r="N553" s="114"/>
      <c r="O553" s="114"/>
      <c r="P553" s="114"/>
      <c r="Q553" s="114"/>
      <c r="R553" s="114"/>
      <c r="S553" s="114"/>
      <c r="T553" s="114"/>
      <c r="U553" s="114"/>
      <c r="V553" s="114"/>
      <c r="W553" s="114"/>
      <c r="X553" s="114"/>
      <c r="Y553" s="114"/>
    </row>
    <row r="554">
      <c r="A554" s="1"/>
      <c r="B554" s="114"/>
      <c r="C554" s="114"/>
      <c r="D554" s="114"/>
      <c r="E554" s="114"/>
      <c r="F554" s="114"/>
      <c r="G554" s="114"/>
      <c r="H554" s="114"/>
      <c r="I554" s="114"/>
      <c r="J554" s="114"/>
      <c r="K554" s="114"/>
      <c r="L554" s="114"/>
      <c r="M554" s="114"/>
      <c r="N554" s="114"/>
      <c r="O554" s="114"/>
      <c r="P554" s="114"/>
      <c r="Q554" s="114"/>
      <c r="R554" s="114"/>
      <c r="S554" s="114"/>
      <c r="T554" s="114"/>
      <c r="U554" s="114"/>
      <c r="V554" s="114"/>
      <c r="W554" s="114"/>
      <c r="X554" s="114"/>
      <c r="Y554" s="114"/>
    </row>
    <row r="555">
      <c r="A555" s="1"/>
      <c r="B555" s="114"/>
      <c r="C555" s="114"/>
      <c r="D555" s="114"/>
      <c r="E555" s="114"/>
      <c r="F555" s="114"/>
      <c r="G555" s="114"/>
      <c r="H555" s="114"/>
      <c r="I555" s="114"/>
      <c r="J555" s="114"/>
      <c r="K555" s="114"/>
      <c r="L555" s="114"/>
      <c r="M555" s="114"/>
      <c r="N555" s="114"/>
      <c r="O555" s="114"/>
      <c r="P555" s="114"/>
      <c r="Q555" s="114"/>
      <c r="R555" s="114"/>
      <c r="S555" s="114"/>
      <c r="T555" s="114"/>
      <c r="U555" s="114"/>
      <c r="V555" s="114"/>
      <c r="W555" s="114"/>
      <c r="X555" s="114"/>
      <c r="Y555" s="114"/>
    </row>
    <row r="556">
      <c r="A556" s="1"/>
      <c r="B556" s="114"/>
      <c r="C556" s="114"/>
      <c r="D556" s="114"/>
      <c r="E556" s="114"/>
      <c r="F556" s="114"/>
      <c r="G556" s="114"/>
      <c r="H556" s="114"/>
      <c r="I556" s="114"/>
      <c r="J556" s="114"/>
      <c r="K556" s="114"/>
      <c r="L556" s="114"/>
      <c r="M556" s="114"/>
      <c r="N556" s="114"/>
      <c r="O556" s="114"/>
      <c r="P556" s="114"/>
      <c r="Q556" s="114"/>
      <c r="R556" s="114"/>
      <c r="S556" s="114"/>
      <c r="T556" s="114"/>
      <c r="U556" s="114"/>
      <c r="V556" s="114"/>
      <c r="W556" s="114"/>
      <c r="X556" s="114"/>
      <c r="Y556" s="114"/>
    </row>
    <row r="557">
      <c r="A557" s="1"/>
      <c r="B557" s="114"/>
      <c r="C557" s="114"/>
      <c r="D557" s="114"/>
      <c r="E557" s="114"/>
      <c r="F557" s="114"/>
      <c r="G557" s="114"/>
      <c r="H557" s="114"/>
      <c r="I557" s="114"/>
      <c r="J557" s="114"/>
      <c r="K557" s="114"/>
      <c r="L557" s="114"/>
      <c r="M557" s="114"/>
      <c r="N557" s="114"/>
      <c r="O557" s="114"/>
      <c r="P557" s="114"/>
      <c r="Q557" s="114"/>
      <c r="R557" s="114"/>
      <c r="S557" s="114"/>
      <c r="T557" s="114"/>
      <c r="U557" s="114"/>
      <c r="V557" s="114"/>
      <c r="W557" s="114"/>
      <c r="X557" s="114"/>
      <c r="Y557" s="114"/>
    </row>
    <row r="558">
      <c r="A558" s="1"/>
      <c r="B558" s="114"/>
      <c r="C558" s="114"/>
      <c r="D558" s="114"/>
      <c r="E558" s="114"/>
      <c r="F558" s="114"/>
      <c r="G558" s="114"/>
      <c r="H558" s="114"/>
      <c r="I558" s="114"/>
      <c r="J558" s="114"/>
      <c r="K558" s="114"/>
      <c r="L558" s="114"/>
      <c r="M558" s="114"/>
      <c r="N558" s="114"/>
      <c r="O558" s="114"/>
      <c r="P558" s="114"/>
      <c r="Q558" s="114"/>
      <c r="R558" s="114"/>
      <c r="S558" s="114"/>
      <c r="T558" s="114"/>
      <c r="U558" s="114"/>
      <c r="V558" s="114"/>
      <c r="W558" s="114"/>
      <c r="X558" s="114"/>
      <c r="Y558" s="114"/>
    </row>
    <row r="559">
      <c r="A559" s="1"/>
      <c r="B559" s="114"/>
      <c r="C559" s="114"/>
      <c r="D559" s="114"/>
      <c r="E559" s="114"/>
      <c r="F559" s="114"/>
      <c r="G559" s="114"/>
      <c r="H559" s="114"/>
      <c r="I559" s="114"/>
      <c r="J559" s="114"/>
      <c r="K559" s="114"/>
      <c r="L559" s="114"/>
      <c r="M559" s="114"/>
      <c r="N559" s="114"/>
      <c r="O559" s="114"/>
      <c r="P559" s="114"/>
      <c r="Q559" s="114"/>
      <c r="R559" s="114"/>
      <c r="S559" s="114"/>
      <c r="T559" s="114"/>
      <c r="U559" s="114"/>
      <c r="V559" s="114"/>
      <c r="W559" s="114"/>
      <c r="X559" s="114"/>
      <c r="Y559" s="114"/>
    </row>
    <row r="560">
      <c r="A560" s="1"/>
      <c r="B560" s="114"/>
      <c r="C560" s="114"/>
      <c r="D560" s="114"/>
      <c r="E560" s="114"/>
      <c r="F560" s="114"/>
      <c r="G560" s="114"/>
      <c r="H560" s="114"/>
      <c r="I560" s="114"/>
      <c r="J560" s="114"/>
      <c r="K560" s="114"/>
      <c r="L560" s="114"/>
      <c r="M560" s="114"/>
      <c r="N560" s="114"/>
      <c r="O560" s="114"/>
      <c r="P560" s="114"/>
      <c r="Q560" s="114"/>
      <c r="R560" s="114"/>
      <c r="S560" s="114"/>
      <c r="T560" s="114"/>
      <c r="U560" s="114"/>
      <c r="V560" s="114"/>
      <c r="W560" s="114"/>
      <c r="X560" s="114"/>
      <c r="Y560" s="114"/>
    </row>
    <row r="561">
      <c r="A561" s="1"/>
      <c r="B561" s="114"/>
      <c r="C561" s="114"/>
      <c r="D561" s="114"/>
      <c r="E561" s="114"/>
      <c r="F561" s="114"/>
      <c r="G561" s="114"/>
      <c r="H561" s="114"/>
      <c r="I561" s="114"/>
      <c r="J561" s="114"/>
      <c r="K561" s="114"/>
      <c r="L561" s="114"/>
      <c r="M561" s="114"/>
      <c r="N561" s="114"/>
      <c r="O561" s="114"/>
      <c r="P561" s="114"/>
      <c r="Q561" s="114"/>
      <c r="R561" s="114"/>
      <c r="S561" s="114"/>
      <c r="T561" s="114"/>
      <c r="U561" s="114"/>
      <c r="V561" s="114"/>
      <c r="W561" s="114"/>
      <c r="X561" s="114"/>
      <c r="Y561" s="114"/>
    </row>
    <row r="562">
      <c r="A562" s="1"/>
      <c r="B562" s="114"/>
      <c r="C562" s="114"/>
      <c r="D562" s="114"/>
      <c r="E562" s="114"/>
      <c r="F562" s="114"/>
      <c r="G562" s="114"/>
      <c r="H562" s="114"/>
      <c r="I562" s="114"/>
      <c r="J562" s="114"/>
      <c r="K562" s="114"/>
      <c r="L562" s="114"/>
      <c r="M562" s="114"/>
      <c r="N562" s="114"/>
      <c r="O562" s="114"/>
      <c r="P562" s="114"/>
      <c r="Q562" s="114"/>
      <c r="R562" s="114"/>
      <c r="S562" s="114"/>
      <c r="T562" s="114"/>
      <c r="U562" s="114"/>
      <c r="V562" s="114"/>
      <c r="W562" s="114"/>
      <c r="X562" s="114"/>
      <c r="Y562" s="114"/>
    </row>
    <row r="563">
      <c r="A563" s="1"/>
      <c r="B563" s="114"/>
      <c r="C563" s="114"/>
      <c r="D563" s="114"/>
      <c r="E563" s="114"/>
      <c r="F563" s="114"/>
      <c r="G563" s="114"/>
      <c r="H563" s="114"/>
      <c r="I563" s="114"/>
      <c r="J563" s="114"/>
      <c r="K563" s="114"/>
      <c r="L563" s="114"/>
      <c r="M563" s="114"/>
      <c r="N563" s="114"/>
      <c r="O563" s="114"/>
      <c r="P563" s="114"/>
      <c r="Q563" s="114"/>
      <c r="R563" s="114"/>
      <c r="S563" s="114"/>
      <c r="T563" s="114"/>
      <c r="U563" s="114"/>
      <c r="V563" s="114"/>
      <c r="W563" s="114"/>
      <c r="X563" s="114"/>
      <c r="Y563" s="114"/>
    </row>
    <row r="564">
      <c r="A564" s="1"/>
      <c r="B564" s="114"/>
      <c r="C564" s="114"/>
      <c r="D564" s="114"/>
      <c r="E564" s="114"/>
      <c r="F564" s="114"/>
      <c r="G564" s="114"/>
      <c r="H564" s="114"/>
      <c r="I564" s="114"/>
      <c r="J564" s="114"/>
      <c r="K564" s="114"/>
      <c r="L564" s="114"/>
      <c r="M564" s="114"/>
      <c r="N564" s="114"/>
      <c r="O564" s="114"/>
      <c r="P564" s="114"/>
      <c r="Q564" s="114"/>
      <c r="R564" s="114"/>
      <c r="S564" s="114"/>
      <c r="T564" s="114"/>
      <c r="U564" s="114"/>
      <c r="V564" s="114"/>
      <c r="W564" s="114"/>
      <c r="X564" s="114"/>
      <c r="Y564" s="114"/>
    </row>
    <row r="565">
      <c r="A565" s="1"/>
      <c r="B565" s="114"/>
      <c r="C565" s="114"/>
      <c r="D565" s="114"/>
      <c r="E565" s="114"/>
      <c r="F565" s="114"/>
      <c r="G565" s="114"/>
      <c r="H565" s="114"/>
      <c r="I565" s="114"/>
      <c r="J565" s="114"/>
      <c r="K565" s="114"/>
      <c r="L565" s="114"/>
      <c r="M565" s="114"/>
      <c r="N565" s="114"/>
      <c r="O565" s="114"/>
      <c r="P565" s="114"/>
      <c r="Q565" s="114"/>
      <c r="R565" s="114"/>
      <c r="S565" s="114"/>
      <c r="T565" s="114"/>
      <c r="U565" s="114"/>
      <c r="V565" s="114"/>
      <c r="W565" s="114"/>
      <c r="X565" s="114"/>
      <c r="Y565" s="114"/>
    </row>
    <row r="566">
      <c r="A566" s="1"/>
      <c r="B566" s="114"/>
      <c r="C566" s="114"/>
      <c r="D566" s="114"/>
      <c r="E566" s="114"/>
      <c r="F566" s="114"/>
      <c r="G566" s="114"/>
      <c r="H566" s="114"/>
      <c r="I566" s="114"/>
      <c r="J566" s="114"/>
      <c r="K566" s="114"/>
      <c r="L566" s="114"/>
      <c r="M566" s="114"/>
      <c r="N566" s="114"/>
      <c r="O566" s="114"/>
      <c r="P566" s="114"/>
      <c r="Q566" s="114"/>
      <c r="R566" s="114"/>
      <c r="S566" s="114"/>
      <c r="T566" s="114"/>
      <c r="U566" s="114"/>
      <c r="V566" s="114"/>
      <c r="W566" s="114"/>
      <c r="X566" s="114"/>
      <c r="Y566" s="114"/>
    </row>
    <row r="567">
      <c r="A567" s="1"/>
      <c r="B567" s="114"/>
      <c r="C567" s="114"/>
      <c r="D567" s="114"/>
      <c r="E567" s="114"/>
      <c r="F567" s="114"/>
      <c r="G567" s="114"/>
      <c r="H567" s="114"/>
      <c r="I567" s="114"/>
      <c r="J567" s="114"/>
      <c r="K567" s="114"/>
      <c r="L567" s="114"/>
      <c r="M567" s="114"/>
      <c r="N567" s="114"/>
      <c r="O567" s="114"/>
      <c r="P567" s="114"/>
      <c r="Q567" s="114"/>
      <c r="R567" s="114"/>
      <c r="S567" s="114"/>
      <c r="T567" s="114"/>
      <c r="U567" s="114"/>
      <c r="V567" s="114"/>
      <c r="W567" s="114"/>
      <c r="X567" s="114"/>
      <c r="Y567" s="114"/>
    </row>
    <row r="568">
      <c r="A568" s="1"/>
      <c r="B568" s="114"/>
      <c r="C568" s="114"/>
      <c r="D568" s="114"/>
      <c r="E568" s="114"/>
      <c r="F568" s="114"/>
      <c r="G568" s="114"/>
      <c r="H568" s="114"/>
      <c r="I568" s="114"/>
      <c r="J568" s="114"/>
      <c r="K568" s="114"/>
      <c r="L568" s="114"/>
      <c r="M568" s="114"/>
      <c r="N568" s="114"/>
      <c r="O568" s="114"/>
      <c r="P568" s="114"/>
      <c r="Q568" s="114"/>
      <c r="R568" s="114"/>
      <c r="S568" s="114"/>
      <c r="T568" s="114"/>
      <c r="U568" s="114"/>
      <c r="V568" s="114"/>
      <c r="W568" s="114"/>
      <c r="X568" s="114"/>
      <c r="Y568" s="114"/>
    </row>
    <row r="569">
      <c r="A569" s="1"/>
      <c r="B569" s="114"/>
      <c r="C569" s="114"/>
      <c r="D569" s="114"/>
      <c r="E569" s="114"/>
      <c r="F569" s="114"/>
      <c r="G569" s="114"/>
      <c r="H569" s="114"/>
      <c r="I569" s="114"/>
      <c r="J569" s="114"/>
      <c r="K569" s="114"/>
      <c r="L569" s="114"/>
      <c r="M569" s="114"/>
      <c r="N569" s="114"/>
      <c r="O569" s="114"/>
      <c r="P569" s="114"/>
      <c r="Q569" s="114"/>
      <c r="R569" s="114"/>
      <c r="S569" s="114"/>
      <c r="T569" s="114"/>
      <c r="U569" s="114"/>
      <c r="V569" s="114"/>
      <c r="W569" s="114"/>
      <c r="X569" s="114"/>
      <c r="Y569" s="114"/>
    </row>
    <row r="570">
      <c r="A570" s="1"/>
      <c r="B570" s="114"/>
      <c r="C570" s="114"/>
      <c r="D570" s="114"/>
      <c r="E570" s="114"/>
      <c r="F570" s="114"/>
      <c r="G570" s="114"/>
      <c r="H570" s="114"/>
      <c r="I570" s="114"/>
      <c r="J570" s="114"/>
      <c r="K570" s="114"/>
      <c r="L570" s="114"/>
      <c r="M570" s="114"/>
      <c r="N570" s="114"/>
      <c r="O570" s="114"/>
      <c r="P570" s="114"/>
      <c r="Q570" s="114"/>
      <c r="R570" s="114"/>
      <c r="S570" s="114"/>
      <c r="T570" s="114"/>
      <c r="U570" s="114"/>
      <c r="V570" s="114"/>
      <c r="W570" s="114"/>
      <c r="X570" s="114"/>
      <c r="Y570" s="114"/>
    </row>
    <row r="571">
      <c r="A571" s="1"/>
      <c r="B571" s="114"/>
      <c r="C571" s="114"/>
      <c r="D571" s="114"/>
      <c r="E571" s="114"/>
      <c r="F571" s="114"/>
      <c r="G571" s="114"/>
      <c r="H571" s="114"/>
      <c r="I571" s="114"/>
      <c r="J571" s="114"/>
      <c r="K571" s="114"/>
      <c r="L571" s="114"/>
      <c r="M571" s="114"/>
      <c r="N571" s="114"/>
      <c r="O571" s="114"/>
      <c r="P571" s="114"/>
      <c r="Q571" s="114"/>
      <c r="R571" s="114"/>
      <c r="S571" s="114"/>
      <c r="T571" s="114"/>
      <c r="U571" s="114"/>
      <c r="V571" s="114"/>
      <c r="W571" s="114"/>
      <c r="X571" s="114"/>
      <c r="Y571" s="114"/>
    </row>
    <row r="572">
      <c r="A572" s="1"/>
      <c r="B572" s="114"/>
      <c r="C572" s="114"/>
      <c r="D572" s="114"/>
      <c r="E572" s="114"/>
      <c r="F572" s="114"/>
      <c r="G572" s="114"/>
      <c r="H572" s="114"/>
      <c r="I572" s="114"/>
      <c r="J572" s="114"/>
      <c r="K572" s="114"/>
      <c r="L572" s="114"/>
      <c r="M572" s="114"/>
      <c r="N572" s="114"/>
      <c r="O572" s="114"/>
      <c r="P572" s="114"/>
      <c r="Q572" s="114"/>
      <c r="R572" s="114"/>
      <c r="S572" s="114"/>
      <c r="T572" s="114"/>
      <c r="U572" s="114"/>
      <c r="V572" s="114"/>
      <c r="W572" s="114"/>
      <c r="X572" s="114"/>
      <c r="Y572" s="114"/>
    </row>
    <row r="573">
      <c r="A573" s="1"/>
      <c r="B573" s="114"/>
      <c r="C573" s="114"/>
      <c r="D573" s="114"/>
      <c r="E573" s="114"/>
      <c r="F573" s="114"/>
      <c r="G573" s="114"/>
      <c r="H573" s="114"/>
      <c r="I573" s="114"/>
      <c r="J573" s="114"/>
      <c r="K573" s="114"/>
      <c r="L573" s="114"/>
      <c r="M573" s="114"/>
      <c r="N573" s="114"/>
      <c r="O573" s="114"/>
      <c r="P573" s="114"/>
      <c r="Q573" s="114"/>
      <c r="R573" s="114"/>
      <c r="S573" s="114"/>
      <c r="T573" s="114"/>
      <c r="U573" s="114"/>
      <c r="V573" s="114"/>
      <c r="W573" s="114"/>
      <c r="X573" s="114"/>
      <c r="Y573" s="114"/>
    </row>
    <row r="574">
      <c r="A574" s="1"/>
      <c r="B574" s="114"/>
      <c r="C574" s="114"/>
      <c r="D574" s="114"/>
      <c r="E574" s="114"/>
      <c r="F574" s="114"/>
      <c r="G574" s="114"/>
      <c r="H574" s="114"/>
      <c r="I574" s="114"/>
      <c r="J574" s="114"/>
      <c r="K574" s="114"/>
      <c r="L574" s="114"/>
      <c r="M574" s="114"/>
      <c r="N574" s="114"/>
      <c r="O574" s="114"/>
      <c r="P574" s="114"/>
      <c r="Q574" s="114"/>
      <c r="R574" s="114"/>
      <c r="S574" s="114"/>
      <c r="T574" s="114"/>
      <c r="U574" s="114"/>
      <c r="V574" s="114"/>
      <c r="W574" s="114"/>
      <c r="X574" s="114"/>
      <c r="Y574" s="114"/>
    </row>
    <row r="575">
      <c r="A575" s="1"/>
      <c r="B575" s="114"/>
      <c r="C575" s="114"/>
      <c r="D575" s="114"/>
      <c r="E575" s="114"/>
      <c r="F575" s="114"/>
      <c r="G575" s="114"/>
      <c r="H575" s="114"/>
      <c r="I575" s="114"/>
      <c r="J575" s="114"/>
      <c r="K575" s="114"/>
      <c r="L575" s="114"/>
      <c r="M575" s="114"/>
      <c r="N575" s="114"/>
      <c r="O575" s="114"/>
      <c r="P575" s="114"/>
      <c r="Q575" s="114"/>
      <c r="R575" s="114"/>
      <c r="S575" s="114"/>
      <c r="T575" s="114"/>
      <c r="U575" s="114"/>
      <c r="V575" s="114"/>
      <c r="W575" s="114"/>
      <c r="X575" s="114"/>
      <c r="Y575" s="114"/>
    </row>
    <row r="576">
      <c r="A576" s="1"/>
      <c r="B576" s="114"/>
      <c r="C576" s="114"/>
      <c r="D576" s="114"/>
      <c r="E576" s="114"/>
      <c r="F576" s="114"/>
      <c r="G576" s="114"/>
      <c r="H576" s="114"/>
      <c r="I576" s="114"/>
      <c r="J576" s="114"/>
      <c r="K576" s="114"/>
      <c r="L576" s="114"/>
      <c r="M576" s="114"/>
      <c r="N576" s="114"/>
      <c r="O576" s="114"/>
      <c r="P576" s="114"/>
      <c r="Q576" s="114"/>
      <c r="R576" s="114"/>
      <c r="S576" s="114"/>
      <c r="T576" s="114"/>
      <c r="U576" s="114"/>
      <c r="V576" s="114"/>
      <c r="W576" s="114"/>
      <c r="X576" s="114"/>
      <c r="Y576" s="114"/>
    </row>
    <row r="577">
      <c r="A577" s="1"/>
      <c r="B577" s="114"/>
      <c r="C577" s="114"/>
      <c r="D577" s="114"/>
      <c r="E577" s="114"/>
      <c r="F577" s="114"/>
      <c r="G577" s="114"/>
      <c r="H577" s="114"/>
      <c r="I577" s="114"/>
      <c r="J577" s="114"/>
      <c r="K577" s="114"/>
      <c r="L577" s="114"/>
      <c r="M577" s="114"/>
      <c r="N577" s="114"/>
      <c r="O577" s="114"/>
      <c r="P577" s="114"/>
      <c r="Q577" s="114"/>
      <c r="R577" s="114"/>
      <c r="S577" s="114"/>
      <c r="T577" s="114"/>
      <c r="U577" s="114"/>
      <c r="V577" s="114"/>
      <c r="W577" s="114"/>
      <c r="X577" s="114"/>
      <c r="Y577" s="114"/>
    </row>
    <row r="578">
      <c r="A578" s="1"/>
      <c r="B578" s="114"/>
      <c r="C578" s="114"/>
      <c r="D578" s="114"/>
      <c r="E578" s="114"/>
      <c r="F578" s="114"/>
      <c r="G578" s="114"/>
      <c r="H578" s="114"/>
      <c r="I578" s="114"/>
      <c r="J578" s="114"/>
      <c r="K578" s="114"/>
      <c r="L578" s="114"/>
      <c r="M578" s="114"/>
      <c r="N578" s="114"/>
      <c r="O578" s="114"/>
      <c r="P578" s="114"/>
      <c r="Q578" s="114"/>
      <c r="R578" s="114"/>
      <c r="S578" s="114"/>
      <c r="T578" s="114"/>
      <c r="U578" s="114"/>
      <c r="V578" s="114"/>
      <c r="W578" s="114"/>
      <c r="X578" s="114"/>
      <c r="Y578" s="114"/>
    </row>
    <row r="579">
      <c r="A579" s="1"/>
      <c r="B579" s="114"/>
      <c r="C579" s="114"/>
      <c r="D579" s="114"/>
      <c r="E579" s="114"/>
      <c r="F579" s="114"/>
      <c r="G579" s="114"/>
      <c r="H579" s="114"/>
      <c r="I579" s="114"/>
      <c r="J579" s="114"/>
      <c r="K579" s="114"/>
      <c r="L579" s="114"/>
      <c r="M579" s="114"/>
      <c r="N579" s="114"/>
      <c r="O579" s="114"/>
      <c r="P579" s="114"/>
      <c r="Q579" s="114"/>
      <c r="R579" s="114"/>
      <c r="S579" s="114"/>
      <c r="T579" s="114"/>
      <c r="U579" s="114"/>
      <c r="V579" s="114"/>
      <c r="W579" s="114"/>
      <c r="X579" s="114"/>
      <c r="Y579" s="114"/>
    </row>
    <row r="580">
      <c r="A580" s="1"/>
      <c r="B580" s="114"/>
      <c r="C580" s="114"/>
      <c r="D580" s="114"/>
      <c r="E580" s="114"/>
      <c r="F580" s="114"/>
      <c r="G580" s="114"/>
      <c r="H580" s="114"/>
      <c r="I580" s="114"/>
      <c r="J580" s="114"/>
      <c r="K580" s="114"/>
      <c r="L580" s="114"/>
      <c r="M580" s="114"/>
      <c r="N580" s="114"/>
      <c r="O580" s="114"/>
      <c r="P580" s="114"/>
      <c r="Q580" s="114"/>
      <c r="R580" s="114"/>
      <c r="S580" s="114"/>
      <c r="T580" s="114"/>
      <c r="U580" s="114"/>
      <c r="V580" s="114"/>
      <c r="W580" s="114"/>
      <c r="X580" s="114"/>
      <c r="Y580" s="114"/>
    </row>
    <row r="581">
      <c r="A581" s="1"/>
      <c r="B581" s="114"/>
      <c r="C581" s="114"/>
      <c r="D581" s="114"/>
      <c r="E581" s="114"/>
      <c r="F581" s="114"/>
      <c r="G581" s="114"/>
      <c r="H581" s="114"/>
      <c r="I581" s="114"/>
      <c r="J581" s="114"/>
      <c r="K581" s="114"/>
      <c r="L581" s="114"/>
      <c r="M581" s="114"/>
      <c r="N581" s="114"/>
      <c r="O581" s="114"/>
      <c r="P581" s="114"/>
      <c r="Q581" s="114"/>
      <c r="R581" s="114"/>
      <c r="S581" s="114"/>
      <c r="T581" s="114"/>
      <c r="U581" s="114"/>
      <c r="V581" s="114"/>
      <c r="W581" s="114"/>
      <c r="X581" s="114"/>
      <c r="Y581" s="114"/>
    </row>
    <row r="582">
      <c r="A582" s="1"/>
      <c r="B582" s="114"/>
      <c r="C582" s="114"/>
      <c r="D582" s="114"/>
      <c r="E582" s="114"/>
      <c r="F582" s="114"/>
      <c r="G582" s="114"/>
      <c r="H582" s="114"/>
      <c r="I582" s="114"/>
      <c r="J582" s="114"/>
      <c r="K582" s="114"/>
      <c r="L582" s="114"/>
      <c r="M582" s="114"/>
      <c r="N582" s="114"/>
      <c r="O582" s="114"/>
      <c r="P582" s="114"/>
      <c r="Q582" s="114"/>
      <c r="R582" s="114"/>
      <c r="S582" s="114"/>
      <c r="T582" s="114"/>
      <c r="U582" s="114"/>
      <c r="V582" s="114"/>
      <c r="W582" s="114"/>
      <c r="X582" s="114"/>
      <c r="Y582" s="114"/>
    </row>
    <row r="583">
      <c r="A583" s="1"/>
      <c r="B583" s="114"/>
      <c r="C583" s="114"/>
      <c r="D583" s="114"/>
      <c r="E583" s="114"/>
      <c r="F583" s="114"/>
      <c r="G583" s="114"/>
      <c r="H583" s="114"/>
      <c r="I583" s="114"/>
      <c r="J583" s="114"/>
      <c r="K583" s="114"/>
      <c r="L583" s="114"/>
      <c r="M583" s="114"/>
      <c r="N583" s="114"/>
      <c r="O583" s="114"/>
      <c r="P583" s="114"/>
      <c r="Q583" s="114"/>
      <c r="R583" s="114"/>
      <c r="S583" s="114"/>
      <c r="T583" s="114"/>
      <c r="U583" s="114"/>
      <c r="V583" s="114"/>
      <c r="W583" s="114"/>
      <c r="X583" s="114"/>
      <c r="Y583" s="114"/>
    </row>
    <row r="584">
      <c r="A584" s="1"/>
      <c r="B584" s="114"/>
      <c r="C584" s="114"/>
      <c r="D584" s="114"/>
      <c r="E584" s="114"/>
      <c r="F584" s="114"/>
      <c r="G584" s="114"/>
      <c r="H584" s="114"/>
      <c r="I584" s="114"/>
      <c r="J584" s="114"/>
      <c r="K584" s="114"/>
      <c r="L584" s="114"/>
      <c r="M584" s="114"/>
      <c r="N584" s="114"/>
      <c r="O584" s="114"/>
      <c r="P584" s="114"/>
      <c r="Q584" s="114"/>
      <c r="R584" s="114"/>
      <c r="S584" s="114"/>
      <c r="T584" s="114"/>
      <c r="U584" s="114"/>
      <c r="V584" s="114"/>
      <c r="W584" s="114"/>
      <c r="X584" s="114"/>
      <c r="Y584" s="114"/>
    </row>
    <row r="585">
      <c r="A585" s="1"/>
      <c r="B585" s="114"/>
      <c r="C585" s="114"/>
      <c r="D585" s="114"/>
      <c r="E585" s="114"/>
      <c r="F585" s="114"/>
      <c r="G585" s="114"/>
      <c r="H585" s="114"/>
      <c r="I585" s="114"/>
      <c r="J585" s="114"/>
      <c r="K585" s="114"/>
      <c r="L585" s="114"/>
      <c r="M585" s="114"/>
      <c r="N585" s="114"/>
      <c r="O585" s="114"/>
      <c r="P585" s="114"/>
      <c r="Q585" s="114"/>
      <c r="R585" s="114"/>
      <c r="S585" s="114"/>
      <c r="T585" s="114"/>
      <c r="U585" s="114"/>
      <c r="V585" s="114"/>
      <c r="W585" s="114"/>
      <c r="X585" s="114"/>
      <c r="Y585" s="114"/>
    </row>
    <row r="586">
      <c r="A586" s="1"/>
      <c r="B586" s="114"/>
      <c r="C586" s="114"/>
      <c r="D586" s="114"/>
      <c r="E586" s="114"/>
      <c r="F586" s="114"/>
      <c r="G586" s="114"/>
      <c r="H586" s="114"/>
      <c r="I586" s="114"/>
      <c r="J586" s="114"/>
      <c r="K586" s="114"/>
      <c r="L586" s="114"/>
      <c r="M586" s="114"/>
      <c r="N586" s="114"/>
      <c r="O586" s="114"/>
      <c r="P586" s="114"/>
      <c r="Q586" s="114"/>
      <c r="R586" s="114"/>
      <c r="S586" s="114"/>
      <c r="T586" s="114"/>
      <c r="U586" s="114"/>
      <c r="V586" s="114"/>
      <c r="W586" s="114"/>
      <c r="X586" s="114"/>
      <c r="Y586" s="114"/>
    </row>
    <row r="587">
      <c r="A587" s="1"/>
      <c r="B587" s="114"/>
      <c r="C587" s="114"/>
      <c r="D587" s="114"/>
      <c r="E587" s="114"/>
      <c r="F587" s="114"/>
      <c r="G587" s="114"/>
      <c r="H587" s="114"/>
      <c r="I587" s="114"/>
      <c r="J587" s="114"/>
      <c r="K587" s="114"/>
      <c r="L587" s="114"/>
      <c r="M587" s="114"/>
      <c r="N587" s="114"/>
      <c r="O587" s="114"/>
      <c r="P587" s="114"/>
      <c r="Q587" s="114"/>
      <c r="R587" s="114"/>
      <c r="S587" s="114"/>
      <c r="T587" s="114"/>
      <c r="U587" s="114"/>
      <c r="V587" s="114"/>
      <c r="W587" s="114"/>
      <c r="X587" s="114"/>
      <c r="Y587" s="114"/>
    </row>
    <row r="588">
      <c r="A588" s="1"/>
      <c r="B588" s="114"/>
      <c r="C588" s="114"/>
      <c r="D588" s="114"/>
      <c r="E588" s="114"/>
      <c r="F588" s="114"/>
      <c r="G588" s="114"/>
      <c r="H588" s="114"/>
      <c r="I588" s="114"/>
      <c r="J588" s="114"/>
      <c r="K588" s="114"/>
      <c r="L588" s="114"/>
      <c r="M588" s="114"/>
      <c r="N588" s="114"/>
      <c r="O588" s="114"/>
      <c r="P588" s="114"/>
      <c r="Q588" s="114"/>
      <c r="R588" s="114"/>
      <c r="S588" s="114"/>
      <c r="T588" s="114"/>
      <c r="U588" s="114"/>
      <c r="V588" s="114"/>
      <c r="W588" s="114"/>
      <c r="X588" s="114"/>
      <c r="Y588" s="114"/>
    </row>
    <row r="589">
      <c r="A589" s="1"/>
      <c r="B589" s="114"/>
      <c r="C589" s="114"/>
      <c r="D589" s="114"/>
      <c r="E589" s="114"/>
      <c r="F589" s="114"/>
      <c r="G589" s="114"/>
      <c r="H589" s="114"/>
      <c r="I589" s="114"/>
      <c r="J589" s="114"/>
      <c r="K589" s="114"/>
      <c r="L589" s="114"/>
      <c r="M589" s="114"/>
      <c r="N589" s="114"/>
      <c r="O589" s="114"/>
      <c r="P589" s="114"/>
      <c r="Q589" s="114"/>
      <c r="R589" s="114"/>
      <c r="S589" s="114"/>
      <c r="T589" s="114"/>
      <c r="U589" s="114"/>
      <c r="V589" s="114"/>
      <c r="W589" s="114"/>
      <c r="X589" s="114"/>
      <c r="Y589" s="114"/>
    </row>
    <row r="590">
      <c r="A590" s="1"/>
      <c r="B590" s="114"/>
      <c r="C590" s="114"/>
      <c r="D590" s="114"/>
      <c r="E590" s="114"/>
      <c r="F590" s="114"/>
      <c r="G590" s="114"/>
      <c r="H590" s="114"/>
      <c r="I590" s="114"/>
      <c r="J590" s="114"/>
      <c r="K590" s="114"/>
      <c r="L590" s="114"/>
      <c r="M590" s="114"/>
      <c r="N590" s="114"/>
      <c r="O590" s="114"/>
      <c r="P590" s="114"/>
      <c r="Q590" s="114"/>
      <c r="R590" s="114"/>
      <c r="S590" s="114"/>
      <c r="T590" s="114"/>
      <c r="U590" s="114"/>
      <c r="V590" s="114"/>
      <c r="W590" s="114"/>
      <c r="X590" s="114"/>
      <c r="Y590" s="114"/>
    </row>
    <row r="591">
      <c r="A591" s="1"/>
      <c r="B591" s="114"/>
      <c r="C591" s="114"/>
      <c r="D591" s="114"/>
      <c r="E591" s="114"/>
      <c r="F591" s="114"/>
      <c r="G591" s="114"/>
      <c r="H591" s="114"/>
      <c r="I591" s="114"/>
      <c r="J591" s="114"/>
      <c r="K591" s="114"/>
      <c r="L591" s="114"/>
      <c r="M591" s="114"/>
      <c r="N591" s="114"/>
      <c r="O591" s="114"/>
      <c r="P591" s="114"/>
      <c r="Q591" s="114"/>
      <c r="R591" s="114"/>
      <c r="S591" s="114"/>
      <c r="T591" s="114"/>
      <c r="U591" s="114"/>
      <c r="V591" s="114"/>
      <c r="W591" s="114"/>
      <c r="X591" s="114"/>
      <c r="Y591" s="114"/>
    </row>
    <row r="592">
      <c r="A592" s="1"/>
      <c r="B592" s="114"/>
      <c r="C592" s="114"/>
      <c r="D592" s="114"/>
      <c r="E592" s="114"/>
      <c r="F592" s="114"/>
      <c r="G592" s="114"/>
      <c r="H592" s="114"/>
      <c r="I592" s="114"/>
      <c r="J592" s="114"/>
      <c r="K592" s="114"/>
      <c r="L592" s="114"/>
      <c r="M592" s="114"/>
      <c r="N592" s="114"/>
      <c r="O592" s="114"/>
      <c r="P592" s="114"/>
      <c r="Q592" s="114"/>
      <c r="R592" s="114"/>
      <c r="S592" s="114"/>
      <c r="T592" s="114"/>
      <c r="U592" s="114"/>
      <c r="V592" s="114"/>
      <c r="W592" s="114"/>
      <c r="X592" s="114"/>
      <c r="Y592" s="114"/>
    </row>
    <row r="593">
      <c r="A593" s="1"/>
      <c r="B593" s="114"/>
      <c r="C593" s="114"/>
      <c r="D593" s="114"/>
      <c r="E593" s="114"/>
      <c r="F593" s="114"/>
      <c r="G593" s="114"/>
      <c r="H593" s="114"/>
      <c r="I593" s="114"/>
      <c r="J593" s="114"/>
      <c r="K593" s="114"/>
      <c r="L593" s="114"/>
      <c r="M593" s="114"/>
      <c r="N593" s="114"/>
      <c r="O593" s="114"/>
      <c r="P593" s="114"/>
      <c r="Q593" s="114"/>
      <c r="R593" s="114"/>
      <c r="S593" s="114"/>
      <c r="T593" s="114"/>
      <c r="U593" s="114"/>
      <c r="V593" s="114"/>
      <c r="W593" s="114"/>
      <c r="X593" s="114"/>
      <c r="Y593" s="114"/>
    </row>
    <row r="594">
      <c r="A594" s="1"/>
      <c r="B594" s="114"/>
      <c r="C594" s="114"/>
      <c r="D594" s="114"/>
      <c r="E594" s="114"/>
      <c r="F594" s="114"/>
      <c r="G594" s="114"/>
      <c r="H594" s="114"/>
      <c r="I594" s="114"/>
      <c r="J594" s="114"/>
      <c r="K594" s="114"/>
      <c r="L594" s="114"/>
      <c r="M594" s="114"/>
      <c r="N594" s="114"/>
      <c r="O594" s="114"/>
      <c r="P594" s="114"/>
      <c r="Q594" s="114"/>
      <c r="R594" s="114"/>
      <c r="S594" s="114"/>
      <c r="T594" s="114"/>
      <c r="U594" s="114"/>
      <c r="V594" s="114"/>
      <c r="W594" s="114"/>
      <c r="X594" s="114"/>
      <c r="Y594" s="114"/>
    </row>
    <row r="595">
      <c r="A595" s="1"/>
      <c r="B595" s="114"/>
      <c r="C595" s="114"/>
      <c r="D595" s="114"/>
      <c r="E595" s="114"/>
      <c r="F595" s="114"/>
      <c r="G595" s="114"/>
      <c r="H595" s="114"/>
      <c r="I595" s="114"/>
      <c r="J595" s="114"/>
      <c r="K595" s="114"/>
      <c r="L595" s="114"/>
      <c r="M595" s="114"/>
      <c r="N595" s="114"/>
      <c r="O595" s="114"/>
      <c r="P595" s="114"/>
      <c r="Q595" s="114"/>
      <c r="R595" s="114"/>
      <c r="S595" s="114"/>
      <c r="T595" s="114"/>
      <c r="U595" s="114"/>
      <c r="V595" s="114"/>
      <c r="W595" s="114"/>
      <c r="X595" s="114"/>
      <c r="Y595" s="114"/>
    </row>
    <row r="596">
      <c r="A596" s="1"/>
      <c r="B596" s="114"/>
      <c r="C596" s="114"/>
      <c r="D596" s="114"/>
      <c r="E596" s="114"/>
      <c r="F596" s="114"/>
      <c r="G596" s="114"/>
      <c r="H596" s="114"/>
      <c r="I596" s="114"/>
      <c r="J596" s="114"/>
      <c r="K596" s="114"/>
      <c r="L596" s="114"/>
      <c r="M596" s="114"/>
      <c r="N596" s="114"/>
      <c r="O596" s="114"/>
      <c r="P596" s="114"/>
      <c r="Q596" s="114"/>
      <c r="R596" s="114"/>
      <c r="S596" s="114"/>
      <c r="T596" s="114"/>
      <c r="U596" s="114"/>
      <c r="V596" s="114"/>
      <c r="W596" s="114"/>
      <c r="X596" s="114"/>
      <c r="Y596" s="114"/>
    </row>
    <row r="597">
      <c r="A597" s="1"/>
      <c r="B597" s="114"/>
      <c r="C597" s="114"/>
      <c r="D597" s="114"/>
      <c r="E597" s="114"/>
      <c r="F597" s="114"/>
      <c r="G597" s="114"/>
      <c r="H597" s="114"/>
      <c r="I597" s="114"/>
      <c r="J597" s="114"/>
      <c r="K597" s="114"/>
      <c r="L597" s="114"/>
      <c r="M597" s="114"/>
      <c r="N597" s="114"/>
      <c r="O597" s="114"/>
      <c r="P597" s="114"/>
      <c r="Q597" s="114"/>
      <c r="R597" s="114"/>
      <c r="S597" s="114"/>
      <c r="T597" s="114"/>
      <c r="U597" s="114"/>
      <c r="V597" s="114"/>
      <c r="W597" s="114"/>
      <c r="X597" s="114"/>
      <c r="Y597" s="114"/>
    </row>
    <row r="598">
      <c r="A598" s="1"/>
      <c r="B598" s="114"/>
      <c r="C598" s="114"/>
      <c r="D598" s="114"/>
      <c r="E598" s="114"/>
      <c r="F598" s="114"/>
      <c r="G598" s="114"/>
      <c r="H598" s="114"/>
      <c r="I598" s="114"/>
      <c r="J598" s="114"/>
      <c r="K598" s="114"/>
      <c r="L598" s="114"/>
      <c r="M598" s="114"/>
      <c r="N598" s="114"/>
      <c r="O598" s="114"/>
      <c r="P598" s="114"/>
      <c r="Q598" s="114"/>
      <c r="R598" s="114"/>
      <c r="S598" s="114"/>
      <c r="T598" s="114"/>
      <c r="U598" s="114"/>
      <c r="V598" s="114"/>
      <c r="W598" s="114"/>
      <c r="X598" s="114"/>
      <c r="Y598" s="114"/>
    </row>
    <row r="599">
      <c r="A599" s="1"/>
      <c r="B599" s="114"/>
      <c r="C599" s="114"/>
      <c r="D599" s="114"/>
      <c r="E599" s="114"/>
      <c r="F599" s="114"/>
      <c r="G599" s="114"/>
      <c r="H599" s="114"/>
      <c r="I599" s="114"/>
      <c r="J599" s="114"/>
      <c r="K599" s="114"/>
      <c r="L599" s="114"/>
      <c r="M599" s="114"/>
      <c r="N599" s="114"/>
      <c r="O599" s="114"/>
      <c r="P599" s="114"/>
      <c r="Q599" s="114"/>
      <c r="R599" s="114"/>
      <c r="S599" s="114"/>
      <c r="T599" s="114"/>
      <c r="U599" s="114"/>
      <c r="V599" s="114"/>
      <c r="W599" s="114"/>
      <c r="X599" s="114"/>
      <c r="Y599" s="114"/>
    </row>
    <row r="600">
      <c r="A600" s="1"/>
      <c r="B600" s="114"/>
      <c r="C600" s="114"/>
      <c r="D600" s="114"/>
      <c r="E600" s="114"/>
      <c r="F600" s="114"/>
      <c r="G600" s="114"/>
      <c r="H600" s="114"/>
      <c r="I600" s="114"/>
      <c r="J600" s="114"/>
      <c r="K600" s="114"/>
      <c r="L600" s="114"/>
      <c r="M600" s="114"/>
      <c r="N600" s="114"/>
      <c r="O600" s="114"/>
      <c r="P600" s="114"/>
      <c r="Q600" s="114"/>
      <c r="R600" s="114"/>
      <c r="S600" s="114"/>
      <c r="T600" s="114"/>
      <c r="U600" s="114"/>
      <c r="V600" s="114"/>
      <c r="W600" s="114"/>
      <c r="X600" s="114"/>
      <c r="Y600" s="114"/>
    </row>
    <row r="601">
      <c r="A601" s="1"/>
      <c r="B601" s="114"/>
      <c r="C601" s="114"/>
      <c r="D601" s="114"/>
      <c r="E601" s="114"/>
      <c r="F601" s="114"/>
      <c r="G601" s="114"/>
      <c r="H601" s="114"/>
      <c r="I601" s="114"/>
      <c r="J601" s="114"/>
      <c r="K601" s="114"/>
      <c r="L601" s="114"/>
      <c r="M601" s="114"/>
      <c r="N601" s="114"/>
      <c r="O601" s="114"/>
      <c r="P601" s="114"/>
      <c r="Q601" s="114"/>
      <c r="R601" s="114"/>
      <c r="S601" s="114"/>
      <c r="T601" s="114"/>
      <c r="U601" s="114"/>
      <c r="V601" s="114"/>
      <c r="W601" s="114"/>
      <c r="X601" s="114"/>
      <c r="Y601" s="114"/>
    </row>
    <row r="602">
      <c r="A602" s="1"/>
      <c r="B602" s="114"/>
      <c r="C602" s="114"/>
      <c r="D602" s="114"/>
      <c r="E602" s="114"/>
      <c r="F602" s="114"/>
      <c r="G602" s="114"/>
      <c r="H602" s="114"/>
      <c r="I602" s="114"/>
      <c r="J602" s="114"/>
      <c r="K602" s="114"/>
      <c r="L602" s="114"/>
      <c r="M602" s="114"/>
      <c r="N602" s="114"/>
      <c r="O602" s="114"/>
      <c r="P602" s="114"/>
      <c r="Q602" s="114"/>
      <c r="R602" s="114"/>
      <c r="S602" s="114"/>
      <c r="T602" s="114"/>
      <c r="U602" s="114"/>
      <c r="V602" s="114"/>
      <c r="W602" s="114"/>
      <c r="X602" s="114"/>
      <c r="Y602" s="114"/>
    </row>
    <row r="603">
      <c r="A603" s="1"/>
      <c r="B603" s="114"/>
      <c r="C603" s="114"/>
      <c r="D603" s="114"/>
      <c r="E603" s="114"/>
      <c r="F603" s="114"/>
      <c r="G603" s="114"/>
      <c r="H603" s="114"/>
      <c r="I603" s="114"/>
      <c r="J603" s="114"/>
      <c r="K603" s="114"/>
      <c r="L603" s="114"/>
      <c r="M603" s="114"/>
      <c r="N603" s="114"/>
      <c r="O603" s="114"/>
      <c r="P603" s="114"/>
      <c r="Q603" s="114"/>
      <c r="R603" s="114"/>
      <c r="S603" s="114"/>
      <c r="T603" s="114"/>
      <c r="U603" s="114"/>
      <c r="V603" s="114"/>
      <c r="W603" s="114"/>
      <c r="X603" s="114"/>
      <c r="Y603" s="114"/>
    </row>
    <row r="604">
      <c r="A604" s="1"/>
      <c r="B604" s="114"/>
      <c r="C604" s="114"/>
      <c r="D604" s="114"/>
      <c r="E604" s="114"/>
      <c r="F604" s="114"/>
      <c r="G604" s="114"/>
      <c r="H604" s="114"/>
      <c r="I604" s="114"/>
      <c r="J604" s="114"/>
      <c r="K604" s="114"/>
      <c r="L604" s="114"/>
      <c r="M604" s="114"/>
      <c r="N604" s="114"/>
      <c r="O604" s="114"/>
      <c r="P604" s="114"/>
      <c r="Q604" s="114"/>
      <c r="R604" s="114"/>
      <c r="S604" s="114"/>
      <c r="T604" s="114"/>
      <c r="U604" s="114"/>
      <c r="V604" s="114"/>
      <c r="W604" s="114"/>
      <c r="X604" s="114"/>
      <c r="Y604" s="114"/>
    </row>
    <row r="605">
      <c r="A605" s="1"/>
      <c r="B605" s="114"/>
      <c r="C605" s="114"/>
      <c r="D605" s="114"/>
      <c r="E605" s="114"/>
      <c r="F605" s="114"/>
      <c r="G605" s="114"/>
      <c r="H605" s="114"/>
      <c r="I605" s="114"/>
      <c r="J605" s="114"/>
      <c r="K605" s="114"/>
      <c r="L605" s="114"/>
      <c r="M605" s="114"/>
      <c r="N605" s="114"/>
      <c r="O605" s="114"/>
      <c r="P605" s="114"/>
      <c r="Q605" s="114"/>
      <c r="R605" s="114"/>
      <c r="S605" s="114"/>
      <c r="T605" s="114"/>
      <c r="U605" s="114"/>
      <c r="V605" s="114"/>
      <c r="W605" s="114"/>
      <c r="X605" s="114"/>
      <c r="Y605" s="114"/>
    </row>
    <row r="606">
      <c r="A606" s="1"/>
      <c r="B606" s="114"/>
      <c r="C606" s="114"/>
      <c r="D606" s="114"/>
      <c r="E606" s="114"/>
      <c r="F606" s="114"/>
      <c r="G606" s="114"/>
      <c r="H606" s="114"/>
      <c r="I606" s="114"/>
      <c r="J606" s="114"/>
      <c r="K606" s="114"/>
      <c r="L606" s="114"/>
      <c r="M606" s="114"/>
      <c r="N606" s="114"/>
      <c r="O606" s="114"/>
      <c r="P606" s="114"/>
      <c r="Q606" s="114"/>
      <c r="R606" s="114"/>
      <c r="S606" s="114"/>
      <c r="T606" s="114"/>
      <c r="U606" s="114"/>
      <c r="V606" s="114"/>
      <c r="W606" s="114"/>
      <c r="X606" s="114"/>
      <c r="Y606" s="114"/>
    </row>
    <row r="607">
      <c r="A607" s="1"/>
      <c r="B607" s="114"/>
      <c r="C607" s="114"/>
      <c r="D607" s="114"/>
      <c r="E607" s="114"/>
      <c r="F607" s="114"/>
      <c r="G607" s="114"/>
      <c r="H607" s="114"/>
      <c r="I607" s="114"/>
      <c r="J607" s="114"/>
      <c r="K607" s="114"/>
      <c r="L607" s="114"/>
      <c r="M607" s="114"/>
      <c r="N607" s="114"/>
      <c r="O607" s="114"/>
      <c r="P607" s="114"/>
      <c r="Q607" s="114"/>
      <c r="R607" s="114"/>
      <c r="S607" s="114"/>
      <c r="T607" s="114"/>
      <c r="U607" s="114"/>
      <c r="V607" s="114"/>
      <c r="W607" s="114"/>
      <c r="X607" s="114"/>
      <c r="Y607" s="114"/>
    </row>
    <row r="608">
      <c r="A608" s="1"/>
      <c r="B608" s="114"/>
      <c r="C608" s="114"/>
      <c r="D608" s="114"/>
      <c r="E608" s="114"/>
      <c r="F608" s="114"/>
      <c r="G608" s="114"/>
      <c r="H608" s="114"/>
      <c r="I608" s="114"/>
      <c r="J608" s="114"/>
      <c r="K608" s="114"/>
      <c r="L608" s="114"/>
      <c r="M608" s="114"/>
      <c r="N608" s="114"/>
      <c r="O608" s="114"/>
      <c r="P608" s="114"/>
      <c r="Q608" s="114"/>
      <c r="R608" s="114"/>
      <c r="S608" s="114"/>
      <c r="T608" s="114"/>
      <c r="U608" s="114"/>
      <c r="V608" s="114"/>
      <c r="W608" s="114"/>
      <c r="X608" s="114"/>
      <c r="Y608" s="114"/>
    </row>
    <row r="609">
      <c r="A609" s="1"/>
      <c r="B609" s="114"/>
      <c r="C609" s="114"/>
      <c r="D609" s="114"/>
      <c r="E609" s="114"/>
      <c r="F609" s="114"/>
      <c r="G609" s="114"/>
      <c r="H609" s="114"/>
      <c r="I609" s="114"/>
      <c r="J609" s="114"/>
      <c r="K609" s="114"/>
      <c r="L609" s="114"/>
      <c r="M609" s="114"/>
      <c r="N609" s="114"/>
      <c r="O609" s="114"/>
      <c r="P609" s="114"/>
      <c r="Q609" s="114"/>
      <c r="R609" s="114"/>
      <c r="S609" s="114"/>
      <c r="T609" s="114"/>
      <c r="U609" s="114"/>
      <c r="V609" s="114"/>
      <c r="W609" s="114"/>
      <c r="X609" s="114"/>
      <c r="Y609" s="114"/>
    </row>
    <row r="610">
      <c r="A610" s="1"/>
      <c r="B610" s="114"/>
      <c r="C610" s="114"/>
      <c r="D610" s="114"/>
      <c r="E610" s="114"/>
      <c r="F610" s="114"/>
      <c r="G610" s="114"/>
      <c r="H610" s="114"/>
      <c r="I610" s="114"/>
      <c r="J610" s="114"/>
      <c r="K610" s="114"/>
      <c r="L610" s="114"/>
      <c r="M610" s="114"/>
      <c r="N610" s="114"/>
      <c r="O610" s="114"/>
      <c r="P610" s="114"/>
      <c r="Q610" s="114"/>
      <c r="R610" s="114"/>
      <c r="S610" s="114"/>
      <c r="T610" s="114"/>
      <c r="U610" s="114"/>
      <c r="V610" s="114"/>
      <c r="W610" s="114"/>
      <c r="X610" s="114"/>
      <c r="Y610" s="114"/>
    </row>
    <row r="611">
      <c r="A611" s="1"/>
      <c r="B611" s="114"/>
      <c r="C611" s="114"/>
      <c r="D611" s="114"/>
      <c r="E611" s="114"/>
      <c r="F611" s="114"/>
      <c r="G611" s="114"/>
      <c r="H611" s="114"/>
      <c r="I611" s="114"/>
      <c r="J611" s="114"/>
      <c r="K611" s="114"/>
      <c r="L611" s="114"/>
      <c r="M611" s="114"/>
      <c r="N611" s="114"/>
      <c r="O611" s="114"/>
      <c r="P611" s="114"/>
      <c r="Q611" s="114"/>
      <c r="R611" s="114"/>
      <c r="S611" s="114"/>
      <c r="T611" s="114"/>
      <c r="U611" s="114"/>
      <c r="V611" s="114"/>
      <c r="W611" s="114"/>
      <c r="X611" s="114"/>
      <c r="Y611" s="114"/>
    </row>
    <row r="612">
      <c r="A612" s="1"/>
      <c r="B612" s="114"/>
      <c r="C612" s="114"/>
      <c r="D612" s="114"/>
      <c r="E612" s="114"/>
      <c r="F612" s="114"/>
      <c r="G612" s="114"/>
      <c r="H612" s="114"/>
      <c r="I612" s="114"/>
      <c r="J612" s="114"/>
      <c r="K612" s="114"/>
      <c r="L612" s="114"/>
      <c r="M612" s="114"/>
      <c r="N612" s="114"/>
      <c r="O612" s="114"/>
      <c r="P612" s="114"/>
      <c r="Q612" s="114"/>
      <c r="R612" s="114"/>
      <c r="S612" s="114"/>
      <c r="T612" s="114"/>
      <c r="U612" s="114"/>
      <c r="V612" s="114"/>
      <c r="W612" s="114"/>
      <c r="X612" s="114"/>
      <c r="Y612" s="114"/>
    </row>
    <row r="613">
      <c r="A613" s="1"/>
      <c r="B613" s="114"/>
      <c r="C613" s="114"/>
      <c r="D613" s="114"/>
      <c r="E613" s="114"/>
      <c r="F613" s="114"/>
      <c r="G613" s="114"/>
      <c r="H613" s="114"/>
      <c r="I613" s="114"/>
      <c r="J613" s="114"/>
      <c r="K613" s="114"/>
      <c r="L613" s="114"/>
      <c r="M613" s="114"/>
      <c r="N613" s="114"/>
      <c r="O613" s="114"/>
      <c r="P613" s="114"/>
      <c r="Q613" s="114"/>
      <c r="R613" s="114"/>
      <c r="S613" s="114"/>
      <c r="T613" s="114"/>
      <c r="U613" s="114"/>
      <c r="V613" s="114"/>
      <c r="W613" s="114"/>
      <c r="X613" s="114"/>
      <c r="Y613" s="114"/>
    </row>
    <row r="614">
      <c r="A614" s="1"/>
      <c r="B614" s="114"/>
      <c r="C614" s="114"/>
      <c r="D614" s="114"/>
      <c r="E614" s="114"/>
      <c r="F614" s="114"/>
      <c r="G614" s="114"/>
      <c r="H614" s="114"/>
      <c r="I614" s="114"/>
      <c r="J614" s="114"/>
      <c r="K614" s="114"/>
      <c r="L614" s="114"/>
      <c r="M614" s="114"/>
      <c r="N614" s="114"/>
      <c r="O614" s="114"/>
      <c r="P614" s="114"/>
      <c r="Q614" s="114"/>
      <c r="R614" s="114"/>
      <c r="S614" s="114"/>
      <c r="T614" s="114"/>
      <c r="U614" s="114"/>
      <c r="V614" s="114"/>
      <c r="W614" s="114"/>
      <c r="X614" s="114"/>
      <c r="Y614" s="114"/>
    </row>
    <row r="615">
      <c r="A615" s="1"/>
      <c r="B615" s="114"/>
      <c r="C615" s="114"/>
      <c r="D615" s="114"/>
      <c r="E615" s="114"/>
      <c r="F615" s="114"/>
      <c r="G615" s="114"/>
      <c r="H615" s="114"/>
      <c r="I615" s="114"/>
      <c r="J615" s="114"/>
      <c r="K615" s="114"/>
      <c r="L615" s="114"/>
      <c r="M615" s="114"/>
      <c r="N615" s="114"/>
      <c r="O615" s="114"/>
      <c r="P615" s="114"/>
      <c r="Q615" s="114"/>
      <c r="R615" s="114"/>
      <c r="S615" s="114"/>
      <c r="T615" s="114"/>
      <c r="U615" s="114"/>
      <c r="V615" s="114"/>
      <c r="W615" s="114"/>
      <c r="X615" s="114"/>
      <c r="Y615" s="114"/>
    </row>
    <row r="616">
      <c r="A616" s="1"/>
      <c r="B616" s="114"/>
      <c r="C616" s="114"/>
      <c r="D616" s="114"/>
      <c r="E616" s="114"/>
      <c r="F616" s="114"/>
      <c r="G616" s="114"/>
      <c r="H616" s="114"/>
      <c r="I616" s="114"/>
      <c r="J616" s="114"/>
      <c r="K616" s="114"/>
      <c r="L616" s="114"/>
      <c r="M616" s="114"/>
      <c r="N616" s="114"/>
      <c r="O616" s="114"/>
      <c r="P616" s="114"/>
      <c r="Q616" s="114"/>
      <c r="R616" s="114"/>
      <c r="S616" s="114"/>
      <c r="T616" s="114"/>
      <c r="U616" s="114"/>
      <c r="V616" s="114"/>
      <c r="W616" s="114"/>
      <c r="X616" s="114"/>
      <c r="Y616" s="114"/>
    </row>
    <row r="617">
      <c r="A617" s="1"/>
      <c r="B617" s="114"/>
      <c r="C617" s="114"/>
      <c r="D617" s="114"/>
      <c r="E617" s="114"/>
      <c r="F617" s="114"/>
      <c r="G617" s="114"/>
      <c r="H617" s="114"/>
      <c r="I617" s="114"/>
      <c r="J617" s="114"/>
      <c r="K617" s="114"/>
      <c r="L617" s="114"/>
      <c r="M617" s="114"/>
      <c r="N617" s="114"/>
      <c r="O617" s="114"/>
      <c r="P617" s="114"/>
      <c r="Q617" s="114"/>
      <c r="R617" s="114"/>
      <c r="S617" s="114"/>
      <c r="T617" s="114"/>
      <c r="U617" s="114"/>
      <c r="V617" s="114"/>
      <c r="W617" s="114"/>
      <c r="X617" s="114"/>
      <c r="Y617" s="114"/>
    </row>
    <row r="618">
      <c r="A618" s="1"/>
      <c r="B618" s="114"/>
      <c r="C618" s="114"/>
      <c r="D618" s="114"/>
      <c r="E618" s="114"/>
      <c r="F618" s="114"/>
      <c r="G618" s="114"/>
      <c r="H618" s="114"/>
      <c r="I618" s="114"/>
      <c r="J618" s="114"/>
      <c r="K618" s="114"/>
      <c r="L618" s="114"/>
      <c r="M618" s="114"/>
      <c r="N618" s="114"/>
      <c r="O618" s="114"/>
      <c r="P618" s="114"/>
      <c r="Q618" s="114"/>
      <c r="R618" s="114"/>
      <c r="S618" s="114"/>
      <c r="T618" s="114"/>
      <c r="U618" s="114"/>
      <c r="V618" s="114"/>
      <c r="W618" s="114"/>
      <c r="X618" s="114"/>
      <c r="Y618" s="114"/>
    </row>
    <row r="619">
      <c r="A619" s="1"/>
      <c r="B619" s="114"/>
      <c r="C619" s="114"/>
      <c r="D619" s="114"/>
      <c r="E619" s="114"/>
      <c r="F619" s="114"/>
      <c r="G619" s="114"/>
      <c r="H619" s="114"/>
      <c r="I619" s="114"/>
      <c r="J619" s="114"/>
      <c r="K619" s="114"/>
      <c r="L619" s="114"/>
      <c r="M619" s="114"/>
      <c r="N619" s="114"/>
      <c r="O619" s="114"/>
      <c r="P619" s="114"/>
      <c r="Q619" s="114"/>
      <c r="R619" s="114"/>
      <c r="S619" s="114"/>
      <c r="T619" s="114"/>
      <c r="U619" s="114"/>
      <c r="V619" s="114"/>
      <c r="W619" s="114"/>
      <c r="X619" s="114"/>
      <c r="Y619" s="114"/>
    </row>
    <row r="620">
      <c r="A620" s="1"/>
      <c r="B620" s="114"/>
      <c r="C620" s="114"/>
      <c r="D620" s="114"/>
      <c r="E620" s="114"/>
      <c r="F620" s="114"/>
      <c r="G620" s="114"/>
      <c r="H620" s="114"/>
      <c r="I620" s="114"/>
      <c r="J620" s="114"/>
      <c r="K620" s="114"/>
      <c r="L620" s="114"/>
      <c r="M620" s="114"/>
      <c r="N620" s="114"/>
      <c r="O620" s="114"/>
      <c r="P620" s="114"/>
      <c r="Q620" s="114"/>
      <c r="R620" s="114"/>
      <c r="S620" s="114"/>
      <c r="T620" s="114"/>
      <c r="U620" s="114"/>
      <c r="V620" s="114"/>
      <c r="W620" s="114"/>
      <c r="X620" s="114"/>
      <c r="Y620" s="114"/>
    </row>
    <row r="621">
      <c r="A621" s="1"/>
      <c r="B621" s="114"/>
      <c r="C621" s="114"/>
      <c r="D621" s="114"/>
      <c r="E621" s="114"/>
      <c r="F621" s="114"/>
      <c r="G621" s="114"/>
      <c r="H621" s="114"/>
      <c r="I621" s="114"/>
      <c r="J621" s="114"/>
      <c r="K621" s="114"/>
      <c r="L621" s="114"/>
      <c r="M621" s="114"/>
      <c r="N621" s="114"/>
      <c r="O621" s="114"/>
      <c r="P621" s="114"/>
      <c r="Q621" s="114"/>
      <c r="R621" s="114"/>
      <c r="S621" s="114"/>
      <c r="T621" s="114"/>
      <c r="U621" s="114"/>
      <c r="V621" s="114"/>
      <c r="W621" s="114"/>
      <c r="X621" s="114"/>
      <c r="Y621" s="114"/>
    </row>
    <row r="622">
      <c r="A622" s="1"/>
      <c r="B622" s="114"/>
      <c r="C622" s="114"/>
      <c r="D622" s="114"/>
      <c r="E622" s="114"/>
      <c r="F622" s="114"/>
      <c r="G622" s="114"/>
      <c r="H622" s="114"/>
      <c r="I622" s="114"/>
      <c r="J622" s="114"/>
      <c r="K622" s="114"/>
      <c r="L622" s="114"/>
      <c r="M622" s="114"/>
      <c r="N622" s="114"/>
      <c r="O622" s="114"/>
      <c r="P622" s="114"/>
      <c r="Q622" s="114"/>
      <c r="R622" s="114"/>
      <c r="S622" s="114"/>
      <c r="T622" s="114"/>
      <c r="U622" s="114"/>
      <c r="V622" s="114"/>
      <c r="W622" s="114"/>
      <c r="X622" s="114"/>
      <c r="Y622" s="114"/>
    </row>
    <row r="623">
      <c r="A623" s="1"/>
      <c r="B623" s="114"/>
      <c r="C623" s="114"/>
      <c r="D623" s="114"/>
      <c r="E623" s="114"/>
      <c r="F623" s="114"/>
      <c r="G623" s="114"/>
      <c r="H623" s="114"/>
      <c r="I623" s="114"/>
      <c r="J623" s="114"/>
      <c r="K623" s="114"/>
      <c r="L623" s="114"/>
      <c r="M623" s="114"/>
      <c r="N623" s="114"/>
      <c r="O623" s="114"/>
      <c r="P623" s="114"/>
      <c r="Q623" s="114"/>
      <c r="R623" s="114"/>
      <c r="S623" s="114"/>
      <c r="T623" s="114"/>
      <c r="U623" s="114"/>
      <c r="V623" s="114"/>
      <c r="W623" s="114"/>
      <c r="X623" s="114"/>
      <c r="Y623" s="114"/>
    </row>
    <row r="624">
      <c r="A624" s="1"/>
      <c r="B624" s="114"/>
      <c r="C624" s="114"/>
      <c r="D624" s="114"/>
      <c r="E624" s="114"/>
      <c r="F624" s="114"/>
      <c r="G624" s="114"/>
      <c r="H624" s="114"/>
      <c r="I624" s="114"/>
      <c r="J624" s="114"/>
      <c r="K624" s="114"/>
      <c r="L624" s="114"/>
      <c r="M624" s="114"/>
      <c r="N624" s="114"/>
      <c r="O624" s="114"/>
      <c r="P624" s="114"/>
      <c r="Q624" s="114"/>
      <c r="R624" s="114"/>
      <c r="S624" s="114"/>
      <c r="T624" s="114"/>
      <c r="U624" s="114"/>
      <c r="V624" s="114"/>
      <c r="W624" s="114"/>
      <c r="X624" s="114"/>
      <c r="Y624" s="114"/>
    </row>
    <row r="625">
      <c r="A625" s="1"/>
      <c r="B625" s="114"/>
      <c r="C625" s="114"/>
      <c r="D625" s="114"/>
      <c r="E625" s="114"/>
      <c r="F625" s="114"/>
      <c r="G625" s="114"/>
      <c r="H625" s="114"/>
      <c r="I625" s="114"/>
      <c r="J625" s="114"/>
      <c r="K625" s="114"/>
      <c r="L625" s="114"/>
      <c r="M625" s="114"/>
      <c r="N625" s="114"/>
      <c r="O625" s="114"/>
      <c r="P625" s="114"/>
      <c r="Q625" s="114"/>
      <c r="R625" s="114"/>
      <c r="S625" s="114"/>
      <c r="T625" s="114"/>
      <c r="U625" s="114"/>
      <c r="V625" s="114"/>
      <c r="W625" s="114"/>
      <c r="X625" s="114"/>
      <c r="Y625" s="114"/>
    </row>
    <row r="626">
      <c r="A626" s="1"/>
      <c r="B626" s="114"/>
      <c r="C626" s="114"/>
      <c r="D626" s="114"/>
      <c r="E626" s="114"/>
      <c r="F626" s="114"/>
      <c r="G626" s="114"/>
      <c r="H626" s="114"/>
      <c r="I626" s="114"/>
      <c r="J626" s="114"/>
      <c r="K626" s="114"/>
      <c r="L626" s="114"/>
      <c r="M626" s="114"/>
      <c r="N626" s="114"/>
      <c r="O626" s="114"/>
      <c r="P626" s="114"/>
      <c r="Q626" s="114"/>
      <c r="R626" s="114"/>
      <c r="S626" s="114"/>
      <c r="T626" s="114"/>
      <c r="U626" s="114"/>
      <c r="V626" s="114"/>
      <c r="W626" s="114"/>
      <c r="X626" s="114"/>
      <c r="Y626" s="114"/>
    </row>
    <row r="627">
      <c r="A627" s="1"/>
      <c r="B627" s="114"/>
      <c r="C627" s="114"/>
      <c r="D627" s="114"/>
      <c r="E627" s="114"/>
      <c r="F627" s="114"/>
      <c r="G627" s="114"/>
      <c r="H627" s="114"/>
      <c r="I627" s="114"/>
      <c r="J627" s="114"/>
      <c r="K627" s="114"/>
      <c r="L627" s="114"/>
      <c r="M627" s="114"/>
      <c r="N627" s="114"/>
      <c r="O627" s="114"/>
      <c r="P627" s="114"/>
      <c r="Q627" s="114"/>
      <c r="R627" s="114"/>
      <c r="S627" s="114"/>
      <c r="T627" s="114"/>
      <c r="U627" s="114"/>
      <c r="V627" s="114"/>
      <c r="W627" s="114"/>
      <c r="X627" s="114"/>
      <c r="Y627" s="114"/>
    </row>
    <row r="628">
      <c r="A628" s="1"/>
      <c r="B628" s="114"/>
      <c r="C628" s="114"/>
      <c r="D628" s="114"/>
      <c r="E628" s="114"/>
      <c r="F628" s="114"/>
      <c r="G628" s="114"/>
      <c r="H628" s="114"/>
      <c r="I628" s="114"/>
      <c r="J628" s="114"/>
      <c r="K628" s="114"/>
      <c r="L628" s="114"/>
      <c r="M628" s="114"/>
      <c r="N628" s="114"/>
      <c r="O628" s="114"/>
      <c r="P628" s="114"/>
      <c r="Q628" s="114"/>
      <c r="R628" s="114"/>
      <c r="S628" s="114"/>
      <c r="T628" s="114"/>
      <c r="U628" s="114"/>
      <c r="V628" s="114"/>
      <c r="W628" s="114"/>
      <c r="X628" s="114"/>
      <c r="Y628" s="114"/>
    </row>
    <row r="629">
      <c r="A629" s="1"/>
      <c r="B629" s="114"/>
      <c r="C629" s="114"/>
      <c r="D629" s="114"/>
      <c r="E629" s="114"/>
      <c r="F629" s="114"/>
      <c r="G629" s="114"/>
      <c r="H629" s="114"/>
      <c r="I629" s="114"/>
      <c r="J629" s="114"/>
      <c r="K629" s="114"/>
      <c r="L629" s="114"/>
      <c r="M629" s="114"/>
      <c r="N629" s="114"/>
      <c r="O629" s="114"/>
      <c r="P629" s="114"/>
      <c r="Q629" s="114"/>
      <c r="R629" s="114"/>
      <c r="S629" s="114"/>
      <c r="T629" s="114"/>
      <c r="U629" s="114"/>
      <c r="V629" s="114"/>
      <c r="W629" s="114"/>
      <c r="X629" s="114"/>
      <c r="Y629" s="114"/>
    </row>
    <row r="630">
      <c r="A630" s="1"/>
      <c r="B630" s="114"/>
      <c r="C630" s="114"/>
      <c r="D630" s="114"/>
      <c r="E630" s="114"/>
      <c r="F630" s="114"/>
      <c r="G630" s="114"/>
      <c r="H630" s="114"/>
      <c r="I630" s="114"/>
      <c r="J630" s="114"/>
      <c r="K630" s="114"/>
      <c r="L630" s="114"/>
      <c r="M630" s="114"/>
      <c r="N630" s="114"/>
      <c r="O630" s="114"/>
      <c r="P630" s="114"/>
      <c r="Q630" s="114"/>
      <c r="R630" s="114"/>
      <c r="S630" s="114"/>
      <c r="T630" s="114"/>
      <c r="U630" s="114"/>
      <c r="V630" s="114"/>
      <c r="W630" s="114"/>
      <c r="X630" s="114"/>
      <c r="Y630" s="114"/>
    </row>
    <row r="631">
      <c r="A631" s="1"/>
      <c r="B631" s="114"/>
      <c r="C631" s="114"/>
      <c r="D631" s="114"/>
      <c r="E631" s="114"/>
      <c r="F631" s="114"/>
      <c r="G631" s="114"/>
      <c r="H631" s="114"/>
      <c r="I631" s="114"/>
      <c r="J631" s="114"/>
      <c r="K631" s="114"/>
      <c r="L631" s="114"/>
      <c r="M631" s="114"/>
      <c r="N631" s="114"/>
      <c r="O631" s="114"/>
      <c r="P631" s="114"/>
      <c r="Q631" s="114"/>
      <c r="R631" s="114"/>
      <c r="S631" s="114"/>
      <c r="T631" s="114"/>
      <c r="U631" s="114"/>
      <c r="V631" s="114"/>
      <c r="W631" s="114"/>
      <c r="X631" s="114"/>
      <c r="Y631" s="114"/>
    </row>
    <row r="632">
      <c r="A632" s="1"/>
      <c r="B632" s="114"/>
      <c r="C632" s="114"/>
      <c r="D632" s="114"/>
      <c r="E632" s="114"/>
      <c r="F632" s="114"/>
      <c r="G632" s="114"/>
      <c r="H632" s="114"/>
      <c r="I632" s="114"/>
      <c r="J632" s="114"/>
      <c r="K632" s="114"/>
      <c r="L632" s="114"/>
      <c r="M632" s="114"/>
      <c r="N632" s="114"/>
      <c r="O632" s="114"/>
      <c r="P632" s="114"/>
      <c r="Q632" s="114"/>
      <c r="R632" s="114"/>
      <c r="S632" s="114"/>
      <c r="T632" s="114"/>
      <c r="U632" s="114"/>
      <c r="V632" s="114"/>
      <c r="W632" s="114"/>
      <c r="X632" s="114"/>
      <c r="Y632" s="114"/>
    </row>
    <row r="633">
      <c r="A633" s="1"/>
      <c r="B633" s="114"/>
      <c r="C633" s="114"/>
      <c r="D633" s="114"/>
      <c r="E633" s="114"/>
      <c r="F633" s="114"/>
      <c r="G633" s="114"/>
      <c r="H633" s="114"/>
      <c r="I633" s="114"/>
      <c r="J633" s="114"/>
      <c r="K633" s="114"/>
      <c r="L633" s="114"/>
      <c r="M633" s="114"/>
      <c r="N633" s="114"/>
      <c r="O633" s="114"/>
      <c r="P633" s="114"/>
      <c r="Q633" s="114"/>
      <c r="R633" s="114"/>
      <c r="S633" s="114"/>
      <c r="T633" s="114"/>
      <c r="U633" s="114"/>
      <c r="V633" s="114"/>
      <c r="W633" s="114"/>
      <c r="X633" s="114"/>
      <c r="Y633" s="114"/>
    </row>
    <row r="634">
      <c r="A634" s="1"/>
      <c r="B634" s="114"/>
      <c r="C634" s="114"/>
      <c r="D634" s="114"/>
      <c r="E634" s="114"/>
      <c r="F634" s="114"/>
      <c r="G634" s="114"/>
      <c r="H634" s="114"/>
      <c r="I634" s="114"/>
      <c r="J634" s="114"/>
      <c r="K634" s="114"/>
      <c r="L634" s="114"/>
      <c r="M634" s="114"/>
      <c r="N634" s="114"/>
      <c r="O634" s="114"/>
      <c r="P634" s="114"/>
      <c r="Q634" s="114"/>
      <c r="R634" s="114"/>
      <c r="S634" s="114"/>
      <c r="T634" s="114"/>
      <c r="U634" s="114"/>
      <c r="V634" s="114"/>
      <c r="W634" s="114"/>
      <c r="X634" s="114"/>
      <c r="Y634" s="114"/>
    </row>
    <row r="635">
      <c r="A635" s="1"/>
      <c r="B635" s="114"/>
      <c r="C635" s="114"/>
      <c r="D635" s="114"/>
      <c r="E635" s="114"/>
      <c r="F635" s="114"/>
      <c r="G635" s="114"/>
      <c r="H635" s="114"/>
      <c r="I635" s="114"/>
      <c r="J635" s="114"/>
      <c r="K635" s="114"/>
      <c r="L635" s="114"/>
      <c r="M635" s="114"/>
      <c r="N635" s="114"/>
      <c r="O635" s="114"/>
      <c r="P635" s="114"/>
      <c r="Q635" s="114"/>
      <c r="R635" s="114"/>
      <c r="S635" s="114"/>
      <c r="T635" s="114"/>
      <c r="U635" s="114"/>
      <c r="V635" s="114"/>
      <c r="W635" s="114"/>
      <c r="X635" s="114"/>
      <c r="Y635" s="114"/>
    </row>
    <row r="636">
      <c r="A636" s="1"/>
      <c r="B636" s="114"/>
      <c r="C636" s="114"/>
      <c r="D636" s="114"/>
      <c r="E636" s="114"/>
      <c r="F636" s="114"/>
      <c r="G636" s="114"/>
      <c r="H636" s="114"/>
      <c r="I636" s="114"/>
      <c r="J636" s="114"/>
      <c r="K636" s="114"/>
      <c r="L636" s="114"/>
      <c r="M636" s="114"/>
      <c r="N636" s="114"/>
      <c r="O636" s="114"/>
      <c r="P636" s="114"/>
      <c r="Q636" s="114"/>
      <c r="R636" s="114"/>
      <c r="S636" s="114"/>
      <c r="T636" s="114"/>
      <c r="U636" s="114"/>
      <c r="V636" s="114"/>
      <c r="W636" s="114"/>
      <c r="X636" s="114"/>
      <c r="Y636" s="114"/>
    </row>
    <row r="637">
      <c r="A637" s="1"/>
      <c r="B637" s="114"/>
      <c r="C637" s="114"/>
      <c r="D637" s="114"/>
      <c r="E637" s="114"/>
      <c r="F637" s="114"/>
      <c r="G637" s="114"/>
      <c r="H637" s="114"/>
      <c r="I637" s="114"/>
      <c r="J637" s="114"/>
      <c r="K637" s="114"/>
      <c r="L637" s="114"/>
      <c r="M637" s="114"/>
      <c r="N637" s="114"/>
      <c r="O637" s="114"/>
      <c r="P637" s="114"/>
      <c r="Q637" s="114"/>
      <c r="R637" s="114"/>
      <c r="S637" s="114"/>
      <c r="T637" s="114"/>
      <c r="U637" s="114"/>
      <c r="V637" s="114"/>
      <c r="W637" s="114"/>
      <c r="X637" s="114"/>
      <c r="Y637" s="114"/>
    </row>
    <row r="638">
      <c r="A638" s="1"/>
      <c r="B638" s="114"/>
      <c r="C638" s="114"/>
      <c r="D638" s="114"/>
      <c r="E638" s="114"/>
      <c r="F638" s="114"/>
      <c r="G638" s="114"/>
      <c r="H638" s="114"/>
      <c r="I638" s="114"/>
      <c r="J638" s="114"/>
      <c r="K638" s="114"/>
      <c r="L638" s="114"/>
      <c r="M638" s="114"/>
      <c r="N638" s="114"/>
      <c r="O638" s="114"/>
      <c r="P638" s="114"/>
      <c r="Q638" s="114"/>
      <c r="R638" s="114"/>
      <c r="S638" s="114"/>
      <c r="T638" s="114"/>
      <c r="U638" s="114"/>
      <c r="V638" s="114"/>
      <c r="W638" s="114"/>
      <c r="X638" s="114"/>
      <c r="Y638" s="114"/>
    </row>
    <row r="639">
      <c r="A639" s="1"/>
      <c r="B639" s="114"/>
      <c r="C639" s="114"/>
      <c r="D639" s="114"/>
      <c r="E639" s="114"/>
      <c r="F639" s="114"/>
      <c r="G639" s="114"/>
      <c r="H639" s="114"/>
      <c r="I639" s="114"/>
      <c r="J639" s="114"/>
      <c r="K639" s="114"/>
      <c r="L639" s="114"/>
      <c r="M639" s="114"/>
      <c r="N639" s="114"/>
      <c r="O639" s="114"/>
      <c r="P639" s="114"/>
      <c r="Q639" s="114"/>
      <c r="R639" s="114"/>
      <c r="S639" s="114"/>
      <c r="T639" s="114"/>
      <c r="U639" s="114"/>
      <c r="V639" s="114"/>
      <c r="W639" s="114"/>
      <c r="X639" s="114"/>
      <c r="Y639" s="114"/>
    </row>
    <row r="640">
      <c r="A640" s="1"/>
      <c r="B640" s="114"/>
      <c r="C640" s="114"/>
      <c r="D640" s="114"/>
      <c r="E640" s="114"/>
      <c r="F640" s="114"/>
      <c r="G640" s="114"/>
      <c r="H640" s="114"/>
      <c r="I640" s="114"/>
      <c r="J640" s="114"/>
      <c r="K640" s="114"/>
      <c r="L640" s="114"/>
      <c r="M640" s="114"/>
      <c r="N640" s="114"/>
      <c r="O640" s="114"/>
      <c r="P640" s="114"/>
      <c r="Q640" s="114"/>
      <c r="R640" s="114"/>
      <c r="S640" s="114"/>
      <c r="T640" s="114"/>
      <c r="U640" s="114"/>
      <c r="V640" s="114"/>
      <c r="W640" s="114"/>
      <c r="X640" s="114"/>
      <c r="Y640" s="114"/>
    </row>
    <row r="641">
      <c r="A641" s="1"/>
      <c r="B641" s="114"/>
      <c r="C641" s="114"/>
      <c r="D641" s="114"/>
      <c r="E641" s="114"/>
      <c r="F641" s="114"/>
      <c r="G641" s="114"/>
      <c r="H641" s="114"/>
      <c r="I641" s="114"/>
      <c r="J641" s="114"/>
      <c r="K641" s="114"/>
      <c r="L641" s="114"/>
      <c r="M641" s="114"/>
      <c r="N641" s="114"/>
      <c r="O641" s="114"/>
      <c r="P641" s="114"/>
      <c r="Q641" s="114"/>
      <c r="R641" s="114"/>
      <c r="S641" s="114"/>
      <c r="T641" s="114"/>
      <c r="U641" s="114"/>
      <c r="V641" s="114"/>
      <c r="W641" s="114"/>
      <c r="X641" s="114"/>
      <c r="Y641" s="114"/>
    </row>
    <row r="642">
      <c r="A642" s="1"/>
      <c r="B642" s="114"/>
      <c r="C642" s="114"/>
      <c r="D642" s="114"/>
      <c r="E642" s="114"/>
      <c r="F642" s="114"/>
      <c r="G642" s="114"/>
      <c r="H642" s="114"/>
      <c r="I642" s="114"/>
      <c r="J642" s="114"/>
      <c r="K642" s="114"/>
      <c r="L642" s="114"/>
      <c r="M642" s="114"/>
      <c r="N642" s="114"/>
      <c r="O642" s="114"/>
      <c r="P642" s="114"/>
      <c r="Q642" s="114"/>
      <c r="R642" s="114"/>
      <c r="S642" s="114"/>
      <c r="T642" s="114"/>
      <c r="U642" s="114"/>
      <c r="V642" s="114"/>
      <c r="W642" s="114"/>
      <c r="X642" s="114"/>
      <c r="Y642" s="114"/>
    </row>
    <row r="643">
      <c r="A643" s="1"/>
      <c r="B643" s="114"/>
      <c r="C643" s="114"/>
      <c r="D643" s="114"/>
      <c r="E643" s="114"/>
      <c r="F643" s="114"/>
      <c r="G643" s="114"/>
      <c r="H643" s="114"/>
      <c r="I643" s="114"/>
      <c r="J643" s="114"/>
      <c r="K643" s="114"/>
      <c r="L643" s="114"/>
      <c r="M643" s="114"/>
      <c r="N643" s="114"/>
      <c r="O643" s="114"/>
      <c r="P643" s="114"/>
      <c r="Q643" s="114"/>
      <c r="R643" s="114"/>
      <c r="S643" s="114"/>
      <c r="T643" s="114"/>
      <c r="U643" s="114"/>
      <c r="V643" s="114"/>
      <c r="W643" s="114"/>
      <c r="X643" s="114"/>
      <c r="Y643" s="114"/>
    </row>
    <row r="644">
      <c r="A644" s="1"/>
      <c r="B644" s="114"/>
      <c r="C644" s="114"/>
      <c r="D644" s="114"/>
      <c r="E644" s="114"/>
      <c r="F644" s="114"/>
      <c r="G644" s="114"/>
      <c r="H644" s="114"/>
      <c r="I644" s="114"/>
      <c r="J644" s="114"/>
      <c r="K644" s="114"/>
      <c r="L644" s="114"/>
      <c r="M644" s="114"/>
      <c r="N644" s="114"/>
      <c r="O644" s="114"/>
      <c r="P644" s="114"/>
      <c r="Q644" s="114"/>
      <c r="R644" s="114"/>
      <c r="S644" s="114"/>
      <c r="T644" s="114"/>
      <c r="U644" s="114"/>
      <c r="V644" s="114"/>
      <c r="W644" s="114"/>
      <c r="X644" s="114"/>
      <c r="Y644" s="114"/>
    </row>
    <row r="645">
      <c r="A645" s="1"/>
      <c r="B645" s="114"/>
      <c r="C645" s="114"/>
      <c r="D645" s="114"/>
      <c r="E645" s="114"/>
      <c r="F645" s="114"/>
      <c r="G645" s="114"/>
      <c r="H645" s="114"/>
      <c r="I645" s="114"/>
      <c r="J645" s="114"/>
      <c r="K645" s="114"/>
      <c r="L645" s="114"/>
      <c r="M645" s="114"/>
      <c r="N645" s="114"/>
      <c r="O645" s="114"/>
      <c r="P645" s="114"/>
      <c r="Q645" s="114"/>
      <c r="R645" s="114"/>
      <c r="S645" s="114"/>
      <c r="T645" s="114"/>
      <c r="U645" s="114"/>
      <c r="V645" s="114"/>
      <c r="W645" s="114"/>
      <c r="X645" s="114"/>
      <c r="Y645" s="114"/>
    </row>
    <row r="646">
      <c r="A646" s="1"/>
      <c r="B646" s="114"/>
      <c r="C646" s="114"/>
      <c r="D646" s="114"/>
      <c r="E646" s="114"/>
      <c r="F646" s="114"/>
      <c r="G646" s="114"/>
      <c r="H646" s="114"/>
      <c r="I646" s="114"/>
      <c r="J646" s="114"/>
      <c r="K646" s="114"/>
      <c r="L646" s="114"/>
      <c r="M646" s="114"/>
      <c r="N646" s="114"/>
      <c r="O646" s="114"/>
      <c r="P646" s="114"/>
      <c r="Q646" s="114"/>
      <c r="R646" s="114"/>
      <c r="S646" s="114"/>
      <c r="T646" s="114"/>
      <c r="U646" s="114"/>
      <c r="V646" s="114"/>
      <c r="W646" s="114"/>
      <c r="X646" s="114"/>
      <c r="Y646" s="114"/>
    </row>
    <row r="647">
      <c r="A647" s="1"/>
      <c r="B647" s="114"/>
      <c r="C647" s="114"/>
      <c r="D647" s="114"/>
      <c r="E647" s="114"/>
      <c r="F647" s="114"/>
      <c r="G647" s="114"/>
      <c r="H647" s="114"/>
      <c r="I647" s="114"/>
      <c r="J647" s="114"/>
      <c r="K647" s="114"/>
      <c r="L647" s="114"/>
      <c r="M647" s="114"/>
      <c r="N647" s="114"/>
      <c r="O647" s="114"/>
      <c r="P647" s="114"/>
      <c r="Q647" s="114"/>
      <c r="R647" s="114"/>
      <c r="S647" s="114"/>
      <c r="T647" s="114"/>
      <c r="U647" s="114"/>
      <c r="V647" s="114"/>
      <c r="W647" s="114"/>
      <c r="X647" s="114"/>
      <c r="Y647" s="114"/>
    </row>
    <row r="648">
      <c r="A648" s="1"/>
      <c r="B648" s="114"/>
      <c r="C648" s="114"/>
      <c r="D648" s="114"/>
      <c r="E648" s="114"/>
      <c r="F648" s="114"/>
      <c r="G648" s="114"/>
      <c r="H648" s="114"/>
      <c r="I648" s="114"/>
      <c r="J648" s="114"/>
      <c r="K648" s="114"/>
      <c r="L648" s="114"/>
      <c r="M648" s="114"/>
      <c r="N648" s="114"/>
      <c r="O648" s="114"/>
      <c r="P648" s="114"/>
      <c r="Q648" s="114"/>
      <c r="R648" s="114"/>
      <c r="S648" s="114"/>
      <c r="T648" s="114"/>
      <c r="U648" s="114"/>
      <c r="V648" s="114"/>
      <c r="W648" s="114"/>
      <c r="X648" s="114"/>
      <c r="Y648" s="114"/>
    </row>
    <row r="649">
      <c r="A649" s="1"/>
      <c r="B649" s="114"/>
      <c r="C649" s="114"/>
      <c r="D649" s="114"/>
      <c r="E649" s="114"/>
      <c r="F649" s="114"/>
      <c r="G649" s="114"/>
      <c r="H649" s="114"/>
      <c r="I649" s="114"/>
      <c r="J649" s="114"/>
      <c r="K649" s="114"/>
      <c r="L649" s="114"/>
      <c r="M649" s="114"/>
      <c r="N649" s="114"/>
      <c r="O649" s="114"/>
      <c r="P649" s="114"/>
      <c r="Q649" s="114"/>
      <c r="R649" s="114"/>
      <c r="S649" s="114"/>
      <c r="T649" s="114"/>
      <c r="U649" s="114"/>
      <c r="V649" s="114"/>
      <c r="W649" s="114"/>
      <c r="X649" s="114"/>
      <c r="Y649" s="114"/>
    </row>
    <row r="650">
      <c r="A650" s="1"/>
      <c r="B650" s="114"/>
      <c r="C650" s="114"/>
      <c r="D650" s="114"/>
      <c r="E650" s="114"/>
      <c r="F650" s="114"/>
      <c r="G650" s="114"/>
      <c r="H650" s="114"/>
      <c r="I650" s="114"/>
      <c r="J650" s="114"/>
      <c r="K650" s="114"/>
      <c r="L650" s="114"/>
      <c r="M650" s="114"/>
      <c r="N650" s="114"/>
      <c r="O650" s="114"/>
      <c r="P650" s="114"/>
      <c r="Q650" s="114"/>
      <c r="R650" s="114"/>
      <c r="S650" s="114"/>
      <c r="T650" s="114"/>
      <c r="U650" s="114"/>
      <c r="V650" s="114"/>
      <c r="W650" s="114"/>
      <c r="X650" s="114"/>
      <c r="Y650" s="114"/>
    </row>
    <row r="651">
      <c r="A651" s="1"/>
      <c r="B651" s="114"/>
      <c r="C651" s="114"/>
      <c r="D651" s="114"/>
      <c r="E651" s="114"/>
      <c r="F651" s="114"/>
      <c r="G651" s="114"/>
      <c r="H651" s="114"/>
      <c r="I651" s="114"/>
      <c r="J651" s="114"/>
      <c r="K651" s="114"/>
      <c r="L651" s="114"/>
      <c r="M651" s="114"/>
      <c r="N651" s="114"/>
      <c r="O651" s="114"/>
      <c r="P651" s="114"/>
      <c r="Q651" s="114"/>
      <c r="R651" s="114"/>
      <c r="S651" s="114"/>
      <c r="T651" s="114"/>
      <c r="U651" s="114"/>
      <c r="V651" s="114"/>
      <c r="W651" s="114"/>
      <c r="X651" s="114"/>
      <c r="Y651" s="114"/>
    </row>
    <row r="652">
      <c r="A652" s="1"/>
      <c r="B652" s="114"/>
      <c r="C652" s="114"/>
      <c r="D652" s="114"/>
      <c r="E652" s="114"/>
      <c r="F652" s="114"/>
      <c r="G652" s="114"/>
      <c r="H652" s="114"/>
      <c r="I652" s="114"/>
      <c r="J652" s="114"/>
      <c r="K652" s="114"/>
      <c r="L652" s="114"/>
      <c r="M652" s="114"/>
      <c r="N652" s="114"/>
      <c r="O652" s="114"/>
      <c r="P652" s="114"/>
      <c r="Q652" s="114"/>
      <c r="R652" s="114"/>
      <c r="S652" s="114"/>
      <c r="T652" s="114"/>
      <c r="U652" s="114"/>
      <c r="V652" s="114"/>
      <c r="W652" s="114"/>
      <c r="X652" s="114"/>
      <c r="Y652" s="114"/>
    </row>
    <row r="653">
      <c r="A653" s="1"/>
      <c r="B653" s="114"/>
      <c r="C653" s="114"/>
      <c r="D653" s="114"/>
      <c r="E653" s="114"/>
      <c r="F653" s="114"/>
      <c r="G653" s="114"/>
      <c r="H653" s="114"/>
      <c r="I653" s="114"/>
      <c r="J653" s="114"/>
      <c r="K653" s="114"/>
      <c r="L653" s="114"/>
      <c r="M653" s="114"/>
      <c r="N653" s="114"/>
      <c r="O653" s="114"/>
      <c r="P653" s="114"/>
      <c r="Q653" s="114"/>
      <c r="R653" s="114"/>
      <c r="S653" s="114"/>
      <c r="T653" s="114"/>
      <c r="U653" s="114"/>
      <c r="V653" s="114"/>
      <c r="W653" s="114"/>
      <c r="X653" s="114"/>
      <c r="Y653" s="114"/>
    </row>
    <row r="654">
      <c r="A654" s="1"/>
      <c r="B654" s="114"/>
      <c r="C654" s="114"/>
      <c r="D654" s="114"/>
      <c r="E654" s="114"/>
      <c r="F654" s="114"/>
      <c r="G654" s="114"/>
      <c r="H654" s="114"/>
      <c r="I654" s="114"/>
      <c r="J654" s="114"/>
      <c r="K654" s="114"/>
      <c r="L654" s="114"/>
      <c r="M654" s="114"/>
      <c r="N654" s="114"/>
      <c r="O654" s="114"/>
      <c r="P654" s="114"/>
      <c r="Q654" s="114"/>
      <c r="R654" s="114"/>
      <c r="S654" s="114"/>
      <c r="T654" s="114"/>
      <c r="U654" s="114"/>
      <c r="V654" s="114"/>
      <c r="W654" s="114"/>
      <c r="X654" s="114"/>
      <c r="Y654" s="114"/>
    </row>
    <row r="655">
      <c r="A655" s="1"/>
      <c r="B655" s="114"/>
      <c r="C655" s="114"/>
      <c r="D655" s="114"/>
      <c r="E655" s="114"/>
      <c r="F655" s="114"/>
      <c r="G655" s="114"/>
      <c r="H655" s="114"/>
      <c r="I655" s="114"/>
      <c r="J655" s="114"/>
      <c r="K655" s="114"/>
      <c r="L655" s="114"/>
      <c r="M655" s="114"/>
      <c r="N655" s="114"/>
      <c r="O655" s="114"/>
      <c r="P655" s="114"/>
      <c r="Q655" s="114"/>
      <c r="R655" s="114"/>
      <c r="S655" s="114"/>
      <c r="T655" s="114"/>
      <c r="U655" s="114"/>
      <c r="V655" s="114"/>
      <c r="W655" s="114"/>
      <c r="X655" s="114"/>
      <c r="Y655" s="114"/>
    </row>
    <row r="656">
      <c r="A656" s="1"/>
      <c r="B656" s="114"/>
      <c r="C656" s="114"/>
      <c r="D656" s="114"/>
      <c r="E656" s="114"/>
      <c r="F656" s="114"/>
      <c r="G656" s="114"/>
      <c r="H656" s="114"/>
      <c r="I656" s="114"/>
      <c r="J656" s="114"/>
      <c r="K656" s="114"/>
      <c r="L656" s="114"/>
      <c r="M656" s="114"/>
      <c r="N656" s="114"/>
      <c r="O656" s="114"/>
      <c r="P656" s="114"/>
      <c r="Q656" s="114"/>
      <c r="R656" s="114"/>
      <c r="S656" s="114"/>
      <c r="T656" s="114"/>
      <c r="U656" s="114"/>
      <c r="V656" s="114"/>
      <c r="W656" s="114"/>
      <c r="X656" s="114"/>
      <c r="Y656" s="114"/>
    </row>
    <row r="657">
      <c r="A657" s="1"/>
      <c r="B657" s="114"/>
      <c r="C657" s="114"/>
      <c r="D657" s="114"/>
      <c r="E657" s="114"/>
      <c r="F657" s="114"/>
      <c r="G657" s="114"/>
      <c r="H657" s="114"/>
      <c r="I657" s="114"/>
      <c r="J657" s="114"/>
      <c r="K657" s="114"/>
      <c r="L657" s="114"/>
      <c r="M657" s="114"/>
      <c r="N657" s="114"/>
      <c r="O657" s="114"/>
      <c r="P657" s="114"/>
      <c r="Q657" s="114"/>
      <c r="R657" s="114"/>
      <c r="S657" s="114"/>
      <c r="T657" s="114"/>
      <c r="U657" s="114"/>
      <c r="V657" s="114"/>
      <c r="W657" s="114"/>
      <c r="X657" s="114"/>
      <c r="Y657" s="114"/>
    </row>
    <row r="658">
      <c r="A658" s="1"/>
      <c r="B658" s="114"/>
      <c r="C658" s="114"/>
      <c r="D658" s="114"/>
      <c r="E658" s="114"/>
      <c r="F658" s="114"/>
      <c r="G658" s="114"/>
      <c r="H658" s="114"/>
      <c r="I658" s="114"/>
      <c r="J658" s="114"/>
      <c r="K658" s="114"/>
      <c r="L658" s="114"/>
      <c r="M658" s="114"/>
      <c r="N658" s="114"/>
      <c r="O658" s="114"/>
      <c r="P658" s="114"/>
      <c r="Q658" s="114"/>
      <c r="R658" s="114"/>
      <c r="S658" s="114"/>
      <c r="T658" s="114"/>
      <c r="U658" s="114"/>
      <c r="V658" s="114"/>
      <c r="W658" s="114"/>
      <c r="X658" s="114"/>
      <c r="Y658" s="114"/>
    </row>
    <row r="659">
      <c r="A659" s="1"/>
      <c r="B659" s="114"/>
      <c r="C659" s="114"/>
      <c r="D659" s="114"/>
      <c r="E659" s="114"/>
      <c r="F659" s="114"/>
      <c r="G659" s="114"/>
      <c r="H659" s="114"/>
      <c r="I659" s="114"/>
      <c r="J659" s="114"/>
      <c r="K659" s="114"/>
      <c r="L659" s="114"/>
      <c r="M659" s="114"/>
      <c r="N659" s="114"/>
      <c r="O659" s="114"/>
      <c r="P659" s="114"/>
      <c r="Q659" s="114"/>
      <c r="R659" s="114"/>
      <c r="S659" s="114"/>
      <c r="T659" s="114"/>
      <c r="U659" s="114"/>
      <c r="V659" s="114"/>
      <c r="W659" s="114"/>
      <c r="X659" s="114"/>
      <c r="Y659" s="114"/>
    </row>
    <row r="660">
      <c r="A660" s="1"/>
      <c r="B660" s="114"/>
      <c r="C660" s="114"/>
      <c r="D660" s="114"/>
      <c r="E660" s="114"/>
      <c r="F660" s="114"/>
      <c r="G660" s="114"/>
      <c r="H660" s="114"/>
      <c r="I660" s="114"/>
      <c r="J660" s="114"/>
      <c r="K660" s="114"/>
      <c r="L660" s="114"/>
      <c r="M660" s="114"/>
      <c r="N660" s="114"/>
      <c r="O660" s="114"/>
      <c r="P660" s="114"/>
      <c r="Q660" s="114"/>
      <c r="R660" s="114"/>
      <c r="S660" s="114"/>
      <c r="T660" s="114"/>
      <c r="U660" s="114"/>
      <c r="V660" s="114"/>
      <c r="W660" s="114"/>
      <c r="X660" s="114"/>
      <c r="Y660" s="114"/>
    </row>
    <row r="661">
      <c r="A661" s="1"/>
      <c r="B661" s="114"/>
      <c r="C661" s="114"/>
      <c r="D661" s="114"/>
      <c r="E661" s="114"/>
      <c r="F661" s="114"/>
      <c r="G661" s="114"/>
      <c r="H661" s="114"/>
      <c r="I661" s="114"/>
      <c r="J661" s="114"/>
      <c r="K661" s="114"/>
      <c r="L661" s="114"/>
      <c r="M661" s="114"/>
      <c r="N661" s="114"/>
      <c r="O661" s="114"/>
      <c r="P661" s="114"/>
      <c r="Q661" s="114"/>
      <c r="R661" s="114"/>
      <c r="S661" s="114"/>
      <c r="T661" s="114"/>
      <c r="U661" s="114"/>
      <c r="V661" s="114"/>
      <c r="W661" s="114"/>
      <c r="X661" s="114"/>
      <c r="Y661" s="114"/>
    </row>
    <row r="662">
      <c r="A662" s="1"/>
      <c r="B662" s="114"/>
      <c r="C662" s="114"/>
      <c r="D662" s="114"/>
      <c r="E662" s="114"/>
      <c r="F662" s="114"/>
      <c r="G662" s="114"/>
      <c r="H662" s="114"/>
      <c r="I662" s="114"/>
      <c r="J662" s="114"/>
      <c r="K662" s="114"/>
      <c r="L662" s="114"/>
      <c r="M662" s="114"/>
      <c r="N662" s="114"/>
      <c r="O662" s="114"/>
      <c r="P662" s="114"/>
      <c r="Q662" s="114"/>
      <c r="R662" s="114"/>
      <c r="S662" s="114"/>
      <c r="T662" s="114"/>
      <c r="U662" s="114"/>
      <c r="V662" s="114"/>
      <c r="W662" s="114"/>
      <c r="X662" s="114"/>
      <c r="Y662" s="114"/>
    </row>
    <row r="663">
      <c r="A663" s="1"/>
      <c r="B663" s="114"/>
      <c r="C663" s="114"/>
      <c r="D663" s="114"/>
      <c r="E663" s="114"/>
      <c r="F663" s="114"/>
      <c r="G663" s="114"/>
      <c r="H663" s="114"/>
      <c r="I663" s="114"/>
      <c r="J663" s="114"/>
      <c r="K663" s="114"/>
      <c r="L663" s="114"/>
      <c r="M663" s="114"/>
      <c r="N663" s="114"/>
      <c r="O663" s="114"/>
      <c r="P663" s="114"/>
      <c r="Q663" s="114"/>
      <c r="R663" s="114"/>
      <c r="S663" s="114"/>
      <c r="T663" s="114"/>
      <c r="U663" s="114"/>
      <c r="V663" s="114"/>
      <c r="W663" s="114"/>
      <c r="X663" s="114"/>
      <c r="Y663" s="114"/>
    </row>
    <row r="664">
      <c r="A664" s="1"/>
      <c r="B664" s="114"/>
      <c r="C664" s="114"/>
      <c r="D664" s="114"/>
      <c r="E664" s="114"/>
      <c r="F664" s="114"/>
      <c r="G664" s="114"/>
      <c r="H664" s="114"/>
      <c r="I664" s="114"/>
      <c r="J664" s="114"/>
      <c r="K664" s="114"/>
      <c r="L664" s="114"/>
      <c r="M664" s="114"/>
      <c r="N664" s="114"/>
      <c r="O664" s="114"/>
      <c r="P664" s="114"/>
      <c r="Q664" s="114"/>
      <c r="R664" s="114"/>
      <c r="S664" s="114"/>
      <c r="T664" s="114"/>
      <c r="U664" s="114"/>
      <c r="V664" s="114"/>
      <c r="W664" s="114"/>
      <c r="X664" s="114"/>
      <c r="Y664" s="114"/>
    </row>
    <row r="665">
      <c r="A665" s="1"/>
      <c r="B665" s="114"/>
      <c r="C665" s="114"/>
      <c r="D665" s="114"/>
      <c r="E665" s="114"/>
      <c r="F665" s="114"/>
      <c r="G665" s="114"/>
      <c r="H665" s="114"/>
      <c r="I665" s="114"/>
      <c r="J665" s="114"/>
      <c r="K665" s="114"/>
      <c r="L665" s="114"/>
      <c r="M665" s="114"/>
      <c r="N665" s="114"/>
      <c r="O665" s="114"/>
      <c r="P665" s="114"/>
      <c r="Q665" s="114"/>
      <c r="R665" s="114"/>
      <c r="S665" s="114"/>
      <c r="T665" s="114"/>
      <c r="U665" s="114"/>
      <c r="V665" s="114"/>
      <c r="W665" s="114"/>
      <c r="X665" s="114"/>
      <c r="Y665" s="114"/>
    </row>
    <row r="666">
      <c r="A666" s="1"/>
      <c r="B666" s="114"/>
      <c r="C666" s="114"/>
      <c r="D666" s="114"/>
      <c r="E666" s="114"/>
      <c r="F666" s="114"/>
      <c r="G666" s="114"/>
      <c r="H666" s="114"/>
      <c r="I666" s="114"/>
      <c r="J666" s="114"/>
      <c r="K666" s="114"/>
      <c r="L666" s="114"/>
      <c r="M666" s="114"/>
      <c r="N666" s="114"/>
      <c r="O666" s="114"/>
      <c r="P666" s="114"/>
      <c r="Q666" s="114"/>
      <c r="R666" s="114"/>
      <c r="S666" s="114"/>
      <c r="T666" s="114"/>
      <c r="U666" s="114"/>
      <c r="V666" s="114"/>
      <c r="W666" s="114"/>
      <c r="X666" s="114"/>
      <c r="Y666" s="114"/>
    </row>
    <row r="667">
      <c r="A667" s="1"/>
      <c r="B667" s="114"/>
      <c r="C667" s="114"/>
      <c r="D667" s="114"/>
      <c r="E667" s="114"/>
      <c r="F667" s="114"/>
      <c r="G667" s="114"/>
      <c r="H667" s="114"/>
      <c r="I667" s="114"/>
      <c r="J667" s="114"/>
      <c r="K667" s="114"/>
      <c r="L667" s="114"/>
      <c r="M667" s="114"/>
      <c r="N667" s="114"/>
      <c r="O667" s="114"/>
      <c r="P667" s="114"/>
      <c r="Q667" s="114"/>
      <c r="R667" s="114"/>
      <c r="S667" s="114"/>
      <c r="T667" s="114"/>
      <c r="U667" s="114"/>
      <c r="V667" s="114"/>
      <c r="W667" s="114"/>
      <c r="X667" s="114"/>
      <c r="Y667" s="114"/>
    </row>
    <row r="668">
      <c r="A668" s="1"/>
      <c r="B668" s="114"/>
      <c r="C668" s="114"/>
      <c r="D668" s="114"/>
      <c r="E668" s="114"/>
      <c r="F668" s="114"/>
      <c r="G668" s="114"/>
      <c r="H668" s="114"/>
      <c r="I668" s="114"/>
      <c r="J668" s="114"/>
      <c r="K668" s="114"/>
      <c r="L668" s="114"/>
      <c r="M668" s="114"/>
      <c r="N668" s="114"/>
      <c r="O668" s="114"/>
      <c r="P668" s="114"/>
      <c r="Q668" s="114"/>
      <c r="R668" s="114"/>
      <c r="S668" s="114"/>
      <c r="T668" s="114"/>
      <c r="U668" s="114"/>
      <c r="V668" s="114"/>
      <c r="W668" s="114"/>
      <c r="X668" s="114"/>
      <c r="Y668" s="114"/>
    </row>
    <row r="669">
      <c r="A669" s="1"/>
      <c r="B669" s="114"/>
      <c r="C669" s="114"/>
      <c r="D669" s="114"/>
      <c r="E669" s="114"/>
      <c r="F669" s="114"/>
      <c r="G669" s="114"/>
      <c r="H669" s="114"/>
      <c r="I669" s="114"/>
      <c r="J669" s="114"/>
      <c r="K669" s="114"/>
      <c r="L669" s="114"/>
      <c r="M669" s="114"/>
      <c r="N669" s="114"/>
      <c r="O669" s="114"/>
      <c r="P669" s="114"/>
      <c r="Q669" s="114"/>
      <c r="R669" s="114"/>
      <c r="S669" s="114"/>
      <c r="T669" s="114"/>
      <c r="U669" s="114"/>
      <c r="V669" s="114"/>
      <c r="W669" s="114"/>
      <c r="X669" s="114"/>
      <c r="Y669" s="114"/>
    </row>
    <row r="670">
      <c r="A670" s="1"/>
      <c r="B670" s="114"/>
      <c r="C670" s="114"/>
      <c r="D670" s="114"/>
      <c r="E670" s="114"/>
      <c r="F670" s="114"/>
      <c r="G670" s="114"/>
      <c r="H670" s="114"/>
      <c r="I670" s="114"/>
      <c r="J670" s="114"/>
      <c r="K670" s="114"/>
      <c r="L670" s="114"/>
      <c r="M670" s="114"/>
      <c r="N670" s="114"/>
      <c r="O670" s="114"/>
      <c r="P670" s="114"/>
      <c r="Q670" s="114"/>
      <c r="R670" s="114"/>
      <c r="S670" s="114"/>
      <c r="T670" s="114"/>
      <c r="U670" s="114"/>
      <c r="V670" s="114"/>
      <c r="W670" s="114"/>
      <c r="X670" s="114"/>
      <c r="Y670" s="114"/>
    </row>
    <row r="671">
      <c r="A671" s="1"/>
      <c r="B671" s="114"/>
      <c r="C671" s="114"/>
      <c r="D671" s="114"/>
      <c r="E671" s="114"/>
      <c r="F671" s="114"/>
      <c r="G671" s="114"/>
      <c r="H671" s="114"/>
      <c r="I671" s="114"/>
      <c r="J671" s="114"/>
      <c r="K671" s="114"/>
      <c r="L671" s="114"/>
      <c r="M671" s="114"/>
      <c r="N671" s="114"/>
      <c r="O671" s="114"/>
      <c r="P671" s="114"/>
      <c r="Q671" s="114"/>
      <c r="R671" s="114"/>
      <c r="S671" s="114"/>
      <c r="T671" s="114"/>
      <c r="U671" s="114"/>
      <c r="V671" s="114"/>
      <c r="W671" s="114"/>
      <c r="X671" s="114"/>
      <c r="Y671" s="114"/>
    </row>
    <row r="672">
      <c r="A672" s="1"/>
      <c r="B672" s="114"/>
      <c r="C672" s="114"/>
      <c r="D672" s="114"/>
      <c r="E672" s="114"/>
      <c r="F672" s="114"/>
      <c r="G672" s="114"/>
      <c r="H672" s="114"/>
      <c r="I672" s="114"/>
      <c r="J672" s="114"/>
      <c r="K672" s="114"/>
      <c r="L672" s="114"/>
      <c r="M672" s="114"/>
      <c r="N672" s="114"/>
      <c r="O672" s="114"/>
      <c r="P672" s="114"/>
      <c r="Q672" s="114"/>
      <c r="R672" s="114"/>
      <c r="S672" s="114"/>
      <c r="T672" s="114"/>
      <c r="U672" s="114"/>
      <c r="V672" s="114"/>
      <c r="W672" s="114"/>
      <c r="X672" s="114"/>
      <c r="Y672" s="114"/>
    </row>
    <row r="673">
      <c r="A673" s="1"/>
      <c r="B673" s="114"/>
      <c r="C673" s="114"/>
      <c r="D673" s="114"/>
      <c r="E673" s="114"/>
      <c r="F673" s="114"/>
      <c r="G673" s="114"/>
      <c r="H673" s="114"/>
      <c r="I673" s="114"/>
      <c r="J673" s="114"/>
      <c r="K673" s="114"/>
      <c r="L673" s="114"/>
      <c r="M673" s="114"/>
      <c r="N673" s="114"/>
      <c r="O673" s="114"/>
      <c r="P673" s="114"/>
      <c r="Q673" s="114"/>
      <c r="R673" s="114"/>
      <c r="S673" s="114"/>
      <c r="T673" s="114"/>
      <c r="U673" s="114"/>
      <c r="V673" s="114"/>
      <c r="W673" s="114"/>
      <c r="X673" s="114"/>
      <c r="Y673" s="114"/>
    </row>
    <row r="674">
      <c r="A674" s="1"/>
      <c r="B674" s="114"/>
      <c r="C674" s="114"/>
      <c r="D674" s="114"/>
      <c r="E674" s="114"/>
      <c r="F674" s="114"/>
      <c r="G674" s="114"/>
      <c r="H674" s="114"/>
      <c r="I674" s="114"/>
      <c r="J674" s="114"/>
      <c r="K674" s="114"/>
      <c r="L674" s="114"/>
      <c r="M674" s="114"/>
      <c r="N674" s="114"/>
      <c r="O674" s="114"/>
      <c r="P674" s="114"/>
      <c r="Q674" s="114"/>
      <c r="R674" s="114"/>
      <c r="S674" s="114"/>
      <c r="T674" s="114"/>
      <c r="U674" s="114"/>
      <c r="V674" s="114"/>
      <c r="W674" s="114"/>
      <c r="X674" s="114"/>
      <c r="Y674" s="114"/>
    </row>
    <row r="675">
      <c r="A675" s="1"/>
      <c r="B675" s="114"/>
      <c r="C675" s="114"/>
      <c r="D675" s="114"/>
      <c r="E675" s="114"/>
      <c r="F675" s="114"/>
      <c r="G675" s="114"/>
      <c r="H675" s="114"/>
      <c r="I675" s="114"/>
      <c r="J675" s="114"/>
      <c r="K675" s="114"/>
      <c r="L675" s="114"/>
      <c r="M675" s="114"/>
      <c r="N675" s="114"/>
      <c r="O675" s="114"/>
      <c r="P675" s="114"/>
      <c r="Q675" s="114"/>
      <c r="R675" s="114"/>
      <c r="S675" s="114"/>
      <c r="T675" s="114"/>
      <c r="U675" s="114"/>
      <c r="V675" s="114"/>
      <c r="W675" s="114"/>
      <c r="X675" s="114"/>
      <c r="Y675" s="114"/>
    </row>
    <row r="676">
      <c r="A676" s="1"/>
      <c r="B676" s="114"/>
      <c r="C676" s="114"/>
      <c r="D676" s="114"/>
      <c r="E676" s="114"/>
      <c r="F676" s="114"/>
      <c r="G676" s="114"/>
      <c r="H676" s="114"/>
      <c r="I676" s="114"/>
      <c r="J676" s="114"/>
      <c r="K676" s="114"/>
      <c r="L676" s="114"/>
      <c r="M676" s="114"/>
      <c r="N676" s="114"/>
      <c r="O676" s="114"/>
      <c r="P676" s="114"/>
      <c r="Q676" s="114"/>
      <c r="R676" s="114"/>
      <c r="S676" s="114"/>
      <c r="T676" s="114"/>
      <c r="U676" s="114"/>
      <c r="V676" s="114"/>
      <c r="W676" s="114"/>
      <c r="X676" s="114"/>
      <c r="Y676" s="114"/>
    </row>
    <row r="677">
      <c r="A677" s="1"/>
      <c r="B677" s="114"/>
      <c r="C677" s="114"/>
      <c r="D677" s="114"/>
      <c r="E677" s="114"/>
      <c r="F677" s="114"/>
      <c r="G677" s="114"/>
      <c r="H677" s="114"/>
      <c r="I677" s="114"/>
      <c r="J677" s="114"/>
      <c r="K677" s="114"/>
      <c r="L677" s="114"/>
      <c r="M677" s="114"/>
      <c r="N677" s="114"/>
      <c r="O677" s="114"/>
      <c r="P677" s="114"/>
      <c r="Q677" s="114"/>
      <c r="R677" s="114"/>
      <c r="S677" s="114"/>
      <c r="T677" s="114"/>
      <c r="U677" s="114"/>
      <c r="V677" s="114"/>
      <c r="W677" s="114"/>
      <c r="X677" s="114"/>
      <c r="Y677" s="114"/>
    </row>
    <row r="678">
      <c r="A678" s="1"/>
      <c r="B678" s="114"/>
      <c r="C678" s="114"/>
      <c r="D678" s="114"/>
      <c r="E678" s="114"/>
      <c r="F678" s="114"/>
      <c r="G678" s="114"/>
      <c r="H678" s="114"/>
      <c r="I678" s="114"/>
      <c r="J678" s="114"/>
      <c r="K678" s="114"/>
      <c r="L678" s="114"/>
      <c r="M678" s="114"/>
      <c r="N678" s="114"/>
      <c r="O678" s="114"/>
      <c r="P678" s="114"/>
      <c r="Q678" s="114"/>
      <c r="R678" s="114"/>
      <c r="S678" s="114"/>
      <c r="T678" s="114"/>
      <c r="U678" s="114"/>
      <c r="V678" s="114"/>
      <c r="W678" s="114"/>
      <c r="X678" s="114"/>
      <c r="Y678" s="114"/>
    </row>
    <row r="679">
      <c r="A679" s="1"/>
      <c r="B679" s="114"/>
      <c r="C679" s="114"/>
      <c r="D679" s="114"/>
      <c r="E679" s="114"/>
      <c r="F679" s="114"/>
      <c r="G679" s="114"/>
      <c r="H679" s="114"/>
      <c r="I679" s="114"/>
      <c r="J679" s="114"/>
      <c r="K679" s="114"/>
      <c r="L679" s="114"/>
      <c r="M679" s="114"/>
      <c r="N679" s="114"/>
      <c r="O679" s="114"/>
      <c r="P679" s="114"/>
      <c r="Q679" s="114"/>
      <c r="R679" s="114"/>
      <c r="S679" s="114"/>
      <c r="T679" s="114"/>
      <c r="U679" s="114"/>
      <c r="V679" s="114"/>
      <c r="W679" s="114"/>
      <c r="X679" s="114"/>
      <c r="Y679" s="114"/>
    </row>
    <row r="680">
      <c r="A680" s="1"/>
      <c r="B680" s="114"/>
      <c r="C680" s="114"/>
      <c r="D680" s="114"/>
      <c r="E680" s="114"/>
      <c r="F680" s="114"/>
      <c r="G680" s="114"/>
      <c r="H680" s="114"/>
      <c r="I680" s="114"/>
      <c r="J680" s="114"/>
      <c r="K680" s="114"/>
      <c r="L680" s="114"/>
      <c r="M680" s="114"/>
      <c r="N680" s="114"/>
      <c r="O680" s="114"/>
      <c r="P680" s="114"/>
      <c r="Q680" s="114"/>
      <c r="R680" s="114"/>
      <c r="S680" s="114"/>
      <c r="T680" s="114"/>
      <c r="U680" s="114"/>
      <c r="V680" s="114"/>
      <c r="W680" s="114"/>
      <c r="X680" s="114"/>
      <c r="Y680" s="114"/>
    </row>
    <row r="681">
      <c r="A681" s="1"/>
      <c r="B681" s="114"/>
      <c r="C681" s="114"/>
      <c r="D681" s="114"/>
      <c r="E681" s="114"/>
      <c r="F681" s="114"/>
      <c r="G681" s="114"/>
      <c r="H681" s="114"/>
      <c r="I681" s="114"/>
      <c r="J681" s="114"/>
      <c r="K681" s="114"/>
      <c r="L681" s="114"/>
      <c r="M681" s="114"/>
      <c r="N681" s="114"/>
      <c r="O681" s="114"/>
      <c r="P681" s="114"/>
      <c r="Q681" s="114"/>
      <c r="R681" s="114"/>
      <c r="S681" s="114"/>
      <c r="T681" s="114"/>
      <c r="U681" s="114"/>
      <c r="V681" s="114"/>
      <c r="W681" s="114"/>
      <c r="X681" s="114"/>
      <c r="Y681" s="114"/>
    </row>
    <row r="682">
      <c r="A682" s="1"/>
      <c r="B682" s="114"/>
      <c r="C682" s="114"/>
      <c r="D682" s="114"/>
      <c r="E682" s="114"/>
      <c r="F682" s="114"/>
      <c r="G682" s="114"/>
      <c r="H682" s="114"/>
      <c r="I682" s="114"/>
      <c r="J682" s="114"/>
      <c r="K682" s="114"/>
      <c r="L682" s="114"/>
      <c r="M682" s="114"/>
      <c r="N682" s="114"/>
      <c r="O682" s="114"/>
      <c r="P682" s="114"/>
      <c r="Q682" s="114"/>
      <c r="R682" s="114"/>
      <c r="S682" s="114"/>
      <c r="T682" s="114"/>
      <c r="U682" s="114"/>
      <c r="V682" s="114"/>
      <c r="W682" s="114"/>
      <c r="X682" s="114"/>
      <c r="Y682" s="114"/>
    </row>
    <row r="683">
      <c r="A683" s="1"/>
      <c r="B683" s="114"/>
      <c r="C683" s="114"/>
      <c r="D683" s="114"/>
      <c r="E683" s="114"/>
      <c r="F683" s="114"/>
      <c r="G683" s="114"/>
      <c r="H683" s="114"/>
      <c r="I683" s="114"/>
      <c r="J683" s="114"/>
      <c r="K683" s="114"/>
      <c r="L683" s="114"/>
      <c r="M683" s="114"/>
      <c r="N683" s="114"/>
      <c r="O683" s="114"/>
      <c r="P683" s="114"/>
      <c r="Q683" s="114"/>
      <c r="R683" s="114"/>
      <c r="S683" s="114"/>
      <c r="T683" s="114"/>
      <c r="U683" s="114"/>
      <c r="V683" s="114"/>
      <c r="W683" s="114"/>
      <c r="X683" s="114"/>
      <c r="Y683" s="114"/>
    </row>
    <row r="684">
      <c r="A684" s="1"/>
      <c r="B684" s="114"/>
      <c r="C684" s="114"/>
      <c r="D684" s="114"/>
      <c r="E684" s="114"/>
      <c r="F684" s="114"/>
      <c r="G684" s="114"/>
      <c r="H684" s="114"/>
      <c r="I684" s="114"/>
      <c r="J684" s="114"/>
      <c r="K684" s="114"/>
      <c r="L684" s="114"/>
      <c r="M684" s="114"/>
      <c r="N684" s="114"/>
      <c r="O684" s="114"/>
      <c r="P684" s="114"/>
      <c r="Q684" s="114"/>
      <c r="R684" s="114"/>
      <c r="S684" s="114"/>
      <c r="T684" s="114"/>
      <c r="U684" s="114"/>
      <c r="V684" s="114"/>
      <c r="W684" s="114"/>
      <c r="X684" s="114"/>
      <c r="Y684" s="114"/>
    </row>
    <row r="685">
      <c r="A685" s="1"/>
      <c r="B685" s="114"/>
      <c r="C685" s="114"/>
      <c r="D685" s="114"/>
      <c r="E685" s="114"/>
      <c r="F685" s="114"/>
      <c r="G685" s="114"/>
      <c r="H685" s="114"/>
      <c r="I685" s="114"/>
      <c r="J685" s="114"/>
      <c r="K685" s="114"/>
      <c r="L685" s="114"/>
      <c r="M685" s="114"/>
      <c r="N685" s="114"/>
      <c r="O685" s="114"/>
      <c r="P685" s="114"/>
      <c r="Q685" s="114"/>
      <c r="R685" s="114"/>
      <c r="S685" s="114"/>
      <c r="T685" s="114"/>
      <c r="U685" s="114"/>
      <c r="V685" s="114"/>
      <c r="W685" s="114"/>
      <c r="X685" s="114"/>
      <c r="Y685" s="114"/>
    </row>
    <row r="686">
      <c r="A686" s="1"/>
      <c r="B686" s="114"/>
      <c r="C686" s="114"/>
      <c r="D686" s="114"/>
      <c r="E686" s="114"/>
      <c r="F686" s="114"/>
      <c r="G686" s="114"/>
      <c r="H686" s="114"/>
      <c r="I686" s="114"/>
      <c r="J686" s="114"/>
      <c r="K686" s="114"/>
      <c r="L686" s="114"/>
      <c r="M686" s="114"/>
      <c r="N686" s="114"/>
      <c r="O686" s="114"/>
      <c r="P686" s="114"/>
      <c r="Q686" s="114"/>
      <c r="R686" s="114"/>
      <c r="S686" s="114"/>
      <c r="T686" s="114"/>
      <c r="U686" s="114"/>
      <c r="V686" s="114"/>
      <c r="W686" s="114"/>
      <c r="X686" s="114"/>
      <c r="Y686" s="114"/>
    </row>
    <row r="687">
      <c r="A687" s="1"/>
      <c r="B687" s="114"/>
      <c r="C687" s="114"/>
      <c r="D687" s="114"/>
      <c r="E687" s="114"/>
      <c r="F687" s="114"/>
      <c r="G687" s="114"/>
      <c r="H687" s="114"/>
      <c r="I687" s="114"/>
      <c r="J687" s="114"/>
      <c r="K687" s="114"/>
      <c r="L687" s="114"/>
      <c r="M687" s="114"/>
      <c r="N687" s="114"/>
      <c r="O687" s="114"/>
      <c r="P687" s="114"/>
      <c r="Q687" s="114"/>
      <c r="R687" s="114"/>
      <c r="S687" s="114"/>
      <c r="T687" s="114"/>
      <c r="U687" s="114"/>
      <c r="V687" s="114"/>
      <c r="W687" s="114"/>
      <c r="X687" s="114"/>
      <c r="Y687" s="114"/>
    </row>
    <row r="688">
      <c r="A688" s="1"/>
      <c r="B688" s="114"/>
      <c r="C688" s="114"/>
      <c r="D688" s="114"/>
      <c r="E688" s="114"/>
      <c r="F688" s="114"/>
      <c r="G688" s="114"/>
      <c r="H688" s="114"/>
      <c r="I688" s="114"/>
      <c r="J688" s="114"/>
      <c r="K688" s="114"/>
      <c r="L688" s="114"/>
      <c r="M688" s="114"/>
      <c r="N688" s="114"/>
      <c r="O688" s="114"/>
      <c r="P688" s="114"/>
      <c r="Q688" s="114"/>
      <c r="R688" s="114"/>
      <c r="S688" s="114"/>
      <c r="T688" s="114"/>
      <c r="U688" s="114"/>
      <c r="V688" s="114"/>
      <c r="W688" s="114"/>
      <c r="X688" s="114"/>
      <c r="Y688" s="114"/>
    </row>
    <row r="689">
      <c r="A689" s="1"/>
      <c r="B689" s="114"/>
      <c r="C689" s="114"/>
      <c r="D689" s="114"/>
      <c r="E689" s="114"/>
      <c r="F689" s="114"/>
      <c r="G689" s="114"/>
      <c r="H689" s="114"/>
      <c r="I689" s="114"/>
      <c r="J689" s="114"/>
      <c r="K689" s="114"/>
      <c r="L689" s="114"/>
      <c r="M689" s="114"/>
      <c r="N689" s="114"/>
      <c r="O689" s="114"/>
      <c r="P689" s="114"/>
      <c r="Q689" s="114"/>
      <c r="R689" s="114"/>
      <c r="S689" s="114"/>
      <c r="T689" s="114"/>
      <c r="U689" s="114"/>
      <c r="V689" s="114"/>
      <c r="W689" s="114"/>
      <c r="X689" s="114"/>
      <c r="Y689" s="114"/>
    </row>
    <row r="690">
      <c r="A690" s="1"/>
      <c r="B690" s="114"/>
      <c r="C690" s="114"/>
      <c r="D690" s="114"/>
      <c r="E690" s="114"/>
      <c r="F690" s="114"/>
      <c r="G690" s="114"/>
      <c r="H690" s="114"/>
      <c r="I690" s="114"/>
      <c r="J690" s="114"/>
      <c r="K690" s="114"/>
      <c r="L690" s="114"/>
      <c r="M690" s="114"/>
      <c r="N690" s="114"/>
      <c r="O690" s="114"/>
      <c r="P690" s="114"/>
      <c r="Q690" s="114"/>
      <c r="R690" s="114"/>
      <c r="S690" s="114"/>
      <c r="T690" s="114"/>
      <c r="U690" s="114"/>
      <c r="V690" s="114"/>
      <c r="W690" s="114"/>
      <c r="X690" s="114"/>
      <c r="Y690" s="114"/>
    </row>
    <row r="691">
      <c r="A691" s="1"/>
      <c r="B691" s="114"/>
      <c r="C691" s="114"/>
      <c r="D691" s="114"/>
      <c r="E691" s="114"/>
      <c r="F691" s="114"/>
      <c r="G691" s="114"/>
      <c r="H691" s="114"/>
      <c r="I691" s="114"/>
      <c r="J691" s="114"/>
      <c r="K691" s="114"/>
      <c r="L691" s="114"/>
      <c r="M691" s="114"/>
      <c r="N691" s="114"/>
      <c r="O691" s="114"/>
      <c r="P691" s="114"/>
      <c r="Q691" s="114"/>
      <c r="R691" s="114"/>
      <c r="S691" s="114"/>
      <c r="T691" s="114"/>
      <c r="U691" s="114"/>
      <c r="V691" s="114"/>
      <c r="W691" s="114"/>
      <c r="X691" s="114"/>
      <c r="Y691" s="114"/>
    </row>
    <row r="692">
      <c r="A692" s="1"/>
      <c r="B692" s="114"/>
      <c r="C692" s="114"/>
      <c r="D692" s="114"/>
      <c r="E692" s="114"/>
      <c r="F692" s="114"/>
      <c r="G692" s="114"/>
      <c r="H692" s="114"/>
      <c r="I692" s="114"/>
      <c r="J692" s="114"/>
      <c r="K692" s="114"/>
      <c r="L692" s="114"/>
      <c r="M692" s="114"/>
      <c r="N692" s="114"/>
      <c r="O692" s="114"/>
      <c r="P692" s="114"/>
      <c r="Q692" s="114"/>
      <c r="R692" s="114"/>
      <c r="S692" s="114"/>
      <c r="T692" s="114"/>
      <c r="U692" s="114"/>
      <c r="V692" s="114"/>
      <c r="W692" s="114"/>
      <c r="X692" s="114"/>
      <c r="Y692" s="114"/>
    </row>
    <row r="693">
      <c r="A693" s="1"/>
      <c r="B693" s="114"/>
      <c r="C693" s="114"/>
      <c r="D693" s="114"/>
      <c r="E693" s="114"/>
      <c r="F693" s="114"/>
      <c r="G693" s="114"/>
      <c r="H693" s="114"/>
      <c r="I693" s="114"/>
      <c r="J693" s="114"/>
      <c r="K693" s="114"/>
      <c r="L693" s="114"/>
      <c r="M693" s="114"/>
      <c r="N693" s="114"/>
      <c r="O693" s="114"/>
      <c r="P693" s="114"/>
      <c r="Q693" s="114"/>
      <c r="R693" s="114"/>
      <c r="S693" s="114"/>
      <c r="T693" s="114"/>
      <c r="U693" s="114"/>
      <c r="V693" s="114"/>
      <c r="W693" s="114"/>
      <c r="X693" s="114"/>
      <c r="Y693" s="114"/>
    </row>
    <row r="694">
      <c r="A694" s="1"/>
      <c r="B694" s="114"/>
      <c r="C694" s="114"/>
      <c r="D694" s="114"/>
      <c r="E694" s="114"/>
      <c r="F694" s="114"/>
      <c r="G694" s="114"/>
      <c r="H694" s="114"/>
      <c r="I694" s="114"/>
      <c r="J694" s="114"/>
      <c r="K694" s="114"/>
      <c r="L694" s="114"/>
      <c r="M694" s="114"/>
      <c r="N694" s="114"/>
      <c r="O694" s="114"/>
      <c r="P694" s="114"/>
      <c r="Q694" s="114"/>
      <c r="R694" s="114"/>
      <c r="S694" s="114"/>
      <c r="T694" s="114"/>
      <c r="U694" s="114"/>
      <c r="V694" s="114"/>
      <c r="W694" s="114"/>
      <c r="X694" s="114"/>
      <c r="Y694" s="114"/>
    </row>
    <row r="695">
      <c r="A695" s="1"/>
      <c r="B695" s="114"/>
      <c r="C695" s="114"/>
      <c r="D695" s="114"/>
      <c r="E695" s="114"/>
      <c r="F695" s="114"/>
      <c r="G695" s="114"/>
      <c r="H695" s="114"/>
      <c r="I695" s="114"/>
      <c r="J695" s="114"/>
      <c r="K695" s="114"/>
      <c r="L695" s="114"/>
      <c r="M695" s="114"/>
      <c r="N695" s="114"/>
      <c r="O695" s="114"/>
      <c r="P695" s="114"/>
      <c r="Q695" s="114"/>
      <c r="R695" s="114"/>
      <c r="S695" s="114"/>
      <c r="T695" s="114"/>
      <c r="U695" s="114"/>
      <c r="V695" s="114"/>
      <c r="W695" s="114"/>
      <c r="X695" s="114"/>
      <c r="Y695" s="114"/>
    </row>
    <row r="696">
      <c r="A696" s="1"/>
      <c r="B696" s="114"/>
      <c r="C696" s="114"/>
      <c r="D696" s="114"/>
      <c r="E696" s="114"/>
      <c r="F696" s="114"/>
      <c r="G696" s="114"/>
      <c r="H696" s="114"/>
      <c r="I696" s="114"/>
      <c r="J696" s="114"/>
      <c r="K696" s="114"/>
      <c r="L696" s="114"/>
      <c r="M696" s="114"/>
      <c r="N696" s="114"/>
      <c r="O696" s="114"/>
      <c r="P696" s="114"/>
      <c r="Q696" s="114"/>
      <c r="R696" s="114"/>
      <c r="S696" s="114"/>
      <c r="T696" s="114"/>
      <c r="U696" s="114"/>
      <c r="V696" s="114"/>
      <c r="W696" s="114"/>
      <c r="X696" s="114"/>
      <c r="Y696" s="114"/>
    </row>
    <row r="697">
      <c r="A697" s="1"/>
      <c r="B697" s="114"/>
      <c r="C697" s="114"/>
      <c r="D697" s="114"/>
      <c r="E697" s="114"/>
      <c r="F697" s="114"/>
      <c r="G697" s="114"/>
      <c r="H697" s="114"/>
      <c r="I697" s="114"/>
      <c r="J697" s="114"/>
      <c r="K697" s="114"/>
      <c r="L697" s="114"/>
      <c r="M697" s="114"/>
      <c r="N697" s="114"/>
      <c r="O697" s="114"/>
      <c r="P697" s="114"/>
      <c r="Q697" s="114"/>
      <c r="R697" s="114"/>
      <c r="S697" s="114"/>
      <c r="T697" s="114"/>
      <c r="U697" s="114"/>
      <c r="V697" s="114"/>
      <c r="W697" s="114"/>
      <c r="X697" s="114"/>
      <c r="Y697" s="114"/>
    </row>
    <row r="698">
      <c r="A698" s="1"/>
      <c r="B698" s="114"/>
      <c r="C698" s="114"/>
      <c r="D698" s="114"/>
      <c r="E698" s="114"/>
      <c r="F698" s="114"/>
      <c r="G698" s="114"/>
      <c r="H698" s="114"/>
      <c r="I698" s="114"/>
      <c r="J698" s="114"/>
      <c r="K698" s="114"/>
      <c r="L698" s="114"/>
      <c r="M698" s="114"/>
      <c r="N698" s="114"/>
      <c r="O698" s="114"/>
      <c r="P698" s="114"/>
      <c r="Q698" s="114"/>
      <c r="R698" s="114"/>
      <c r="S698" s="114"/>
      <c r="T698" s="114"/>
      <c r="U698" s="114"/>
      <c r="V698" s="114"/>
      <c r="W698" s="114"/>
      <c r="X698" s="114"/>
      <c r="Y698" s="114"/>
    </row>
    <row r="699">
      <c r="A699" s="1"/>
      <c r="B699" s="114"/>
      <c r="C699" s="114"/>
      <c r="D699" s="114"/>
      <c r="E699" s="114"/>
      <c r="F699" s="114"/>
      <c r="G699" s="114"/>
      <c r="H699" s="114"/>
      <c r="I699" s="114"/>
      <c r="J699" s="114"/>
      <c r="K699" s="114"/>
      <c r="L699" s="114"/>
      <c r="M699" s="114"/>
      <c r="N699" s="114"/>
      <c r="O699" s="114"/>
      <c r="P699" s="114"/>
      <c r="Q699" s="114"/>
      <c r="R699" s="114"/>
      <c r="S699" s="114"/>
      <c r="T699" s="114"/>
      <c r="U699" s="114"/>
      <c r="V699" s="114"/>
      <c r="W699" s="114"/>
      <c r="X699" s="114"/>
      <c r="Y699" s="114"/>
    </row>
    <row r="700">
      <c r="A700" s="1"/>
      <c r="B700" s="114"/>
      <c r="C700" s="114"/>
      <c r="D700" s="114"/>
      <c r="E700" s="114"/>
      <c r="F700" s="114"/>
      <c r="G700" s="114"/>
      <c r="H700" s="114"/>
      <c r="I700" s="114"/>
      <c r="J700" s="114"/>
      <c r="K700" s="114"/>
      <c r="L700" s="114"/>
      <c r="M700" s="114"/>
      <c r="N700" s="114"/>
      <c r="O700" s="114"/>
      <c r="P700" s="114"/>
      <c r="Q700" s="114"/>
      <c r="R700" s="114"/>
      <c r="S700" s="114"/>
      <c r="T700" s="114"/>
      <c r="U700" s="114"/>
      <c r="V700" s="114"/>
      <c r="W700" s="114"/>
      <c r="X700" s="114"/>
      <c r="Y700" s="114"/>
    </row>
    <row r="701">
      <c r="A701" s="1"/>
      <c r="B701" s="114"/>
      <c r="C701" s="114"/>
      <c r="D701" s="114"/>
      <c r="E701" s="114"/>
      <c r="F701" s="114"/>
      <c r="G701" s="114"/>
      <c r="H701" s="114"/>
      <c r="I701" s="114"/>
      <c r="J701" s="114"/>
      <c r="K701" s="114"/>
      <c r="L701" s="114"/>
      <c r="M701" s="114"/>
      <c r="N701" s="114"/>
      <c r="O701" s="114"/>
      <c r="P701" s="114"/>
      <c r="Q701" s="114"/>
      <c r="R701" s="114"/>
      <c r="S701" s="114"/>
      <c r="T701" s="114"/>
      <c r="U701" s="114"/>
      <c r="V701" s="114"/>
      <c r="W701" s="114"/>
      <c r="X701" s="114"/>
      <c r="Y701" s="114"/>
    </row>
    <row r="702">
      <c r="A702" s="1"/>
      <c r="B702" s="114"/>
      <c r="C702" s="114"/>
      <c r="D702" s="114"/>
      <c r="E702" s="114"/>
      <c r="F702" s="114"/>
      <c r="G702" s="114"/>
      <c r="H702" s="114"/>
      <c r="I702" s="114"/>
      <c r="J702" s="114"/>
      <c r="K702" s="114"/>
      <c r="L702" s="114"/>
      <c r="M702" s="114"/>
      <c r="N702" s="114"/>
      <c r="O702" s="114"/>
      <c r="P702" s="114"/>
      <c r="Q702" s="114"/>
      <c r="R702" s="114"/>
      <c r="S702" s="114"/>
      <c r="T702" s="114"/>
      <c r="U702" s="114"/>
      <c r="V702" s="114"/>
      <c r="W702" s="114"/>
      <c r="X702" s="114"/>
      <c r="Y702" s="114"/>
    </row>
    <row r="703">
      <c r="A703" s="1"/>
      <c r="B703" s="114"/>
      <c r="C703" s="114"/>
      <c r="D703" s="114"/>
      <c r="E703" s="114"/>
      <c r="F703" s="114"/>
      <c r="G703" s="114"/>
      <c r="H703" s="114"/>
      <c r="I703" s="114"/>
      <c r="J703" s="114"/>
      <c r="K703" s="114"/>
      <c r="L703" s="114"/>
      <c r="M703" s="114"/>
      <c r="N703" s="114"/>
      <c r="O703" s="114"/>
      <c r="P703" s="114"/>
      <c r="Q703" s="114"/>
      <c r="R703" s="114"/>
      <c r="S703" s="114"/>
      <c r="T703" s="114"/>
      <c r="U703" s="114"/>
      <c r="V703" s="114"/>
      <c r="W703" s="114"/>
      <c r="X703" s="114"/>
      <c r="Y703" s="114"/>
    </row>
    <row r="704">
      <c r="A704" s="1"/>
      <c r="B704" s="114"/>
      <c r="C704" s="114"/>
      <c r="D704" s="114"/>
      <c r="E704" s="114"/>
      <c r="F704" s="114"/>
      <c r="G704" s="114"/>
      <c r="H704" s="114"/>
      <c r="I704" s="114"/>
      <c r="J704" s="114"/>
      <c r="K704" s="114"/>
      <c r="L704" s="114"/>
      <c r="M704" s="114"/>
      <c r="N704" s="114"/>
      <c r="O704" s="114"/>
      <c r="P704" s="114"/>
      <c r="Q704" s="114"/>
      <c r="R704" s="114"/>
      <c r="S704" s="114"/>
      <c r="T704" s="114"/>
      <c r="U704" s="114"/>
      <c r="V704" s="114"/>
      <c r="W704" s="114"/>
      <c r="X704" s="114"/>
      <c r="Y704" s="114"/>
    </row>
    <row r="705">
      <c r="A705" s="1"/>
      <c r="B705" s="114"/>
      <c r="C705" s="114"/>
      <c r="D705" s="114"/>
      <c r="E705" s="114"/>
      <c r="F705" s="114"/>
      <c r="G705" s="114"/>
      <c r="H705" s="114"/>
      <c r="I705" s="114"/>
      <c r="J705" s="114"/>
      <c r="K705" s="114"/>
      <c r="L705" s="114"/>
      <c r="M705" s="114"/>
      <c r="N705" s="114"/>
      <c r="O705" s="114"/>
      <c r="P705" s="114"/>
      <c r="Q705" s="114"/>
      <c r="R705" s="114"/>
      <c r="S705" s="114"/>
      <c r="T705" s="114"/>
      <c r="U705" s="114"/>
      <c r="V705" s="114"/>
      <c r="W705" s="114"/>
      <c r="X705" s="114"/>
      <c r="Y705" s="114"/>
    </row>
    <row r="706">
      <c r="A706" s="1"/>
      <c r="B706" s="114"/>
      <c r="C706" s="114"/>
      <c r="D706" s="114"/>
      <c r="E706" s="114"/>
      <c r="F706" s="114"/>
      <c r="G706" s="114"/>
      <c r="H706" s="114"/>
      <c r="I706" s="114"/>
      <c r="J706" s="114"/>
      <c r="K706" s="114"/>
      <c r="L706" s="114"/>
      <c r="M706" s="114"/>
      <c r="N706" s="114"/>
      <c r="O706" s="114"/>
      <c r="P706" s="114"/>
      <c r="Q706" s="114"/>
      <c r="R706" s="114"/>
      <c r="S706" s="114"/>
      <c r="T706" s="114"/>
      <c r="U706" s="114"/>
      <c r="V706" s="114"/>
      <c r="W706" s="114"/>
      <c r="X706" s="114"/>
      <c r="Y706" s="114"/>
    </row>
    <row r="707">
      <c r="A707" s="1"/>
      <c r="B707" s="114"/>
      <c r="C707" s="114"/>
      <c r="D707" s="114"/>
      <c r="E707" s="114"/>
      <c r="F707" s="114"/>
      <c r="G707" s="114"/>
      <c r="H707" s="114"/>
      <c r="I707" s="114"/>
      <c r="J707" s="114"/>
      <c r="K707" s="114"/>
      <c r="L707" s="114"/>
      <c r="M707" s="114"/>
      <c r="N707" s="114"/>
      <c r="O707" s="114"/>
      <c r="P707" s="114"/>
      <c r="Q707" s="114"/>
      <c r="R707" s="114"/>
      <c r="S707" s="114"/>
      <c r="T707" s="114"/>
      <c r="U707" s="114"/>
      <c r="V707" s="114"/>
      <c r="W707" s="114"/>
      <c r="X707" s="114"/>
      <c r="Y707" s="114"/>
    </row>
    <row r="708">
      <c r="A708" s="1"/>
      <c r="B708" s="114"/>
      <c r="C708" s="114"/>
      <c r="D708" s="114"/>
      <c r="E708" s="114"/>
      <c r="F708" s="114"/>
      <c r="G708" s="114"/>
      <c r="H708" s="114"/>
      <c r="I708" s="114"/>
      <c r="J708" s="114"/>
      <c r="K708" s="114"/>
      <c r="L708" s="114"/>
      <c r="M708" s="114"/>
      <c r="N708" s="114"/>
      <c r="O708" s="114"/>
      <c r="P708" s="114"/>
      <c r="Q708" s="114"/>
      <c r="R708" s="114"/>
      <c r="S708" s="114"/>
      <c r="T708" s="114"/>
      <c r="U708" s="114"/>
      <c r="V708" s="114"/>
      <c r="W708" s="114"/>
      <c r="X708" s="114"/>
      <c r="Y708" s="114"/>
    </row>
    <row r="709">
      <c r="A709" s="1"/>
      <c r="B709" s="114"/>
      <c r="C709" s="114"/>
      <c r="D709" s="114"/>
      <c r="E709" s="114"/>
      <c r="F709" s="114"/>
      <c r="G709" s="114"/>
      <c r="H709" s="114"/>
      <c r="I709" s="114"/>
      <c r="J709" s="114"/>
      <c r="K709" s="114"/>
      <c r="L709" s="114"/>
      <c r="M709" s="114"/>
      <c r="N709" s="114"/>
      <c r="O709" s="114"/>
      <c r="P709" s="114"/>
      <c r="Q709" s="114"/>
      <c r="R709" s="114"/>
      <c r="S709" s="114"/>
      <c r="T709" s="114"/>
      <c r="U709" s="114"/>
      <c r="V709" s="114"/>
      <c r="W709" s="114"/>
      <c r="X709" s="114"/>
      <c r="Y709" s="114"/>
    </row>
    <row r="710">
      <c r="A710" s="1"/>
      <c r="B710" s="114"/>
      <c r="C710" s="114"/>
      <c r="D710" s="114"/>
      <c r="E710" s="114"/>
      <c r="F710" s="114"/>
      <c r="G710" s="114"/>
      <c r="H710" s="114"/>
      <c r="I710" s="114"/>
      <c r="J710" s="114"/>
      <c r="K710" s="114"/>
      <c r="L710" s="114"/>
      <c r="M710" s="114"/>
      <c r="N710" s="114"/>
      <c r="O710" s="114"/>
      <c r="P710" s="114"/>
      <c r="Q710" s="114"/>
      <c r="R710" s="114"/>
      <c r="S710" s="114"/>
      <c r="T710" s="114"/>
      <c r="U710" s="114"/>
      <c r="V710" s="114"/>
      <c r="W710" s="114"/>
      <c r="X710" s="114"/>
      <c r="Y710" s="114"/>
    </row>
    <row r="711">
      <c r="A711" s="1"/>
      <c r="B711" s="114"/>
      <c r="C711" s="114"/>
      <c r="D711" s="114"/>
      <c r="E711" s="114"/>
      <c r="F711" s="114"/>
      <c r="G711" s="114"/>
      <c r="H711" s="114"/>
      <c r="I711" s="114"/>
      <c r="J711" s="114"/>
      <c r="K711" s="114"/>
      <c r="L711" s="114"/>
      <c r="M711" s="114"/>
      <c r="N711" s="114"/>
      <c r="O711" s="114"/>
      <c r="P711" s="114"/>
      <c r="Q711" s="114"/>
      <c r="R711" s="114"/>
      <c r="S711" s="114"/>
      <c r="T711" s="114"/>
      <c r="U711" s="114"/>
      <c r="V711" s="114"/>
      <c r="W711" s="114"/>
      <c r="X711" s="114"/>
      <c r="Y711" s="114"/>
    </row>
    <row r="712">
      <c r="A712" s="1"/>
      <c r="B712" s="114"/>
      <c r="C712" s="114"/>
      <c r="D712" s="114"/>
      <c r="E712" s="114"/>
      <c r="F712" s="114"/>
      <c r="G712" s="114"/>
      <c r="H712" s="114"/>
      <c r="I712" s="114"/>
      <c r="J712" s="114"/>
      <c r="K712" s="114"/>
      <c r="L712" s="114"/>
      <c r="M712" s="114"/>
      <c r="N712" s="114"/>
      <c r="O712" s="114"/>
      <c r="P712" s="114"/>
      <c r="Q712" s="114"/>
      <c r="R712" s="114"/>
      <c r="S712" s="114"/>
      <c r="T712" s="114"/>
      <c r="U712" s="114"/>
      <c r="V712" s="114"/>
      <c r="W712" s="114"/>
      <c r="X712" s="114"/>
      <c r="Y712" s="114"/>
    </row>
    <row r="713">
      <c r="A713" s="1"/>
      <c r="B713" s="114"/>
      <c r="C713" s="114"/>
      <c r="D713" s="114"/>
      <c r="E713" s="114"/>
      <c r="F713" s="114"/>
      <c r="G713" s="114"/>
      <c r="H713" s="114"/>
      <c r="I713" s="114"/>
      <c r="J713" s="114"/>
      <c r="K713" s="114"/>
      <c r="L713" s="114"/>
      <c r="M713" s="114"/>
      <c r="N713" s="114"/>
      <c r="O713" s="114"/>
      <c r="P713" s="114"/>
      <c r="Q713" s="114"/>
      <c r="R713" s="114"/>
      <c r="S713" s="114"/>
      <c r="T713" s="114"/>
      <c r="U713" s="114"/>
      <c r="V713" s="114"/>
      <c r="W713" s="114"/>
      <c r="X713" s="114"/>
      <c r="Y713" s="114"/>
    </row>
    <row r="714">
      <c r="A714" s="1"/>
      <c r="B714" s="114"/>
      <c r="C714" s="114"/>
      <c r="D714" s="114"/>
      <c r="E714" s="114"/>
      <c r="F714" s="114"/>
      <c r="G714" s="114"/>
      <c r="H714" s="114"/>
      <c r="I714" s="114"/>
      <c r="J714" s="114"/>
      <c r="K714" s="114"/>
      <c r="L714" s="114"/>
      <c r="M714" s="114"/>
      <c r="N714" s="114"/>
      <c r="O714" s="114"/>
      <c r="P714" s="114"/>
      <c r="Q714" s="114"/>
      <c r="R714" s="114"/>
      <c r="S714" s="114"/>
      <c r="T714" s="114"/>
      <c r="U714" s="114"/>
      <c r="V714" s="114"/>
      <c r="W714" s="114"/>
      <c r="X714" s="114"/>
      <c r="Y714" s="114"/>
    </row>
    <row r="715">
      <c r="A715" s="1"/>
      <c r="B715" s="114"/>
      <c r="C715" s="114"/>
      <c r="D715" s="114"/>
      <c r="E715" s="114"/>
      <c r="F715" s="114"/>
      <c r="G715" s="114"/>
      <c r="H715" s="114"/>
      <c r="I715" s="114"/>
      <c r="J715" s="114"/>
      <c r="K715" s="114"/>
      <c r="L715" s="114"/>
      <c r="M715" s="114"/>
      <c r="N715" s="114"/>
      <c r="O715" s="114"/>
      <c r="P715" s="114"/>
      <c r="Q715" s="114"/>
      <c r="R715" s="114"/>
      <c r="S715" s="114"/>
      <c r="T715" s="114"/>
      <c r="U715" s="114"/>
      <c r="V715" s="114"/>
      <c r="W715" s="114"/>
      <c r="X715" s="114"/>
      <c r="Y715" s="114"/>
    </row>
    <row r="716">
      <c r="A716" s="1"/>
      <c r="B716" s="114"/>
      <c r="C716" s="114"/>
      <c r="D716" s="114"/>
      <c r="E716" s="114"/>
      <c r="F716" s="114"/>
      <c r="G716" s="114"/>
      <c r="H716" s="114"/>
      <c r="I716" s="114"/>
      <c r="J716" s="114"/>
      <c r="K716" s="114"/>
      <c r="L716" s="114"/>
      <c r="M716" s="114"/>
      <c r="N716" s="114"/>
      <c r="O716" s="114"/>
      <c r="P716" s="114"/>
      <c r="Q716" s="114"/>
      <c r="R716" s="114"/>
      <c r="S716" s="114"/>
      <c r="T716" s="114"/>
      <c r="U716" s="114"/>
      <c r="V716" s="114"/>
      <c r="W716" s="114"/>
      <c r="X716" s="114"/>
      <c r="Y716" s="114"/>
    </row>
    <row r="717">
      <c r="A717" s="1"/>
      <c r="B717" s="114"/>
      <c r="C717" s="114"/>
      <c r="D717" s="114"/>
      <c r="E717" s="114"/>
      <c r="F717" s="114"/>
      <c r="G717" s="114"/>
      <c r="H717" s="114"/>
      <c r="I717" s="114"/>
      <c r="J717" s="114"/>
      <c r="K717" s="114"/>
      <c r="L717" s="114"/>
      <c r="M717" s="114"/>
      <c r="N717" s="114"/>
      <c r="O717" s="114"/>
      <c r="P717" s="114"/>
      <c r="Q717" s="114"/>
      <c r="R717" s="114"/>
      <c r="S717" s="114"/>
      <c r="T717" s="114"/>
      <c r="U717" s="114"/>
      <c r="V717" s="114"/>
      <c r="W717" s="114"/>
      <c r="X717" s="114"/>
      <c r="Y717" s="114"/>
    </row>
    <row r="718">
      <c r="A718" s="1"/>
      <c r="B718" s="114"/>
      <c r="C718" s="114"/>
      <c r="D718" s="114"/>
      <c r="E718" s="114"/>
      <c r="F718" s="114"/>
      <c r="G718" s="114"/>
      <c r="H718" s="114"/>
      <c r="I718" s="114"/>
      <c r="J718" s="114"/>
      <c r="K718" s="114"/>
      <c r="L718" s="114"/>
      <c r="M718" s="114"/>
      <c r="N718" s="114"/>
      <c r="O718" s="114"/>
      <c r="P718" s="114"/>
      <c r="Q718" s="114"/>
      <c r="R718" s="114"/>
      <c r="S718" s="114"/>
      <c r="T718" s="114"/>
      <c r="U718" s="114"/>
      <c r="V718" s="114"/>
      <c r="W718" s="114"/>
      <c r="X718" s="114"/>
      <c r="Y718" s="114"/>
    </row>
    <row r="719">
      <c r="A719" s="1"/>
      <c r="B719" s="114"/>
      <c r="C719" s="114"/>
      <c r="D719" s="114"/>
      <c r="E719" s="114"/>
      <c r="F719" s="114"/>
      <c r="G719" s="114"/>
      <c r="H719" s="114"/>
      <c r="I719" s="114"/>
      <c r="J719" s="114"/>
      <c r="K719" s="114"/>
      <c r="L719" s="114"/>
      <c r="M719" s="114"/>
      <c r="N719" s="114"/>
      <c r="O719" s="114"/>
      <c r="P719" s="114"/>
      <c r="Q719" s="114"/>
      <c r="R719" s="114"/>
      <c r="S719" s="114"/>
      <c r="T719" s="114"/>
      <c r="U719" s="114"/>
      <c r="V719" s="114"/>
      <c r="W719" s="114"/>
      <c r="X719" s="114"/>
      <c r="Y719" s="114"/>
    </row>
    <row r="720">
      <c r="A720" s="1"/>
      <c r="B720" s="114"/>
      <c r="C720" s="114"/>
      <c r="D720" s="114"/>
      <c r="E720" s="114"/>
      <c r="F720" s="114"/>
      <c r="G720" s="114"/>
      <c r="H720" s="114"/>
      <c r="I720" s="114"/>
      <c r="J720" s="114"/>
      <c r="K720" s="114"/>
      <c r="L720" s="114"/>
      <c r="M720" s="114"/>
      <c r="N720" s="114"/>
      <c r="O720" s="114"/>
      <c r="P720" s="114"/>
      <c r="Q720" s="114"/>
      <c r="R720" s="114"/>
      <c r="S720" s="114"/>
      <c r="T720" s="114"/>
      <c r="U720" s="114"/>
      <c r="V720" s="114"/>
      <c r="W720" s="114"/>
      <c r="X720" s="114"/>
      <c r="Y720" s="114"/>
    </row>
    <row r="721">
      <c r="A721" s="1"/>
      <c r="B721" s="114"/>
      <c r="C721" s="114"/>
      <c r="D721" s="114"/>
      <c r="E721" s="114"/>
      <c r="F721" s="114"/>
      <c r="G721" s="114"/>
      <c r="H721" s="114"/>
      <c r="I721" s="114"/>
      <c r="J721" s="114"/>
      <c r="K721" s="114"/>
      <c r="L721" s="114"/>
      <c r="M721" s="114"/>
      <c r="N721" s="114"/>
      <c r="O721" s="114"/>
      <c r="P721" s="114"/>
      <c r="Q721" s="114"/>
      <c r="R721" s="114"/>
      <c r="S721" s="114"/>
      <c r="T721" s="114"/>
      <c r="U721" s="114"/>
      <c r="V721" s="114"/>
      <c r="W721" s="114"/>
      <c r="X721" s="114"/>
      <c r="Y721" s="114"/>
    </row>
    <row r="722">
      <c r="A722" s="1"/>
      <c r="B722" s="114"/>
      <c r="C722" s="114"/>
      <c r="D722" s="114"/>
      <c r="E722" s="114"/>
      <c r="F722" s="114"/>
      <c r="G722" s="114"/>
      <c r="H722" s="114"/>
      <c r="I722" s="114"/>
      <c r="J722" s="114"/>
      <c r="K722" s="114"/>
      <c r="L722" s="114"/>
      <c r="M722" s="114"/>
      <c r="N722" s="114"/>
      <c r="O722" s="114"/>
      <c r="P722" s="114"/>
      <c r="Q722" s="114"/>
      <c r="R722" s="114"/>
      <c r="S722" s="114"/>
      <c r="T722" s="114"/>
      <c r="U722" s="114"/>
      <c r="V722" s="114"/>
      <c r="W722" s="114"/>
      <c r="X722" s="114"/>
      <c r="Y722" s="114"/>
    </row>
    <row r="723">
      <c r="A723" s="1"/>
      <c r="B723" s="114"/>
      <c r="C723" s="114"/>
      <c r="D723" s="114"/>
      <c r="E723" s="114"/>
      <c r="F723" s="114"/>
      <c r="G723" s="114"/>
      <c r="H723" s="114"/>
      <c r="I723" s="114"/>
      <c r="J723" s="114"/>
      <c r="K723" s="114"/>
      <c r="L723" s="114"/>
      <c r="M723" s="114"/>
      <c r="N723" s="114"/>
      <c r="O723" s="114"/>
      <c r="P723" s="114"/>
      <c r="Q723" s="114"/>
      <c r="R723" s="114"/>
      <c r="S723" s="114"/>
      <c r="T723" s="114"/>
      <c r="U723" s="114"/>
      <c r="V723" s="114"/>
      <c r="W723" s="114"/>
      <c r="X723" s="114"/>
      <c r="Y723" s="114"/>
    </row>
    <row r="724">
      <c r="A724" s="1"/>
      <c r="B724" s="114"/>
      <c r="C724" s="114"/>
      <c r="D724" s="114"/>
      <c r="E724" s="114"/>
      <c r="F724" s="114"/>
      <c r="G724" s="114"/>
      <c r="H724" s="114"/>
      <c r="I724" s="114"/>
      <c r="J724" s="114"/>
      <c r="K724" s="114"/>
      <c r="L724" s="114"/>
      <c r="M724" s="114"/>
      <c r="N724" s="114"/>
      <c r="O724" s="114"/>
      <c r="P724" s="114"/>
      <c r="Q724" s="114"/>
      <c r="R724" s="114"/>
      <c r="S724" s="114"/>
      <c r="T724" s="114"/>
      <c r="U724" s="114"/>
      <c r="V724" s="114"/>
      <c r="W724" s="114"/>
      <c r="X724" s="114"/>
      <c r="Y724" s="114"/>
    </row>
    <row r="725">
      <c r="A725" s="1"/>
      <c r="B725" s="114"/>
      <c r="C725" s="114"/>
      <c r="D725" s="114"/>
      <c r="E725" s="114"/>
      <c r="F725" s="114"/>
      <c r="G725" s="114"/>
      <c r="H725" s="114"/>
      <c r="I725" s="114"/>
      <c r="J725" s="114"/>
      <c r="K725" s="114"/>
      <c r="L725" s="114"/>
      <c r="M725" s="114"/>
      <c r="N725" s="114"/>
      <c r="O725" s="114"/>
      <c r="P725" s="114"/>
      <c r="Q725" s="114"/>
      <c r="R725" s="114"/>
      <c r="S725" s="114"/>
      <c r="T725" s="114"/>
      <c r="U725" s="114"/>
      <c r="V725" s="114"/>
      <c r="W725" s="114"/>
      <c r="X725" s="114"/>
      <c r="Y725" s="114"/>
    </row>
    <row r="726">
      <c r="A726" s="1"/>
      <c r="B726" s="114"/>
      <c r="C726" s="114"/>
      <c r="D726" s="114"/>
      <c r="E726" s="114"/>
      <c r="F726" s="114"/>
      <c r="G726" s="114"/>
      <c r="H726" s="114"/>
      <c r="I726" s="114"/>
      <c r="J726" s="114"/>
      <c r="K726" s="114"/>
      <c r="L726" s="114"/>
      <c r="M726" s="114"/>
      <c r="N726" s="114"/>
      <c r="O726" s="114"/>
      <c r="P726" s="114"/>
      <c r="Q726" s="114"/>
      <c r="R726" s="114"/>
      <c r="S726" s="114"/>
      <c r="T726" s="114"/>
      <c r="U726" s="114"/>
      <c r="V726" s="114"/>
      <c r="W726" s="114"/>
      <c r="X726" s="114"/>
      <c r="Y726" s="114"/>
    </row>
    <row r="727">
      <c r="A727" s="1"/>
      <c r="B727" s="114"/>
      <c r="C727" s="114"/>
      <c r="D727" s="114"/>
      <c r="E727" s="114"/>
      <c r="F727" s="114"/>
      <c r="G727" s="114"/>
      <c r="H727" s="114"/>
      <c r="I727" s="114"/>
      <c r="J727" s="114"/>
      <c r="K727" s="114"/>
      <c r="L727" s="114"/>
      <c r="M727" s="114"/>
      <c r="N727" s="114"/>
      <c r="O727" s="114"/>
      <c r="P727" s="114"/>
      <c r="Q727" s="114"/>
      <c r="R727" s="114"/>
      <c r="S727" s="114"/>
      <c r="T727" s="114"/>
      <c r="U727" s="114"/>
      <c r="V727" s="114"/>
      <c r="W727" s="114"/>
      <c r="X727" s="114"/>
      <c r="Y727" s="114"/>
    </row>
    <row r="728">
      <c r="A728" s="1"/>
      <c r="B728" s="114"/>
      <c r="C728" s="114"/>
      <c r="D728" s="114"/>
      <c r="E728" s="114"/>
      <c r="F728" s="114"/>
      <c r="G728" s="114"/>
      <c r="H728" s="114"/>
      <c r="I728" s="114"/>
      <c r="J728" s="114"/>
      <c r="K728" s="114"/>
      <c r="L728" s="114"/>
      <c r="M728" s="114"/>
      <c r="N728" s="114"/>
      <c r="O728" s="114"/>
      <c r="P728" s="114"/>
      <c r="Q728" s="114"/>
      <c r="R728" s="114"/>
      <c r="S728" s="114"/>
      <c r="T728" s="114"/>
      <c r="U728" s="114"/>
      <c r="V728" s="114"/>
      <c r="W728" s="114"/>
      <c r="X728" s="114"/>
      <c r="Y728" s="114"/>
    </row>
    <row r="729">
      <c r="A729" s="1"/>
      <c r="B729" s="114"/>
      <c r="C729" s="114"/>
      <c r="D729" s="114"/>
      <c r="E729" s="114"/>
      <c r="F729" s="114"/>
      <c r="G729" s="114"/>
      <c r="H729" s="114"/>
      <c r="I729" s="114"/>
      <c r="J729" s="114"/>
      <c r="K729" s="114"/>
      <c r="L729" s="114"/>
      <c r="M729" s="114"/>
      <c r="N729" s="114"/>
      <c r="O729" s="114"/>
      <c r="P729" s="114"/>
      <c r="Q729" s="114"/>
      <c r="R729" s="114"/>
      <c r="S729" s="114"/>
      <c r="T729" s="114"/>
      <c r="U729" s="114"/>
      <c r="V729" s="114"/>
      <c r="W729" s="114"/>
      <c r="X729" s="114"/>
      <c r="Y729" s="114"/>
    </row>
    <row r="730">
      <c r="A730" s="1"/>
      <c r="B730" s="114"/>
      <c r="C730" s="114"/>
      <c r="D730" s="114"/>
      <c r="E730" s="114"/>
      <c r="F730" s="114"/>
      <c r="G730" s="114"/>
      <c r="H730" s="114"/>
      <c r="I730" s="114"/>
      <c r="J730" s="114"/>
      <c r="K730" s="114"/>
      <c r="L730" s="114"/>
      <c r="M730" s="114"/>
      <c r="N730" s="114"/>
      <c r="O730" s="114"/>
      <c r="P730" s="114"/>
      <c r="Q730" s="114"/>
      <c r="R730" s="114"/>
      <c r="S730" s="114"/>
      <c r="T730" s="114"/>
      <c r="U730" s="114"/>
      <c r="V730" s="114"/>
      <c r="W730" s="114"/>
      <c r="X730" s="114"/>
      <c r="Y730" s="114"/>
    </row>
    <row r="731">
      <c r="A731" s="1"/>
      <c r="B731" s="114"/>
      <c r="C731" s="114"/>
      <c r="D731" s="114"/>
      <c r="E731" s="114"/>
      <c r="F731" s="114"/>
      <c r="G731" s="114"/>
      <c r="H731" s="114"/>
      <c r="I731" s="114"/>
      <c r="J731" s="114"/>
      <c r="K731" s="114"/>
      <c r="L731" s="114"/>
      <c r="M731" s="114"/>
      <c r="N731" s="114"/>
      <c r="O731" s="114"/>
      <c r="P731" s="114"/>
      <c r="Q731" s="114"/>
      <c r="R731" s="114"/>
      <c r="S731" s="114"/>
      <c r="T731" s="114"/>
      <c r="U731" s="114"/>
      <c r="V731" s="114"/>
      <c r="W731" s="114"/>
      <c r="X731" s="114"/>
      <c r="Y731" s="114"/>
    </row>
    <row r="732">
      <c r="A732" s="1"/>
      <c r="B732" s="114"/>
      <c r="C732" s="114"/>
      <c r="D732" s="114"/>
      <c r="E732" s="114"/>
      <c r="F732" s="114"/>
      <c r="G732" s="114"/>
      <c r="H732" s="114"/>
      <c r="I732" s="114"/>
      <c r="J732" s="114"/>
      <c r="K732" s="114"/>
      <c r="L732" s="114"/>
      <c r="M732" s="114"/>
      <c r="N732" s="114"/>
      <c r="O732" s="114"/>
      <c r="P732" s="114"/>
      <c r="Q732" s="114"/>
      <c r="R732" s="114"/>
      <c r="S732" s="114"/>
      <c r="T732" s="114"/>
      <c r="U732" s="114"/>
      <c r="V732" s="114"/>
      <c r="W732" s="114"/>
      <c r="X732" s="114"/>
      <c r="Y732" s="114"/>
    </row>
    <row r="733">
      <c r="A733" s="1"/>
      <c r="B733" s="114"/>
      <c r="C733" s="114"/>
      <c r="D733" s="114"/>
      <c r="E733" s="114"/>
      <c r="F733" s="114"/>
      <c r="G733" s="114"/>
      <c r="H733" s="114"/>
      <c r="I733" s="114"/>
      <c r="J733" s="114"/>
      <c r="K733" s="114"/>
      <c r="L733" s="114"/>
      <c r="M733" s="114"/>
      <c r="N733" s="114"/>
      <c r="O733" s="114"/>
      <c r="P733" s="114"/>
      <c r="Q733" s="114"/>
      <c r="R733" s="114"/>
      <c r="S733" s="114"/>
      <c r="T733" s="114"/>
      <c r="U733" s="114"/>
      <c r="V733" s="114"/>
      <c r="W733" s="114"/>
      <c r="X733" s="114"/>
      <c r="Y733" s="114"/>
    </row>
    <row r="734">
      <c r="A734" s="1"/>
      <c r="B734" s="114"/>
      <c r="C734" s="114"/>
      <c r="D734" s="114"/>
      <c r="E734" s="114"/>
      <c r="F734" s="114"/>
      <c r="G734" s="114"/>
      <c r="H734" s="114"/>
      <c r="I734" s="114"/>
      <c r="J734" s="114"/>
      <c r="K734" s="114"/>
      <c r="L734" s="114"/>
      <c r="M734" s="114"/>
      <c r="N734" s="114"/>
      <c r="O734" s="114"/>
      <c r="P734" s="114"/>
      <c r="Q734" s="114"/>
      <c r="R734" s="114"/>
      <c r="S734" s="114"/>
      <c r="T734" s="114"/>
      <c r="U734" s="114"/>
      <c r="V734" s="114"/>
      <c r="W734" s="114"/>
      <c r="X734" s="114"/>
      <c r="Y734" s="114"/>
    </row>
    <row r="735">
      <c r="A735" s="1"/>
      <c r="B735" s="114"/>
      <c r="C735" s="114"/>
      <c r="D735" s="114"/>
      <c r="E735" s="114"/>
      <c r="F735" s="114"/>
      <c r="G735" s="114"/>
      <c r="H735" s="114"/>
      <c r="I735" s="114"/>
      <c r="J735" s="114"/>
      <c r="K735" s="114"/>
      <c r="L735" s="114"/>
      <c r="M735" s="114"/>
      <c r="N735" s="114"/>
      <c r="O735" s="114"/>
      <c r="P735" s="114"/>
      <c r="Q735" s="114"/>
      <c r="R735" s="114"/>
      <c r="S735" s="114"/>
      <c r="T735" s="114"/>
      <c r="U735" s="114"/>
      <c r="V735" s="114"/>
      <c r="W735" s="114"/>
      <c r="X735" s="114"/>
      <c r="Y735" s="114"/>
    </row>
    <row r="736">
      <c r="A736" s="1"/>
      <c r="B736" s="114"/>
      <c r="C736" s="114"/>
      <c r="D736" s="114"/>
      <c r="E736" s="114"/>
      <c r="F736" s="114"/>
      <c r="G736" s="114"/>
      <c r="H736" s="114"/>
      <c r="I736" s="114"/>
      <c r="J736" s="114"/>
      <c r="K736" s="114"/>
      <c r="L736" s="114"/>
      <c r="M736" s="114"/>
      <c r="N736" s="114"/>
      <c r="O736" s="114"/>
      <c r="P736" s="114"/>
      <c r="Q736" s="114"/>
      <c r="R736" s="114"/>
      <c r="S736" s="114"/>
      <c r="T736" s="114"/>
      <c r="U736" s="114"/>
      <c r="V736" s="114"/>
      <c r="W736" s="114"/>
      <c r="X736" s="114"/>
      <c r="Y736" s="114"/>
    </row>
    <row r="737">
      <c r="A737" s="1"/>
      <c r="B737" s="114"/>
      <c r="C737" s="114"/>
      <c r="D737" s="114"/>
      <c r="E737" s="114"/>
      <c r="F737" s="114"/>
      <c r="G737" s="114"/>
      <c r="H737" s="114"/>
      <c r="I737" s="114"/>
      <c r="J737" s="114"/>
      <c r="K737" s="114"/>
      <c r="L737" s="114"/>
      <c r="M737" s="114"/>
      <c r="N737" s="114"/>
      <c r="O737" s="114"/>
      <c r="P737" s="114"/>
      <c r="Q737" s="114"/>
      <c r="R737" s="114"/>
      <c r="S737" s="114"/>
      <c r="T737" s="114"/>
      <c r="U737" s="114"/>
      <c r="V737" s="114"/>
      <c r="W737" s="114"/>
      <c r="X737" s="114"/>
      <c r="Y737" s="114"/>
    </row>
    <row r="738">
      <c r="A738" s="1"/>
      <c r="B738" s="114"/>
      <c r="C738" s="114"/>
      <c r="D738" s="114"/>
      <c r="E738" s="114"/>
      <c r="F738" s="114"/>
      <c r="G738" s="114"/>
      <c r="H738" s="114"/>
      <c r="I738" s="114"/>
      <c r="J738" s="114"/>
      <c r="K738" s="114"/>
      <c r="L738" s="114"/>
      <c r="M738" s="114"/>
      <c r="N738" s="114"/>
      <c r="O738" s="114"/>
      <c r="P738" s="114"/>
      <c r="Q738" s="114"/>
      <c r="R738" s="114"/>
      <c r="S738" s="114"/>
      <c r="T738" s="114"/>
      <c r="U738" s="114"/>
      <c r="V738" s="114"/>
      <c r="W738" s="114"/>
      <c r="X738" s="114"/>
      <c r="Y738" s="114"/>
    </row>
    <row r="739">
      <c r="A739" s="1"/>
      <c r="B739" s="114"/>
      <c r="C739" s="114"/>
      <c r="D739" s="114"/>
      <c r="E739" s="114"/>
      <c r="F739" s="114"/>
      <c r="G739" s="114"/>
      <c r="H739" s="114"/>
      <c r="I739" s="114"/>
      <c r="J739" s="114"/>
      <c r="K739" s="114"/>
      <c r="L739" s="114"/>
      <c r="M739" s="114"/>
      <c r="N739" s="114"/>
      <c r="O739" s="114"/>
      <c r="P739" s="114"/>
      <c r="Q739" s="114"/>
      <c r="R739" s="114"/>
      <c r="S739" s="114"/>
      <c r="T739" s="114"/>
      <c r="U739" s="114"/>
      <c r="V739" s="114"/>
      <c r="W739" s="114"/>
      <c r="X739" s="114"/>
      <c r="Y739" s="114"/>
    </row>
    <row r="740">
      <c r="A740" s="1"/>
      <c r="B740" s="114"/>
      <c r="C740" s="114"/>
      <c r="D740" s="114"/>
      <c r="E740" s="114"/>
      <c r="F740" s="114"/>
      <c r="G740" s="114"/>
      <c r="H740" s="114"/>
      <c r="I740" s="114"/>
      <c r="J740" s="114"/>
      <c r="K740" s="114"/>
      <c r="L740" s="114"/>
      <c r="M740" s="114"/>
      <c r="N740" s="114"/>
      <c r="O740" s="114"/>
      <c r="P740" s="114"/>
      <c r="Q740" s="114"/>
      <c r="R740" s="114"/>
      <c r="S740" s="114"/>
      <c r="T740" s="114"/>
      <c r="U740" s="114"/>
      <c r="V740" s="114"/>
      <c r="W740" s="114"/>
      <c r="X740" s="114"/>
      <c r="Y740" s="114"/>
    </row>
    <row r="741">
      <c r="A741" s="1"/>
      <c r="B741" s="114"/>
      <c r="C741" s="114"/>
      <c r="D741" s="114"/>
      <c r="E741" s="114"/>
      <c r="F741" s="114"/>
      <c r="G741" s="114"/>
      <c r="H741" s="114"/>
      <c r="I741" s="114"/>
      <c r="J741" s="114"/>
      <c r="K741" s="114"/>
      <c r="L741" s="114"/>
      <c r="M741" s="114"/>
      <c r="N741" s="114"/>
      <c r="O741" s="114"/>
      <c r="P741" s="114"/>
      <c r="Q741" s="114"/>
      <c r="R741" s="114"/>
      <c r="S741" s="114"/>
      <c r="T741" s="114"/>
      <c r="U741" s="114"/>
      <c r="V741" s="114"/>
      <c r="W741" s="114"/>
      <c r="X741" s="114"/>
      <c r="Y741" s="114"/>
    </row>
    <row r="742">
      <c r="A742" s="1"/>
      <c r="B742" s="114"/>
      <c r="C742" s="114"/>
      <c r="D742" s="114"/>
      <c r="E742" s="114"/>
      <c r="F742" s="114"/>
      <c r="G742" s="114"/>
      <c r="H742" s="114"/>
      <c r="I742" s="114"/>
      <c r="J742" s="114"/>
      <c r="K742" s="114"/>
      <c r="L742" s="114"/>
      <c r="M742" s="114"/>
      <c r="N742" s="114"/>
      <c r="O742" s="114"/>
      <c r="P742" s="114"/>
      <c r="Q742" s="114"/>
      <c r="R742" s="114"/>
      <c r="S742" s="114"/>
      <c r="T742" s="114"/>
      <c r="U742" s="114"/>
      <c r="V742" s="114"/>
      <c r="W742" s="114"/>
      <c r="X742" s="114"/>
      <c r="Y742" s="114"/>
    </row>
    <row r="743">
      <c r="A743" s="1"/>
      <c r="B743" s="114"/>
      <c r="C743" s="114"/>
      <c r="D743" s="114"/>
      <c r="E743" s="114"/>
      <c r="F743" s="114"/>
      <c r="G743" s="114"/>
      <c r="H743" s="114"/>
      <c r="I743" s="114"/>
      <c r="J743" s="114"/>
      <c r="K743" s="114"/>
      <c r="L743" s="114"/>
      <c r="M743" s="114"/>
      <c r="N743" s="114"/>
      <c r="O743" s="114"/>
      <c r="P743" s="114"/>
      <c r="Q743" s="114"/>
      <c r="R743" s="114"/>
      <c r="S743" s="114"/>
      <c r="T743" s="114"/>
      <c r="U743" s="114"/>
      <c r="V743" s="114"/>
      <c r="W743" s="114"/>
      <c r="X743" s="114"/>
      <c r="Y743" s="114"/>
    </row>
    <row r="744">
      <c r="A744" s="1"/>
      <c r="B744" s="114"/>
      <c r="C744" s="114"/>
      <c r="D744" s="114"/>
      <c r="E744" s="114"/>
      <c r="F744" s="114"/>
      <c r="G744" s="114"/>
      <c r="H744" s="114"/>
      <c r="I744" s="114"/>
      <c r="J744" s="114"/>
      <c r="K744" s="114"/>
      <c r="L744" s="114"/>
      <c r="M744" s="114"/>
      <c r="N744" s="114"/>
      <c r="O744" s="114"/>
      <c r="P744" s="114"/>
      <c r="Q744" s="114"/>
      <c r="R744" s="114"/>
      <c r="S744" s="114"/>
      <c r="T744" s="114"/>
      <c r="U744" s="114"/>
      <c r="V744" s="114"/>
      <c r="W744" s="114"/>
      <c r="X744" s="114"/>
      <c r="Y744" s="114"/>
    </row>
    <row r="745">
      <c r="A745" s="1"/>
      <c r="B745" s="114"/>
      <c r="C745" s="114"/>
      <c r="D745" s="114"/>
      <c r="E745" s="114"/>
      <c r="F745" s="114"/>
      <c r="G745" s="114"/>
      <c r="H745" s="114"/>
      <c r="I745" s="114"/>
      <c r="J745" s="114"/>
      <c r="K745" s="114"/>
      <c r="L745" s="114"/>
      <c r="M745" s="114"/>
      <c r="N745" s="114"/>
      <c r="O745" s="114"/>
      <c r="P745" s="114"/>
      <c r="Q745" s="114"/>
      <c r="R745" s="114"/>
      <c r="S745" s="114"/>
      <c r="T745" s="114"/>
      <c r="U745" s="114"/>
      <c r="V745" s="114"/>
      <c r="W745" s="114"/>
      <c r="X745" s="114"/>
      <c r="Y745" s="114"/>
    </row>
    <row r="746">
      <c r="A746" s="1"/>
      <c r="B746" s="114"/>
      <c r="C746" s="114"/>
      <c r="D746" s="114"/>
      <c r="E746" s="114"/>
      <c r="F746" s="114"/>
      <c r="G746" s="114"/>
      <c r="H746" s="114"/>
      <c r="I746" s="114"/>
      <c r="J746" s="114"/>
      <c r="K746" s="114"/>
      <c r="L746" s="114"/>
      <c r="M746" s="114"/>
      <c r="N746" s="114"/>
      <c r="O746" s="114"/>
      <c r="P746" s="114"/>
      <c r="Q746" s="114"/>
      <c r="R746" s="114"/>
      <c r="S746" s="114"/>
      <c r="T746" s="114"/>
      <c r="U746" s="114"/>
      <c r="V746" s="114"/>
      <c r="W746" s="114"/>
      <c r="X746" s="114"/>
      <c r="Y746" s="114"/>
    </row>
    <row r="747">
      <c r="A747" s="1"/>
      <c r="B747" s="114"/>
      <c r="C747" s="114"/>
      <c r="D747" s="114"/>
      <c r="E747" s="114"/>
      <c r="F747" s="114"/>
      <c r="G747" s="114"/>
      <c r="H747" s="114"/>
      <c r="I747" s="114"/>
      <c r="J747" s="114"/>
      <c r="K747" s="114"/>
      <c r="L747" s="114"/>
      <c r="M747" s="114"/>
      <c r="N747" s="114"/>
      <c r="O747" s="114"/>
      <c r="P747" s="114"/>
      <c r="Q747" s="114"/>
      <c r="R747" s="114"/>
      <c r="S747" s="114"/>
      <c r="T747" s="114"/>
      <c r="U747" s="114"/>
      <c r="V747" s="114"/>
      <c r="W747" s="114"/>
      <c r="X747" s="114"/>
      <c r="Y747" s="114"/>
    </row>
    <row r="748">
      <c r="A748" s="1"/>
      <c r="B748" s="114"/>
      <c r="C748" s="114"/>
      <c r="D748" s="114"/>
      <c r="E748" s="114"/>
      <c r="F748" s="114"/>
      <c r="G748" s="114"/>
      <c r="H748" s="114"/>
      <c r="I748" s="114"/>
      <c r="J748" s="114"/>
      <c r="K748" s="114"/>
      <c r="L748" s="114"/>
      <c r="M748" s="114"/>
      <c r="N748" s="114"/>
      <c r="O748" s="114"/>
      <c r="P748" s="114"/>
      <c r="Q748" s="114"/>
      <c r="R748" s="114"/>
      <c r="S748" s="114"/>
      <c r="T748" s="114"/>
      <c r="U748" s="114"/>
      <c r="V748" s="114"/>
      <c r="W748" s="114"/>
      <c r="X748" s="114"/>
      <c r="Y748" s="114"/>
    </row>
    <row r="749">
      <c r="A749" s="1"/>
      <c r="B749" s="114"/>
      <c r="C749" s="114"/>
      <c r="D749" s="114"/>
      <c r="E749" s="114"/>
      <c r="F749" s="114"/>
      <c r="G749" s="114"/>
      <c r="H749" s="114"/>
      <c r="I749" s="114"/>
      <c r="J749" s="114"/>
      <c r="K749" s="114"/>
      <c r="L749" s="114"/>
      <c r="M749" s="114"/>
      <c r="N749" s="114"/>
      <c r="O749" s="114"/>
      <c r="P749" s="114"/>
      <c r="Q749" s="114"/>
      <c r="R749" s="114"/>
      <c r="S749" s="114"/>
      <c r="T749" s="114"/>
      <c r="U749" s="114"/>
      <c r="V749" s="114"/>
      <c r="W749" s="114"/>
      <c r="X749" s="114"/>
      <c r="Y749" s="114"/>
    </row>
    <row r="750">
      <c r="A750" s="1"/>
      <c r="B750" s="114"/>
      <c r="C750" s="114"/>
      <c r="D750" s="114"/>
      <c r="E750" s="114"/>
      <c r="F750" s="114"/>
      <c r="G750" s="114"/>
      <c r="H750" s="114"/>
      <c r="I750" s="114"/>
      <c r="J750" s="114"/>
      <c r="K750" s="114"/>
      <c r="L750" s="114"/>
      <c r="M750" s="114"/>
      <c r="N750" s="114"/>
      <c r="O750" s="114"/>
      <c r="P750" s="114"/>
      <c r="Q750" s="114"/>
      <c r="R750" s="114"/>
      <c r="S750" s="114"/>
      <c r="T750" s="114"/>
      <c r="U750" s="114"/>
      <c r="V750" s="114"/>
      <c r="W750" s="114"/>
      <c r="X750" s="114"/>
      <c r="Y750" s="114"/>
    </row>
    <row r="751">
      <c r="A751" s="1"/>
      <c r="B751" s="114"/>
      <c r="C751" s="114"/>
      <c r="D751" s="114"/>
      <c r="E751" s="114"/>
      <c r="F751" s="114"/>
      <c r="G751" s="114"/>
      <c r="H751" s="114"/>
      <c r="I751" s="114"/>
      <c r="J751" s="114"/>
      <c r="K751" s="114"/>
      <c r="L751" s="114"/>
      <c r="M751" s="114"/>
      <c r="N751" s="114"/>
      <c r="O751" s="114"/>
      <c r="P751" s="114"/>
      <c r="Q751" s="114"/>
      <c r="R751" s="114"/>
      <c r="S751" s="114"/>
      <c r="T751" s="114"/>
      <c r="U751" s="114"/>
      <c r="V751" s="114"/>
      <c r="W751" s="114"/>
      <c r="X751" s="114"/>
      <c r="Y751" s="114"/>
    </row>
    <row r="752">
      <c r="A752" s="1"/>
      <c r="B752" s="114"/>
      <c r="C752" s="114"/>
      <c r="D752" s="114"/>
      <c r="E752" s="114"/>
      <c r="F752" s="114"/>
      <c r="G752" s="114"/>
      <c r="H752" s="114"/>
      <c r="I752" s="114"/>
      <c r="J752" s="114"/>
      <c r="K752" s="114"/>
      <c r="L752" s="114"/>
      <c r="M752" s="114"/>
      <c r="N752" s="114"/>
      <c r="O752" s="114"/>
      <c r="P752" s="114"/>
      <c r="Q752" s="114"/>
      <c r="R752" s="114"/>
      <c r="S752" s="114"/>
      <c r="T752" s="114"/>
      <c r="U752" s="114"/>
      <c r="V752" s="114"/>
      <c r="W752" s="114"/>
      <c r="X752" s="114"/>
      <c r="Y752" s="114"/>
    </row>
    <row r="753">
      <c r="A753" s="1"/>
      <c r="B753" s="114"/>
      <c r="C753" s="114"/>
      <c r="D753" s="114"/>
      <c r="E753" s="114"/>
      <c r="F753" s="114"/>
      <c r="G753" s="114"/>
      <c r="H753" s="114"/>
      <c r="I753" s="114"/>
      <c r="J753" s="114"/>
      <c r="K753" s="114"/>
      <c r="L753" s="114"/>
      <c r="M753" s="114"/>
      <c r="N753" s="114"/>
      <c r="O753" s="114"/>
      <c r="P753" s="114"/>
      <c r="Q753" s="114"/>
      <c r="R753" s="114"/>
      <c r="S753" s="114"/>
      <c r="T753" s="114"/>
      <c r="U753" s="114"/>
      <c r="V753" s="114"/>
      <c r="W753" s="114"/>
      <c r="X753" s="114"/>
      <c r="Y753" s="114"/>
    </row>
    <row r="754">
      <c r="A754" s="1"/>
      <c r="B754" s="114"/>
      <c r="C754" s="114"/>
      <c r="D754" s="114"/>
      <c r="E754" s="114"/>
      <c r="F754" s="114"/>
      <c r="G754" s="114"/>
      <c r="H754" s="114"/>
      <c r="I754" s="114"/>
      <c r="J754" s="114"/>
      <c r="K754" s="114"/>
      <c r="L754" s="114"/>
      <c r="M754" s="114"/>
      <c r="N754" s="114"/>
      <c r="O754" s="114"/>
      <c r="P754" s="114"/>
      <c r="Q754" s="114"/>
      <c r="R754" s="114"/>
      <c r="S754" s="114"/>
      <c r="T754" s="114"/>
      <c r="U754" s="114"/>
      <c r="V754" s="114"/>
      <c r="W754" s="114"/>
      <c r="X754" s="114"/>
      <c r="Y754" s="114"/>
    </row>
    <row r="755">
      <c r="A755" s="1"/>
      <c r="B755" s="114"/>
      <c r="C755" s="114"/>
      <c r="D755" s="114"/>
      <c r="E755" s="114"/>
      <c r="F755" s="114"/>
      <c r="G755" s="114"/>
      <c r="H755" s="114"/>
      <c r="I755" s="114"/>
      <c r="J755" s="114"/>
      <c r="K755" s="114"/>
      <c r="L755" s="114"/>
      <c r="M755" s="114"/>
      <c r="N755" s="114"/>
      <c r="O755" s="114"/>
      <c r="P755" s="114"/>
      <c r="Q755" s="114"/>
      <c r="R755" s="114"/>
      <c r="S755" s="114"/>
      <c r="T755" s="114"/>
      <c r="U755" s="114"/>
      <c r="V755" s="114"/>
      <c r="W755" s="114"/>
      <c r="X755" s="114"/>
      <c r="Y755" s="114"/>
    </row>
    <row r="756">
      <c r="A756" s="1"/>
      <c r="B756" s="114"/>
      <c r="C756" s="114"/>
      <c r="D756" s="114"/>
      <c r="E756" s="114"/>
      <c r="F756" s="114"/>
      <c r="G756" s="114"/>
      <c r="H756" s="114"/>
      <c r="I756" s="114"/>
      <c r="J756" s="114"/>
      <c r="K756" s="114"/>
      <c r="L756" s="114"/>
      <c r="M756" s="114"/>
      <c r="N756" s="114"/>
      <c r="O756" s="114"/>
      <c r="P756" s="114"/>
      <c r="Q756" s="114"/>
      <c r="R756" s="114"/>
      <c r="S756" s="114"/>
      <c r="T756" s="114"/>
      <c r="U756" s="114"/>
      <c r="V756" s="114"/>
      <c r="W756" s="114"/>
      <c r="X756" s="114"/>
      <c r="Y756" s="114"/>
    </row>
    <row r="757">
      <c r="A757" s="1"/>
      <c r="B757" s="114"/>
      <c r="C757" s="114"/>
      <c r="D757" s="114"/>
      <c r="E757" s="114"/>
      <c r="F757" s="114"/>
      <c r="G757" s="114"/>
      <c r="H757" s="114"/>
      <c r="I757" s="114"/>
      <c r="J757" s="114"/>
      <c r="K757" s="114"/>
      <c r="L757" s="114"/>
      <c r="M757" s="114"/>
      <c r="N757" s="114"/>
      <c r="O757" s="114"/>
      <c r="P757" s="114"/>
      <c r="Q757" s="114"/>
      <c r="R757" s="114"/>
      <c r="S757" s="114"/>
      <c r="T757" s="114"/>
      <c r="U757" s="114"/>
      <c r="V757" s="114"/>
      <c r="W757" s="114"/>
      <c r="X757" s="114"/>
      <c r="Y757" s="114"/>
    </row>
    <row r="758">
      <c r="A758" s="1"/>
      <c r="B758" s="114"/>
      <c r="C758" s="114"/>
      <c r="D758" s="114"/>
      <c r="E758" s="114"/>
      <c r="F758" s="114"/>
      <c r="G758" s="114"/>
      <c r="H758" s="114"/>
      <c r="I758" s="114"/>
      <c r="J758" s="114"/>
      <c r="K758" s="114"/>
      <c r="L758" s="114"/>
      <c r="M758" s="114"/>
      <c r="N758" s="114"/>
      <c r="O758" s="114"/>
      <c r="P758" s="114"/>
      <c r="Q758" s="114"/>
      <c r="R758" s="114"/>
      <c r="S758" s="114"/>
      <c r="T758" s="114"/>
      <c r="U758" s="114"/>
      <c r="V758" s="114"/>
      <c r="W758" s="114"/>
      <c r="X758" s="114"/>
      <c r="Y758" s="114"/>
    </row>
    <row r="759">
      <c r="A759" s="1"/>
      <c r="B759" s="114"/>
      <c r="C759" s="114"/>
      <c r="D759" s="114"/>
      <c r="E759" s="114"/>
      <c r="F759" s="114"/>
      <c r="G759" s="114"/>
      <c r="H759" s="114"/>
      <c r="I759" s="114"/>
      <c r="J759" s="114"/>
      <c r="K759" s="114"/>
      <c r="L759" s="114"/>
      <c r="M759" s="114"/>
      <c r="N759" s="114"/>
      <c r="O759" s="114"/>
      <c r="P759" s="114"/>
      <c r="Q759" s="114"/>
      <c r="R759" s="114"/>
      <c r="S759" s="114"/>
      <c r="T759" s="114"/>
      <c r="U759" s="114"/>
      <c r="V759" s="114"/>
      <c r="W759" s="114"/>
      <c r="X759" s="114"/>
      <c r="Y759" s="114"/>
    </row>
    <row r="760">
      <c r="A760" s="1"/>
      <c r="B760" s="114"/>
      <c r="C760" s="114"/>
      <c r="D760" s="114"/>
      <c r="E760" s="114"/>
      <c r="F760" s="114"/>
      <c r="G760" s="114"/>
      <c r="H760" s="114"/>
      <c r="I760" s="114"/>
      <c r="J760" s="114"/>
      <c r="K760" s="114"/>
      <c r="L760" s="114"/>
      <c r="M760" s="114"/>
      <c r="N760" s="114"/>
      <c r="O760" s="114"/>
      <c r="P760" s="114"/>
      <c r="Q760" s="114"/>
      <c r="R760" s="114"/>
      <c r="S760" s="114"/>
      <c r="T760" s="114"/>
      <c r="U760" s="114"/>
      <c r="V760" s="114"/>
      <c r="W760" s="114"/>
      <c r="X760" s="114"/>
      <c r="Y760" s="114"/>
    </row>
    <row r="761">
      <c r="A761" s="1"/>
      <c r="B761" s="114"/>
      <c r="C761" s="114"/>
      <c r="D761" s="114"/>
      <c r="E761" s="114"/>
      <c r="F761" s="114"/>
      <c r="G761" s="114"/>
      <c r="H761" s="114"/>
      <c r="I761" s="114"/>
      <c r="J761" s="114"/>
      <c r="K761" s="114"/>
      <c r="L761" s="114"/>
      <c r="M761" s="114"/>
      <c r="N761" s="114"/>
      <c r="O761" s="114"/>
      <c r="P761" s="114"/>
      <c r="Q761" s="114"/>
      <c r="R761" s="114"/>
      <c r="S761" s="114"/>
      <c r="T761" s="114"/>
      <c r="U761" s="114"/>
      <c r="V761" s="114"/>
      <c r="W761" s="114"/>
      <c r="X761" s="114"/>
      <c r="Y761" s="114"/>
    </row>
    <row r="762">
      <c r="A762" s="1"/>
      <c r="B762" s="114"/>
      <c r="C762" s="114"/>
      <c r="D762" s="114"/>
      <c r="E762" s="114"/>
      <c r="F762" s="114"/>
      <c r="G762" s="114"/>
      <c r="H762" s="114"/>
      <c r="I762" s="114"/>
      <c r="J762" s="114"/>
      <c r="K762" s="114"/>
      <c r="L762" s="114"/>
      <c r="M762" s="114"/>
      <c r="N762" s="114"/>
      <c r="O762" s="114"/>
      <c r="P762" s="114"/>
      <c r="Q762" s="114"/>
      <c r="R762" s="114"/>
      <c r="S762" s="114"/>
      <c r="T762" s="114"/>
      <c r="U762" s="114"/>
      <c r="V762" s="114"/>
      <c r="W762" s="114"/>
      <c r="X762" s="114"/>
      <c r="Y762" s="114"/>
    </row>
    <row r="763">
      <c r="A763" s="1"/>
      <c r="B763" s="114"/>
      <c r="C763" s="114"/>
      <c r="D763" s="114"/>
      <c r="E763" s="114"/>
      <c r="F763" s="114"/>
      <c r="G763" s="114"/>
      <c r="H763" s="114"/>
      <c r="I763" s="114"/>
      <c r="J763" s="114"/>
      <c r="K763" s="114"/>
      <c r="L763" s="114"/>
      <c r="M763" s="114"/>
      <c r="N763" s="114"/>
      <c r="O763" s="114"/>
      <c r="P763" s="114"/>
      <c r="Q763" s="114"/>
      <c r="R763" s="114"/>
      <c r="S763" s="114"/>
      <c r="T763" s="114"/>
      <c r="U763" s="114"/>
      <c r="V763" s="114"/>
      <c r="W763" s="114"/>
      <c r="X763" s="114"/>
      <c r="Y763" s="114"/>
    </row>
    <row r="764">
      <c r="A764" s="1"/>
      <c r="B764" s="114"/>
      <c r="C764" s="114"/>
      <c r="D764" s="114"/>
      <c r="E764" s="114"/>
      <c r="F764" s="114"/>
      <c r="G764" s="114"/>
      <c r="H764" s="114"/>
      <c r="I764" s="114"/>
      <c r="J764" s="114"/>
      <c r="K764" s="114"/>
      <c r="L764" s="114"/>
      <c r="M764" s="114"/>
      <c r="N764" s="114"/>
      <c r="O764" s="114"/>
      <c r="P764" s="114"/>
      <c r="Q764" s="114"/>
      <c r="R764" s="114"/>
      <c r="S764" s="114"/>
      <c r="T764" s="114"/>
      <c r="U764" s="114"/>
      <c r="V764" s="114"/>
      <c r="W764" s="114"/>
      <c r="X764" s="114"/>
      <c r="Y764" s="114"/>
    </row>
    <row r="765">
      <c r="A765" s="1"/>
      <c r="B765" s="114"/>
      <c r="C765" s="114"/>
      <c r="D765" s="114"/>
      <c r="E765" s="114"/>
      <c r="F765" s="114"/>
      <c r="G765" s="114"/>
      <c r="H765" s="114"/>
      <c r="I765" s="114"/>
      <c r="J765" s="114"/>
      <c r="K765" s="114"/>
      <c r="L765" s="114"/>
      <c r="M765" s="114"/>
      <c r="N765" s="114"/>
      <c r="O765" s="114"/>
      <c r="P765" s="114"/>
      <c r="Q765" s="114"/>
      <c r="R765" s="114"/>
      <c r="S765" s="114"/>
      <c r="T765" s="114"/>
      <c r="U765" s="114"/>
      <c r="V765" s="114"/>
      <c r="W765" s="114"/>
      <c r="X765" s="114"/>
      <c r="Y765" s="114"/>
    </row>
    <row r="766">
      <c r="A766" s="1"/>
      <c r="B766" s="114"/>
      <c r="C766" s="114"/>
      <c r="D766" s="114"/>
      <c r="E766" s="114"/>
      <c r="F766" s="114"/>
      <c r="G766" s="114"/>
      <c r="H766" s="114"/>
      <c r="I766" s="114"/>
      <c r="J766" s="114"/>
      <c r="K766" s="114"/>
      <c r="L766" s="114"/>
      <c r="M766" s="114"/>
      <c r="N766" s="114"/>
      <c r="O766" s="114"/>
      <c r="P766" s="114"/>
      <c r="Q766" s="114"/>
      <c r="R766" s="114"/>
      <c r="S766" s="114"/>
      <c r="T766" s="114"/>
      <c r="U766" s="114"/>
      <c r="V766" s="114"/>
      <c r="W766" s="114"/>
      <c r="X766" s="114"/>
      <c r="Y766" s="114"/>
    </row>
    <row r="767">
      <c r="A767" s="1"/>
      <c r="B767" s="114"/>
      <c r="C767" s="114"/>
      <c r="D767" s="114"/>
      <c r="E767" s="114"/>
      <c r="F767" s="114"/>
      <c r="G767" s="114"/>
      <c r="H767" s="114"/>
      <c r="I767" s="114"/>
      <c r="J767" s="114"/>
      <c r="K767" s="114"/>
      <c r="L767" s="114"/>
      <c r="M767" s="114"/>
      <c r="N767" s="114"/>
      <c r="O767" s="114"/>
      <c r="P767" s="114"/>
      <c r="Q767" s="114"/>
      <c r="R767" s="114"/>
      <c r="S767" s="114"/>
      <c r="T767" s="114"/>
      <c r="U767" s="114"/>
      <c r="V767" s="114"/>
      <c r="W767" s="114"/>
      <c r="X767" s="114"/>
      <c r="Y767" s="114"/>
    </row>
    <row r="768">
      <c r="A768" s="1"/>
      <c r="B768" s="114"/>
      <c r="C768" s="114"/>
      <c r="D768" s="114"/>
      <c r="E768" s="114"/>
      <c r="F768" s="114"/>
      <c r="G768" s="114"/>
      <c r="H768" s="114"/>
      <c r="I768" s="114"/>
      <c r="J768" s="114"/>
      <c r="K768" s="114"/>
      <c r="L768" s="114"/>
      <c r="M768" s="114"/>
      <c r="N768" s="114"/>
      <c r="O768" s="114"/>
      <c r="P768" s="114"/>
      <c r="Q768" s="114"/>
      <c r="R768" s="114"/>
      <c r="S768" s="114"/>
      <c r="T768" s="114"/>
      <c r="U768" s="114"/>
      <c r="V768" s="114"/>
      <c r="W768" s="114"/>
      <c r="X768" s="114"/>
      <c r="Y768" s="114"/>
    </row>
    <row r="769">
      <c r="A769" s="1"/>
      <c r="B769" s="114"/>
      <c r="C769" s="114"/>
      <c r="D769" s="114"/>
      <c r="E769" s="114"/>
      <c r="F769" s="114"/>
      <c r="G769" s="114"/>
      <c r="H769" s="114"/>
      <c r="I769" s="114"/>
      <c r="J769" s="114"/>
      <c r="K769" s="114"/>
      <c r="L769" s="114"/>
      <c r="M769" s="114"/>
      <c r="N769" s="114"/>
      <c r="O769" s="114"/>
      <c r="P769" s="114"/>
      <c r="Q769" s="114"/>
      <c r="R769" s="114"/>
      <c r="S769" s="114"/>
      <c r="T769" s="114"/>
      <c r="U769" s="114"/>
      <c r="V769" s="114"/>
      <c r="W769" s="114"/>
      <c r="X769" s="114"/>
      <c r="Y769" s="114"/>
    </row>
    <row r="770">
      <c r="A770" s="1"/>
      <c r="B770" s="114"/>
      <c r="C770" s="114"/>
      <c r="D770" s="114"/>
      <c r="E770" s="114"/>
      <c r="F770" s="114"/>
      <c r="G770" s="114"/>
      <c r="H770" s="114"/>
      <c r="I770" s="114"/>
      <c r="J770" s="114"/>
      <c r="K770" s="114"/>
      <c r="L770" s="114"/>
      <c r="M770" s="114"/>
      <c r="N770" s="114"/>
      <c r="O770" s="114"/>
      <c r="P770" s="114"/>
      <c r="Q770" s="114"/>
      <c r="R770" s="114"/>
      <c r="S770" s="114"/>
      <c r="T770" s="114"/>
      <c r="U770" s="114"/>
      <c r="V770" s="114"/>
      <c r="W770" s="114"/>
      <c r="X770" s="114"/>
      <c r="Y770" s="114"/>
    </row>
    <row r="771">
      <c r="A771" s="1"/>
      <c r="B771" s="114"/>
      <c r="C771" s="114"/>
      <c r="D771" s="114"/>
      <c r="E771" s="114"/>
      <c r="F771" s="114"/>
      <c r="G771" s="114"/>
      <c r="H771" s="114"/>
      <c r="I771" s="114"/>
      <c r="J771" s="114"/>
      <c r="K771" s="114"/>
      <c r="L771" s="114"/>
      <c r="M771" s="114"/>
      <c r="N771" s="114"/>
      <c r="O771" s="114"/>
      <c r="P771" s="114"/>
      <c r="Q771" s="114"/>
      <c r="R771" s="114"/>
      <c r="S771" s="114"/>
      <c r="T771" s="114"/>
      <c r="U771" s="114"/>
      <c r="V771" s="114"/>
      <c r="W771" s="114"/>
      <c r="X771" s="114"/>
      <c r="Y771" s="114"/>
    </row>
    <row r="772">
      <c r="A772" s="1"/>
      <c r="B772" s="114"/>
      <c r="C772" s="114"/>
      <c r="D772" s="114"/>
      <c r="E772" s="114"/>
      <c r="F772" s="114"/>
      <c r="G772" s="114"/>
      <c r="H772" s="114"/>
      <c r="I772" s="114"/>
      <c r="J772" s="114"/>
      <c r="K772" s="114"/>
      <c r="L772" s="114"/>
      <c r="M772" s="114"/>
      <c r="N772" s="114"/>
      <c r="O772" s="114"/>
      <c r="P772" s="114"/>
      <c r="Q772" s="114"/>
      <c r="R772" s="114"/>
      <c r="S772" s="114"/>
      <c r="T772" s="114"/>
      <c r="U772" s="114"/>
      <c r="V772" s="114"/>
      <c r="W772" s="114"/>
      <c r="X772" s="114"/>
      <c r="Y772" s="114"/>
    </row>
    <row r="773">
      <c r="A773" s="1"/>
      <c r="B773" s="114"/>
      <c r="C773" s="114"/>
      <c r="D773" s="114"/>
      <c r="E773" s="114"/>
      <c r="F773" s="114"/>
      <c r="G773" s="114"/>
      <c r="H773" s="114"/>
      <c r="I773" s="114"/>
      <c r="J773" s="114"/>
      <c r="K773" s="114"/>
      <c r="L773" s="114"/>
      <c r="M773" s="114"/>
      <c r="N773" s="114"/>
      <c r="O773" s="114"/>
      <c r="P773" s="114"/>
      <c r="Q773" s="114"/>
      <c r="R773" s="114"/>
      <c r="S773" s="114"/>
      <c r="T773" s="114"/>
      <c r="U773" s="114"/>
      <c r="V773" s="114"/>
      <c r="W773" s="114"/>
      <c r="X773" s="114"/>
      <c r="Y773" s="114"/>
    </row>
    <row r="774">
      <c r="A774" s="1"/>
      <c r="B774" s="114"/>
      <c r="C774" s="114"/>
      <c r="D774" s="114"/>
      <c r="E774" s="114"/>
      <c r="F774" s="114"/>
      <c r="G774" s="114"/>
      <c r="H774" s="114"/>
      <c r="I774" s="114"/>
      <c r="J774" s="114"/>
      <c r="K774" s="114"/>
      <c r="L774" s="114"/>
      <c r="M774" s="114"/>
      <c r="N774" s="114"/>
      <c r="O774" s="114"/>
      <c r="P774" s="114"/>
      <c r="Q774" s="114"/>
      <c r="R774" s="114"/>
      <c r="S774" s="114"/>
      <c r="T774" s="114"/>
      <c r="U774" s="114"/>
      <c r="V774" s="114"/>
      <c r="W774" s="114"/>
      <c r="X774" s="114"/>
      <c r="Y774" s="114"/>
    </row>
    <row r="775">
      <c r="A775" s="1"/>
      <c r="B775" s="114"/>
      <c r="C775" s="114"/>
      <c r="D775" s="114"/>
      <c r="E775" s="114"/>
      <c r="F775" s="114"/>
      <c r="G775" s="114"/>
      <c r="H775" s="114"/>
      <c r="I775" s="114"/>
      <c r="J775" s="114"/>
      <c r="K775" s="114"/>
      <c r="L775" s="114"/>
      <c r="M775" s="114"/>
      <c r="N775" s="114"/>
      <c r="O775" s="114"/>
      <c r="P775" s="114"/>
      <c r="Q775" s="114"/>
      <c r="R775" s="114"/>
      <c r="S775" s="114"/>
      <c r="T775" s="114"/>
      <c r="U775" s="114"/>
      <c r="V775" s="114"/>
      <c r="W775" s="114"/>
      <c r="X775" s="114"/>
      <c r="Y775" s="114"/>
    </row>
    <row r="776">
      <c r="A776" s="1"/>
      <c r="B776" s="114"/>
      <c r="C776" s="114"/>
      <c r="D776" s="114"/>
      <c r="E776" s="114"/>
      <c r="F776" s="114"/>
      <c r="G776" s="114"/>
      <c r="H776" s="114"/>
      <c r="I776" s="114"/>
      <c r="J776" s="114"/>
      <c r="K776" s="114"/>
      <c r="L776" s="114"/>
      <c r="M776" s="114"/>
      <c r="N776" s="114"/>
      <c r="O776" s="114"/>
      <c r="P776" s="114"/>
      <c r="Q776" s="114"/>
      <c r="R776" s="114"/>
      <c r="S776" s="114"/>
      <c r="T776" s="114"/>
      <c r="U776" s="114"/>
      <c r="V776" s="114"/>
      <c r="W776" s="114"/>
      <c r="X776" s="114"/>
      <c r="Y776" s="114"/>
    </row>
    <row r="777">
      <c r="A777" s="1"/>
      <c r="B777" s="114"/>
      <c r="C777" s="114"/>
      <c r="D777" s="114"/>
      <c r="E777" s="114"/>
      <c r="F777" s="114"/>
      <c r="G777" s="114"/>
      <c r="H777" s="114"/>
      <c r="I777" s="114"/>
      <c r="J777" s="114"/>
      <c r="K777" s="114"/>
      <c r="L777" s="114"/>
      <c r="M777" s="114"/>
      <c r="N777" s="114"/>
      <c r="O777" s="114"/>
      <c r="P777" s="114"/>
      <c r="Q777" s="114"/>
      <c r="R777" s="114"/>
      <c r="S777" s="114"/>
      <c r="T777" s="114"/>
      <c r="U777" s="114"/>
      <c r="V777" s="114"/>
      <c r="W777" s="114"/>
      <c r="X777" s="114"/>
      <c r="Y777" s="114"/>
    </row>
    <row r="778">
      <c r="A778" s="1"/>
      <c r="B778" s="114"/>
      <c r="C778" s="114"/>
      <c r="D778" s="114"/>
      <c r="E778" s="114"/>
      <c r="F778" s="114"/>
      <c r="G778" s="114"/>
      <c r="H778" s="114"/>
      <c r="I778" s="114"/>
      <c r="J778" s="114"/>
      <c r="K778" s="114"/>
      <c r="L778" s="114"/>
      <c r="M778" s="114"/>
      <c r="N778" s="114"/>
      <c r="O778" s="114"/>
      <c r="P778" s="114"/>
      <c r="Q778" s="114"/>
      <c r="R778" s="114"/>
      <c r="S778" s="114"/>
      <c r="T778" s="114"/>
      <c r="U778" s="114"/>
      <c r="V778" s="114"/>
      <c r="W778" s="114"/>
      <c r="X778" s="114"/>
      <c r="Y778" s="114"/>
    </row>
    <row r="779">
      <c r="A779" s="1"/>
      <c r="B779" s="114"/>
      <c r="C779" s="114"/>
      <c r="D779" s="114"/>
      <c r="E779" s="114"/>
      <c r="F779" s="114"/>
      <c r="G779" s="114"/>
      <c r="H779" s="114"/>
      <c r="I779" s="114"/>
      <c r="J779" s="114"/>
      <c r="K779" s="114"/>
      <c r="L779" s="114"/>
      <c r="M779" s="114"/>
      <c r="N779" s="114"/>
      <c r="O779" s="114"/>
      <c r="P779" s="114"/>
      <c r="Q779" s="114"/>
      <c r="R779" s="114"/>
      <c r="S779" s="114"/>
      <c r="T779" s="114"/>
      <c r="U779" s="114"/>
      <c r="V779" s="114"/>
      <c r="W779" s="114"/>
      <c r="X779" s="114"/>
      <c r="Y779" s="114"/>
    </row>
    <row r="780">
      <c r="A780" s="1"/>
      <c r="B780" s="114"/>
      <c r="C780" s="114"/>
      <c r="D780" s="114"/>
      <c r="E780" s="114"/>
      <c r="F780" s="114"/>
      <c r="G780" s="114"/>
      <c r="H780" s="114"/>
      <c r="I780" s="114"/>
      <c r="J780" s="114"/>
      <c r="K780" s="114"/>
      <c r="L780" s="114"/>
      <c r="M780" s="114"/>
      <c r="N780" s="114"/>
      <c r="O780" s="114"/>
      <c r="P780" s="114"/>
      <c r="Q780" s="114"/>
      <c r="R780" s="114"/>
      <c r="S780" s="114"/>
      <c r="T780" s="114"/>
      <c r="U780" s="114"/>
      <c r="V780" s="114"/>
      <c r="W780" s="114"/>
      <c r="X780" s="114"/>
      <c r="Y780" s="114"/>
    </row>
    <row r="781">
      <c r="A781" s="1"/>
      <c r="B781" s="114"/>
      <c r="C781" s="114"/>
      <c r="D781" s="114"/>
      <c r="E781" s="114"/>
      <c r="F781" s="114"/>
      <c r="G781" s="114"/>
      <c r="H781" s="114"/>
      <c r="I781" s="114"/>
      <c r="J781" s="114"/>
      <c r="K781" s="114"/>
      <c r="L781" s="114"/>
      <c r="M781" s="114"/>
      <c r="N781" s="114"/>
      <c r="O781" s="114"/>
      <c r="P781" s="114"/>
      <c r="Q781" s="114"/>
      <c r="R781" s="114"/>
      <c r="S781" s="114"/>
      <c r="T781" s="114"/>
      <c r="U781" s="114"/>
      <c r="V781" s="114"/>
      <c r="W781" s="114"/>
      <c r="X781" s="114"/>
      <c r="Y781" s="114"/>
    </row>
    <row r="782">
      <c r="A782" s="1"/>
      <c r="B782" s="114"/>
      <c r="C782" s="114"/>
      <c r="D782" s="114"/>
      <c r="E782" s="114"/>
      <c r="F782" s="114"/>
      <c r="G782" s="114"/>
      <c r="H782" s="114"/>
      <c r="I782" s="114"/>
      <c r="J782" s="114"/>
      <c r="K782" s="114"/>
      <c r="L782" s="114"/>
      <c r="M782" s="114"/>
      <c r="N782" s="114"/>
      <c r="O782" s="114"/>
      <c r="P782" s="114"/>
      <c r="Q782" s="114"/>
      <c r="R782" s="114"/>
      <c r="S782" s="114"/>
      <c r="T782" s="114"/>
      <c r="U782" s="114"/>
      <c r="V782" s="114"/>
      <c r="W782" s="114"/>
      <c r="X782" s="114"/>
      <c r="Y782" s="114"/>
    </row>
    <row r="783">
      <c r="A783" s="1"/>
      <c r="B783" s="114"/>
      <c r="C783" s="114"/>
      <c r="D783" s="114"/>
      <c r="E783" s="114"/>
      <c r="F783" s="114"/>
      <c r="G783" s="114"/>
      <c r="H783" s="114"/>
      <c r="I783" s="114"/>
      <c r="J783" s="114"/>
      <c r="K783" s="114"/>
      <c r="L783" s="114"/>
      <c r="M783" s="114"/>
      <c r="N783" s="114"/>
      <c r="O783" s="114"/>
      <c r="P783" s="114"/>
      <c r="Q783" s="114"/>
      <c r="R783" s="114"/>
      <c r="S783" s="114"/>
      <c r="T783" s="114"/>
      <c r="U783" s="114"/>
      <c r="V783" s="114"/>
      <c r="W783" s="114"/>
      <c r="X783" s="114"/>
      <c r="Y783" s="114"/>
    </row>
    <row r="784">
      <c r="A784" s="1"/>
      <c r="B784" s="114"/>
      <c r="C784" s="114"/>
      <c r="D784" s="114"/>
      <c r="E784" s="114"/>
      <c r="F784" s="114"/>
      <c r="G784" s="114"/>
      <c r="H784" s="114"/>
      <c r="I784" s="114"/>
      <c r="J784" s="114"/>
      <c r="K784" s="114"/>
      <c r="L784" s="114"/>
      <c r="M784" s="114"/>
      <c r="N784" s="114"/>
      <c r="O784" s="114"/>
      <c r="P784" s="114"/>
      <c r="Q784" s="114"/>
      <c r="R784" s="114"/>
      <c r="S784" s="114"/>
      <c r="T784" s="114"/>
      <c r="U784" s="114"/>
      <c r="V784" s="114"/>
      <c r="W784" s="114"/>
      <c r="X784" s="114"/>
      <c r="Y784" s="114"/>
    </row>
    <row r="785">
      <c r="A785" s="1"/>
      <c r="B785" s="114"/>
      <c r="C785" s="114"/>
      <c r="D785" s="114"/>
      <c r="E785" s="114"/>
      <c r="F785" s="114"/>
      <c r="G785" s="114"/>
      <c r="H785" s="114"/>
      <c r="I785" s="114"/>
      <c r="J785" s="114"/>
      <c r="K785" s="114"/>
      <c r="L785" s="114"/>
      <c r="M785" s="114"/>
      <c r="N785" s="114"/>
      <c r="O785" s="114"/>
      <c r="P785" s="114"/>
      <c r="Q785" s="114"/>
      <c r="R785" s="114"/>
      <c r="S785" s="114"/>
      <c r="T785" s="114"/>
      <c r="U785" s="114"/>
      <c r="V785" s="114"/>
      <c r="W785" s="114"/>
      <c r="X785" s="114"/>
      <c r="Y785" s="114"/>
    </row>
    <row r="786">
      <c r="A786" s="1"/>
      <c r="B786" s="114"/>
      <c r="C786" s="114"/>
      <c r="D786" s="114"/>
      <c r="E786" s="114"/>
      <c r="F786" s="114"/>
      <c r="G786" s="114"/>
      <c r="H786" s="114"/>
      <c r="I786" s="114"/>
      <c r="J786" s="114"/>
      <c r="K786" s="114"/>
      <c r="L786" s="114"/>
      <c r="M786" s="114"/>
      <c r="N786" s="114"/>
      <c r="O786" s="114"/>
      <c r="P786" s="114"/>
      <c r="Q786" s="114"/>
      <c r="R786" s="114"/>
      <c r="S786" s="114"/>
      <c r="T786" s="114"/>
      <c r="U786" s="114"/>
      <c r="V786" s="114"/>
      <c r="W786" s="114"/>
      <c r="X786" s="114"/>
      <c r="Y786" s="114"/>
    </row>
    <row r="787">
      <c r="A787" s="1"/>
      <c r="B787" s="114"/>
      <c r="C787" s="114"/>
      <c r="D787" s="114"/>
      <c r="E787" s="114"/>
      <c r="F787" s="114"/>
      <c r="G787" s="114"/>
      <c r="H787" s="114"/>
      <c r="I787" s="114"/>
      <c r="J787" s="114"/>
      <c r="K787" s="114"/>
      <c r="L787" s="114"/>
      <c r="M787" s="114"/>
      <c r="N787" s="114"/>
      <c r="O787" s="114"/>
      <c r="P787" s="114"/>
      <c r="Q787" s="114"/>
      <c r="R787" s="114"/>
      <c r="S787" s="114"/>
      <c r="T787" s="114"/>
      <c r="U787" s="114"/>
      <c r="V787" s="114"/>
      <c r="W787" s="114"/>
      <c r="X787" s="114"/>
      <c r="Y787" s="114"/>
    </row>
    <row r="788">
      <c r="A788" s="1"/>
      <c r="B788" s="114"/>
      <c r="C788" s="114"/>
      <c r="D788" s="114"/>
      <c r="E788" s="114"/>
      <c r="F788" s="114"/>
      <c r="G788" s="114"/>
      <c r="H788" s="114"/>
      <c r="I788" s="114"/>
      <c r="J788" s="114"/>
      <c r="K788" s="114"/>
      <c r="L788" s="114"/>
      <c r="M788" s="114"/>
      <c r="N788" s="114"/>
      <c r="O788" s="114"/>
      <c r="P788" s="114"/>
      <c r="Q788" s="114"/>
      <c r="R788" s="114"/>
      <c r="S788" s="114"/>
      <c r="T788" s="114"/>
      <c r="U788" s="114"/>
      <c r="V788" s="114"/>
      <c r="W788" s="114"/>
      <c r="X788" s="114"/>
      <c r="Y788" s="114"/>
    </row>
    <row r="789">
      <c r="A789" s="1"/>
      <c r="B789" s="114"/>
      <c r="C789" s="114"/>
      <c r="D789" s="114"/>
      <c r="E789" s="114"/>
      <c r="F789" s="114"/>
      <c r="G789" s="114"/>
      <c r="H789" s="114"/>
      <c r="I789" s="114"/>
      <c r="J789" s="114"/>
      <c r="K789" s="114"/>
      <c r="L789" s="114"/>
      <c r="M789" s="114"/>
      <c r="N789" s="114"/>
      <c r="O789" s="114"/>
      <c r="P789" s="114"/>
      <c r="Q789" s="114"/>
      <c r="R789" s="114"/>
      <c r="S789" s="114"/>
      <c r="T789" s="114"/>
      <c r="U789" s="114"/>
      <c r="V789" s="114"/>
      <c r="W789" s="114"/>
      <c r="X789" s="114"/>
      <c r="Y789" s="114"/>
    </row>
    <row r="790">
      <c r="A790" s="1"/>
      <c r="B790" s="114"/>
      <c r="C790" s="114"/>
      <c r="D790" s="114"/>
      <c r="E790" s="114"/>
      <c r="F790" s="114"/>
      <c r="G790" s="114"/>
      <c r="H790" s="114"/>
      <c r="I790" s="114"/>
      <c r="J790" s="114"/>
      <c r="K790" s="114"/>
      <c r="L790" s="114"/>
      <c r="M790" s="114"/>
      <c r="N790" s="114"/>
      <c r="O790" s="114"/>
      <c r="P790" s="114"/>
      <c r="Q790" s="114"/>
      <c r="R790" s="114"/>
      <c r="S790" s="114"/>
      <c r="T790" s="114"/>
      <c r="U790" s="114"/>
      <c r="V790" s="114"/>
      <c r="W790" s="114"/>
      <c r="X790" s="114"/>
      <c r="Y790" s="114"/>
    </row>
    <row r="791">
      <c r="A791" s="1"/>
      <c r="B791" s="114"/>
      <c r="C791" s="114"/>
      <c r="D791" s="114"/>
      <c r="E791" s="114"/>
      <c r="F791" s="114"/>
      <c r="G791" s="114"/>
      <c r="H791" s="114"/>
      <c r="I791" s="114"/>
      <c r="J791" s="114"/>
      <c r="K791" s="114"/>
      <c r="L791" s="114"/>
      <c r="M791" s="114"/>
      <c r="N791" s="114"/>
      <c r="O791" s="114"/>
      <c r="P791" s="114"/>
      <c r="Q791" s="114"/>
      <c r="R791" s="114"/>
      <c r="S791" s="114"/>
      <c r="T791" s="114"/>
      <c r="U791" s="114"/>
      <c r="V791" s="114"/>
      <c r="W791" s="114"/>
      <c r="X791" s="114"/>
      <c r="Y791" s="114"/>
    </row>
    <row r="792">
      <c r="A792" s="1"/>
      <c r="B792" s="114"/>
      <c r="C792" s="114"/>
      <c r="D792" s="114"/>
      <c r="E792" s="114"/>
      <c r="F792" s="114"/>
      <c r="G792" s="114"/>
      <c r="H792" s="114"/>
      <c r="I792" s="114"/>
      <c r="J792" s="114"/>
      <c r="K792" s="114"/>
      <c r="L792" s="114"/>
      <c r="M792" s="114"/>
      <c r="N792" s="114"/>
      <c r="O792" s="114"/>
      <c r="P792" s="114"/>
      <c r="Q792" s="114"/>
      <c r="R792" s="114"/>
      <c r="S792" s="114"/>
      <c r="T792" s="114"/>
      <c r="U792" s="114"/>
      <c r="V792" s="114"/>
      <c r="W792" s="114"/>
      <c r="X792" s="114"/>
      <c r="Y792" s="114"/>
    </row>
    <row r="793">
      <c r="A793" s="1"/>
      <c r="B793" s="114"/>
      <c r="C793" s="114"/>
      <c r="D793" s="114"/>
      <c r="E793" s="114"/>
      <c r="F793" s="114"/>
      <c r="G793" s="114"/>
      <c r="H793" s="114"/>
      <c r="I793" s="114"/>
      <c r="J793" s="114"/>
      <c r="K793" s="114"/>
      <c r="L793" s="114"/>
      <c r="M793" s="114"/>
      <c r="N793" s="114"/>
      <c r="O793" s="114"/>
      <c r="P793" s="114"/>
      <c r="Q793" s="114"/>
      <c r="R793" s="114"/>
      <c r="S793" s="114"/>
      <c r="T793" s="114"/>
      <c r="U793" s="114"/>
      <c r="V793" s="114"/>
      <c r="W793" s="114"/>
      <c r="X793" s="114"/>
      <c r="Y793" s="114"/>
    </row>
    <row r="794">
      <c r="A794" s="1"/>
      <c r="B794" s="114"/>
      <c r="C794" s="114"/>
      <c r="D794" s="114"/>
      <c r="E794" s="114"/>
      <c r="F794" s="114"/>
      <c r="G794" s="114"/>
      <c r="H794" s="114"/>
      <c r="I794" s="114"/>
      <c r="J794" s="114"/>
      <c r="K794" s="114"/>
      <c r="L794" s="114"/>
      <c r="M794" s="114"/>
      <c r="N794" s="114"/>
      <c r="O794" s="114"/>
      <c r="P794" s="114"/>
      <c r="Q794" s="114"/>
      <c r="R794" s="114"/>
      <c r="S794" s="114"/>
      <c r="T794" s="114"/>
      <c r="U794" s="114"/>
      <c r="V794" s="114"/>
      <c r="W794" s="114"/>
      <c r="X794" s="114"/>
      <c r="Y794" s="114"/>
    </row>
    <row r="795">
      <c r="A795" s="1"/>
      <c r="B795" s="114"/>
      <c r="C795" s="114"/>
      <c r="D795" s="114"/>
      <c r="E795" s="114"/>
      <c r="F795" s="114"/>
      <c r="G795" s="114"/>
      <c r="H795" s="114"/>
      <c r="I795" s="114"/>
      <c r="J795" s="114"/>
      <c r="K795" s="114"/>
      <c r="L795" s="114"/>
      <c r="M795" s="114"/>
      <c r="N795" s="114"/>
      <c r="O795" s="114"/>
      <c r="P795" s="114"/>
      <c r="Q795" s="114"/>
      <c r="R795" s="114"/>
      <c r="S795" s="114"/>
      <c r="T795" s="114"/>
      <c r="U795" s="114"/>
      <c r="V795" s="114"/>
      <c r="W795" s="114"/>
      <c r="X795" s="114"/>
      <c r="Y795" s="114"/>
    </row>
    <row r="796">
      <c r="A796" s="1"/>
      <c r="B796" s="114"/>
      <c r="C796" s="114"/>
      <c r="D796" s="114"/>
      <c r="E796" s="114"/>
      <c r="F796" s="114"/>
      <c r="G796" s="114"/>
      <c r="H796" s="114"/>
      <c r="I796" s="114"/>
      <c r="J796" s="114"/>
      <c r="K796" s="114"/>
      <c r="L796" s="114"/>
      <c r="M796" s="114"/>
      <c r="N796" s="114"/>
      <c r="O796" s="114"/>
      <c r="P796" s="114"/>
      <c r="Q796" s="114"/>
      <c r="R796" s="114"/>
      <c r="S796" s="114"/>
      <c r="T796" s="114"/>
      <c r="U796" s="114"/>
      <c r="V796" s="114"/>
      <c r="W796" s="114"/>
      <c r="X796" s="114"/>
      <c r="Y796" s="114"/>
    </row>
    <row r="797">
      <c r="A797" s="1"/>
      <c r="B797" s="114"/>
      <c r="C797" s="114"/>
      <c r="D797" s="114"/>
      <c r="E797" s="114"/>
      <c r="F797" s="114"/>
      <c r="G797" s="114"/>
      <c r="H797" s="114"/>
      <c r="I797" s="114"/>
      <c r="J797" s="114"/>
      <c r="K797" s="114"/>
      <c r="L797" s="114"/>
      <c r="M797" s="114"/>
      <c r="N797" s="114"/>
      <c r="O797" s="114"/>
      <c r="P797" s="114"/>
      <c r="Q797" s="114"/>
      <c r="R797" s="114"/>
      <c r="S797" s="114"/>
      <c r="T797" s="114"/>
      <c r="U797" s="114"/>
      <c r="V797" s="114"/>
      <c r="W797" s="114"/>
      <c r="X797" s="114"/>
      <c r="Y797" s="114"/>
    </row>
    <row r="798">
      <c r="A798" s="1"/>
      <c r="B798" s="114"/>
      <c r="C798" s="114"/>
      <c r="D798" s="114"/>
      <c r="E798" s="114"/>
      <c r="F798" s="114"/>
      <c r="G798" s="114"/>
      <c r="H798" s="114"/>
      <c r="I798" s="114"/>
      <c r="J798" s="114"/>
      <c r="K798" s="114"/>
      <c r="L798" s="114"/>
      <c r="M798" s="114"/>
      <c r="N798" s="114"/>
      <c r="O798" s="114"/>
      <c r="P798" s="114"/>
      <c r="Q798" s="114"/>
      <c r="R798" s="114"/>
      <c r="S798" s="114"/>
      <c r="T798" s="114"/>
      <c r="U798" s="114"/>
      <c r="V798" s="114"/>
      <c r="W798" s="114"/>
      <c r="X798" s="114"/>
      <c r="Y798" s="114"/>
    </row>
    <row r="799">
      <c r="A799" s="1"/>
      <c r="B799" s="114"/>
      <c r="C799" s="114"/>
      <c r="D799" s="114"/>
      <c r="E799" s="114"/>
      <c r="F799" s="114"/>
      <c r="G799" s="114"/>
      <c r="H799" s="114"/>
      <c r="I799" s="114"/>
      <c r="J799" s="114"/>
      <c r="K799" s="114"/>
      <c r="L799" s="114"/>
      <c r="M799" s="114"/>
      <c r="N799" s="114"/>
      <c r="O799" s="114"/>
      <c r="P799" s="114"/>
      <c r="Q799" s="114"/>
      <c r="R799" s="114"/>
      <c r="S799" s="114"/>
      <c r="T799" s="114"/>
      <c r="U799" s="114"/>
      <c r="V799" s="114"/>
      <c r="W799" s="114"/>
      <c r="X799" s="114"/>
      <c r="Y799" s="114"/>
    </row>
    <row r="800">
      <c r="A800" s="1"/>
      <c r="B800" s="114"/>
      <c r="C800" s="114"/>
      <c r="D800" s="114"/>
      <c r="E800" s="114"/>
      <c r="F800" s="114"/>
      <c r="G800" s="114"/>
      <c r="H800" s="114"/>
      <c r="I800" s="114"/>
      <c r="J800" s="114"/>
      <c r="K800" s="114"/>
      <c r="L800" s="114"/>
      <c r="M800" s="114"/>
      <c r="N800" s="114"/>
      <c r="O800" s="114"/>
      <c r="P800" s="114"/>
      <c r="Q800" s="114"/>
      <c r="R800" s="114"/>
      <c r="S800" s="114"/>
      <c r="T800" s="114"/>
      <c r="U800" s="114"/>
      <c r="V800" s="114"/>
      <c r="W800" s="114"/>
      <c r="X800" s="114"/>
      <c r="Y800" s="114"/>
    </row>
    <row r="801">
      <c r="A801" s="1"/>
      <c r="B801" s="114"/>
      <c r="C801" s="114"/>
      <c r="D801" s="114"/>
      <c r="E801" s="114"/>
      <c r="F801" s="114"/>
      <c r="G801" s="114"/>
      <c r="H801" s="114"/>
      <c r="I801" s="114"/>
      <c r="J801" s="114"/>
      <c r="K801" s="114"/>
      <c r="L801" s="114"/>
      <c r="M801" s="114"/>
      <c r="N801" s="114"/>
      <c r="O801" s="114"/>
      <c r="P801" s="114"/>
      <c r="Q801" s="114"/>
      <c r="R801" s="114"/>
      <c r="S801" s="114"/>
      <c r="T801" s="114"/>
      <c r="U801" s="114"/>
      <c r="V801" s="114"/>
      <c r="W801" s="114"/>
      <c r="X801" s="114"/>
      <c r="Y801" s="114"/>
    </row>
    <row r="802">
      <c r="A802" s="1"/>
      <c r="B802" s="114"/>
      <c r="C802" s="114"/>
      <c r="D802" s="114"/>
      <c r="E802" s="114"/>
      <c r="F802" s="114"/>
      <c r="G802" s="114"/>
      <c r="H802" s="114"/>
      <c r="I802" s="114"/>
      <c r="J802" s="114"/>
      <c r="K802" s="114"/>
      <c r="L802" s="114"/>
      <c r="M802" s="114"/>
      <c r="N802" s="114"/>
      <c r="O802" s="114"/>
      <c r="P802" s="114"/>
      <c r="Q802" s="114"/>
      <c r="R802" s="114"/>
      <c r="S802" s="114"/>
      <c r="T802" s="114"/>
      <c r="U802" s="114"/>
      <c r="V802" s="114"/>
      <c r="W802" s="114"/>
      <c r="X802" s="114"/>
      <c r="Y802" s="114"/>
    </row>
    <row r="803">
      <c r="A803" s="1"/>
      <c r="B803" s="114"/>
      <c r="C803" s="114"/>
      <c r="D803" s="114"/>
      <c r="E803" s="114"/>
      <c r="F803" s="114"/>
      <c r="G803" s="114"/>
      <c r="H803" s="114"/>
      <c r="I803" s="114"/>
      <c r="J803" s="114"/>
      <c r="K803" s="114"/>
      <c r="L803" s="114"/>
      <c r="M803" s="114"/>
      <c r="N803" s="114"/>
      <c r="O803" s="114"/>
      <c r="P803" s="114"/>
      <c r="Q803" s="114"/>
      <c r="R803" s="114"/>
      <c r="S803" s="114"/>
      <c r="T803" s="114"/>
      <c r="U803" s="114"/>
      <c r="V803" s="114"/>
      <c r="W803" s="114"/>
      <c r="X803" s="114"/>
      <c r="Y803" s="114"/>
    </row>
    <row r="804">
      <c r="A804" s="1"/>
      <c r="B804" s="114"/>
      <c r="C804" s="114"/>
      <c r="D804" s="114"/>
      <c r="E804" s="114"/>
      <c r="F804" s="114"/>
      <c r="G804" s="114"/>
      <c r="H804" s="114"/>
      <c r="I804" s="114"/>
      <c r="J804" s="114"/>
      <c r="K804" s="114"/>
      <c r="L804" s="114"/>
      <c r="M804" s="114"/>
      <c r="N804" s="114"/>
      <c r="O804" s="114"/>
      <c r="P804" s="114"/>
      <c r="Q804" s="114"/>
      <c r="R804" s="114"/>
      <c r="S804" s="114"/>
      <c r="T804" s="114"/>
      <c r="U804" s="114"/>
      <c r="V804" s="114"/>
      <c r="W804" s="114"/>
      <c r="X804" s="114"/>
      <c r="Y804" s="114"/>
    </row>
    <row r="805">
      <c r="A805" s="1"/>
      <c r="B805" s="114"/>
      <c r="C805" s="114"/>
      <c r="D805" s="114"/>
      <c r="E805" s="114"/>
      <c r="F805" s="114"/>
      <c r="G805" s="114"/>
      <c r="H805" s="114"/>
      <c r="I805" s="114"/>
      <c r="J805" s="114"/>
      <c r="K805" s="114"/>
      <c r="L805" s="114"/>
      <c r="M805" s="114"/>
      <c r="N805" s="114"/>
      <c r="O805" s="114"/>
      <c r="P805" s="114"/>
      <c r="Q805" s="114"/>
      <c r="R805" s="114"/>
      <c r="S805" s="114"/>
      <c r="T805" s="114"/>
      <c r="U805" s="114"/>
      <c r="V805" s="114"/>
      <c r="W805" s="114"/>
      <c r="X805" s="114"/>
      <c r="Y805" s="114"/>
    </row>
    <row r="806">
      <c r="A806" s="1"/>
      <c r="B806" s="114"/>
      <c r="C806" s="114"/>
      <c r="D806" s="114"/>
      <c r="E806" s="114"/>
      <c r="F806" s="114"/>
      <c r="G806" s="114"/>
      <c r="H806" s="114"/>
      <c r="I806" s="114"/>
      <c r="J806" s="114"/>
      <c r="K806" s="114"/>
      <c r="L806" s="114"/>
      <c r="M806" s="114"/>
      <c r="N806" s="114"/>
      <c r="O806" s="114"/>
      <c r="P806" s="114"/>
      <c r="Q806" s="114"/>
      <c r="R806" s="114"/>
      <c r="S806" s="114"/>
      <c r="T806" s="114"/>
      <c r="U806" s="114"/>
      <c r="V806" s="114"/>
      <c r="W806" s="114"/>
      <c r="X806" s="114"/>
      <c r="Y806" s="114"/>
    </row>
    <row r="807">
      <c r="A807" s="1"/>
      <c r="B807" s="114"/>
      <c r="C807" s="114"/>
      <c r="D807" s="114"/>
      <c r="E807" s="114"/>
      <c r="F807" s="114"/>
      <c r="G807" s="114"/>
      <c r="H807" s="114"/>
      <c r="I807" s="114"/>
      <c r="J807" s="114"/>
      <c r="K807" s="114"/>
      <c r="L807" s="114"/>
      <c r="M807" s="114"/>
      <c r="N807" s="114"/>
      <c r="O807" s="114"/>
      <c r="P807" s="114"/>
      <c r="Q807" s="114"/>
      <c r="R807" s="114"/>
      <c r="S807" s="114"/>
      <c r="T807" s="114"/>
      <c r="U807" s="114"/>
      <c r="V807" s="114"/>
      <c r="W807" s="114"/>
      <c r="X807" s="114"/>
      <c r="Y807" s="114"/>
    </row>
    <row r="808">
      <c r="A808" s="1"/>
      <c r="B808" s="114"/>
      <c r="C808" s="114"/>
      <c r="D808" s="114"/>
      <c r="E808" s="114"/>
      <c r="F808" s="114"/>
      <c r="G808" s="114"/>
      <c r="H808" s="114"/>
      <c r="I808" s="114"/>
      <c r="J808" s="114"/>
      <c r="K808" s="114"/>
      <c r="L808" s="114"/>
      <c r="M808" s="114"/>
      <c r="N808" s="114"/>
      <c r="O808" s="114"/>
      <c r="P808" s="114"/>
      <c r="Q808" s="114"/>
      <c r="R808" s="114"/>
      <c r="S808" s="114"/>
      <c r="T808" s="114"/>
      <c r="U808" s="114"/>
      <c r="V808" s="114"/>
      <c r="W808" s="114"/>
      <c r="X808" s="114"/>
      <c r="Y808" s="114"/>
    </row>
    <row r="809">
      <c r="A809" s="1"/>
      <c r="B809" s="114"/>
      <c r="C809" s="114"/>
      <c r="D809" s="114"/>
      <c r="E809" s="114"/>
      <c r="F809" s="114"/>
      <c r="G809" s="114"/>
      <c r="H809" s="114"/>
      <c r="I809" s="114"/>
      <c r="J809" s="114"/>
      <c r="K809" s="114"/>
      <c r="L809" s="114"/>
      <c r="M809" s="114"/>
      <c r="N809" s="114"/>
      <c r="O809" s="114"/>
      <c r="P809" s="114"/>
      <c r="Q809" s="114"/>
      <c r="R809" s="114"/>
      <c r="S809" s="114"/>
      <c r="T809" s="114"/>
      <c r="U809" s="114"/>
      <c r="V809" s="114"/>
      <c r="W809" s="114"/>
      <c r="X809" s="114"/>
      <c r="Y809" s="114"/>
    </row>
    <row r="810">
      <c r="A810" s="1"/>
      <c r="B810" s="114"/>
      <c r="C810" s="114"/>
      <c r="D810" s="114"/>
      <c r="E810" s="114"/>
      <c r="F810" s="114"/>
      <c r="G810" s="114"/>
      <c r="H810" s="114"/>
      <c r="I810" s="114"/>
      <c r="J810" s="114"/>
      <c r="K810" s="114"/>
      <c r="L810" s="114"/>
      <c r="M810" s="114"/>
      <c r="N810" s="114"/>
      <c r="O810" s="114"/>
      <c r="P810" s="114"/>
      <c r="Q810" s="114"/>
      <c r="R810" s="114"/>
      <c r="S810" s="114"/>
      <c r="T810" s="114"/>
      <c r="U810" s="114"/>
      <c r="V810" s="114"/>
      <c r="W810" s="114"/>
      <c r="X810" s="114"/>
      <c r="Y810" s="114"/>
    </row>
    <row r="811">
      <c r="A811" s="1"/>
      <c r="B811" s="114"/>
      <c r="C811" s="114"/>
      <c r="D811" s="114"/>
      <c r="E811" s="114"/>
      <c r="F811" s="114"/>
      <c r="G811" s="114"/>
      <c r="H811" s="114"/>
      <c r="I811" s="114"/>
      <c r="J811" s="114"/>
      <c r="K811" s="114"/>
      <c r="L811" s="114"/>
      <c r="M811" s="114"/>
      <c r="N811" s="114"/>
      <c r="O811" s="114"/>
      <c r="P811" s="114"/>
      <c r="Q811" s="114"/>
      <c r="R811" s="114"/>
      <c r="S811" s="114"/>
      <c r="T811" s="114"/>
      <c r="U811" s="114"/>
      <c r="V811" s="114"/>
      <c r="W811" s="114"/>
      <c r="X811" s="114"/>
      <c r="Y811" s="114"/>
    </row>
    <row r="812">
      <c r="A812" s="1"/>
      <c r="B812" s="114"/>
      <c r="C812" s="114"/>
      <c r="D812" s="114"/>
      <c r="E812" s="114"/>
      <c r="F812" s="114"/>
      <c r="G812" s="114"/>
      <c r="H812" s="114"/>
      <c r="I812" s="114"/>
      <c r="J812" s="114"/>
      <c r="K812" s="114"/>
      <c r="L812" s="114"/>
      <c r="M812" s="114"/>
      <c r="N812" s="114"/>
      <c r="O812" s="114"/>
      <c r="P812" s="114"/>
      <c r="Q812" s="114"/>
      <c r="R812" s="114"/>
      <c r="S812" s="114"/>
      <c r="T812" s="114"/>
      <c r="U812" s="114"/>
      <c r="V812" s="114"/>
      <c r="W812" s="114"/>
      <c r="X812" s="114"/>
      <c r="Y812" s="114"/>
    </row>
    <row r="813">
      <c r="A813" s="1"/>
      <c r="B813" s="114"/>
      <c r="C813" s="114"/>
      <c r="D813" s="114"/>
      <c r="E813" s="114"/>
      <c r="F813" s="114"/>
      <c r="G813" s="114"/>
      <c r="H813" s="114"/>
      <c r="I813" s="114"/>
      <c r="J813" s="114"/>
      <c r="K813" s="114"/>
      <c r="L813" s="114"/>
      <c r="M813" s="114"/>
      <c r="N813" s="114"/>
      <c r="O813" s="114"/>
      <c r="P813" s="114"/>
      <c r="Q813" s="114"/>
      <c r="R813" s="114"/>
      <c r="S813" s="114"/>
      <c r="T813" s="114"/>
      <c r="U813" s="114"/>
      <c r="V813" s="114"/>
      <c r="W813" s="114"/>
      <c r="X813" s="114"/>
      <c r="Y813" s="114"/>
    </row>
    <row r="814">
      <c r="A814" s="1"/>
      <c r="B814" s="114"/>
      <c r="C814" s="114"/>
      <c r="D814" s="114"/>
      <c r="E814" s="114"/>
      <c r="F814" s="114"/>
      <c r="G814" s="114"/>
      <c r="H814" s="114"/>
      <c r="I814" s="114"/>
      <c r="J814" s="114"/>
      <c r="K814" s="114"/>
      <c r="L814" s="114"/>
      <c r="M814" s="114"/>
      <c r="N814" s="114"/>
      <c r="O814" s="114"/>
      <c r="P814" s="114"/>
      <c r="Q814" s="114"/>
      <c r="R814" s="114"/>
      <c r="S814" s="114"/>
      <c r="T814" s="114"/>
      <c r="U814" s="114"/>
      <c r="V814" s="114"/>
      <c r="W814" s="114"/>
      <c r="X814" s="114"/>
      <c r="Y814" s="114"/>
    </row>
    <row r="815">
      <c r="A815" s="1"/>
      <c r="B815" s="114"/>
      <c r="C815" s="114"/>
      <c r="D815" s="114"/>
      <c r="E815" s="114"/>
      <c r="F815" s="114"/>
      <c r="G815" s="114"/>
      <c r="H815" s="114"/>
      <c r="I815" s="114"/>
      <c r="J815" s="114"/>
      <c r="K815" s="114"/>
      <c r="L815" s="114"/>
      <c r="M815" s="114"/>
      <c r="N815" s="114"/>
      <c r="O815" s="114"/>
      <c r="P815" s="114"/>
      <c r="Q815" s="114"/>
      <c r="R815" s="114"/>
      <c r="S815" s="114"/>
      <c r="T815" s="114"/>
      <c r="U815" s="114"/>
      <c r="V815" s="114"/>
      <c r="W815" s="114"/>
      <c r="X815" s="114"/>
      <c r="Y815" s="114"/>
    </row>
    <row r="816">
      <c r="A816" s="1"/>
      <c r="B816" s="114"/>
      <c r="C816" s="114"/>
      <c r="D816" s="114"/>
      <c r="E816" s="114"/>
      <c r="F816" s="114"/>
      <c r="G816" s="114"/>
      <c r="H816" s="114"/>
      <c r="I816" s="114"/>
      <c r="J816" s="114"/>
      <c r="K816" s="114"/>
      <c r="L816" s="114"/>
      <c r="M816" s="114"/>
      <c r="N816" s="114"/>
      <c r="O816" s="114"/>
      <c r="P816" s="114"/>
      <c r="Q816" s="114"/>
      <c r="R816" s="114"/>
      <c r="S816" s="114"/>
      <c r="T816" s="114"/>
      <c r="U816" s="114"/>
      <c r="V816" s="114"/>
      <c r="W816" s="114"/>
      <c r="X816" s="114"/>
      <c r="Y816" s="114"/>
    </row>
    <row r="817">
      <c r="A817" s="1"/>
      <c r="B817" s="114"/>
      <c r="C817" s="114"/>
      <c r="D817" s="114"/>
      <c r="E817" s="114"/>
      <c r="F817" s="114"/>
      <c r="G817" s="114"/>
      <c r="H817" s="114"/>
      <c r="I817" s="114"/>
      <c r="J817" s="114"/>
      <c r="K817" s="114"/>
      <c r="L817" s="114"/>
      <c r="M817" s="114"/>
      <c r="N817" s="114"/>
      <c r="O817" s="114"/>
      <c r="P817" s="114"/>
      <c r="Q817" s="114"/>
      <c r="R817" s="114"/>
      <c r="S817" s="114"/>
      <c r="T817" s="114"/>
      <c r="U817" s="114"/>
      <c r="V817" s="114"/>
      <c r="W817" s="114"/>
      <c r="X817" s="114"/>
      <c r="Y817" s="114"/>
    </row>
    <row r="818">
      <c r="A818" s="1"/>
      <c r="B818" s="114"/>
      <c r="C818" s="114"/>
      <c r="D818" s="114"/>
      <c r="E818" s="114"/>
      <c r="F818" s="114"/>
      <c r="G818" s="114"/>
      <c r="H818" s="114"/>
      <c r="I818" s="114"/>
      <c r="J818" s="114"/>
      <c r="K818" s="114"/>
      <c r="L818" s="114"/>
      <c r="M818" s="114"/>
      <c r="N818" s="114"/>
      <c r="O818" s="114"/>
      <c r="P818" s="114"/>
      <c r="Q818" s="114"/>
      <c r="R818" s="114"/>
      <c r="S818" s="114"/>
      <c r="T818" s="114"/>
      <c r="U818" s="114"/>
      <c r="V818" s="114"/>
      <c r="W818" s="114"/>
      <c r="X818" s="114"/>
      <c r="Y818" s="114"/>
    </row>
    <row r="819">
      <c r="A819" s="1"/>
      <c r="B819" s="114"/>
      <c r="C819" s="114"/>
      <c r="D819" s="114"/>
      <c r="E819" s="114"/>
      <c r="F819" s="114"/>
      <c r="G819" s="114"/>
      <c r="H819" s="114"/>
      <c r="I819" s="114"/>
      <c r="J819" s="114"/>
      <c r="K819" s="114"/>
      <c r="L819" s="114"/>
      <c r="M819" s="114"/>
      <c r="N819" s="114"/>
      <c r="O819" s="114"/>
      <c r="P819" s="114"/>
      <c r="Q819" s="114"/>
      <c r="R819" s="114"/>
      <c r="S819" s="114"/>
      <c r="T819" s="114"/>
      <c r="U819" s="114"/>
      <c r="V819" s="114"/>
      <c r="W819" s="114"/>
      <c r="X819" s="114"/>
      <c r="Y819" s="114"/>
    </row>
    <row r="820">
      <c r="A820" s="1"/>
      <c r="B820" s="114"/>
      <c r="C820" s="114"/>
      <c r="D820" s="114"/>
      <c r="E820" s="114"/>
      <c r="F820" s="114"/>
      <c r="G820" s="114"/>
      <c r="H820" s="114"/>
      <c r="I820" s="114"/>
      <c r="J820" s="114"/>
      <c r="K820" s="114"/>
      <c r="L820" s="114"/>
      <c r="M820" s="114"/>
      <c r="N820" s="114"/>
      <c r="O820" s="114"/>
      <c r="P820" s="114"/>
      <c r="Q820" s="114"/>
      <c r="R820" s="114"/>
      <c r="S820" s="114"/>
      <c r="T820" s="114"/>
      <c r="U820" s="114"/>
      <c r="V820" s="114"/>
      <c r="W820" s="114"/>
      <c r="X820" s="114"/>
      <c r="Y820" s="114"/>
    </row>
    <row r="821">
      <c r="A821" s="1"/>
      <c r="B821" s="114"/>
      <c r="C821" s="114"/>
      <c r="D821" s="114"/>
      <c r="E821" s="114"/>
      <c r="F821" s="114"/>
      <c r="G821" s="114"/>
      <c r="H821" s="114"/>
      <c r="I821" s="114"/>
      <c r="J821" s="114"/>
      <c r="K821" s="114"/>
      <c r="L821" s="114"/>
      <c r="M821" s="114"/>
      <c r="N821" s="114"/>
      <c r="O821" s="114"/>
      <c r="P821" s="114"/>
      <c r="Q821" s="114"/>
      <c r="R821" s="114"/>
      <c r="S821" s="114"/>
      <c r="T821" s="114"/>
      <c r="U821" s="114"/>
      <c r="V821" s="114"/>
      <c r="W821" s="114"/>
      <c r="X821" s="114"/>
      <c r="Y821" s="114"/>
    </row>
    <row r="822">
      <c r="A822" s="1"/>
      <c r="B822" s="114"/>
      <c r="C822" s="114"/>
      <c r="D822" s="114"/>
      <c r="E822" s="114"/>
      <c r="F822" s="114"/>
      <c r="G822" s="114"/>
      <c r="H822" s="114"/>
      <c r="I822" s="114"/>
      <c r="J822" s="114"/>
      <c r="K822" s="114"/>
      <c r="L822" s="114"/>
      <c r="M822" s="114"/>
      <c r="N822" s="114"/>
      <c r="O822" s="114"/>
      <c r="P822" s="114"/>
      <c r="Q822" s="114"/>
      <c r="R822" s="114"/>
      <c r="S822" s="114"/>
      <c r="T822" s="114"/>
      <c r="U822" s="114"/>
      <c r="V822" s="114"/>
      <c r="W822" s="114"/>
      <c r="X822" s="114"/>
      <c r="Y822" s="114"/>
    </row>
    <row r="823">
      <c r="A823" s="1"/>
      <c r="B823" s="114"/>
      <c r="C823" s="114"/>
      <c r="D823" s="114"/>
      <c r="E823" s="114"/>
      <c r="F823" s="114"/>
      <c r="G823" s="114"/>
      <c r="H823" s="114"/>
      <c r="I823" s="114"/>
      <c r="J823" s="114"/>
      <c r="K823" s="114"/>
      <c r="L823" s="114"/>
      <c r="M823" s="114"/>
      <c r="N823" s="114"/>
      <c r="O823" s="114"/>
      <c r="P823" s="114"/>
      <c r="Q823" s="114"/>
      <c r="R823" s="114"/>
      <c r="S823" s="114"/>
      <c r="T823" s="114"/>
      <c r="U823" s="114"/>
      <c r="V823" s="114"/>
      <c r="W823" s="114"/>
      <c r="X823" s="114"/>
      <c r="Y823" s="114"/>
    </row>
    <row r="824">
      <c r="A824" s="1"/>
      <c r="B824" s="114"/>
      <c r="C824" s="114"/>
      <c r="D824" s="114"/>
      <c r="E824" s="114"/>
      <c r="F824" s="114"/>
      <c r="G824" s="114"/>
      <c r="H824" s="114"/>
      <c r="I824" s="114"/>
      <c r="J824" s="114"/>
      <c r="K824" s="114"/>
      <c r="L824" s="114"/>
      <c r="M824" s="114"/>
      <c r="N824" s="114"/>
      <c r="O824" s="114"/>
      <c r="P824" s="114"/>
      <c r="Q824" s="114"/>
      <c r="R824" s="114"/>
      <c r="S824" s="114"/>
      <c r="T824" s="114"/>
      <c r="U824" s="114"/>
      <c r="V824" s="114"/>
      <c r="W824" s="114"/>
      <c r="X824" s="114"/>
      <c r="Y824" s="114"/>
    </row>
    <row r="825">
      <c r="A825" s="1"/>
      <c r="B825" s="114"/>
      <c r="C825" s="114"/>
      <c r="D825" s="114"/>
      <c r="E825" s="114"/>
      <c r="F825" s="114"/>
      <c r="G825" s="114"/>
      <c r="H825" s="114"/>
      <c r="I825" s="114"/>
      <c r="J825" s="114"/>
      <c r="K825" s="114"/>
      <c r="L825" s="114"/>
      <c r="M825" s="114"/>
      <c r="N825" s="114"/>
      <c r="O825" s="114"/>
      <c r="P825" s="114"/>
      <c r="Q825" s="114"/>
      <c r="R825" s="114"/>
      <c r="S825" s="114"/>
      <c r="T825" s="114"/>
      <c r="U825" s="114"/>
      <c r="V825" s="114"/>
      <c r="W825" s="114"/>
      <c r="X825" s="114"/>
      <c r="Y825" s="114"/>
    </row>
    <row r="826">
      <c r="A826" s="1"/>
      <c r="B826" s="114"/>
      <c r="C826" s="114"/>
      <c r="D826" s="114"/>
      <c r="E826" s="114"/>
      <c r="F826" s="114"/>
      <c r="G826" s="114"/>
      <c r="H826" s="114"/>
      <c r="I826" s="114"/>
      <c r="J826" s="114"/>
      <c r="K826" s="114"/>
      <c r="L826" s="114"/>
      <c r="M826" s="114"/>
      <c r="N826" s="114"/>
      <c r="O826" s="114"/>
      <c r="P826" s="114"/>
      <c r="Q826" s="114"/>
      <c r="R826" s="114"/>
      <c r="S826" s="114"/>
      <c r="T826" s="114"/>
      <c r="U826" s="114"/>
      <c r="V826" s="114"/>
      <c r="W826" s="114"/>
      <c r="X826" s="114"/>
      <c r="Y826" s="114"/>
    </row>
    <row r="827">
      <c r="A827" s="1"/>
      <c r="B827" s="114"/>
      <c r="C827" s="114"/>
      <c r="D827" s="114"/>
      <c r="E827" s="114"/>
      <c r="F827" s="114"/>
      <c r="G827" s="114"/>
      <c r="H827" s="114"/>
      <c r="I827" s="114"/>
      <c r="J827" s="114"/>
      <c r="K827" s="114"/>
      <c r="L827" s="114"/>
      <c r="M827" s="114"/>
      <c r="N827" s="114"/>
      <c r="O827" s="114"/>
      <c r="P827" s="114"/>
      <c r="Q827" s="114"/>
      <c r="R827" s="114"/>
      <c r="S827" s="114"/>
      <c r="T827" s="114"/>
      <c r="U827" s="114"/>
      <c r="V827" s="114"/>
      <c r="W827" s="114"/>
      <c r="X827" s="114"/>
      <c r="Y827" s="114"/>
    </row>
    <row r="828">
      <c r="A828" s="1"/>
      <c r="B828" s="114"/>
      <c r="C828" s="114"/>
      <c r="D828" s="114"/>
      <c r="E828" s="114"/>
      <c r="F828" s="114"/>
      <c r="G828" s="114"/>
      <c r="H828" s="114"/>
      <c r="I828" s="114"/>
      <c r="J828" s="114"/>
      <c r="K828" s="114"/>
      <c r="L828" s="114"/>
      <c r="M828" s="114"/>
      <c r="N828" s="114"/>
      <c r="O828" s="114"/>
      <c r="P828" s="114"/>
      <c r="Q828" s="114"/>
      <c r="R828" s="114"/>
      <c r="S828" s="114"/>
      <c r="T828" s="114"/>
      <c r="U828" s="114"/>
      <c r="V828" s="114"/>
      <c r="W828" s="114"/>
      <c r="X828" s="114"/>
      <c r="Y828" s="114"/>
    </row>
    <row r="829">
      <c r="A829" s="1"/>
      <c r="B829" s="114"/>
      <c r="C829" s="114"/>
      <c r="D829" s="114"/>
      <c r="E829" s="114"/>
      <c r="F829" s="114"/>
      <c r="G829" s="114"/>
      <c r="H829" s="114"/>
      <c r="I829" s="114"/>
      <c r="J829" s="114"/>
      <c r="K829" s="114"/>
      <c r="L829" s="114"/>
      <c r="M829" s="114"/>
      <c r="N829" s="114"/>
      <c r="O829" s="114"/>
      <c r="P829" s="114"/>
      <c r="Q829" s="114"/>
      <c r="R829" s="114"/>
      <c r="S829" s="114"/>
      <c r="T829" s="114"/>
      <c r="U829" s="114"/>
      <c r="V829" s="114"/>
      <c r="W829" s="114"/>
      <c r="X829" s="114"/>
      <c r="Y829" s="114"/>
    </row>
    <row r="830">
      <c r="A830" s="1"/>
      <c r="B830" s="114"/>
      <c r="C830" s="114"/>
      <c r="D830" s="114"/>
      <c r="E830" s="114"/>
      <c r="F830" s="114"/>
      <c r="G830" s="114"/>
      <c r="H830" s="114"/>
      <c r="I830" s="114"/>
      <c r="J830" s="114"/>
      <c r="K830" s="114"/>
      <c r="L830" s="114"/>
      <c r="M830" s="114"/>
      <c r="N830" s="114"/>
      <c r="O830" s="114"/>
      <c r="P830" s="114"/>
      <c r="Q830" s="114"/>
      <c r="R830" s="114"/>
      <c r="S830" s="114"/>
      <c r="T830" s="114"/>
      <c r="U830" s="114"/>
      <c r="V830" s="114"/>
      <c r="W830" s="114"/>
      <c r="X830" s="114"/>
      <c r="Y830" s="114"/>
    </row>
    <row r="831">
      <c r="A831" s="1"/>
      <c r="B831" s="114"/>
      <c r="C831" s="114"/>
      <c r="D831" s="114"/>
      <c r="E831" s="114"/>
      <c r="F831" s="114"/>
      <c r="G831" s="114"/>
      <c r="H831" s="114"/>
      <c r="I831" s="114"/>
      <c r="J831" s="114"/>
      <c r="K831" s="114"/>
      <c r="L831" s="114"/>
      <c r="M831" s="114"/>
      <c r="N831" s="114"/>
      <c r="O831" s="114"/>
      <c r="P831" s="114"/>
      <c r="Q831" s="114"/>
      <c r="R831" s="114"/>
      <c r="S831" s="114"/>
      <c r="T831" s="114"/>
      <c r="U831" s="114"/>
      <c r="V831" s="114"/>
      <c r="W831" s="114"/>
      <c r="X831" s="114"/>
      <c r="Y831" s="114"/>
    </row>
    <row r="832">
      <c r="A832" s="1"/>
      <c r="B832" s="114"/>
      <c r="C832" s="114"/>
      <c r="D832" s="114"/>
      <c r="E832" s="114"/>
      <c r="F832" s="114"/>
      <c r="G832" s="114"/>
      <c r="H832" s="114"/>
      <c r="I832" s="114"/>
      <c r="J832" s="114"/>
      <c r="K832" s="114"/>
      <c r="L832" s="114"/>
      <c r="M832" s="114"/>
      <c r="N832" s="114"/>
      <c r="O832" s="114"/>
      <c r="P832" s="114"/>
      <c r="Q832" s="114"/>
      <c r="R832" s="114"/>
      <c r="S832" s="114"/>
      <c r="T832" s="114"/>
      <c r="U832" s="114"/>
      <c r="V832" s="114"/>
      <c r="W832" s="114"/>
      <c r="X832" s="114"/>
      <c r="Y832" s="114"/>
    </row>
    <row r="833">
      <c r="A833" s="1"/>
      <c r="B833" s="114"/>
      <c r="C833" s="114"/>
      <c r="D833" s="114"/>
      <c r="E833" s="114"/>
      <c r="F833" s="114"/>
      <c r="G833" s="114"/>
      <c r="H833" s="114"/>
      <c r="I833" s="114"/>
      <c r="J833" s="114"/>
      <c r="K833" s="114"/>
      <c r="L833" s="114"/>
      <c r="M833" s="114"/>
      <c r="N833" s="114"/>
      <c r="O833" s="114"/>
      <c r="P833" s="114"/>
      <c r="Q833" s="114"/>
      <c r="R833" s="114"/>
      <c r="S833" s="114"/>
      <c r="T833" s="114"/>
      <c r="U833" s="114"/>
      <c r="V833" s="114"/>
      <c r="W833" s="114"/>
      <c r="X833" s="114"/>
      <c r="Y833" s="114"/>
    </row>
    <row r="834">
      <c r="A834" s="1"/>
      <c r="B834" s="114"/>
      <c r="C834" s="114"/>
      <c r="D834" s="114"/>
      <c r="E834" s="114"/>
      <c r="F834" s="114"/>
      <c r="G834" s="114"/>
      <c r="H834" s="114"/>
      <c r="I834" s="114"/>
      <c r="J834" s="114"/>
      <c r="K834" s="114"/>
      <c r="L834" s="114"/>
      <c r="M834" s="114"/>
      <c r="N834" s="114"/>
      <c r="O834" s="114"/>
      <c r="P834" s="114"/>
      <c r="Q834" s="114"/>
      <c r="R834" s="114"/>
      <c r="S834" s="114"/>
      <c r="T834" s="114"/>
      <c r="U834" s="114"/>
      <c r="V834" s="114"/>
      <c r="W834" s="114"/>
      <c r="X834" s="114"/>
      <c r="Y834" s="114"/>
    </row>
    <row r="835">
      <c r="A835" s="1"/>
      <c r="B835" s="114"/>
      <c r="C835" s="114"/>
      <c r="D835" s="114"/>
      <c r="E835" s="114"/>
      <c r="F835" s="114"/>
      <c r="G835" s="114"/>
      <c r="H835" s="114"/>
      <c r="I835" s="114"/>
      <c r="J835" s="114"/>
      <c r="K835" s="114"/>
      <c r="L835" s="114"/>
      <c r="M835" s="114"/>
      <c r="N835" s="114"/>
      <c r="O835" s="114"/>
      <c r="P835" s="114"/>
      <c r="Q835" s="114"/>
      <c r="R835" s="114"/>
      <c r="S835" s="114"/>
      <c r="T835" s="114"/>
      <c r="U835" s="114"/>
      <c r="V835" s="114"/>
      <c r="W835" s="114"/>
      <c r="X835" s="114"/>
      <c r="Y835" s="114"/>
    </row>
    <row r="836">
      <c r="A836" s="1"/>
      <c r="B836" s="114"/>
      <c r="C836" s="114"/>
      <c r="D836" s="114"/>
      <c r="E836" s="114"/>
      <c r="F836" s="114"/>
      <c r="G836" s="114"/>
      <c r="H836" s="114"/>
      <c r="I836" s="114"/>
      <c r="J836" s="114"/>
      <c r="K836" s="114"/>
      <c r="L836" s="114"/>
      <c r="M836" s="114"/>
      <c r="N836" s="114"/>
      <c r="O836" s="114"/>
      <c r="P836" s="114"/>
      <c r="Q836" s="114"/>
      <c r="R836" s="114"/>
      <c r="S836" s="114"/>
      <c r="T836" s="114"/>
      <c r="U836" s="114"/>
      <c r="V836" s="114"/>
      <c r="W836" s="114"/>
      <c r="X836" s="114"/>
      <c r="Y836" s="114"/>
    </row>
    <row r="837">
      <c r="A837" s="1"/>
      <c r="B837" s="114"/>
      <c r="C837" s="114"/>
      <c r="D837" s="114"/>
      <c r="E837" s="114"/>
      <c r="F837" s="114"/>
      <c r="G837" s="114"/>
      <c r="H837" s="114"/>
      <c r="I837" s="114"/>
      <c r="J837" s="114"/>
      <c r="K837" s="114"/>
      <c r="L837" s="114"/>
      <c r="M837" s="114"/>
      <c r="N837" s="114"/>
      <c r="O837" s="114"/>
      <c r="P837" s="114"/>
      <c r="Q837" s="114"/>
      <c r="R837" s="114"/>
      <c r="S837" s="114"/>
      <c r="T837" s="114"/>
      <c r="U837" s="114"/>
      <c r="V837" s="114"/>
      <c r="W837" s="114"/>
      <c r="X837" s="114"/>
      <c r="Y837" s="114"/>
    </row>
    <row r="838">
      <c r="A838" s="1"/>
      <c r="B838" s="114"/>
      <c r="C838" s="114"/>
      <c r="D838" s="114"/>
      <c r="E838" s="114"/>
      <c r="F838" s="114"/>
      <c r="G838" s="114"/>
      <c r="H838" s="114"/>
      <c r="I838" s="114"/>
      <c r="J838" s="114"/>
      <c r="K838" s="114"/>
      <c r="L838" s="114"/>
      <c r="M838" s="114"/>
      <c r="N838" s="114"/>
      <c r="O838" s="114"/>
      <c r="P838" s="114"/>
      <c r="Q838" s="114"/>
      <c r="R838" s="114"/>
      <c r="S838" s="114"/>
      <c r="T838" s="114"/>
      <c r="U838" s="114"/>
      <c r="V838" s="114"/>
      <c r="W838" s="114"/>
      <c r="X838" s="114"/>
      <c r="Y838" s="114"/>
    </row>
    <row r="839">
      <c r="A839" s="1"/>
      <c r="B839" s="114"/>
      <c r="C839" s="114"/>
      <c r="D839" s="114"/>
      <c r="E839" s="114"/>
      <c r="F839" s="114"/>
      <c r="G839" s="114"/>
      <c r="H839" s="114"/>
      <c r="I839" s="114"/>
      <c r="J839" s="114"/>
      <c r="K839" s="114"/>
      <c r="L839" s="114"/>
      <c r="M839" s="114"/>
      <c r="N839" s="114"/>
      <c r="O839" s="114"/>
      <c r="P839" s="114"/>
      <c r="Q839" s="114"/>
      <c r="R839" s="114"/>
      <c r="S839" s="114"/>
      <c r="T839" s="114"/>
      <c r="U839" s="114"/>
      <c r="V839" s="114"/>
      <c r="W839" s="114"/>
      <c r="X839" s="114"/>
      <c r="Y839" s="114"/>
    </row>
    <row r="840">
      <c r="A840" s="1"/>
      <c r="B840" s="114"/>
      <c r="C840" s="114"/>
      <c r="D840" s="114"/>
      <c r="E840" s="114"/>
      <c r="F840" s="114"/>
      <c r="G840" s="114"/>
      <c r="H840" s="114"/>
      <c r="I840" s="114"/>
      <c r="J840" s="114"/>
      <c r="K840" s="114"/>
      <c r="L840" s="114"/>
      <c r="M840" s="114"/>
      <c r="N840" s="114"/>
      <c r="O840" s="114"/>
      <c r="P840" s="114"/>
      <c r="Q840" s="114"/>
      <c r="R840" s="114"/>
      <c r="S840" s="114"/>
      <c r="T840" s="114"/>
      <c r="U840" s="114"/>
      <c r="V840" s="114"/>
      <c r="W840" s="114"/>
      <c r="X840" s="114"/>
      <c r="Y840" s="114"/>
    </row>
    <row r="841">
      <c r="A841" s="1"/>
      <c r="B841" s="114"/>
      <c r="C841" s="114"/>
      <c r="D841" s="114"/>
      <c r="E841" s="114"/>
      <c r="F841" s="114"/>
      <c r="G841" s="114"/>
      <c r="H841" s="114"/>
      <c r="I841" s="114"/>
      <c r="J841" s="114"/>
      <c r="K841" s="114"/>
      <c r="L841" s="114"/>
      <c r="M841" s="114"/>
      <c r="N841" s="114"/>
      <c r="O841" s="114"/>
      <c r="P841" s="114"/>
      <c r="Q841" s="114"/>
      <c r="R841" s="114"/>
      <c r="S841" s="114"/>
      <c r="T841" s="114"/>
      <c r="U841" s="114"/>
      <c r="V841" s="114"/>
      <c r="W841" s="114"/>
      <c r="X841" s="114"/>
      <c r="Y841" s="114"/>
    </row>
    <row r="842">
      <c r="A842" s="1"/>
      <c r="B842" s="114"/>
      <c r="C842" s="114"/>
      <c r="D842" s="114"/>
      <c r="E842" s="114"/>
      <c r="F842" s="114"/>
      <c r="G842" s="114"/>
      <c r="H842" s="114"/>
      <c r="I842" s="114"/>
      <c r="J842" s="114"/>
      <c r="K842" s="114"/>
      <c r="L842" s="114"/>
      <c r="M842" s="114"/>
      <c r="N842" s="114"/>
      <c r="O842" s="114"/>
      <c r="P842" s="114"/>
      <c r="Q842" s="114"/>
      <c r="R842" s="114"/>
      <c r="S842" s="114"/>
      <c r="T842" s="114"/>
      <c r="U842" s="114"/>
      <c r="V842" s="114"/>
      <c r="W842" s="114"/>
      <c r="X842" s="114"/>
      <c r="Y842" s="114"/>
    </row>
    <row r="843">
      <c r="A843" s="1"/>
      <c r="B843" s="114"/>
      <c r="C843" s="114"/>
      <c r="D843" s="114"/>
      <c r="E843" s="114"/>
      <c r="F843" s="114"/>
      <c r="G843" s="114"/>
      <c r="H843" s="114"/>
      <c r="I843" s="114"/>
      <c r="J843" s="114"/>
      <c r="K843" s="114"/>
      <c r="L843" s="114"/>
      <c r="M843" s="114"/>
      <c r="N843" s="114"/>
      <c r="O843" s="114"/>
      <c r="P843" s="114"/>
      <c r="Q843" s="114"/>
      <c r="R843" s="114"/>
      <c r="S843" s="114"/>
      <c r="T843" s="114"/>
      <c r="U843" s="114"/>
      <c r="V843" s="114"/>
      <c r="W843" s="114"/>
      <c r="X843" s="114"/>
      <c r="Y843" s="114"/>
    </row>
    <row r="844">
      <c r="A844" s="1"/>
      <c r="B844" s="114"/>
      <c r="C844" s="114"/>
      <c r="D844" s="114"/>
      <c r="E844" s="114"/>
      <c r="F844" s="114"/>
      <c r="G844" s="114"/>
      <c r="H844" s="114"/>
      <c r="I844" s="114"/>
      <c r="J844" s="114"/>
      <c r="K844" s="114"/>
      <c r="L844" s="114"/>
      <c r="M844" s="114"/>
      <c r="N844" s="114"/>
      <c r="O844" s="114"/>
      <c r="P844" s="114"/>
      <c r="Q844" s="114"/>
      <c r="R844" s="114"/>
      <c r="S844" s="114"/>
      <c r="T844" s="114"/>
      <c r="U844" s="114"/>
      <c r="V844" s="114"/>
      <c r="W844" s="114"/>
      <c r="X844" s="114"/>
      <c r="Y844" s="114"/>
    </row>
    <row r="845">
      <c r="A845" s="1"/>
      <c r="B845" s="114"/>
      <c r="C845" s="114"/>
      <c r="D845" s="114"/>
      <c r="E845" s="114"/>
      <c r="F845" s="114"/>
      <c r="G845" s="114"/>
      <c r="H845" s="114"/>
      <c r="I845" s="114"/>
      <c r="J845" s="114"/>
      <c r="K845" s="114"/>
      <c r="L845" s="114"/>
      <c r="M845" s="114"/>
      <c r="N845" s="114"/>
      <c r="O845" s="114"/>
      <c r="P845" s="114"/>
      <c r="Q845" s="114"/>
      <c r="R845" s="114"/>
      <c r="S845" s="114"/>
      <c r="T845" s="114"/>
      <c r="U845" s="114"/>
      <c r="V845" s="114"/>
      <c r="W845" s="114"/>
      <c r="X845" s="114"/>
      <c r="Y845" s="114"/>
    </row>
    <row r="846">
      <c r="A846" s="1"/>
      <c r="B846" s="114"/>
      <c r="C846" s="114"/>
      <c r="D846" s="114"/>
      <c r="E846" s="114"/>
      <c r="F846" s="114"/>
      <c r="G846" s="114"/>
      <c r="H846" s="114"/>
      <c r="I846" s="114"/>
      <c r="J846" s="114"/>
      <c r="K846" s="114"/>
      <c r="L846" s="114"/>
      <c r="M846" s="114"/>
      <c r="N846" s="114"/>
      <c r="O846" s="114"/>
      <c r="P846" s="114"/>
      <c r="Q846" s="114"/>
      <c r="R846" s="114"/>
      <c r="S846" s="114"/>
      <c r="T846" s="114"/>
      <c r="U846" s="114"/>
      <c r="V846" s="114"/>
      <c r="W846" s="114"/>
      <c r="X846" s="114"/>
      <c r="Y846" s="114"/>
    </row>
    <row r="847">
      <c r="A847" s="1"/>
      <c r="B847" s="114"/>
      <c r="C847" s="114"/>
      <c r="D847" s="114"/>
      <c r="E847" s="114"/>
      <c r="F847" s="114"/>
      <c r="G847" s="114"/>
      <c r="H847" s="114"/>
      <c r="I847" s="114"/>
      <c r="J847" s="114"/>
      <c r="K847" s="114"/>
      <c r="L847" s="114"/>
      <c r="M847" s="114"/>
      <c r="N847" s="114"/>
      <c r="O847" s="114"/>
      <c r="P847" s="114"/>
      <c r="Q847" s="114"/>
      <c r="R847" s="114"/>
      <c r="S847" s="114"/>
      <c r="T847" s="114"/>
      <c r="U847" s="114"/>
      <c r="V847" s="114"/>
      <c r="W847" s="114"/>
      <c r="X847" s="114"/>
      <c r="Y847" s="114"/>
    </row>
    <row r="848">
      <c r="A848" s="1"/>
      <c r="B848" s="114"/>
      <c r="C848" s="114"/>
      <c r="D848" s="114"/>
      <c r="E848" s="114"/>
      <c r="F848" s="114"/>
      <c r="G848" s="114"/>
      <c r="H848" s="114"/>
      <c r="I848" s="114"/>
      <c r="J848" s="114"/>
      <c r="K848" s="114"/>
      <c r="L848" s="114"/>
      <c r="M848" s="114"/>
      <c r="N848" s="114"/>
      <c r="O848" s="114"/>
      <c r="P848" s="114"/>
      <c r="Q848" s="114"/>
      <c r="R848" s="114"/>
      <c r="S848" s="114"/>
      <c r="T848" s="114"/>
      <c r="U848" s="114"/>
      <c r="V848" s="114"/>
      <c r="W848" s="114"/>
      <c r="X848" s="114"/>
      <c r="Y848" s="114"/>
    </row>
    <row r="849">
      <c r="A849" s="1"/>
      <c r="B849" s="114"/>
      <c r="C849" s="114"/>
      <c r="D849" s="114"/>
      <c r="E849" s="114"/>
      <c r="F849" s="114"/>
      <c r="G849" s="114"/>
      <c r="H849" s="114"/>
      <c r="I849" s="114"/>
      <c r="J849" s="114"/>
      <c r="K849" s="114"/>
      <c r="L849" s="114"/>
      <c r="M849" s="114"/>
      <c r="N849" s="114"/>
      <c r="O849" s="114"/>
      <c r="P849" s="114"/>
      <c r="Q849" s="114"/>
      <c r="R849" s="114"/>
      <c r="S849" s="114"/>
      <c r="T849" s="114"/>
      <c r="U849" s="114"/>
      <c r="V849" s="114"/>
      <c r="W849" s="114"/>
      <c r="X849" s="114"/>
      <c r="Y849" s="114"/>
    </row>
    <row r="850">
      <c r="A850" s="1"/>
      <c r="B850" s="114"/>
      <c r="C850" s="114"/>
      <c r="D850" s="114"/>
      <c r="E850" s="114"/>
      <c r="F850" s="114"/>
      <c r="G850" s="114"/>
      <c r="H850" s="114"/>
      <c r="I850" s="114"/>
      <c r="J850" s="114"/>
      <c r="K850" s="114"/>
      <c r="L850" s="114"/>
      <c r="M850" s="114"/>
      <c r="N850" s="114"/>
      <c r="O850" s="114"/>
      <c r="P850" s="114"/>
      <c r="Q850" s="114"/>
      <c r="R850" s="114"/>
      <c r="S850" s="114"/>
      <c r="T850" s="114"/>
      <c r="U850" s="114"/>
      <c r="V850" s="114"/>
      <c r="W850" s="114"/>
      <c r="X850" s="114"/>
      <c r="Y850" s="114"/>
    </row>
    <row r="851">
      <c r="A851" s="1"/>
      <c r="B851" s="114"/>
      <c r="C851" s="114"/>
      <c r="D851" s="114"/>
      <c r="E851" s="114"/>
      <c r="F851" s="114"/>
      <c r="G851" s="114"/>
      <c r="H851" s="114"/>
      <c r="I851" s="114"/>
      <c r="J851" s="114"/>
      <c r="K851" s="114"/>
      <c r="L851" s="114"/>
      <c r="M851" s="114"/>
      <c r="N851" s="114"/>
      <c r="O851" s="114"/>
      <c r="P851" s="114"/>
      <c r="Q851" s="114"/>
      <c r="R851" s="114"/>
      <c r="S851" s="114"/>
      <c r="T851" s="114"/>
      <c r="U851" s="114"/>
      <c r="V851" s="114"/>
      <c r="W851" s="114"/>
      <c r="X851" s="114"/>
      <c r="Y851" s="114"/>
    </row>
    <row r="852">
      <c r="A852" s="1"/>
      <c r="B852" s="114"/>
      <c r="C852" s="114"/>
      <c r="D852" s="114"/>
      <c r="E852" s="114"/>
      <c r="F852" s="114"/>
      <c r="G852" s="114"/>
      <c r="H852" s="114"/>
      <c r="I852" s="114"/>
      <c r="J852" s="114"/>
      <c r="K852" s="114"/>
      <c r="L852" s="114"/>
      <c r="M852" s="114"/>
      <c r="N852" s="114"/>
      <c r="O852" s="114"/>
      <c r="P852" s="114"/>
      <c r="Q852" s="114"/>
      <c r="R852" s="114"/>
      <c r="S852" s="114"/>
      <c r="T852" s="114"/>
      <c r="U852" s="114"/>
      <c r="V852" s="114"/>
      <c r="W852" s="114"/>
      <c r="X852" s="114"/>
      <c r="Y852" s="114"/>
    </row>
    <row r="853">
      <c r="A853" s="1"/>
      <c r="B853" s="114"/>
      <c r="C853" s="114"/>
      <c r="D853" s="114"/>
      <c r="E853" s="114"/>
      <c r="F853" s="114"/>
      <c r="G853" s="114"/>
      <c r="H853" s="114"/>
      <c r="I853" s="114"/>
      <c r="J853" s="114"/>
      <c r="K853" s="114"/>
      <c r="L853" s="114"/>
      <c r="M853" s="114"/>
      <c r="N853" s="114"/>
      <c r="O853" s="114"/>
      <c r="P853" s="114"/>
      <c r="Q853" s="114"/>
      <c r="R853" s="114"/>
      <c r="S853" s="114"/>
      <c r="T853" s="114"/>
      <c r="U853" s="114"/>
      <c r="V853" s="114"/>
      <c r="W853" s="114"/>
      <c r="X853" s="114"/>
      <c r="Y853" s="114"/>
    </row>
    <row r="854">
      <c r="A854" s="1"/>
      <c r="B854" s="114"/>
      <c r="C854" s="114"/>
      <c r="D854" s="114"/>
      <c r="E854" s="114"/>
      <c r="F854" s="114"/>
      <c r="G854" s="114"/>
      <c r="H854" s="114"/>
      <c r="I854" s="114"/>
      <c r="J854" s="114"/>
      <c r="K854" s="114"/>
      <c r="L854" s="114"/>
      <c r="M854" s="114"/>
      <c r="N854" s="114"/>
      <c r="O854" s="114"/>
      <c r="P854" s="114"/>
      <c r="Q854" s="114"/>
      <c r="R854" s="114"/>
      <c r="S854" s="114"/>
      <c r="T854" s="114"/>
      <c r="U854" s="114"/>
      <c r="V854" s="114"/>
      <c r="W854" s="114"/>
      <c r="X854" s="114"/>
      <c r="Y854" s="114"/>
    </row>
    <row r="855">
      <c r="A855" s="1"/>
      <c r="B855" s="114"/>
      <c r="C855" s="114"/>
      <c r="D855" s="114"/>
      <c r="E855" s="114"/>
      <c r="F855" s="114"/>
      <c r="G855" s="114"/>
      <c r="H855" s="114"/>
      <c r="I855" s="114"/>
      <c r="J855" s="114"/>
      <c r="K855" s="114"/>
      <c r="L855" s="114"/>
      <c r="M855" s="114"/>
      <c r="N855" s="114"/>
      <c r="O855" s="114"/>
      <c r="P855" s="114"/>
      <c r="Q855" s="114"/>
      <c r="R855" s="114"/>
      <c r="S855" s="114"/>
      <c r="T855" s="114"/>
      <c r="U855" s="114"/>
      <c r="V855" s="114"/>
      <c r="W855" s="114"/>
      <c r="X855" s="114"/>
      <c r="Y855" s="114"/>
    </row>
    <row r="856">
      <c r="A856" s="1"/>
      <c r="B856" s="114"/>
      <c r="C856" s="114"/>
      <c r="D856" s="114"/>
      <c r="E856" s="114"/>
      <c r="F856" s="114"/>
      <c r="G856" s="114"/>
      <c r="H856" s="114"/>
      <c r="I856" s="114"/>
      <c r="J856" s="114"/>
      <c r="K856" s="114"/>
      <c r="L856" s="114"/>
      <c r="M856" s="114"/>
      <c r="N856" s="114"/>
      <c r="O856" s="114"/>
      <c r="P856" s="114"/>
      <c r="Q856" s="114"/>
      <c r="R856" s="114"/>
      <c r="S856" s="114"/>
      <c r="T856" s="114"/>
      <c r="U856" s="114"/>
      <c r="V856" s="114"/>
      <c r="W856" s="114"/>
      <c r="X856" s="114"/>
      <c r="Y856" s="114"/>
    </row>
    <row r="857">
      <c r="A857" s="1"/>
      <c r="B857" s="114"/>
      <c r="C857" s="114"/>
      <c r="D857" s="114"/>
      <c r="E857" s="114"/>
      <c r="F857" s="114"/>
      <c r="G857" s="114"/>
      <c r="H857" s="114"/>
      <c r="I857" s="114"/>
      <c r="J857" s="114"/>
      <c r="K857" s="114"/>
      <c r="L857" s="114"/>
      <c r="M857" s="114"/>
      <c r="N857" s="114"/>
      <c r="O857" s="114"/>
      <c r="P857" s="114"/>
      <c r="Q857" s="114"/>
      <c r="R857" s="114"/>
      <c r="S857" s="114"/>
      <c r="T857" s="114"/>
      <c r="U857" s="114"/>
      <c r="V857" s="114"/>
      <c r="W857" s="114"/>
      <c r="X857" s="114"/>
      <c r="Y857" s="114"/>
    </row>
    <row r="858">
      <c r="A858" s="1"/>
      <c r="B858" s="114"/>
      <c r="C858" s="114"/>
      <c r="D858" s="114"/>
      <c r="E858" s="114"/>
      <c r="F858" s="114"/>
      <c r="G858" s="114"/>
      <c r="H858" s="114"/>
      <c r="I858" s="114"/>
      <c r="J858" s="114"/>
      <c r="K858" s="114"/>
      <c r="L858" s="114"/>
      <c r="M858" s="114"/>
      <c r="N858" s="114"/>
      <c r="O858" s="114"/>
      <c r="P858" s="114"/>
      <c r="Q858" s="114"/>
      <c r="R858" s="114"/>
      <c r="S858" s="114"/>
      <c r="T858" s="114"/>
      <c r="U858" s="114"/>
      <c r="V858" s="114"/>
      <c r="W858" s="114"/>
      <c r="X858" s="114"/>
      <c r="Y858" s="114"/>
    </row>
    <row r="859">
      <c r="A859" s="1"/>
      <c r="B859" s="114"/>
      <c r="C859" s="114"/>
      <c r="D859" s="114"/>
      <c r="E859" s="114"/>
      <c r="F859" s="114"/>
      <c r="G859" s="114"/>
      <c r="H859" s="114"/>
      <c r="I859" s="114"/>
      <c r="J859" s="114"/>
      <c r="K859" s="114"/>
      <c r="L859" s="114"/>
      <c r="M859" s="114"/>
      <c r="N859" s="114"/>
      <c r="O859" s="114"/>
      <c r="P859" s="114"/>
      <c r="Q859" s="114"/>
      <c r="R859" s="114"/>
      <c r="S859" s="114"/>
      <c r="T859" s="114"/>
      <c r="U859" s="114"/>
      <c r="V859" s="114"/>
      <c r="W859" s="114"/>
      <c r="X859" s="114"/>
      <c r="Y859" s="114"/>
    </row>
    <row r="860">
      <c r="A860" s="1"/>
      <c r="B860" s="114"/>
      <c r="C860" s="114"/>
      <c r="D860" s="114"/>
      <c r="E860" s="114"/>
      <c r="F860" s="114"/>
      <c r="G860" s="114"/>
      <c r="H860" s="114"/>
      <c r="I860" s="114"/>
      <c r="J860" s="114"/>
      <c r="K860" s="114"/>
      <c r="L860" s="114"/>
      <c r="M860" s="114"/>
      <c r="N860" s="114"/>
      <c r="O860" s="114"/>
      <c r="P860" s="114"/>
      <c r="Q860" s="114"/>
      <c r="R860" s="114"/>
      <c r="S860" s="114"/>
      <c r="T860" s="114"/>
      <c r="U860" s="114"/>
      <c r="V860" s="114"/>
      <c r="W860" s="114"/>
      <c r="X860" s="114"/>
      <c r="Y860" s="114"/>
    </row>
    <row r="861">
      <c r="A861" s="1"/>
      <c r="B861" s="114"/>
      <c r="C861" s="114"/>
      <c r="D861" s="114"/>
      <c r="E861" s="114"/>
      <c r="F861" s="114"/>
      <c r="G861" s="114"/>
      <c r="H861" s="114"/>
      <c r="I861" s="114"/>
      <c r="J861" s="114"/>
      <c r="K861" s="114"/>
      <c r="L861" s="114"/>
      <c r="M861" s="114"/>
      <c r="N861" s="114"/>
      <c r="O861" s="114"/>
      <c r="P861" s="114"/>
      <c r="Q861" s="114"/>
      <c r="R861" s="114"/>
      <c r="S861" s="114"/>
      <c r="T861" s="114"/>
      <c r="U861" s="114"/>
      <c r="V861" s="114"/>
      <c r="W861" s="114"/>
      <c r="X861" s="114"/>
      <c r="Y861" s="114"/>
    </row>
    <row r="862">
      <c r="A862" s="1"/>
      <c r="B862" s="114"/>
      <c r="C862" s="114"/>
      <c r="D862" s="114"/>
      <c r="E862" s="114"/>
      <c r="F862" s="114"/>
      <c r="G862" s="114"/>
      <c r="H862" s="114"/>
      <c r="I862" s="114"/>
      <c r="J862" s="114"/>
      <c r="K862" s="114"/>
      <c r="L862" s="114"/>
      <c r="M862" s="114"/>
      <c r="N862" s="114"/>
      <c r="O862" s="114"/>
      <c r="P862" s="114"/>
      <c r="Q862" s="114"/>
      <c r="R862" s="114"/>
      <c r="S862" s="114"/>
      <c r="T862" s="114"/>
      <c r="U862" s="114"/>
      <c r="V862" s="114"/>
      <c r="W862" s="114"/>
      <c r="X862" s="114"/>
      <c r="Y862" s="114"/>
    </row>
    <row r="863">
      <c r="A863" s="1"/>
      <c r="B863" s="114"/>
      <c r="C863" s="114"/>
      <c r="D863" s="114"/>
      <c r="E863" s="114"/>
      <c r="F863" s="114"/>
      <c r="G863" s="114"/>
      <c r="H863" s="114"/>
      <c r="I863" s="114"/>
      <c r="J863" s="114"/>
      <c r="K863" s="114"/>
      <c r="L863" s="114"/>
      <c r="M863" s="114"/>
      <c r="N863" s="114"/>
      <c r="O863" s="114"/>
      <c r="P863" s="114"/>
      <c r="Q863" s="114"/>
      <c r="R863" s="114"/>
      <c r="S863" s="114"/>
      <c r="T863" s="114"/>
      <c r="U863" s="114"/>
      <c r="V863" s="114"/>
      <c r="W863" s="114"/>
      <c r="X863" s="114"/>
      <c r="Y863" s="114"/>
    </row>
    <row r="864">
      <c r="A864" s="1"/>
      <c r="B864" s="114"/>
      <c r="C864" s="114"/>
      <c r="D864" s="114"/>
      <c r="E864" s="114"/>
      <c r="F864" s="114"/>
      <c r="G864" s="114"/>
      <c r="H864" s="114"/>
      <c r="I864" s="114"/>
      <c r="J864" s="114"/>
      <c r="K864" s="114"/>
      <c r="L864" s="114"/>
      <c r="M864" s="114"/>
      <c r="N864" s="114"/>
      <c r="O864" s="114"/>
      <c r="P864" s="114"/>
      <c r="Q864" s="114"/>
      <c r="R864" s="114"/>
      <c r="S864" s="114"/>
      <c r="T864" s="114"/>
      <c r="U864" s="114"/>
      <c r="V864" s="114"/>
      <c r="W864" s="114"/>
      <c r="X864" s="114"/>
      <c r="Y864" s="114"/>
    </row>
    <row r="865">
      <c r="A865" s="1"/>
      <c r="B865" s="114"/>
      <c r="C865" s="114"/>
      <c r="D865" s="114"/>
      <c r="E865" s="114"/>
      <c r="F865" s="114"/>
      <c r="G865" s="114"/>
      <c r="H865" s="114"/>
      <c r="I865" s="114"/>
      <c r="J865" s="114"/>
      <c r="K865" s="114"/>
      <c r="L865" s="114"/>
      <c r="M865" s="114"/>
      <c r="N865" s="114"/>
      <c r="O865" s="114"/>
      <c r="P865" s="114"/>
      <c r="Q865" s="114"/>
      <c r="R865" s="114"/>
      <c r="S865" s="114"/>
      <c r="T865" s="114"/>
      <c r="U865" s="114"/>
      <c r="V865" s="114"/>
      <c r="W865" s="114"/>
      <c r="X865" s="114"/>
      <c r="Y865" s="114"/>
    </row>
    <row r="866">
      <c r="A866" s="1"/>
      <c r="B866" s="114"/>
      <c r="C866" s="114"/>
      <c r="D866" s="114"/>
      <c r="E866" s="114"/>
      <c r="F866" s="114"/>
      <c r="G866" s="114"/>
      <c r="H866" s="114"/>
      <c r="I866" s="114"/>
      <c r="J866" s="114"/>
      <c r="K866" s="114"/>
      <c r="L866" s="114"/>
      <c r="M866" s="114"/>
      <c r="N866" s="114"/>
      <c r="O866" s="114"/>
      <c r="P866" s="114"/>
      <c r="Q866" s="114"/>
      <c r="R866" s="114"/>
      <c r="S866" s="114"/>
      <c r="T866" s="114"/>
      <c r="U866" s="114"/>
      <c r="V866" s="114"/>
      <c r="W866" s="114"/>
      <c r="X866" s="114"/>
      <c r="Y866" s="114"/>
    </row>
    <row r="867">
      <c r="A867" s="1"/>
      <c r="B867" s="114"/>
      <c r="C867" s="114"/>
      <c r="D867" s="114"/>
      <c r="E867" s="114"/>
      <c r="F867" s="114"/>
      <c r="G867" s="114"/>
      <c r="H867" s="114"/>
      <c r="I867" s="114"/>
      <c r="J867" s="114"/>
      <c r="K867" s="114"/>
      <c r="L867" s="114"/>
      <c r="M867" s="114"/>
      <c r="N867" s="114"/>
      <c r="O867" s="114"/>
      <c r="P867" s="114"/>
      <c r="Q867" s="114"/>
      <c r="R867" s="114"/>
      <c r="S867" s="114"/>
      <c r="T867" s="114"/>
      <c r="U867" s="114"/>
      <c r="V867" s="114"/>
      <c r="W867" s="114"/>
      <c r="X867" s="114"/>
      <c r="Y867" s="114"/>
    </row>
    <row r="868">
      <c r="A868" s="1"/>
      <c r="B868" s="114"/>
      <c r="C868" s="114"/>
      <c r="D868" s="114"/>
      <c r="E868" s="114"/>
      <c r="F868" s="114"/>
      <c r="G868" s="114"/>
      <c r="H868" s="114"/>
      <c r="I868" s="114"/>
      <c r="J868" s="114"/>
      <c r="K868" s="114"/>
      <c r="L868" s="114"/>
      <c r="M868" s="114"/>
      <c r="N868" s="114"/>
      <c r="O868" s="114"/>
      <c r="P868" s="114"/>
      <c r="Q868" s="114"/>
      <c r="R868" s="114"/>
      <c r="S868" s="114"/>
      <c r="T868" s="114"/>
      <c r="U868" s="114"/>
      <c r="V868" s="114"/>
      <c r="W868" s="114"/>
      <c r="X868" s="114"/>
      <c r="Y868" s="114"/>
    </row>
    <row r="869">
      <c r="A869" s="1"/>
      <c r="B869" s="114"/>
      <c r="C869" s="114"/>
      <c r="D869" s="114"/>
      <c r="E869" s="114"/>
      <c r="F869" s="114"/>
      <c r="G869" s="114"/>
      <c r="H869" s="114"/>
      <c r="I869" s="114"/>
      <c r="J869" s="114"/>
      <c r="K869" s="114"/>
      <c r="L869" s="114"/>
      <c r="M869" s="114"/>
      <c r="N869" s="114"/>
      <c r="O869" s="114"/>
      <c r="P869" s="114"/>
      <c r="Q869" s="114"/>
      <c r="R869" s="114"/>
      <c r="S869" s="114"/>
      <c r="T869" s="114"/>
      <c r="U869" s="114"/>
      <c r="V869" s="114"/>
      <c r="W869" s="114"/>
      <c r="X869" s="114"/>
      <c r="Y869" s="114"/>
    </row>
    <row r="870">
      <c r="A870" s="1"/>
      <c r="B870" s="114"/>
      <c r="C870" s="114"/>
      <c r="D870" s="114"/>
      <c r="E870" s="114"/>
      <c r="F870" s="114"/>
      <c r="G870" s="114"/>
      <c r="H870" s="114"/>
      <c r="I870" s="114"/>
      <c r="J870" s="114"/>
      <c r="K870" s="114"/>
      <c r="L870" s="114"/>
      <c r="M870" s="114"/>
      <c r="N870" s="114"/>
      <c r="O870" s="114"/>
      <c r="P870" s="114"/>
      <c r="Q870" s="114"/>
      <c r="R870" s="114"/>
      <c r="S870" s="114"/>
      <c r="T870" s="114"/>
      <c r="U870" s="114"/>
      <c r="V870" s="114"/>
      <c r="W870" s="114"/>
      <c r="X870" s="114"/>
      <c r="Y870" s="114"/>
    </row>
    <row r="871">
      <c r="A871" s="1"/>
      <c r="B871" s="114"/>
      <c r="C871" s="114"/>
      <c r="D871" s="114"/>
      <c r="E871" s="114"/>
      <c r="F871" s="114"/>
      <c r="G871" s="114"/>
      <c r="H871" s="114"/>
      <c r="I871" s="114"/>
      <c r="J871" s="114"/>
      <c r="K871" s="114"/>
      <c r="L871" s="114"/>
      <c r="M871" s="114"/>
      <c r="N871" s="114"/>
      <c r="O871" s="114"/>
      <c r="P871" s="114"/>
      <c r="Q871" s="114"/>
      <c r="R871" s="114"/>
      <c r="S871" s="114"/>
      <c r="T871" s="114"/>
      <c r="U871" s="114"/>
      <c r="V871" s="114"/>
      <c r="W871" s="114"/>
      <c r="X871" s="114"/>
      <c r="Y871" s="114"/>
    </row>
    <row r="872">
      <c r="A872" s="1"/>
      <c r="B872" s="114"/>
      <c r="C872" s="114"/>
      <c r="D872" s="114"/>
      <c r="E872" s="114"/>
      <c r="F872" s="114"/>
      <c r="G872" s="114"/>
      <c r="H872" s="114"/>
      <c r="I872" s="114"/>
      <c r="J872" s="114"/>
      <c r="K872" s="114"/>
      <c r="L872" s="114"/>
      <c r="M872" s="114"/>
      <c r="N872" s="114"/>
      <c r="O872" s="114"/>
      <c r="P872" s="114"/>
      <c r="Q872" s="114"/>
      <c r="R872" s="114"/>
      <c r="S872" s="114"/>
      <c r="T872" s="114"/>
      <c r="U872" s="114"/>
      <c r="V872" s="114"/>
      <c r="W872" s="114"/>
      <c r="X872" s="114"/>
      <c r="Y872" s="114"/>
    </row>
    <row r="873">
      <c r="A873" s="1"/>
      <c r="B873" s="114"/>
      <c r="C873" s="114"/>
      <c r="D873" s="114"/>
      <c r="E873" s="114"/>
      <c r="F873" s="114"/>
      <c r="G873" s="114"/>
      <c r="H873" s="114"/>
      <c r="I873" s="114"/>
      <c r="J873" s="114"/>
      <c r="K873" s="114"/>
      <c r="L873" s="114"/>
      <c r="M873" s="114"/>
      <c r="N873" s="114"/>
      <c r="O873" s="114"/>
      <c r="P873" s="114"/>
      <c r="Q873" s="114"/>
      <c r="R873" s="114"/>
      <c r="S873" s="114"/>
      <c r="T873" s="114"/>
      <c r="U873" s="114"/>
      <c r="V873" s="114"/>
      <c r="W873" s="114"/>
      <c r="X873" s="114"/>
      <c r="Y873" s="114"/>
    </row>
    <row r="874">
      <c r="A874" s="1"/>
      <c r="B874" s="114"/>
      <c r="C874" s="114"/>
      <c r="D874" s="114"/>
      <c r="E874" s="114"/>
      <c r="F874" s="114"/>
      <c r="G874" s="114"/>
      <c r="H874" s="114"/>
      <c r="I874" s="114"/>
      <c r="J874" s="114"/>
      <c r="K874" s="114"/>
      <c r="L874" s="114"/>
      <c r="M874" s="114"/>
      <c r="N874" s="114"/>
      <c r="O874" s="114"/>
      <c r="P874" s="114"/>
      <c r="Q874" s="114"/>
      <c r="R874" s="114"/>
      <c r="S874" s="114"/>
      <c r="T874" s="114"/>
      <c r="U874" s="114"/>
      <c r="V874" s="114"/>
      <c r="W874" s="114"/>
      <c r="X874" s="114"/>
      <c r="Y874" s="114"/>
    </row>
    <row r="875">
      <c r="A875" s="1"/>
      <c r="B875" s="114"/>
      <c r="C875" s="114"/>
      <c r="D875" s="114"/>
      <c r="E875" s="114"/>
      <c r="F875" s="114"/>
      <c r="G875" s="114"/>
      <c r="H875" s="114"/>
      <c r="I875" s="114"/>
      <c r="J875" s="114"/>
      <c r="K875" s="114"/>
      <c r="L875" s="114"/>
      <c r="M875" s="114"/>
      <c r="N875" s="114"/>
      <c r="O875" s="114"/>
      <c r="P875" s="114"/>
      <c r="Q875" s="114"/>
      <c r="R875" s="114"/>
      <c r="S875" s="114"/>
      <c r="T875" s="114"/>
      <c r="U875" s="114"/>
      <c r="V875" s="114"/>
      <c r="W875" s="114"/>
      <c r="X875" s="114"/>
      <c r="Y875" s="114"/>
    </row>
    <row r="876">
      <c r="A876" s="1"/>
      <c r="B876" s="114"/>
      <c r="C876" s="114"/>
      <c r="D876" s="114"/>
      <c r="E876" s="114"/>
      <c r="F876" s="114"/>
      <c r="G876" s="114"/>
      <c r="H876" s="114"/>
      <c r="I876" s="114"/>
      <c r="J876" s="114"/>
      <c r="K876" s="114"/>
      <c r="L876" s="114"/>
      <c r="M876" s="114"/>
      <c r="N876" s="114"/>
      <c r="O876" s="114"/>
      <c r="P876" s="114"/>
      <c r="Q876" s="114"/>
      <c r="R876" s="114"/>
      <c r="S876" s="114"/>
      <c r="T876" s="114"/>
      <c r="U876" s="114"/>
      <c r="V876" s="114"/>
      <c r="W876" s="114"/>
      <c r="X876" s="114"/>
      <c r="Y876" s="114"/>
    </row>
    <row r="877">
      <c r="A877" s="1"/>
      <c r="B877" s="114"/>
      <c r="C877" s="114"/>
      <c r="D877" s="114"/>
      <c r="E877" s="114"/>
      <c r="F877" s="114"/>
      <c r="G877" s="114"/>
      <c r="H877" s="114"/>
      <c r="I877" s="114"/>
      <c r="J877" s="114"/>
      <c r="K877" s="114"/>
      <c r="L877" s="114"/>
      <c r="M877" s="114"/>
      <c r="N877" s="114"/>
      <c r="O877" s="114"/>
      <c r="P877" s="114"/>
      <c r="Q877" s="114"/>
      <c r="R877" s="114"/>
      <c r="S877" s="114"/>
      <c r="T877" s="114"/>
      <c r="U877" s="114"/>
      <c r="V877" s="114"/>
      <c r="W877" s="114"/>
      <c r="X877" s="114"/>
      <c r="Y877" s="114"/>
    </row>
    <row r="878">
      <c r="A878" s="1"/>
      <c r="B878" s="114"/>
      <c r="C878" s="114"/>
      <c r="D878" s="114"/>
      <c r="E878" s="114"/>
      <c r="F878" s="114"/>
      <c r="G878" s="114"/>
      <c r="H878" s="114"/>
      <c r="I878" s="114"/>
      <c r="J878" s="114"/>
      <c r="K878" s="114"/>
      <c r="L878" s="114"/>
      <c r="M878" s="114"/>
      <c r="N878" s="114"/>
      <c r="O878" s="114"/>
      <c r="P878" s="114"/>
      <c r="Q878" s="114"/>
      <c r="R878" s="114"/>
      <c r="S878" s="114"/>
      <c r="T878" s="114"/>
      <c r="U878" s="114"/>
      <c r="V878" s="114"/>
      <c r="W878" s="114"/>
      <c r="X878" s="114"/>
      <c r="Y878" s="114"/>
    </row>
    <row r="879">
      <c r="A879" s="1"/>
      <c r="B879" s="114"/>
      <c r="C879" s="114"/>
      <c r="D879" s="114"/>
      <c r="E879" s="114"/>
      <c r="F879" s="114"/>
      <c r="G879" s="114"/>
      <c r="H879" s="114"/>
      <c r="I879" s="114"/>
      <c r="J879" s="114"/>
      <c r="K879" s="114"/>
      <c r="L879" s="114"/>
      <c r="M879" s="114"/>
      <c r="N879" s="114"/>
      <c r="O879" s="114"/>
      <c r="P879" s="114"/>
      <c r="Q879" s="114"/>
      <c r="R879" s="114"/>
      <c r="S879" s="114"/>
      <c r="T879" s="114"/>
      <c r="U879" s="114"/>
      <c r="V879" s="114"/>
      <c r="W879" s="114"/>
      <c r="X879" s="114"/>
      <c r="Y879" s="114"/>
    </row>
    <row r="880">
      <c r="A880" s="1"/>
      <c r="B880" s="114"/>
      <c r="C880" s="114"/>
      <c r="D880" s="114"/>
      <c r="E880" s="114"/>
      <c r="F880" s="114"/>
      <c r="G880" s="114"/>
      <c r="H880" s="114"/>
      <c r="I880" s="114"/>
      <c r="J880" s="114"/>
      <c r="K880" s="114"/>
      <c r="L880" s="114"/>
      <c r="M880" s="114"/>
      <c r="N880" s="114"/>
      <c r="O880" s="114"/>
      <c r="P880" s="114"/>
      <c r="Q880" s="114"/>
      <c r="R880" s="114"/>
      <c r="S880" s="114"/>
      <c r="T880" s="114"/>
      <c r="U880" s="114"/>
      <c r="V880" s="114"/>
      <c r="W880" s="114"/>
      <c r="X880" s="114"/>
      <c r="Y880" s="114"/>
    </row>
    <row r="881">
      <c r="A881" s="1"/>
      <c r="B881" s="114"/>
      <c r="C881" s="114"/>
      <c r="D881" s="114"/>
      <c r="E881" s="114"/>
      <c r="F881" s="114"/>
      <c r="G881" s="114"/>
      <c r="H881" s="114"/>
      <c r="I881" s="114"/>
      <c r="J881" s="114"/>
      <c r="K881" s="114"/>
      <c r="L881" s="114"/>
      <c r="M881" s="114"/>
      <c r="N881" s="114"/>
      <c r="O881" s="114"/>
      <c r="P881" s="114"/>
      <c r="Q881" s="114"/>
      <c r="R881" s="114"/>
      <c r="S881" s="114"/>
      <c r="T881" s="114"/>
      <c r="U881" s="114"/>
      <c r="V881" s="114"/>
      <c r="W881" s="114"/>
      <c r="X881" s="114"/>
      <c r="Y881" s="114"/>
    </row>
    <row r="882">
      <c r="A882" s="1"/>
      <c r="B882" s="114"/>
      <c r="C882" s="114"/>
      <c r="D882" s="114"/>
      <c r="E882" s="114"/>
      <c r="F882" s="114"/>
      <c r="G882" s="114"/>
      <c r="H882" s="114"/>
      <c r="I882" s="114"/>
      <c r="J882" s="114"/>
      <c r="K882" s="114"/>
      <c r="L882" s="114"/>
      <c r="M882" s="114"/>
      <c r="N882" s="114"/>
      <c r="O882" s="114"/>
      <c r="P882" s="114"/>
      <c r="Q882" s="114"/>
      <c r="R882" s="114"/>
      <c r="S882" s="114"/>
      <c r="T882" s="114"/>
      <c r="U882" s="114"/>
      <c r="V882" s="114"/>
      <c r="W882" s="114"/>
      <c r="X882" s="114"/>
      <c r="Y882" s="114"/>
    </row>
    <row r="883">
      <c r="A883" s="1"/>
      <c r="B883" s="114"/>
      <c r="C883" s="114"/>
      <c r="D883" s="114"/>
      <c r="E883" s="114"/>
      <c r="F883" s="114"/>
      <c r="G883" s="114"/>
      <c r="H883" s="114"/>
      <c r="I883" s="114"/>
      <c r="J883" s="114"/>
      <c r="K883" s="114"/>
      <c r="L883" s="114"/>
      <c r="M883" s="114"/>
      <c r="N883" s="114"/>
      <c r="O883" s="114"/>
      <c r="P883" s="114"/>
      <c r="Q883" s="114"/>
      <c r="R883" s="114"/>
      <c r="S883" s="114"/>
      <c r="T883" s="114"/>
      <c r="U883" s="114"/>
      <c r="V883" s="114"/>
      <c r="W883" s="114"/>
      <c r="X883" s="114"/>
      <c r="Y883" s="114"/>
    </row>
    <row r="884">
      <c r="A884" s="1"/>
      <c r="B884" s="114"/>
      <c r="C884" s="114"/>
      <c r="D884" s="114"/>
      <c r="E884" s="114"/>
      <c r="F884" s="114"/>
      <c r="G884" s="114"/>
      <c r="H884" s="114"/>
      <c r="I884" s="114"/>
      <c r="J884" s="114"/>
      <c r="K884" s="114"/>
      <c r="L884" s="114"/>
      <c r="M884" s="114"/>
      <c r="N884" s="114"/>
      <c r="O884" s="114"/>
      <c r="P884" s="114"/>
      <c r="Q884" s="114"/>
      <c r="R884" s="114"/>
      <c r="S884" s="114"/>
      <c r="T884" s="114"/>
      <c r="U884" s="114"/>
      <c r="V884" s="114"/>
      <c r="W884" s="114"/>
      <c r="X884" s="114"/>
      <c r="Y884" s="114"/>
    </row>
    <row r="885">
      <c r="A885" s="1"/>
      <c r="B885" s="114"/>
      <c r="C885" s="114"/>
      <c r="D885" s="114"/>
      <c r="E885" s="114"/>
      <c r="F885" s="114"/>
      <c r="G885" s="114"/>
      <c r="H885" s="114"/>
      <c r="I885" s="114"/>
      <c r="J885" s="114"/>
      <c r="K885" s="114"/>
      <c r="L885" s="114"/>
      <c r="M885" s="114"/>
      <c r="N885" s="114"/>
      <c r="O885" s="114"/>
      <c r="P885" s="114"/>
      <c r="Q885" s="114"/>
      <c r="R885" s="114"/>
      <c r="S885" s="114"/>
      <c r="T885" s="114"/>
      <c r="U885" s="114"/>
      <c r="V885" s="114"/>
      <c r="W885" s="114"/>
      <c r="X885" s="114"/>
      <c r="Y885" s="114"/>
    </row>
    <row r="886">
      <c r="A886" s="1"/>
      <c r="B886" s="114"/>
      <c r="C886" s="114"/>
      <c r="D886" s="114"/>
      <c r="E886" s="114"/>
      <c r="F886" s="114"/>
      <c r="G886" s="114"/>
      <c r="H886" s="114"/>
      <c r="I886" s="114"/>
      <c r="J886" s="114"/>
      <c r="K886" s="114"/>
      <c r="L886" s="114"/>
      <c r="M886" s="114"/>
      <c r="N886" s="114"/>
      <c r="O886" s="114"/>
      <c r="P886" s="114"/>
      <c r="Q886" s="114"/>
      <c r="R886" s="114"/>
      <c r="S886" s="114"/>
      <c r="T886" s="114"/>
      <c r="U886" s="114"/>
      <c r="V886" s="114"/>
      <c r="W886" s="114"/>
      <c r="X886" s="114"/>
      <c r="Y886" s="114"/>
    </row>
    <row r="887">
      <c r="A887" s="1"/>
      <c r="B887" s="114"/>
      <c r="C887" s="114"/>
      <c r="D887" s="114"/>
      <c r="E887" s="114"/>
      <c r="F887" s="114"/>
      <c r="G887" s="114"/>
      <c r="H887" s="114"/>
      <c r="I887" s="114"/>
      <c r="J887" s="114"/>
      <c r="K887" s="114"/>
      <c r="L887" s="114"/>
      <c r="M887" s="114"/>
      <c r="N887" s="114"/>
      <c r="O887" s="114"/>
      <c r="P887" s="114"/>
      <c r="Q887" s="114"/>
      <c r="R887" s="114"/>
      <c r="S887" s="114"/>
      <c r="T887" s="114"/>
      <c r="U887" s="114"/>
      <c r="V887" s="114"/>
      <c r="W887" s="114"/>
      <c r="X887" s="114"/>
      <c r="Y887" s="114"/>
    </row>
    <row r="888">
      <c r="A888" s="1"/>
      <c r="B888" s="114"/>
      <c r="C888" s="114"/>
      <c r="D888" s="114"/>
      <c r="E888" s="114"/>
      <c r="F888" s="114"/>
      <c r="G888" s="114"/>
      <c r="H888" s="114"/>
      <c r="I888" s="114"/>
      <c r="J888" s="114"/>
      <c r="K888" s="114"/>
      <c r="L888" s="114"/>
      <c r="M888" s="114"/>
      <c r="N888" s="114"/>
      <c r="O888" s="114"/>
      <c r="P888" s="114"/>
      <c r="Q888" s="114"/>
      <c r="R888" s="114"/>
      <c r="S888" s="114"/>
      <c r="T888" s="114"/>
      <c r="U888" s="114"/>
      <c r="V888" s="114"/>
      <c r="W888" s="114"/>
      <c r="X888" s="114"/>
      <c r="Y888" s="114"/>
    </row>
    <row r="889">
      <c r="A889" s="1"/>
      <c r="B889" s="114"/>
      <c r="C889" s="114"/>
      <c r="D889" s="114"/>
      <c r="E889" s="114"/>
      <c r="F889" s="114"/>
      <c r="G889" s="114"/>
      <c r="H889" s="114"/>
      <c r="I889" s="114"/>
      <c r="J889" s="114"/>
      <c r="K889" s="114"/>
      <c r="L889" s="114"/>
      <c r="M889" s="114"/>
      <c r="N889" s="114"/>
      <c r="O889" s="114"/>
      <c r="P889" s="114"/>
      <c r="Q889" s="114"/>
      <c r="R889" s="114"/>
      <c r="S889" s="114"/>
      <c r="T889" s="114"/>
      <c r="U889" s="114"/>
      <c r="V889" s="114"/>
      <c r="W889" s="114"/>
      <c r="X889" s="114"/>
      <c r="Y889" s="114"/>
    </row>
    <row r="890">
      <c r="A890" s="1"/>
      <c r="B890" s="114"/>
      <c r="C890" s="114"/>
      <c r="D890" s="114"/>
      <c r="E890" s="114"/>
      <c r="F890" s="114"/>
      <c r="G890" s="114"/>
      <c r="H890" s="114"/>
      <c r="I890" s="114"/>
      <c r="J890" s="114"/>
      <c r="K890" s="114"/>
      <c r="L890" s="114"/>
      <c r="M890" s="114"/>
      <c r="N890" s="114"/>
      <c r="O890" s="114"/>
      <c r="P890" s="114"/>
      <c r="Q890" s="114"/>
      <c r="R890" s="114"/>
      <c r="S890" s="114"/>
      <c r="T890" s="114"/>
      <c r="U890" s="114"/>
      <c r="V890" s="114"/>
      <c r="W890" s="114"/>
      <c r="X890" s="114"/>
      <c r="Y890" s="114"/>
    </row>
    <row r="891">
      <c r="A891" s="1"/>
      <c r="B891" s="114"/>
      <c r="C891" s="114"/>
      <c r="D891" s="114"/>
      <c r="E891" s="114"/>
      <c r="F891" s="114"/>
      <c r="G891" s="114"/>
      <c r="H891" s="114"/>
      <c r="I891" s="114"/>
      <c r="J891" s="114"/>
      <c r="K891" s="114"/>
      <c r="L891" s="114"/>
      <c r="M891" s="114"/>
      <c r="N891" s="114"/>
      <c r="O891" s="114"/>
      <c r="P891" s="114"/>
      <c r="Q891" s="114"/>
      <c r="R891" s="114"/>
      <c r="S891" s="114"/>
      <c r="T891" s="114"/>
      <c r="U891" s="114"/>
      <c r="V891" s="114"/>
      <c r="W891" s="114"/>
      <c r="X891" s="114"/>
      <c r="Y891" s="114"/>
    </row>
    <row r="892">
      <c r="A892" s="1"/>
      <c r="B892" s="114"/>
      <c r="C892" s="114"/>
      <c r="D892" s="114"/>
      <c r="E892" s="114"/>
      <c r="F892" s="114"/>
      <c r="G892" s="114"/>
      <c r="H892" s="114"/>
      <c r="I892" s="114"/>
      <c r="J892" s="114"/>
      <c r="K892" s="114"/>
      <c r="L892" s="114"/>
      <c r="M892" s="114"/>
      <c r="N892" s="114"/>
      <c r="O892" s="114"/>
      <c r="P892" s="114"/>
      <c r="Q892" s="114"/>
      <c r="R892" s="114"/>
      <c r="S892" s="114"/>
      <c r="T892" s="114"/>
      <c r="U892" s="114"/>
      <c r="V892" s="114"/>
      <c r="W892" s="114"/>
      <c r="X892" s="114"/>
      <c r="Y892" s="114"/>
    </row>
    <row r="893">
      <c r="A893" s="1"/>
      <c r="B893" s="114"/>
      <c r="C893" s="114"/>
      <c r="D893" s="114"/>
      <c r="E893" s="114"/>
      <c r="F893" s="114"/>
      <c r="G893" s="114"/>
      <c r="H893" s="114"/>
      <c r="I893" s="114"/>
      <c r="J893" s="114"/>
      <c r="K893" s="114"/>
      <c r="L893" s="114"/>
      <c r="M893" s="114"/>
      <c r="N893" s="114"/>
      <c r="O893" s="114"/>
      <c r="P893" s="114"/>
      <c r="Q893" s="114"/>
      <c r="R893" s="114"/>
      <c r="S893" s="114"/>
      <c r="T893" s="114"/>
      <c r="U893" s="114"/>
      <c r="V893" s="114"/>
      <c r="W893" s="114"/>
      <c r="X893" s="114"/>
      <c r="Y893" s="114"/>
    </row>
    <row r="894">
      <c r="A894" s="1"/>
      <c r="B894" s="114"/>
      <c r="C894" s="114"/>
      <c r="D894" s="114"/>
      <c r="E894" s="114"/>
      <c r="F894" s="114"/>
      <c r="G894" s="114"/>
      <c r="H894" s="114"/>
      <c r="I894" s="114"/>
      <c r="J894" s="114"/>
      <c r="K894" s="114"/>
      <c r="L894" s="114"/>
      <c r="M894" s="114"/>
      <c r="N894" s="114"/>
      <c r="O894" s="114"/>
      <c r="P894" s="114"/>
      <c r="Q894" s="114"/>
      <c r="R894" s="114"/>
      <c r="S894" s="114"/>
      <c r="T894" s="114"/>
      <c r="U894" s="114"/>
      <c r="V894" s="114"/>
      <c r="W894" s="114"/>
      <c r="X894" s="114"/>
      <c r="Y894" s="114"/>
    </row>
    <row r="895">
      <c r="A895" s="1"/>
      <c r="B895" s="114"/>
      <c r="C895" s="114"/>
      <c r="D895" s="114"/>
      <c r="E895" s="114"/>
      <c r="F895" s="114"/>
      <c r="G895" s="114"/>
      <c r="H895" s="114"/>
      <c r="I895" s="114"/>
      <c r="J895" s="114"/>
      <c r="K895" s="114"/>
      <c r="L895" s="114"/>
      <c r="M895" s="114"/>
      <c r="N895" s="114"/>
      <c r="O895" s="114"/>
      <c r="P895" s="114"/>
      <c r="Q895" s="114"/>
      <c r="R895" s="114"/>
      <c r="S895" s="114"/>
      <c r="T895" s="114"/>
      <c r="U895" s="114"/>
      <c r="V895" s="114"/>
      <c r="W895" s="114"/>
      <c r="X895" s="114"/>
      <c r="Y895" s="114"/>
    </row>
    <row r="896">
      <c r="A896" s="1"/>
      <c r="B896" s="114"/>
      <c r="C896" s="114"/>
      <c r="D896" s="114"/>
      <c r="E896" s="114"/>
      <c r="F896" s="114"/>
      <c r="G896" s="114"/>
      <c r="H896" s="114"/>
      <c r="I896" s="114"/>
      <c r="J896" s="114"/>
      <c r="K896" s="114"/>
      <c r="L896" s="114"/>
      <c r="M896" s="114"/>
      <c r="N896" s="114"/>
      <c r="O896" s="114"/>
      <c r="P896" s="114"/>
      <c r="Q896" s="114"/>
      <c r="R896" s="114"/>
      <c r="S896" s="114"/>
      <c r="T896" s="114"/>
      <c r="U896" s="114"/>
      <c r="V896" s="114"/>
      <c r="W896" s="114"/>
      <c r="X896" s="114"/>
      <c r="Y896" s="114"/>
    </row>
    <row r="897">
      <c r="A897" s="1"/>
      <c r="B897" s="114"/>
      <c r="C897" s="114"/>
      <c r="D897" s="114"/>
      <c r="E897" s="114"/>
      <c r="F897" s="114"/>
      <c r="G897" s="114"/>
      <c r="H897" s="114"/>
      <c r="I897" s="114"/>
      <c r="J897" s="114"/>
      <c r="K897" s="114"/>
      <c r="L897" s="114"/>
      <c r="M897" s="114"/>
      <c r="N897" s="114"/>
      <c r="O897" s="114"/>
      <c r="P897" s="114"/>
      <c r="Q897" s="114"/>
      <c r="R897" s="114"/>
      <c r="S897" s="114"/>
      <c r="T897" s="114"/>
      <c r="U897" s="114"/>
      <c r="V897" s="114"/>
      <c r="W897" s="114"/>
      <c r="X897" s="114"/>
      <c r="Y897" s="114"/>
    </row>
    <row r="898">
      <c r="A898" s="1"/>
      <c r="B898" s="114"/>
      <c r="C898" s="114"/>
      <c r="D898" s="114"/>
      <c r="E898" s="114"/>
      <c r="F898" s="114"/>
      <c r="G898" s="114"/>
      <c r="H898" s="114"/>
      <c r="I898" s="114"/>
      <c r="J898" s="114"/>
      <c r="K898" s="114"/>
      <c r="L898" s="114"/>
      <c r="M898" s="114"/>
      <c r="N898" s="114"/>
      <c r="O898" s="114"/>
      <c r="P898" s="114"/>
      <c r="Q898" s="114"/>
      <c r="R898" s="114"/>
      <c r="S898" s="114"/>
      <c r="T898" s="114"/>
      <c r="U898" s="114"/>
      <c r="V898" s="114"/>
      <c r="W898" s="114"/>
      <c r="X898" s="114"/>
      <c r="Y898" s="114"/>
    </row>
    <row r="899">
      <c r="A899" s="1"/>
      <c r="B899" s="114"/>
      <c r="C899" s="114"/>
      <c r="D899" s="114"/>
      <c r="E899" s="114"/>
      <c r="F899" s="114"/>
      <c r="G899" s="114"/>
      <c r="H899" s="114"/>
      <c r="I899" s="114"/>
      <c r="J899" s="114"/>
      <c r="K899" s="114"/>
      <c r="L899" s="114"/>
      <c r="M899" s="114"/>
      <c r="N899" s="114"/>
      <c r="O899" s="114"/>
      <c r="P899" s="114"/>
      <c r="Q899" s="114"/>
      <c r="R899" s="114"/>
      <c r="S899" s="114"/>
      <c r="T899" s="114"/>
      <c r="U899" s="114"/>
      <c r="V899" s="114"/>
      <c r="W899" s="114"/>
      <c r="X899" s="114"/>
      <c r="Y899" s="114"/>
    </row>
    <row r="900">
      <c r="A900" s="1"/>
      <c r="B900" s="114"/>
      <c r="C900" s="114"/>
      <c r="D900" s="114"/>
      <c r="E900" s="114"/>
      <c r="F900" s="114"/>
      <c r="G900" s="114"/>
      <c r="H900" s="114"/>
      <c r="I900" s="114"/>
      <c r="J900" s="114"/>
      <c r="K900" s="114"/>
      <c r="L900" s="114"/>
      <c r="M900" s="114"/>
      <c r="N900" s="114"/>
      <c r="O900" s="114"/>
      <c r="P900" s="114"/>
      <c r="Q900" s="114"/>
      <c r="R900" s="114"/>
      <c r="S900" s="114"/>
      <c r="T900" s="114"/>
      <c r="U900" s="114"/>
      <c r="V900" s="114"/>
      <c r="W900" s="114"/>
      <c r="X900" s="114"/>
      <c r="Y900" s="114"/>
    </row>
    <row r="901">
      <c r="A901" s="1"/>
      <c r="B901" s="114"/>
      <c r="C901" s="114"/>
      <c r="D901" s="114"/>
      <c r="E901" s="114"/>
      <c r="F901" s="114"/>
      <c r="G901" s="114"/>
      <c r="H901" s="114"/>
      <c r="I901" s="114"/>
      <c r="J901" s="114"/>
      <c r="K901" s="114"/>
      <c r="L901" s="114"/>
      <c r="M901" s="114"/>
      <c r="N901" s="114"/>
      <c r="O901" s="114"/>
      <c r="P901" s="114"/>
      <c r="Q901" s="114"/>
      <c r="R901" s="114"/>
      <c r="S901" s="114"/>
      <c r="T901" s="114"/>
      <c r="U901" s="114"/>
      <c r="V901" s="114"/>
      <c r="W901" s="114"/>
      <c r="X901" s="114"/>
      <c r="Y901" s="114"/>
    </row>
    <row r="902">
      <c r="A902" s="1"/>
      <c r="B902" s="114"/>
      <c r="C902" s="114"/>
      <c r="D902" s="114"/>
      <c r="E902" s="114"/>
      <c r="F902" s="114"/>
      <c r="G902" s="114"/>
      <c r="H902" s="114"/>
      <c r="I902" s="114"/>
      <c r="J902" s="114"/>
      <c r="K902" s="114"/>
      <c r="L902" s="114"/>
      <c r="M902" s="114"/>
      <c r="N902" s="114"/>
      <c r="O902" s="114"/>
      <c r="P902" s="114"/>
      <c r="Q902" s="114"/>
      <c r="R902" s="114"/>
      <c r="S902" s="114"/>
      <c r="T902" s="114"/>
      <c r="U902" s="114"/>
      <c r="V902" s="114"/>
      <c r="W902" s="114"/>
      <c r="X902" s="114"/>
      <c r="Y902" s="114"/>
    </row>
    <row r="903">
      <c r="A903" s="1"/>
      <c r="B903" s="114"/>
      <c r="C903" s="114"/>
      <c r="D903" s="114"/>
      <c r="E903" s="114"/>
      <c r="F903" s="114"/>
      <c r="G903" s="114"/>
      <c r="H903" s="114"/>
      <c r="I903" s="114"/>
      <c r="J903" s="114"/>
      <c r="K903" s="114"/>
      <c r="L903" s="114"/>
      <c r="M903" s="114"/>
      <c r="N903" s="114"/>
      <c r="O903" s="114"/>
      <c r="P903" s="114"/>
      <c r="Q903" s="114"/>
      <c r="R903" s="114"/>
      <c r="S903" s="114"/>
      <c r="T903" s="114"/>
      <c r="U903" s="114"/>
      <c r="V903" s="114"/>
      <c r="W903" s="114"/>
      <c r="X903" s="114"/>
      <c r="Y903" s="114"/>
    </row>
    <row r="904">
      <c r="A904" s="1"/>
      <c r="B904" s="114"/>
      <c r="C904" s="114"/>
      <c r="D904" s="114"/>
      <c r="E904" s="114"/>
      <c r="F904" s="114"/>
      <c r="G904" s="114"/>
      <c r="H904" s="114"/>
      <c r="I904" s="114"/>
      <c r="J904" s="114"/>
      <c r="K904" s="114"/>
      <c r="L904" s="114"/>
      <c r="M904" s="114"/>
      <c r="N904" s="114"/>
      <c r="O904" s="114"/>
      <c r="P904" s="114"/>
      <c r="Q904" s="114"/>
      <c r="R904" s="114"/>
      <c r="S904" s="114"/>
      <c r="T904" s="114"/>
      <c r="U904" s="114"/>
      <c r="V904" s="114"/>
      <c r="W904" s="114"/>
      <c r="X904" s="114"/>
      <c r="Y904" s="114"/>
    </row>
    <row r="905">
      <c r="A905" s="1"/>
      <c r="B905" s="114"/>
      <c r="C905" s="114"/>
      <c r="D905" s="114"/>
      <c r="E905" s="114"/>
      <c r="F905" s="114"/>
      <c r="G905" s="114"/>
      <c r="H905" s="114"/>
      <c r="I905" s="114"/>
      <c r="J905" s="114"/>
      <c r="K905" s="114"/>
      <c r="L905" s="114"/>
      <c r="M905" s="114"/>
      <c r="N905" s="114"/>
      <c r="O905" s="114"/>
      <c r="P905" s="114"/>
      <c r="Q905" s="114"/>
      <c r="R905" s="114"/>
      <c r="S905" s="114"/>
      <c r="T905" s="114"/>
      <c r="U905" s="114"/>
      <c r="V905" s="114"/>
      <c r="W905" s="114"/>
      <c r="X905" s="114"/>
      <c r="Y905" s="114"/>
    </row>
    <row r="906">
      <c r="A906" s="1"/>
      <c r="B906" s="114"/>
      <c r="C906" s="114"/>
      <c r="D906" s="114"/>
      <c r="E906" s="114"/>
      <c r="F906" s="114"/>
      <c r="G906" s="114"/>
      <c r="H906" s="114"/>
      <c r="I906" s="114"/>
      <c r="J906" s="114"/>
      <c r="K906" s="114"/>
      <c r="L906" s="114"/>
      <c r="M906" s="114"/>
      <c r="N906" s="114"/>
      <c r="O906" s="114"/>
      <c r="P906" s="114"/>
      <c r="Q906" s="114"/>
      <c r="R906" s="114"/>
      <c r="S906" s="114"/>
      <c r="T906" s="114"/>
      <c r="U906" s="114"/>
      <c r="V906" s="114"/>
      <c r="W906" s="114"/>
      <c r="X906" s="114"/>
      <c r="Y906" s="114"/>
    </row>
    <row r="907">
      <c r="A907" s="1"/>
      <c r="B907" s="114"/>
      <c r="C907" s="114"/>
      <c r="D907" s="114"/>
      <c r="E907" s="114"/>
      <c r="F907" s="114"/>
      <c r="G907" s="114"/>
      <c r="H907" s="114"/>
      <c r="I907" s="114"/>
      <c r="J907" s="114"/>
      <c r="K907" s="114"/>
      <c r="L907" s="114"/>
      <c r="M907" s="114"/>
      <c r="N907" s="114"/>
      <c r="O907" s="114"/>
      <c r="P907" s="114"/>
      <c r="Q907" s="114"/>
      <c r="R907" s="114"/>
      <c r="S907" s="114"/>
      <c r="T907" s="114"/>
      <c r="U907" s="114"/>
      <c r="V907" s="114"/>
      <c r="W907" s="114"/>
      <c r="X907" s="114"/>
      <c r="Y907" s="114"/>
    </row>
    <row r="908">
      <c r="A908" s="1"/>
      <c r="B908" s="114"/>
      <c r="C908" s="114"/>
      <c r="D908" s="114"/>
      <c r="E908" s="114"/>
      <c r="F908" s="114"/>
      <c r="G908" s="114"/>
      <c r="H908" s="114"/>
      <c r="I908" s="114"/>
      <c r="J908" s="114"/>
      <c r="K908" s="114"/>
      <c r="L908" s="114"/>
      <c r="M908" s="114"/>
      <c r="N908" s="114"/>
      <c r="O908" s="114"/>
      <c r="P908" s="114"/>
      <c r="Q908" s="114"/>
      <c r="R908" s="114"/>
      <c r="S908" s="114"/>
      <c r="T908" s="114"/>
      <c r="U908" s="114"/>
      <c r="V908" s="114"/>
      <c r="W908" s="114"/>
      <c r="X908" s="114"/>
      <c r="Y908" s="114"/>
    </row>
    <row r="909">
      <c r="A909" s="1"/>
      <c r="B909" s="114"/>
      <c r="C909" s="114"/>
      <c r="D909" s="114"/>
      <c r="E909" s="114"/>
      <c r="F909" s="114"/>
      <c r="G909" s="114"/>
      <c r="H909" s="114"/>
      <c r="I909" s="114"/>
      <c r="J909" s="114"/>
      <c r="K909" s="114"/>
      <c r="L909" s="114"/>
      <c r="M909" s="114"/>
      <c r="N909" s="114"/>
      <c r="O909" s="114"/>
      <c r="P909" s="114"/>
      <c r="Q909" s="114"/>
      <c r="R909" s="114"/>
      <c r="S909" s="114"/>
      <c r="T909" s="114"/>
      <c r="U909" s="114"/>
      <c r="V909" s="114"/>
      <c r="W909" s="114"/>
      <c r="X909" s="114"/>
      <c r="Y909" s="114"/>
    </row>
    <row r="910">
      <c r="A910" s="1"/>
      <c r="B910" s="114"/>
      <c r="C910" s="114"/>
      <c r="D910" s="114"/>
      <c r="E910" s="114"/>
      <c r="F910" s="114"/>
      <c r="G910" s="114"/>
      <c r="H910" s="114"/>
      <c r="I910" s="114"/>
      <c r="J910" s="114"/>
      <c r="K910" s="114"/>
      <c r="L910" s="114"/>
      <c r="M910" s="114"/>
      <c r="N910" s="114"/>
      <c r="O910" s="114"/>
      <c r="P910" s="114"/>
      <c r="Q910" s="114"/>
      <c r="R910" s="114"/>
      <c r="S910" s="114"/>
      <c r="T910" s="114"/>
      <c r="U910" s="114"/>
      <c r="V910" s="114"/>
      <c r="W910" s="114"/>
      <c r="X910" s="114"/>
      <c r="Y910" s="114"/>
    </row>
    <row r="911">
      <c r="A911" s="1"/>
      <c r="B911" s="114"/>
      <c r="C911" s="114"/>
      <c r="D911" s="114"/>
      <c r="E911" s="114"/>
      <c r="F911" s="114"/>
      <c r="G911" s="114"/>
      <c r="H911" s="114"/>
      <c r="I911" s="114"/>
      <c r="J911" s="114"/>
      <c r="K911" s="114"/>
      <c r="L911" s="114"/>
      <c r="M911" s="114"/>
      <c r="N911" s="114"/>
      <c r="O911" s="114"/>
      <c r="P911" s="114"/>
      <c r="Q911" s="114"/>
      <c r="R911" s="114"/>
      <c r="S911" s="114"/>
      <c r="T911" s="114"/>
      <c r="U911" s="114"/>
      <c r="V911" s="114"/>
      <c r="W911" s="114"/>
      <c r="X911" s="114"/>
      <c r="Y911" s="114"/>
    </row>
    <row r="912">
      <c r="A912" s="1"/>
      <c r="B912" s="114"/>
      <c r="C912" s="114"/>
      <c r="D912" s="114"/>
      <c r="E912" s="114"/>
      <c r="F912" s="114"/>
      <c r="G912" s="114"/>
      <c r="H912" s="114"/>
      <c r="I912" s="114"/>
      <c r="J912" s="114"/>
      <c r="K912" s="114"/>
      <c r="L912" s="114"/>
      <c r="M912" s="114"/>
      <c r="N912" s="114"/>
      <c r="O912" s="114"/>
      <c r="P912" s="114"/>
      <c r="Q912" s="114"/>
      <c r="R912" s="114"/>
      <c r="S912" s="114"/>
      <c r="T912" s="114"/>
      <c r="U912" s="114"/>
      <c r="V912" s="114"/>
      <c r="W912" s="114"/>
      <c r="X912" s="114"/>
      <c r="Y912" s="114"/>
    </row>
    <row r="913">
      <c r="A913" s="1"/>
      <c r="B913" s="114"/>
      <c r="C913" s="114"/>
      <c r="D913" s="114"/>
      <c r="E913" s="114"/>
      <c r="F913" s="114"/>
      <c r="G913" s="114"/>
      <c r="H913" s="114"/>
      <c r="I913" s="114"/>
      <c r="J913" s="114"/>
      <c r="K913" s="114"/>
      <c r="L913" s="114"/>
      <c r="M913" s="114"/>
      <c r="N913" s="114"/>
      <c r="O913" s="114"/>
      <c r="P913" s="114"/>
      <c r="Q913" s="114"/>
      <c r="R913" s="114"/>
      <c r="S913" s="114"/>
      <c r="T913" s="114"/>
      <c r="U913" s="114"/>
      <c r="V913" s="114"/>
      <c r="W913" s="114"/>
      <c r="X913" s="114"/>
      <c r="Y913" s="114"/>
    </row>
    <row r="914">
      <c r="A914" s="1"/>
      <c r="B914" s="114"/>
      <c r="C914" s="114"/>
      <c r="D914" s="114"/>
      <c r="E914" s="114"/>
      <c r="F914" s="114"/>
      <c r="G914" s="114"/>
      <c r="H914" s="114"/>
      <c r="I914" s="114"/>
      <c r="J914" s="114"/>
      <c r="K914" s="114"/>
      <c r="L914" s="114"/>
      <c r="M914" s="114"/>
      <c r="N914" s="114"/>
      <c r="O914" s="114"/>
      <c r="P914" s="114"/>
      <c r="Q914" s="114"/>
      <c r="R914" s="114"/>
      <c r="S914" s="114"/>
      <c r="T914" s="114"/>
      <c r="U914" s="114"/>
      <c r="V914" s="114"/>
      <c r="W914" s="114"/>
      <c r="X914" s="114"/>
      <c r="Y914" s="114"/>
    </row>
    <row r="915">
      <c r="A915" s="1"/>
      <c r="B915" s="114"/>
      <c r="C915" s="114"/>
      <c r="D915" s="114"/>
      <c r="E915" s="114"/>
      <c r="F915" s="114"/>
      <c r="G915" s="114"/>
      <c r="H915" s="114"/>
      <c r="I915" s="114"/>
      <c r="J915" s="114"/>
      <c r="K915" s="114"/>
      <c r="L915" s="114"/>
      <c r="M915" s="114"/>
      <c r="N915" s="114"/>
      <c r="O915" s="114"/>
      <c r="P915" s="114"/>
      <c r="Q915" s="114"/>
      <c r="R915" s="114"/>
      <c r="S915" s="114"/>
      <c r="T915" s="114"/>
      <c r="U915" s="114"/>
      <c r="V915" s="114"/>
      <c r="W915" s="114"/>
      <c r="X915" s="114"/>
      <c r="Y915" s="114"/>
    </row>
    <row r="916">
      <c r="A916" s="1"/>
      <c r="B916" s="114"/>
      <c r="C916" s="114"/>
      <c r="D916" s="114"/>
      <c r="E916" s="114"/>
      <c r="F916" s="114"/>
      <c r="G916" s="114"/>
      <c r="H916" s="114"/>
      <c r="I916" s="114"/>
      <c r="J916" s="114"/>
      <c r="K916" s="114"/>
      <c r="L916" s="114"/>
      <c r="M916" s="114"/>
      <c r="N916" s="114"/>
      <c r="O916" s="114"/>
      <c r="P916" s="114"/>
      <c r="Q916" s="114"/>
      <c r="R916" s="114"/>
      <c r="S916" s="114"/>
      <c r="T916" s="114"/>
      <c r="U916" s="114"/>
      <c r="V916" s="114"/>
      <c r="W916" s="114"/>
      <c r="X916" s="114"/>
      <c r="Y916" s="114"/>
    </row>
    <row r="917">
      <c r="A917" s="1"/>
      <c r="B917" s="114"/>
      <c r="C917" s="114"/>
      <c r="D917" s="114"/>
      <c r="E917" s="114"/>
      <c r="F917" s="114"/>
      <c r="G917" s="114"/>
      <c r="H917" s="114"/>
      <c r="I917" s="114"/>
      <c r="J917" s="114"/>
      <c r="K917" s="114"/>
      <c r="L917" s="114"/>
      <c r="M917" s="114"/>
      <c r="N917" s="114"/>
      <c r="O917" s="114"/>
      <c r="P917" s="114"/>
      <c r="Q917" s="114"/>
      <c r="R917" s="114"/>
      <c r="S917" s="114"/>
      <c r="T917" s="114"/>
      <c r="U917" s="114"/>
      <c r="V917" s="114"/>
      <c r="W917" s="114"/>
      <c r="X917" s="114"/>
      <c r="Y917" s="114"/>
    </row>
    <row r="918">
      <c r="A918" s="1"/>
      <c r="B918" s="114"/>
      <c r="C918" s="114"/>
      <c r="D918" s="114"/>
      <c r="E918" s="114"/>
      <c r="F918" s="114"/>
      <c r="G918" s="114"/>
      <c r="H918" s="114"/>
      <c r="I918" s="114"/>
      <c r="J918" s="114"/>
      <c r="K918" s="114"/>
      <c r="L918" s="114"/>
      <c r="M918" s="114"/>
      <c r="N918" s="114"/>
      <c r="O918" s="114"/>
      <c r="P918" s="114"/>
      <c r="Q918" s="114"/>
      <c r="R918" s="114"/>
      <c r="S918" s="114"/>
      <c r="T918" s="114"/>
      <c r="U918" s="114"/>
      <c r="V918" s="114"/>
      <c r="W918" s="114"/>
      <c r="X918" s="114"/>
      <c r="Y918" s="114"/>
    </row>
    <row r="919">
      <c r="A919" s="1"/>
      <c r="B919" s="114"/>
      <c r="C919" s="114"/>
      <c r="D919" s="114"/>
      <c r="E919" s="114"/>
      <c r="F919" s="114"/>
      <c r="G919" s="114"/>
      <c r="H919" s="114"/>
      <c r="I919" s="114"/>
      <c r="J919" s="114"/>
      <c r="K919" s="114"/>
      <c r="L919" s="114"/>
      <c r="M919" s="114"/>
      <c r="N919" s="114"/>
      <c r="O919" s="114"/>
      <c r="P919" s="114"/>
      <c r="Q919" s="114"/>
      <c r="R919" s="114"/>
      <c r="S919" s="114"/>
      <c r="T919" s="114"/>
      <c r="U919" s="114"/>
      <c r="V919" s="114"/>
      <c r="W919" s="114"/>
      <c r="X919" s="114"/>
      <c r="Y919" s="114"/>
    </row>
    <row r="920">
      <c r="A920" s="1"/>
      <c r="B920" s="114"/>
      <c r="C920" s="114"/>
      <c r="D920" s="114"/>
      <c r="E920" s="114"/>
      <c r="F920" s="114"/>
      <c r="G920" s="114"/>
      <c r="H920" s="114"/>
      <c r="I920" s="114"/>
      <c r="J920" s="114"/>
      <c r="K920" s="114"/>
      <c r="L920" s="114"/>
      <c r="M920" s="114"/>
      <c r="N920" s="114"/>
      <c r="O920" s="114"/>
      <c r="P920" s="114"/>
      <c r="Q920" s="114"/>
      <c r="R920" s="114"/>
      <c r="S920" s="114"/>
      <c r="T920" s="114"/>
      <c r="U920" s="114"/>
      <c r="V920" s="114"/>
      <c r="W920" s="114"/>
      <c r="X920" s="114"/>
      <c r="Y920" s="114"/>
    </row>
    <row r="921">
      <c r="A921" s="1"/>
      <c r="B921" s="114"/>
      <c r="C921" s="114"/>
      <c r="D921" s="114"/>
      <c r="E921" s="114"/>
      <c r="F921" s="114"/>
      <c r="G921" s="114"/>
      <c r="H921" s="114"/>
      <c r="I921" s="114"/>
      <c r="J921" s="114"/>
      <c r="K921" s="114"/>
      <c r="L921" s="114"/>
      <c r="M921" s="114"/>
      <c r="N921" s="114"/>
      <c r="O921" s="114"/>
      <c r="P921" s="114"/>
      <c r="Q921" s="114"/>
      <c r="R921" s="114"/>
      <c r="S921" s="114"/>
      <c r="T921" s="114"/>
      <c r="U921" s="114"/>
      <c r="V921" s="114"/>
      <c r="W921" s="114"/>
      <c r="X921" s="114"/>
      <c r="Y921" s="114"/>
    </row>
    <row r="922">
      <c r="A922" s="1"/>
      <c r="B922" s="114"/>
      <c r="C922" s="114"/>
      <c r="D922" s="114"/>
      <c r="E922" s="114"/>
      <c r="F922" s="114"/>
      <c r="G922" s="114"/>
      <c r="H922" s="114"/>
      <c r="I922" s="114"/>
      <c r="J922" s="114"/>
      <c r="K922" s="114"/>
      <c r="L922" s="114"/>
      <c r="M922" s="114"/>
      <c r="N922" s="114"/>
      <c r="O922" s="114"/>
      <c r="P922" s="114"/>
      <c r="Q922" s="114"/>
      <c r="R922" s="114"/>
      <c r="S922" s="114"/>
      <c r="T922" s="114"/>
      <c r="U922" s="114"/>
      <c r="V922" s="114"/>
      <c r="W922" s="114"/>
      <c r="X922" s="114"/>
      <c r="Y922" s="114"/>
    </row>
    <row r="923">
      <c r="A923" s="1"/>
      <c r="B923" s="114"/>
      <c r="C923" s="114"/>
      <c r="D923" s="114"/>
      <c r="E923" s="114"/>
      <c r="F923" s="114"/>
      <c r="G923" s="114"/>
      <c r="H923" s="114"/>
      <c r="I923" s="114"/>
      <c r="J923" s="114"/>
      <c r="K923" s="114"/>
      <c r="L923" s="114"/>
      <c r="M923" s="114"/>
      <c r="N923" s="114"/>
      <c r="O923" s="114"/>
      <c r="P923" s="114"/>
      <c r="Q923" s="114"/>
      <c r="R923" s="114"/>
      <c r="S923" s="114"/>
      <c r="T923" s="114"/>
      <c r="U923" s="114"/>
      <c r="V923" s="114"/>
      <c r="W923" s="114"/>
      <c r="X923" s="114"/>
      <c r="Y923" s="114"/>
    </row>
    <row r="924">
      <c r="A924" s="1"/>
      <c r="B924" s="114"/>
      <c r="C924" s="114"/>
      <c r="D924" s="114"/>
      <c r="E924" s="114"/>
      <c r="F924" s="114"/>
      <c r="G924" s="114"/>
      <c r="H924" s="114"/>
      <c r="I924" s="114"/>
      <c r="J924" s="114"/>
      <c r="K924" s="114"/>
      <c r="L924" s="114"/>
      <c r="M924" s="114"/>
      <c r="N924" s="114"/>
      <c r="O924" s="114"/>
      <c r="P924" s="114"/>
      <c r="Q924" s="114"/>
      <c r="R924" s="114"/>
      <c r="S924" s="114"/>
      <c r="T924" s="114"/>
      <c r="U924" s="114"/>
      <c r="V924" s="114"/>
      <c r="W924" s="114"/>
      <c r="X924" s="114"/>
      <c r="Y924" s="114"/>
    </row>
    <row r="925">
      <c r="A925" s="1"/>
      <c r="B925" s="114"/>
      <c r="C925" s="114"/>
      <c r="D925" s="114"/>
      <c r="E925" s="114"/>
      <c r="F925" s="114"/>
      <c r="G925" s="114"/>
      <c r="H925" s="114"/>
      <c r="I925" s="114"/>
      <c r="J925" s="114"/>
      <c r="K925" s="114"/>
      <c r="L925" s="114"/>
      <c r="M925" s="114"/>
      <c r="N925" s="114"/>
      <c r="O925" s="114"/>
      <c r="P925" s="114"/>
      <c r="Q925" s="114"/>
      <c r="R925" s="114"/>
      <c r="S925" s="114"/>
      <c r="T925" s="114"/>
      <c r="U925" s="114"/>
      <c r="V925" s="114"/>
      <c r="W925" s="114"/>
      <c r="X925" s="114"/>
      <c r="Y925" s="114"/>
    </row>
    <row r="926">
      <c r="A926" s="1"/>
      <c r="B926" s="114"/>
      <c r="C926" s="114"/>
      <c r="D926" s="114"/>
      <c r="E926" s="114"/>
      <c r="F926" s="114"/>
      <c r="G926" s="114"/>
      <c r="H926" s="114"/>
      <c r="I926" s="114"/>
      <c r="J926" s="114"/>
      <c r="K926" s="114"/>
      <c r="L926" s="114"/>
      <c r="M926" s="114"/>
      <c r="N926" s="114"/>
      <c r="O926" s="114"/>
      <c r="P926" s="114"/>
      <c r="Q926" s="114"/>
      <c r="R926" s="114"/>
      <c r="S926" s="114"/>
      <c r="T926" s="114"/>
      <c r="U926" s="114"/>
      <c r="V926" s="114"/>
      <c r="W926" s="114"/>
      <c r="X926" s="114"/>
      <c r="Y926" s="114"/>
    </row>
    <row r="927">
      <c r="A927" s="1"/>
      <c r="B927" s="114"/>
      <c r="C927" s="114"/>
      <c r="D927" s="114"/>
      <c r="E927" s="114"/>
      <c r="F927" s="114"/>
      <c r="G927" s="114"/>
      <c r="H927" s="114"/>
      <c r="I927" s="114"/>
      <c r="J927" s="114"/>
      <c r="K927" s="114"/>
      <c r="L927" s="114"/>
      <c r="M927" s="114"/>
      <c r="N927" s="114"/>
      <c r="O927" s="114"/>
      <c r="P927" s="114"/>
      <c r="Q927" s="114"/>
      <c r="R927" s="114"/>
      <c r="S927" s="114"/>
      <c r="T927" s="114"/>
      <c r="U927" s="114"/>
      <c r="V927" s="114"/>
      <c r="W927" s="114"/>
      <c r="X927" s="114"/>
      <c r="Y927" s="114"/>
    </row>
    <row r="928">
      <c r="A928" s="1"/>
      <c r="B928" s="114"/>
      <c r="C928" s="114"/>
      <c r="D928" s="114"/>
      <c r="E928" s="114"/>
      <c r="F928" s="114"/>
      <c r="G928" s="114"/>
      <c r="H928" s="114"/>
      <c r="I928" s="114"/>
      <c r="J928" s="114"/>
      <c r="K928" s="114"/>
      <c r="L928" s="114"/>
      <c r="M928" s="114"/>
      <c r="N928" s="114"/>
      <c r="O928" s="114"/>
      <c r="P928" s="114"/>
      <c r="Q928" s="114"/>
      <c r="R928" s="114"/>
      <c r="S928" s="114"/>
      <c r="T928" s="114"/>
      <c r="U928" s="114"/>
      <c r="V928" s="114"/>
      <c r="W928" s="114"/>
      <c r="X928" s="114"/>
      <c r="Y928" s="114"/>
    </row>
    <row r="929">
      <c r="A929" s="1"/>
      <c r="B929" s="114"/>
      <c r="C929" s="114"/>
      <c r="D929" s="114"/>
      <c r="E929" s="114"/>
      <c r="F929" s="114"/>
      <c r="G929" s="114"/>
      <c r="H929" s="114"/>
      <c r="I929" s="114"/>
      <c r="J929" s="114"/>
      <c r="K929" s="114"/>
      <c r="L929" s="114"/>
      <c r="M929" s="114"/>
      <c r="N929" s="114"/>
      <c r="O929" s="114"/>
      <c r="P929" s="114"/>
      <c r="Q929" s="114"/>
      <c r="R929" s="114"/>
      <c r="S929" s="114"/>
      <c r="T929" s="114"/>
      <c r="U929" s="114"/>
      <c r="V929" s="114"/>
      <c r="W929" s="114"/>
      <c r="X929" s="114"/>
      <c r="Y929" s="114"/>
    </row>
    <row r="930">
      <c r="A930" s="1"/>
      <c r="B930" s="114"/>
      <c r="C930" s="114"/>
      <c r="D930" s="114"/>
      <c r="E930" s="114"/>
      <c r="F930" s="114"/>
      <c r="G930" s="114"/>
      <c r="H930" s="114"/>
      <c r="I930" s="114"/>
      <c r="J930" s="114"/>
      <c r="K930" s="114"/>
      <c r="L930" s="114"/>
      <c r="M930" s="114"/>
      <c r="N930" s="114"/>
      <c r="O930" s="114"/>
      <c r="P930" s="114"/>
      <c r="Q930" s="114"/>
      <c r="R930" s="114"/>
      <c r="S930" s="114"/>
      <c r="T930" s="114"/>
      <c r="U930" s="114"/>
      <c r="V930" s="114"/>
      <c r="W930" s="114"/>
      <c r="X930" s="114"/>
      <c r="Y930" s="114"/>
    </row>
  </sheetData>
  <drawing r:id="rId1"/>
</worksheet>
</file>