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20" windowWidth="13995" windowHeight="589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N133" i="1"/>
  <c r="M133"/>
  <c r="L133"/>
  <c r="K133"/>
  <c r="J133"/>
  <c r="I133"/>
  <c r="H133"/>
  <c r="G134"/>
  <c r="H134"/>
  <c r="I134"/>
  <c r="J134"/>
  <c r="K134"/>
  <c r="L134"/>
  <c r="M134"/>
  <c r="N134"/>
  <c r="G133"/>
  <c r="D134"/>
  <c r="E134"/>
  <c r="F134"/>
  <c r="F133"/>
  <c r="E133"/>
  <c r="D133"/>
  <c r="C134"/>
  <c r="C133"/>
  <c r="C128"/>
  <c r="D136" l="1"/>
  <c r="C130" l="1"/>
  <c r="C125"/>
  <c r="N123"/>
  <c r="N122"/>
  <c r="M122"/>
  <c r="N121"/>
  <c r="N125" s="1"/>
  <c r="M121"/>
  <c r="L121"/>
  <c r="M120"/>
  <c r="M125" s="1"/>
  <c r="L120"/>
  <c r="K120"/>
  <c r="L119"/>
  <c r="L125" s="1"/>
  <c r="K119"/>
  <c r="J119"/>
  <c r="K118"/>
  <c r="K125" s="1"/>
  <c r="J118"/>
  <c r="I118"/>
  <c r="J117"/>
  <c r="J125" s="1"/>
  <c r="I117"/>
  <c r="H117"/>
  <c r="I116"/>
  <c r="I125" s="1"/>
  <c r="H116"/>
  <c r="G116"/>
  <c r="H115"/>
  <c r="H125" s="1"/>
  <c r="G115"/>
  <c r="F115"/>
  <c r="G114"/>
  <c r="G125" s="1"/>
  <c r="F114"/>
  <c r="E114"/>
  <c r="F113"/>
  <c r="F125" s="1"/>
  <c r="E113"/>
  <c r="E125" s="1"/>
  <c r="D113"/>
  <c r="D125" s="1"/>
  <c r="D106"/>
  <c r="D108" s="1"/>
  <c r="C24"/>
  <c r="H22" l="1"/>
  <c r="G100"/>
  <c r="C26" l="1"/>
  <c r="C31" s="1"/>
  <c r="C23"/>
  <c r="E19"/>
  <c r="F19"/>
  <c r="G19"/>
  <c r="H19"/>
  <c r="D19"/>
  <c r="E93"/>
  <c r="G93" s="1"/>
  <c r="E94"/>
  <c r="E95"/>
  <c r="G95" s="1"/>
  <c r="E96"/>
  <c r="G96" s="1"/>
  <c r="E97"/>
  <c r="G97" s="1"/>
  <c r="E98"/>
  <c r="E92"/>
  <c r="G92" s="1"/>
  <c r="H38"/>
  <c r="H37"/>
  <c r="G5" s="1"/>
  <c r="E57"/>
  <c r="E54"/>
  <c r="E55" s="1"/>
  <c r="E58" s="1"/>
  <c r="H4"/>
  <c r="G4"/>
  <c r="E64"/>
  <c r="E65"/>
  <c r="E66"/>
  <c r="E67"/>
  <c r="E69"/>
  <c r="E63"/>
  <c r="E70" s="1"/>
  <c r="E11"/>
  <c r="E88"/>
  <c r="F11"/>
  <c r="G11"/>
  <c r="H11"/>
  <c r="D11"/>
  <c r="H96" l="1"/>
  <c r="J96" s="1"/>
  <c r="G98"/>
  <c r="H98" s="1"/>
  <c r="J98" s="1"/>
  <c r="G94"/>
  <c r="H94" s="1"/>
  <c r="J94" s="1"/>
  <c r="H92"/>
  <c r="H97"/>
  <c r="J97" s="1"/>
  <c r="H95"/>
  <c r="J95" s="1"/>
  <c r="H93"/>
  <c r="J93" s="1"/>
  <c r="E5"/>
  <c r="F5"/>
  <c r="H5"/>
  <c r="D5"/>
  <c r="G7"/>
  <c r="G12" s="1"/>
  <c r="G16" s="1"/>
  <c r="H7"/>
  <c r="H12" s="1"/>
  <c r="F4"/>
  <c r="F7" s="1"/>
  <c r="F12" s="1"/>
  <c r="F16" s="1"/>
  <c r="E4"/>
  <c r="E7" s="1"/>
  <c r="E12" s="1"/>
  <c r="E16" s="1"/>
  <c r="D4"/>
  <c r="D7" s="1"/>
  <c r="D12" s="1"/>
  <c r="D16" s="1"/>
  <c r="C45"/>
  <c r="G99" l="1"/>
  <c r="D17"/>
  <c r="D18" s="1"/>
  <c r="D26" s="1"/>
  <c r="F17"/>
  <c r="F18" s="1"/>
  <c r="F26" s="1"/>
  <c r="G17"/>
  <c r="G18" s="1"/>
  <c r="G26" s="1"/>
  <c r="E17"/>
  <c r="E18" s="1"/>
  <c r="E26" s="1"/>
  <c r="H99"/>
  <c r="J92"/>
  <c r="J99" s="1"/>
  <c r="H15" s="1"/>
  <c r="H21" s="1"/>
  <c r="H16" l="1"/>
  <c r="H17" l="1"/>
  <c r="H18" s="1"/>
  <c r="H26" s="1"/>
  <c r="C30" l="1"/>
  <c r="C29"/>
</calcChain>
</file>

<file path=xl/sharedStrings.xml><?xml version="1.0" encoding="utf-8"?>
<sst xmlns="http://schemas.openxmlformats.org/spreadsheetml/2006/main" count="149" uniqueCount="127">
  <si>
    <t>Flujo de caja</t>
  </si>
  <si>
    <t>Año1</t>
  </si>
  <si>
    <t>Año 2</t>
  </si>
  <si>
    <t>Año3</t>
  </si>
  <si>
    <t>Año4</t>
  </si>
  <si>
    <t>Año5</t>
  </si>
  <si>
    <t>Ingresos</t>
  </si>
  <si>
    <t>Remuneraciones</t>
  </si>
  <si>
    <t>Gastos arriendo</t>
  </si>
  <si>
    <t>Egresos</t>
  </si>
  <si>
    <t>Margen de utilidad</t>
  </si>
  <si>
    <t>Depreciación</t>
  </si>
  <si>
    <t>Intereses del prestamo</t>
  </si>
  <si>
    <t>Valor libro</t>
  </si>
  <si>
    <t>Utilidad antes de impuesto</t>
  </si>
  <si>
    <t>Utilidad despues del impuesto</t>
  </si>
  <si>
    <t>Amortización prestamo</t>
  </si>
  <si>
    <t>Valor Libro</t>
  </si>
  <si>
    <t>Valor de desecho</t>
  </si>
  <si>
    <t>Inversion Inicial</t>
  </si>
  <si>
    <t>Prestamo</t>
  </si>
  <si>
    <t>Capital de trabajo</t>
  </si>
  <si>
    <t>Flujo caja neto</t>
  </si>
  <si>
    <t>Venta de sistema</t>
  </si>
  <si>
    <t>Venta activos</t>
  </si>
  <si>
    <t>Valor del sistema</t>
  </si>
  <si>
    <t>Cantidad de venta por año</t>
  </si>
  <si>
    <t>Año 1</t>
  </si>
  <si>
    <t>Año 3</t>
  </si>
  <si>
    <t>Año 4</t>
  </si>
  <si>
    <t>Año 5</t>
  </si>
  <si>
    <t>Total</t>
  </si>
  <si>
    <t>Flujo de caja desarrollo del sistema</t>
  </si>
  <si>
    <t>Duración de proyecto</t>
  </si>
  <si>
    <t>meses</t>
  </si>
  <si>
    <t>Detalle Remuneraciones</t>
  </si>
  <si>
    <t xml:space="preserve">Detalle </t>
  </si>
  <si>
    <t>Cantidad</t>
  </si>
  <si>
    <t>Sueldo Mes</t>
  </si>
  <si>
    <t>Total Sueldos</t>
  </si>
  <si>
    <t>Analista Programador</t>
  </si>
  <si>
    <t xml:space="preserve">Gastos </t>
  </si>
  <si>
    <t>Detalle</t>
  </si>
  <si>
    <t>cantidad</t>
  </si>
  <si>
    <t>Total Mensual</t>
  </si>
  <si>
    <t>Luz</t>
  </si>
  <si>
    <t>Agua</t>
  </si>
  <si>
    <t>Insumos (tintas,accesorios of)</t>
  </si>
  <si>
    <t>Comestibles</t>
  </si>
  <si>
    <t>Arriendo oficina</t>
  </si>
  <si>
    <t>Telefono + Internet</t>
  </si>
  <si>
    <t>Inversion Activos</t>
  </si>
  <si>
    <t>valor</t>
  </si>
  <si>
    <t>Escritorios</t>
  </si>
  <si>
    <t>Sillas</t>
  </si>
  <si>
    <t>Estante</t>
  </si>
  <si>
    <t>Computadores</t>
  </si>
  <si>
    <t>Impresora</t>
  </si>
  <si>
    <t>Router wifi</t>
  </si>
  <si>
    <t>Mesa Impresora</t>
  </si>
  <si>
    <t>I. Inicial</t>
  </si>
  <si>
    <t>Movilizacion</t>
  </si>
  <si>
    <t>Demanda de Clientes</t>
  </si>
  <si>
    <t>Total Pymes</t>
  </si>
  <si>
    <t>Invierten en TI</t>
  </si>
  <si>
    <t>Total Mercado</t>
  </si>
  <si>
    <t>% Mercado esperado</t>
  </si>
  <si>
    <t>Total Demanda Primer año</t>
  </si>
  <si>
    <t>Tasa de crecimiento</t>
  </si>
  <si>
    <t>Total Anual</t>
  </si>
  <si>
    <t>Total Proyecto</t>
  </si>
  <si>
    <t>* una vez finalizado el proyecto se le pagara a una persona para que de soporte</t>
  </si>
  <si>
    <t>mensuales</t>
  </si>
  <si>
    <t>Costos de energia y telefono y otros</t>
  </si>
  <si>
    <t>1 analista programador</t>
  </si>
  <si>
    <t xml:space="preserve">Analista programador soporte </t>
  </si>
  <si>
    <t>* 9 meses el primer año</t>
  </si>
  <si>
    <t>Controles de cambio y mantenciones</t>
  </si>
  <si>
    <t>Valor control de cambio</t>
  </si>
  <si>
    <t>Valor Mantención y modificaciones</t>
  </si>
  <si>
    <t>* se consideran 2 controles de cambio por empresa en el año</t>
  </si>
  <si>
    <t>* se consideran 4 mantenciones y modificaciones en el año</t>
  </si>
  <si>
    <t>Depreciación Activos</t>
  </si>
  <si>
    <t>V. adquisición</t>
  </si>
  <si>
    <t>Valor total</t>
  </si>
  <si>
    <t>Vida util</t>
  </si>
  <si>
    <t>V. residual</t>
  </si>
  <si>
    <t xml:space="preserve">Depreciación </t>
  </si>
  <si>
    <t>computadores</t>
  </si>
  <si>
    <t>impresora</t>
  </si>
  <si>
    <t>router</t>
  </si>
  <si>
    <t>Mesa impresora</t>
  </si>
  <si>
    <t>valor libro</t>
  </si>
  <si>
    <t>falto depreciar</t>
  </si>
  <si>
    <t>Impuesto (17%)</t>
  </si>
  <si>
    <t>Año0</t>
  </si>
  <si>
    <t xml:space="preserve">Van </t>
  </si>
  <si>
    <t>Tir</t>
  </si>
  <si>
    <t>Td   %</t>
  </si>
  <si>
    <t>Pri</t>
  </si>
  <si>
    <t>se recupera la inversion al segundo año</t>
  </si>
  <si>
    <t>total v. residual</t>
  </si>
  <si>
    <t>Capital de Trabajo</t>
  </si>
  <si>
    <t>CONDICIONES DE PAGO</t>
  </si>
  <si>
    <t>30, 60, 90</t>
  </si>
  <si>
    <t>INGRESO</t>
  </si>
  <si>
    <t>CANTIDAD DE PAGOS</t>
  </si>
  <si>
    <t>PAGO MENSUAL</t>
  </si>
  <si>
    <t>CUOTAS (3)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</si>
  <si>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</si>
  <si>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</si>
  <si>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</si>
  <si>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</si>
  <si>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</si>
  <si>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</si>
  <si>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</si>
  <si>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</si>
  <si>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</si>
  <si>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</si>
  <si>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</si>
  <si>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</si>
  <si>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Vendo</t>
  </si>
  <si>
    <t>Egreso Año 1</t>
  </si>
  <si>
    <t>Pagos</t>
  </si>
  <si>
    <t>Pago Mensual</t>
  </si>
  <si>
    <t>Egresos Meses</t>
  </si>
  <si>
    <t>Saldo</t>
  </si>
</sst>
</file>

<file path=xl/styles.xml><?xml version="1.0" encoding="utf-8"?>
<styleSheet xmlns="http://schemas.openxmlformats.org/spreadsheetml/2006/main">
  <numFmts count="1">
    <numFmt numFmtId="8" formatCode="&quot;$&quot;\ #,##0.00;[Red]\-&quot;$&quot;\ #,##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name val="Arial"/>
      <family val="2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0" xfId="0" applyFont="1"/>
    <xf numFmtId="0" fontId="0" fillId="0" borderId="0" xfId="0"/>
    <xf numFmtId="3" fontId="0" fillId="0" borderId="1" xfId="0" applyNumberFormat="1" applyBorder="1"/>
    <xf numFmtId="3" fontId="1" fillId="0" borderId="0" xfId="0" applyNumberFormat="1" applyFont="1" applyAlignment="1">
      <alignment horizontal="center"/>
    </xf>
    <xf numFmtId="3" fontId="0" fillId="2" borderId="1" xfId="0" applyNumberFormat="1" applyFill="1" applyBorder="1"/>
    <xf numFmtId="0" fontId="2" fillId="0" borderId="1" xfId="0" applyFont="1" applyBorder="1"/>
    <xf numFmtId="0" fontId="2" fillId="0" borderId="1" xfId="0" applyFont="1" applyFill="1" applyBorder="1"/>
    <xf numFmtId="3" fontId="2" fillId="0" borderId="1" xfId="0" applyNumberFormat="1" applyFont="1" applyBorder="1"/>
    <xf numFmtId="3" fontId="3" fillId="2" borderId="1" xfId="0" applyNumberFormat="1" applyFont="1" applyFill="1" applyBorder="1"/>
    <xf numFmtId="0" fontId="3" fillId="2" borderId="1" xfId="0" applyFont="1" applyFill="1" applyBorder="1"/>
    <xf numFmtId="0" fontId="3" fillId="2" borderId="2" xfId="0" applyFont="1" applyFill="1" applyBorder="1"/>
    <xf numFmtId="0" fontId="0" fillId="0" borderId="1" xfId="0" applyBorder="1"/>
    <xf numFmtId="0" fontId="0" fillId="0" borderId="4" xfId="0" applyBorder="1"/>
    <xf numFmtId="0" fontId="1" fillId="0" borderId="0" xfId="0" applyFont="1" applyFill="1" applyBorder="1" applyAlignment="1">
      <alignment horizontal="right"/>
    </xf>
    <xf numFmtId="9" fontId="0" fillId="0" borderId="1" xfId="0" applyNumberFormat="1" applyBorder="1"/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1" fillId="0" borderId="0" xfId="0" applyFont="1"/>
    <xf numFmtId="0" fontId="4" fillId="0" borderId="0" xfId="0" applyFont="1"/>
    <xf numFmtId="0" fontId="0" fillId="0" borderId="0" xfId="0" applyBorder="1"/>
    <xf numFmtId="0" fontId="0" fillId="2" borderId="1" xfId="0" applyFill="1" applyBorder="1"/>
    <xf numFmtId="0" fontId="0" fillId="0" borderId="0" xfId="0" applyFill="1" applyBorder="1"/>
    <xf numFmtId="0" fontId="1" fillId="2" borderId="1" xfId="0" applyFont="1" applyFill="1" applyBorder="1"/>
    <xf numFmtId="3" fontId="0" fillId="0" borderId="1" xfId="0" applyNumberFormat="1" applyBorder="1"/>
    <xf numFmtId="3" fontId="0" fillId="0" borderId="0" xfId="0" applyNumberFormat="1" applyBorder="1"/>
    <xf numFmtId="0" fontId="0" fillId="0" borderId="1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3" fontId="1" fillId="3" borderId="1" xfId="0" applyNumberFormat="1" applyFont="1" applyFill="1" applyBorder="1"/>
    <xf numFmtId="0" fontId="0" fillId="3" borderId="1" xfId="0" applyFill="1" applyBorder="1"/>
    <xf numFmtId="3" fontId="0" fillId="0" borderId="1" xfId="0" applyNumberFormat="1" applyFill="1" applyBorder="1"/>
    <xf numFmtId="3" fontId="1" fillId="0" borderId="1" xfId="0" applyNumberFormat="1" applyFont="1" applyBorder="1"/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0" borderId="1" xfId="0" applyFont="1" applyBorder="1"/>
    <xf numFmtId="3" fontId="0" fillId="0" borderId="0" xfId="0" applyNumberFormat="1"/>
    <xf numFmtId="0" fontId="0" fillId="0" borderId="0" xfId="0" applyBorder="1"/>
    <xf numFmtId="0" fontId="0" fillId="2" borderId="1" xfId="0" applyFill="1" applyBorder="1"/>
    <xf numFmtId="0" fontId="0" fillId="0" borderId="0" xfId="0" applyFill="1" applyBorder="1"/>
    <xf numFmtId="0" fontId="1" fillId="2" borderId="1" xfId="0" applyFont="1" applyFill="1" applyBorder="1"/>
    <xf numFmtId="3" fontId="0" fillId="0" borderId="1" xfId="0" applyNumberFormat="1" applyBorder="1"/>
    <xf numFmtId="3" fontId="0" fillId="0" borderId="1" xfId="0" applyNumberFormat="1" applyFill="1" applyBorder="1"/>
    <xf numFmtId="3" fontId="1" fillId="0" borderId="1" xfId="0" applyNumberFormat="1" applyFont="1" applyBorder="1"/>
    <xf numFmtId="3" fontId="0" fillId="2" borderId="1" xfId="0" applyNumberFormat="1" applyFill="1" applyBorder="1"/>
    <xf numFmtId="1" fontId="0" fillId="0" borderId="0" xfId="0" applyNumberFormat="1"/>
    <xf numFmtId="9" fontId="0" fillId="0" borderId="4" xfId="0" applyNumberFormat="1" applyBorder="1"/>
    <xf numFmtId="0" fontId="1" fillId="0" borderId="2" xfId="0" applyFont="1" applyBorder="1"/>
    <xf numFmtId="0" fontId="0" fillId="0" borderId="2" xfId="0" applyBorder="1"/>
    <xf numFmtId="0" fontId="1" fillId="0" borderId="0" xfId="0" applyFont="1" applyFill="1" applyBorder="1"/>
    <xf numFmtId="3" fontId="1" fillId="0" borderId="0" xfId="0" applyNumberFormat="1" applyFont="1" applyFill="1" applyBorder="1"/>
    <xf numFmtId="0" fontId="3" fillId="0" borderId="3" xfId="0" applyFont="1" applyFill="1" applyBorder="1"/>
    <xf numFmtId="0" fontId="2" fillId="0" borderId="3" xfId="0" applyFont="1" applyFill="1" applyBorder="1"/>
    <xf numFmtId="3" fontId="0" fillId="0" borderId="3" xfId="0" applyNumberFormat="1" applyFill="1" applyBorder="1"/>
    <xf numFmtId="0" fontId="1" fillId="2" borderId="1" xfId="0" applyFont="1" applyFill="1" applyBorder="1" applyAlignment="1">
      <alignment horizontal="left"/>
    </xf>
    <xf numFmtId="0" fontId="1" fillId="2" borderId="8" xfId="0" applyFont="1" applyFill="1" applyBorder="1"/>
    <xf numFmtId="0" fontId="0" fillId="2" borderId="4" xfId="0" applyFill="1" applyBorder="1"/>
    <xf numFmtId="0" fontId="1" fillId="2" borderId="5" xfId="0" applyFont="1" applyFill="1" applyBorder="1"/>
    <xf numFmtId="0" fontId="0" fillId="2" borderId="6" xfId="0" applyFill="1" applyBorder="1"/>
    <xf numFmtId="0" fontId="1" fillId="2" borderId="7" xfId="0" applyFont="1" applyFill="1" applyBorder="1"/>
    <xf numFmtId="0" fontId="0" fillId="2" borderId="7" xfId="0" applyFill="1" applyBorder="1"/>
    <xf numFmtId="3" fontId="2" fillId="2" borderId="1" xfId="0" applyNumberFormat="1" applyFont="1" applyFill="1" applyBorder="1"/>
    <xf numFmtId="0" fontId="0" fillId="0" borderId="0" xfId="0" applyFill="1"/>
    <xf numFmtId="3" fontId="0" fillId="0" borderId="8" xfId="0" applyNumberFormat="1" applyBorder="1"/>
    <xf numFmtId="3" fontId="1" fillId="0" borderId="0" xfId="0" applyNumberFormat="1" applyFont="1" applyBorder="1"/>
    <xf numFmtId="3" fontId="5" fillId="0" borderId="1" xfId="0" applyNumberFormat="1" applyFont="1" applyBorder="1"/>
    <xf numFmtId="3" fontId="6" fillId="2" borderId="1" xfId="0" applyNumberFormat="1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9" fontId="0" fillId="0" borderId="0" xfId="0" applyNumberFormat="1"/>
    <xf numFmtId="3" fontId="0" fillId="0" borderId="0" xfId="0" applyNumberFormat="1" applyAlignment="1">
      <alignment horizontal="center"/>
    </xf>
    <xf numFmtId="3" fontId="2" fillId="0" borderId="1" xfId="0" applyNumberFormat="1" applyFont="1" applyFill="1" applyBorder="1"/>
    <xf numFmtId="3" fontId="5" fillId="2" borderId="8" xfId="0" applyNumberFormat="1" applyFont="1" applyFill="1" applyBorder="1"/>
    <xf numFmtId="3" fontId="0" fillId="0" borderId="8" xfId="0" applyNumberFormat="1" applyBorder="1" applyAlignment="1">
      <alignment horizontal="center"/>
    </xf>
    <xf numFmtId="3" fontId="0" fillId="0" borderId="4" xfId="0" applyNumberFormat="1" applyBorder="1"/>
    <xf numFmtId="3" fontId="0" fillId="0" borderId="0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5" fillId="0" borderId="9" xfId="0" applyNumberFormat="1" applyFont="1" applyFill="1" applyBorder="1"/>
    <xf numFmtId="3" fontId="1" fillId="2" borderId="4" xfId="0" applyNumberFormat="1" applyFont="1" applyFill="1" applyBorder="1"/>
    <xf numFmtId="3" fontId="1" fillId="2" borderId="1" xfId="0" applyNumberFormat="1" applyFont="1" applyFill="1" applyBorder="1"/>
    <xf numFmtId="3" fontId="3" fillId="2" borderId="2" xfId="0" applyNumberFormat="1" applyFont="1" applyFill="1" applyBorder="1"/>
    <xf numFmtId="0" fontId="2" fillId="0" borderId="0" xfId="0" applyFont="1" applyFill="1" applyBorder="1"/>
    <xf numFmtId="3" fontId="0" fillId="0" borderId="0" xfId="0" applyNumberFormat="1" applyFill="1" applyBorder="1"/>
    <xf numFmtId="0" fontId="3" fillId="0" borderId="1" xfId="0" applyFont="1" applyFill="1" applyBorder="1"/>
    <xf numFmtId="8" fontId="3" fillId="0" borderId="1" xfId="0" applyNumberFormat="1" applyFont="1" applyFill="1" applyBorder="1"/>
    <xf numFmtId="9" fontId="3" fillId="0" borderId="1" xfId="0" applyNumberFormat="1" applyFont="1" applyFill="1" applyBorder="1"/>
    <xf numFmtId="3" fontId="0" fillId="0" borderId="0" xfId="0" applyNumberFormat="1" applyFill="1" applyBorder="1" applyAlignment="1">
      <alignment horizontal="center"/>
    </xf>
    <xf numFmtId="0" fontId="8" fillId="0" borderId="3" xfId="0" applyFont="1" applyFill="1" applyBorder="1"/>
    <xf numFmtId="0" fontId="2" fillId="0" borderId="0" xfId="0" applyFont="1"/>
    <xf numFmtId="0" fontId="2" fillId="0" borderId="10" xfId="0" applyFont="1" applyBorder="1"/>
    <xf numFmtId="0" fontId="2" fillId="0" borderId="11" xfId="0" applyFont="1" applyBorder="1"/>
    <xf numFmtId="0" fontId="2" fillId="0" borderId="1" xfId="0" applyFont="1" applyBorder="1" applyAlignment="1">
      <alignment horizontal="right"/>
    </xf>
    <xf numFmtId="0" fontId="0" fillId="0" borderId="12" xfId="0" applyBorder="1" applyAlignment="1"/>
    <xf numFmtId="0" fontId="2" fillId="0" borderId="8" xfId="0" applyFont="1" applyBorder="1" applyAlignment="1"/>
    <xf numFmtId="0" fontId="0" fillId="0" borderId="4" xfId="0" applyBorder="1" applyAlignment="1"/>
    <xf numFmtId="0" fontId="2" fillId="0" borderId="13" xfId="0" applyFont="1" applyBorder="1" applyAlignment="1"/>
    <xf numFmtId="0" fontId="3" fillId="0" borderId="0" xfId="0" applyFont="1"/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3" fontId="2" fillId="0" borderId="2" xfId="0" applyNumberFormat="1" applyFont="1" applyBorder="1"/>
    <xf numFmtId="3" fontId="3" fillId="0" borderId="17" xfId="0" applyNumberFormat="1" applyFont="1" applyBorder="1"/>
    <xf numFmtId="3" fontId="3" fillId="0" borderId="18" xfId="0" applyNumberFormat="1" applyFont="1" applyBorder="1"/>
    <xf numFmtId="3" fontId="3" fillId="0" borderId="19" xfId="0" applyNumberFormat="1" applyFont="1" applyBorder="1"/>
    <xf numFmtId="0" fontId="2" fillId="0" borderId="20" xfId="0" applyFont="1" applyBorder="1"/>
    <xf numFmtId="3" fontId="2" fillId="0" borderId="4" xfId="0" applyNumberFormat="1" applyFont="1" applyBorder="1"/>
    <xf numFmtId="0" fontId="2" fillId="0" borderId="21" xfId="0" applyFont="1" applyBorder="1"/>
    <xf numFmtId="0" fontId="2" fillId="0" borderId="22" xfId="0" applyFont="1" applyBorder="1"/>
    <xf numFmtId="3" fontId="3" fillId="0" borderId="1" xfId="0" applyNumberFormat="1" applyFont="1" applyBorder="1"/>
    <xf numFmtId="0" fontId="2" fillId="0" borderId="23" xfId="0" applyFont="1" applyBorder="1"/>
    <xf numFmtId="0" fontId="2" fillId="0" borderId="24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37"/>
  <sheetViews>
    <sheetView tabSelected="1" workbookViewId="0">
      <selection activeCell="N134" sqref="N134"/>
    </sheetView>
  </sheetViews>
  <sheetFormatPr baseColWidth="10" defaultRowHeight="15"/>
  <cols>
    <col min="2" max="2" width="31.7109375" customWidth="1"/>
    <col min="3" max="3" width="14.140625" customWidth="1"/>
    <col min="4" max="4" width="16.85546875" customWidth="1"/>
    <col min="5" max="5" width="17.5703125" customWidth="1"/>
    <col min="6" max="6" width="15.140625" customWidth="1"/>
    <col min="7" max="7" width="14.42578125" customWidth="1"/>
    <col min="8" max="8" width="15.140625" customWidth="1"/>
    <col min="10" max="10" width="12.5703125" customWidth="1"/>
    <col min="11" max="11" width="13.85546875" customWidth="1"/>
  </cols>
  <sheetData>
    <row r="1" spans="2:8">
      <c r="B1" s="1" t="s">
        <v>0</v>
      </c>
      <c r="C1" s="20"/>
    </row>
    <row r="2" spans="2:8">
      <c r="C2" s="35"/>
    </row>
    <row r="3" spans="2:8">
      <c r="B3" s="2"/>
      <c r="C3" s="20" t="s">
        <v>95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</row>
    <row r="4" spans="2:8">
      <c r="B4" s="8" t="s">
        <v>23</v>
      </c>
      <c r="C4" s="8"/>
      <c r="D4" s="3">
        <f>$C$36*$C40</f>
        <v>6000000</v>
      </c>
      <c r="E4" s="3">
        <f>$C$36*$C41</f>
        <v>8000000</v>
      </c>
      <c r="F4" s="3">
        <f>$C$36*$C42</f>
        <v>12000000</v>
      </c>
      <c r="G4" s="3">
        <f>$C$36*$C43</f>
        <v>20000000</v>
      </c>
      <c r="H4" s="3">
        <f>$C$36*$C44</f>
        <v>30000000</v>
      </c>
    </row>
    <row r="5" spans="2:8" s="35" customFormat="1">
      <c r="B5" s="8" t="s">
        <v>77</v>
      </c>
      <c r="C5" s="8"/>
      <c r="D5" s="44">
        <f>H$37*C40</f>
        <v>3000000</v>
      </c>
      <c r="E5" s="44">
        <f>H$37*C41</f>
        <v>4000000</v>
      </c>
      <c r="F5" s="44">
        <f>$H$37*C42</f>
        <v>6000000</v>
      </c>
      <c r="G5" s="44">
        <f>$H$37*C43</f>
        <v>10000000</v>
      </c>
      <c r="H5" s="44">
        <f>$H$37*C44</f>
        <v>15000000</v>
      </c>
    </row>
    <row r="6" spans="2:8">
      <c r="B6" s="8" t="s">
        <v>24</v>
      </c>
      <c r="C6" s="8"/>
      <c r="D6" s="3"/>
      <c r="E6" s="3"/>
      <c r="F6" s="3"/>
      <c r="G6" s="3"/>
      <c r="H6" s="3"/>
    </row>
    <row r="7" spans="2:8">
      <c r="B7" s="9" t="s">
        <v>6</v>
      </c>
      <c r="C7" s="9"/>
      <c r="D7" s="5">
        <f>SUM(D4:D6)</f>
        <v>9000000</v>
      </c>
      <c r="E7" s="47">
        <f t="shared" ref="E7:H7" si="0">SUM(E4:E6)</f>
        <v>12000000</v>
      </c>
      <c r="F7" s="47">
        <f t="shared" si="0"/>
        <v>18000000</v>
      </c>
      <c r="G7" s="47">
        <f t="shared" si="0"/>
        <v>30000000</v>
      </c>
      <c r="H7" s="47">
        <f t="shared" si="0"/>
        <v>45000000</v>
      </c>
    </row>
    <row r="8" spans="2:8">
      <c r="B8" s="8" t="s">
        <v>7</v>
      </c>
      <c r="C8" s="8"/>
      <c r="D8" s="44">
        <v>-4500000</v>
      </c>
      <c r="E8" s="44">
        <v>-3600000</v>
      </c>
      <c r="F8" s="44">
        <v>-3600000</v>
      </c>
      <c r="G8" s="44">
        <v>-3600000</v>
      </c>
      <c r="H8" s="44">
        <v>-3600000</v>
      </c>
    </row>
    <row r="9" spans="2:8">
      <c r="B9" s="6" t="s">
        <v>8</v>
      </c>
      <c r="C9" s="6"/>
      <c r="D9" s="44">
        <v>-2400000</v>
      </c>
      <c r="E9" s="44">
        <v>-2400000</v>
      </c>
      <c r="F9" s="44">
        <v>-2400000</v>
      </c>
      <c r="G9" s="44">
        <v>-2400000</v>
      </c>
      <c r="H9" s="44">
        <v>-2400000</v>
      </c>
    </row>
    <row r="10" spans="2:8">
      <c r="B10" s="6" t="s">
        <v>73</v>
      </c>
      <c r="C10" s="6"/>
      <c r="D10" s="8">
        <v>-3240000</v>
      </c>
      <c r="E10" s="8">
        <v>-3240000</v>
      </c>
      <c r="F10" s="8">
        <v>-3240000</v>
      </c>
      <c r="G10" s="8">
        <v>-3240000</v>
      </c>
      <c r="H10" s="8">
        <v>-3240000</v>
      </c>
    </row>
    <row r="11" spans="2:8">
      <c r="B11" s="10" t="s">
        <v>9</v>
      </c>
      <c r="C11" s="10"/>
      <c r="D11" s="64">
        <f>SUM(D8:D10)</f>
        <v>-10140000</v>
      </c>
      <c r="E11" s="64">
        <f>SUM(E8:E10)</f>
        <v>-9240000</v>
      </c>
      <c r="F11" s="64">
        <f>SUM(F8:F10)</f>
        <v>-9240000</v>
      </c>
      <c r="G11" s="64">
        <f>SUM(G8:G10)</f>
        <v>-9240000</v>
      </c>
      <c r="H11" s="64">
        <f>SUM(H8:H10)</f>
        <v>-9240000</v>
      </c>
    </row>
    <row r="12" spans="2:8">
      <c r="B12" s="10" t="s">
        <v>10</v>
      </c>
      <c r="C12" s="10"/>
      <c r="D12" s="64">
        <f>SUM(D7+D11)</f>
        <v>-1140000</v>
      </c>
      <c r="E12" s="64">
        <f t="shared" ref="E12:H12" si="1">SUM(E7+E11)</f>
        <v>2760000</v>
      </c>
      <c r="F12" s="64">
        <f t="shared" si="1"/>
        <v>8760000</v>
      </c>
      <c r="G12" s="64">
        <f t="shared" si="1"/>
        <v>20760000</v>
      </c>
      <c r="H12" s="64">
        <f t="shared" si="1"/>
        <v>35760000</v>
      </c>
    </row>
    <row r="13" spans="2:8">
      <c r="B13" s="7" t="s">
        <v>11</v>
      </c>
      <c r="C13" s="7"/>
      <c r="D13" s="73">
        <v>-204000</v>
      </c>
      <c r="E13" s="73">
        <v>-204000</v>
      </c>
      <c r="F13" s="73">
        <v>-204000</v>
      </c>
      <c r="G13" s="73">
        <v>-204000</v>
      </c>
      <c r="H13" s="73">
        <v>-204000</v>
      </c>
    </row>
    <row r="14" spans="2:8">
      <c r="B14" s="6" t="s">
        <v>12</v>
      </c>
      <c r="C14" s="6"/>
      <c r="D14" s="8"/>
      <c r="E14" s="44"/>
      <c r="F14" s="44"/>
      <c r="G14" s="44"/>
      <c r="H14" s="44"/>
    </row>
    <row r="15" spans="2:8">
      <c r="B15" s="6" t="s">
        <v>13</v>
      </c>
      <c r="C15" s="6"/>
      <c r="D15" s="8"/>
      <c r="E15" s="44"/>
      <c r="F15" s="44"/>
      <c r="G15" s="44"/>
      <c r="H15" s="44">
        <f>-(J99)</f>
        <v>-230999.99999999997</v>
      </c>
    </row>
    <row r="16" spans="2:8">
      <c r="B16" s="10" t="s">
        <v>14</v>
      </c>
      <c r="C16" s="10"/>
      <c r="D16" s="64">
        <f>SUM(D12:D15)</f>
        <v>-1344000</v>
      </c>
      <c r="E16" s="64">
        <f t="shared" ref="E16:H16" si="2">SUM(E12:E15)</f>
        <v>2556000</v>
      </c>
      <c r="F16" s="64">
        <f t="shared" si="2"/>
        <v>8556000</v>
      </c>
      <c r="G16" s="64">
        <f t="shared" si="2"/>
        <v>20556000</v>
      </c>
      <c r="H16" s="64">
        <f t="shared" si="2"/>
        <v>35325000</v>
      </c>
    </row>
    <row r="17" spans="2:8">
      <c r="B17" s="7" t="s">
        <v>94</v>
      </c>
      <c r="C17" s="7"/>
      <c r="D17" s="73">
        <f>-(D16*0.17)</f>
        <v>228480.00000000003</v>
      </c>
      <c r="E17" s="73">
        <f t="shared" ref="E17:H17" si="3">-(E16*0.17)</f>
        <v>-434520.00000000006</v>
      </c>
      <c r="F17" s="73">
        <f t="shared" si="3"/>
        <v>-1454520</v>
      </c>
      <c r="G17" s="73">
        <f t="shared" si="3"/>
        <v>-3494520.0000000005</v>
      </c>
      <c r="H17" s="73">
        <f t="shared" si="3"/>
        <v>-6005250</v>
      </c>
    </row>
    <row r="18" spans="2:8">
      <c r="B18" s="10" t="s">
        <v>15</v>
      </c>
      <c r="C18" s="10"/>
      <c r="D18" s="64">
        <f>SUM(D16:D17)</f>
        <v>-1115520</v>
      </c>
      <c r="E18" s="64">
        <f t="shared" ref="E18:H18" si="4">SUM(E16:E17)</f>
        <v>2121480</v>
      </c>
      <c r="F18" s="64">
        <f t="shared" si="4"/>
        <v>7101480</v>
      </c>
      <c r="G18" s="64">
        <f t="shared" si="4"/>
        <v>17061480</v>
      </c>
      <c r="H18" s="64">
        <f t="shared" si="4"/>
        <v>29319750</v>
      </c>
    </row>
    <row r="19" spans="2:8">
      <c r="B19" s="7" t="s">
        <v>11</v>
      </c>
      <c r="C19" s="7"/>
      <c r="D19" s="73">
        <f>-SUM(D13)</f>
        <v>204000</v>
      </c>
      <c r="E19" s="73">
        <f t="shared" ref="E19:H19" si="5">-SUM(E13)</f>
        <v>204000</v>
      </c>
      <c r="F19" s="73">
        <f t="shared" si="5"/>
        <v>204000</v>
      </c>
      <c r="G19" s="73">
        <f t="shared" si="5"/>
        <v>204000</v>
      </c>
      <c r="H19" s="73">
        <f t="shared" si="5"/>
        <v>204000</v>
      </c>
    </row>
    <row r="20" spans="2:8">
      <c r="B20" s="6" t="s">
        <v>16</v>
      </c>
      <c r="C20" s="6"/>
      <c r="D20" s="8"/>
      <c r="E20" s="44"/>
      <c r="F20" s="44"/>
      <c r="G20" s="44"/>
      <c r="H20" s="44"/>
    </row>
    <row r="21" spans="2:8">
      <c r="B21" s="6" t="s">
        <v>17</v>
      </c>
      <c r="C21" s="6"/>
      <c r="D21" s="8"/>
      <c r="E21" s="44"/>
      <c r="F21" s="44"/>
      <c r="G21" s="44"/>
      <c r="H21" s="44">
        <f>-SUM(H15)</f>
        <v>230999.99999999997</v>
      </c>
    </row>
    <row r="22" spans="2:8">
      <c r="B22" s="6" t="s">
        <v>18</v>
      </c>
      <c r="C22" s="6"/>
      <c r="D22" s="8"/>
      <c r="E22" s="44"/>
      <c r="F22" s="44"/>
      <c r="G22" s="44"/>
      <c r="H22" s="44">
        <f>G100</f>
        <v>695000</v>
      </c>
    </row>
    <row r="23" spans="2:8">
      <c r="B23" s="6" t="s">
        <v>19</v>
      </c>
      <c r="C23" s="8">
        <f>-E82</f>
        <v>-1390000</v>
      </c>
      <c r="E23" s="44"/>
      <c r="F23" s="44"/>
      <c r="G23" s="44"/>
      <c r="H23" s="44"/>
    </row>
    <row r="24" spans="2:8">
      <c r="B24" s="6" t="s">
        <v>20</v>
      </c>
      <c r="C24" s="6">
        <f>-C23*(C27/100)</f>
        <v>972999.99999999988</v>
      </c>
      <c r="D24" s="8"/>
      <c r="E24" s="44"/>
      <c r="F24" s="44"/>
      <c r="G24" s="44"/>
      <c r="H24" s="44"/>
    </row>
    <row r="25" spans="2:8">
      <c r="B25" s="6" t="s">
        <v>21</v>
      </c>
      <c r="C25" s="6"/>
      <c r="D25" s="8"/>
      <c r="E25" s="44"/>
      <c r="F25" s="44"/>
      <c r="G25" s="44"/>
      <c r="H25" s="44"/>
    </row>
    <row r="26" spans="2:8">
      <c r="B26" s="11" t="s">
        <v>22</v>
      </c>
      <c r="C26" s="11">
        <f>SUM(C19:C25)</f>
        <v>-417000.00000000012</v>
      </c>
      <c r="D26" s="82">
        <f>SUM(D18:D25)</f>
        <v>-911520</v>
      </c>
      <c r="E26" s="82">
        <f t="shared" ref="E26:H26" si="6">SUM(E18:E25)</f>
        <v>2325480</v>
      </c>
      <c r="F26" s="82">
        <f t="shared" si="6"/>
        <v>7305480</v>
      </c>
      <c r="G26" s="82">
        <f t="shared" si="6"/>
        <v>17265480</v>
      </c>
      <c r="H26" s="82">
        <f t="shared" si="6"/>
        <v>30449750</v>
      </c>
    </row>
    <row r="27" spans="2:8">
      <c r="B27" s="54"/>
      <c r="C27" s="89">
        <v>70</v>
      </c>
      <c r="D27" s="55"/>
      <c r="E27" s="56"/>
      <c r="F27" s="56"/>
      <c r="G27" s="56"/>
      <c r="H27" s="56"/>
    </row>
    <row r="28" spans="2:8" s="35" customFormat="1">
      <c r="B28" s="85" t="s">
        <v>98</v>
      </c>
      <c r="C28" s="85">
        <v>12</v>
      </c>
      <c r="D28" s="83"/>
      <c r="E28" s="84"/>
      <c r="F28" s="84"/>
      <c r="G28" s="84"/>
      <c r="H28" s="84"/>
    </row>
    <row r="29" spans="2:8" s="35" customFormat="1">
      <c r="B29" s="85" t="s">
        <v>96</v>
      </c>
      <c r="C29" s="86">
        <f>NPV(C28/100,D26:H26)+C26</f>
        <v>34073428.212560579</v>
      </c>
      <c r="D29" s="83"/>
      <c r="E29" s="84"/>
      <c r="F29" s="84"/>
      <c r="G29" s="84"/>
      <c r="H29" s="84"/>
    </row>
    <row r="30" spans="2:8" s="35" customFormat="1">
      <c r="B30" s="85" t="s">
        <v>97</v>
      </c>
      <c r="C30" s="87">
        <f>IRR(C26:H26,C28/100)</f>
        <v>2.205927699197106</v>
      </c>
      <c r="D30" s="83"/>
      <c r="E30" s="84"/>
      <c r="F30" s="84"/>
      <c r="G30" s="84"/>
      <c r="H30" s="84"/>
    </row>
    <row r="31" spans="2:8">
      <c r="B31" s="85" t="s">
        <v>99</v>
      </c>
      <c r="C31" s="36">
        <f>SUM(D26:E26)/-C26</f>
        <v>3.3907913669064738</v>
      </c>
      <c r="D31" s="35" t="s">
        <v>100</v>
      </c>
    </row>
    <row r="36" spans="2:8">
      <c r="B36" s="38" t="s">
        <v>25</v>
      </c>
      <c r="C36" s="44">
        <v>2000000</v>
      </c>
    </row>
    <row r="37" spans="2:8" s="35" customFormat="1">
      <c r="B37" s="38" t="s">
        <v>78</v>
      </c>
      <c r="C37" s="44">
        <v>500000</v>
      </c>
      <c r="D37" s="35" t="s">
        <v>80</v>
      </c>
      <c r="H37" s="39">
        <f>C37*2</f>
        <v>1000000</v>
      </c>
    </row>
    <row r="38" spans="2:8" s="35" customFormat="1">
      <c r="B38" s="38" t="s">
        <v>79</v>
      </c>
      <c r="C38" s="44">
        <v>100000</v>
      </c>
      <c r="D38" s="35" t="s">
        <v>81</v>
      </c>
      <c r="H38" s="39">
        <f>C38*4</f>
        <v>400000</v>
      </c>
    </row>
    <row r="39" spans="2:8">
      <c r="B39" s="1" t="s">
        <v>26</v>
      </c>
      <c r="E39" s="50" t="s">
        <v>62</v>
      </c>
      <c r="F39" s="51"/>
    </row>
    <row r="40" spans="2:8">
      <c r="B40" s="57" t="s">
        <v>27</v>
      </c>
      <c r="C40" s="12">
        <v>3</v>
      </c>
      <c r="E40" s="58" t="s">
        <v>63</v>
      </c>
      <c r="F40" s="59"/>
      <c r="G40" s="13">
        <v>962</v>
      </c>
    </row>
    <row r="41" spans="2:8">
      <c r="B41" s="57" t="s">
        <v>2</v>
      </c>
      <c r="C41" s="12">
        <v>4</v>
      </c>
      <c r="E41" s="58" t="s">
        <v>64</v>
      </c>
      <c r="F41" s="59"/>
      <c r="G41" s="49">
        <v>0.1</v>
      </c>
    </row>
    <row r="42" spans="2:8">
      <c r="B42" s="57" t="s">
        <v>28</v>
      </c>
      <c r="C42" s="12">
        <v>6</v>
      </c>
      <c r="E42" s="60" t="s">
        <v>65</v>
      </c>
      <c r="F42" s="61"/>
      <c r="G42" s="13">
        <v>96.2</v>
      </c>
    </row>
    <row r="43" spans="2:8">
      <c r="B43" s="57" t="s">
        <v>29</v>
      </c>
      <c r="C43" s="12">
        <v>10</v>
      </c>
      <c r="E43" s="62" t="s">
        <v>66</v>
      </c>
      <c r="F43" s="63"/>
      <c r="G43" s="15">
        <v>0.03</v>
      </c>
    </row>
    <row r="44" spans="2:8">
      <c r="B44" s="57" t="s">
        <v>30</v>
      </c>
      <c r="C44" s="12">
        <v>15</v>
      </c>
      <c r="E44" s="43" t="s">
        <v>67</v>
      </c>
      <c r="F44" s="41"/>
      <c r="G44" s="36">
        <v>2.8860000000000001</v>
      </c>
    </row>
    <row r="45" spans="2:8">
      <c r="B45" s="14" t="s">
        <v>31</v>
      </c>
      <c r="C45" s="12">
        <f>SUM(C40:C44)</f>
        <v>38</v>
      </c>
      <c r="E45" s="43" t="s">
        <v>68</v>
      </c>
      <c r="F45" s="41"/>
      <c r="G45" s="15">
        <v>0.5</v>
      </c>
    </row>
    <row r="46" spans="2:8">
      <c r="G46" s="35"/>
    </row>
    <row r="47" spans="2:8">
      <c r="G47" s="16"/>
      <c r="H47" s="48"/>
    </row>
    <row r="48" spans="2:8">
      <c r="E48" s="16"/>
      <c r="F48" s="16"/>
      <c r="G48" s="35"/>
      <c r="H48" s="16"/>
    </row>
    <row r="49" spans="1:8">
      <c r="B49" s="21" t="s">
        <v>32</v>
      </c>
      <c r="C49" s="16"/>
      <c r="D49" s="16"/>
      <c r="E49" s="18">
        <v>3</v>
      </c>
      <c r="F49" s="22" t="s">
        <v>34</v>
      </c>
      <c r="G49" s="35"/>
      <c r="H49" s="48"/>
    </row>
    <row r="50" spans="1:8">
      <c r="B50" s="16"/>
      <c r="C50" s="20" t="s">
        <v>33</v>
      </c>
      <c r="E50" s="37"/>
      <c r="F50" s="24"/>
      <c r="G50" s="35"/>
      <c r="H50" s="48"/>
    </row>
    <row r="51" spans="1:8">
      <c r="B51" s="23" t="s">
        <v>35</v>
      </c>
      <c r="C51" s="16"/>
      <c r="D51" s="16"/>
      <c r="E51" s="16"/>
      <c r="F51" s="16"/>
      <c r="G51" s="35"/>
      <c r="H51" s="48"/>
    </row>
    <row r="52" spans="1:8">
      <c r="B52" s="25" t="s">
        <v>36</v>
      </c>
      <c r="C52" s="25" t="s">
        <v>37</v>
      </c>
      <c r="D52" s="25" t="s">
        <v>38</v>
      </c>
      <c r="E52" s="25" t="s">
        <v>39</v>
      </c>
      <c r="F52" s="16"/>
      <c r="G52" s="35"/>
      <c r="H52" s="48"/>
    </row>
    <row r="53" spans="1:8">
      <c r="B53" s="17" t="s">
        <v>40</v>
      </c>
      <c r="C53" s="17">
        <v>1</v>
      </c>
      <c r="D53" s="26">
        <v>600000</v>
      </c>
      <c r="E53" s="26">
        <v>600000</v>
      </c>
      <c r="F53" s="16"/>
      <c r="G53" s="16"/>
      <c r="H53" s="48"/>
    </row>
    <row r="54" spans="1:8">
      <c r="B54" s="22"/>
      <c r="C54" s="22"/>
      <c r="D54" s="46" t="s">
        <v>44</v>
      </c>
      <c r="E54" s="44">
        <f>SUM(E53:E53)</f>
        <v>600000</v>
      </c>
    </row>
    <row r="55" spans="1:8">
      <c r="B55" s="22"/>
      <c r="C55" s="22"/>
      <c r="D55" s="46" t="s">
        <v>70</v>
      </c>
      <c r="E55" s="44">
        <f>E54*3</f>
        <v>1800000</v>
      </c>
    </row>
    <row r="56" spans="1:8" s="35" customFormat="1">
      <c r="B56" s="40"/>
      <c r="C56" s="40"/>
      <c r="D56" s="67"/>
      <c r="E56" s="27"/>
    </row>
    <row r="57" spans="1:8">
      <c r="B57" s="42" t="s">
        <v>75</v>
      </c>
      <c r="C57" s="22">
        <v>1</v>
      </c>
      <c r="D57" s="22">
        <v>300000</v>
      </c>
      <c r="E57">
        <f>D57*9</f>
        <v>2700000</v>
      </c>
    </row>
    <row r="58" spans="1:8" s="35" customFormat="1">
      <c r="B58" s="40" t="s">
        <v>76</v>
      </c>
      <c r="C58" s="40"/>
      <c r="D58" s="40"/>
      <c r="E58" s="27">
        <f>E55+E57</f>
        <v>4500000</v>
      </c>
    </row>
    <row r="59" spans="1:8" s="35" customFormat="1">
      <c r="B59" s="42"/>
      <c r="C59" s="40"/>
      <c r="D59" s="40"/>
      <c r="E59" s="40"/>
    </row>
    <row r="61" spans="1:8">
      <c r="B61" s="23" t="s">
        <v>41</v>
      </c>
      <c r="C61" s="16"/>
      <c r="D61" s="16"/>
      <c r="E61" s="16"/>
    </row>
    <row r="62" spans="1:8">
      <c r="B62" s="25" t="s">
        <v>42</v>
      </c>
      <c r="C62" s="25" t="s">
        <v>43</v>
      </c>
      <c r="D62" s="58" t="s">
        <v>44</v>
      </c>
      <c r="E62" s="43" t="s">
        <v>69</v>
      </c>
      <c r="F62" s="40"/>
    </row>
    <row r="63" spans="1:8">
      <c r="A63" s="35"/>
      <c r="B63" s="17" t="s">
        <v>45</v>
      </c>
      <c r="C63" s="17">
        <v>1</v>
      </c>
      <c r="D63" s="66">
        <v>25000</v>
      </c>
      <c r="E63" s="45">
        <f>D63*12</f>
        <v>300000</v>
      </c>
      <c r="F63" s="42"/>
    </row>
    <row r="64" spans="1:8">
      <c r="A64" s="35"/>
      <c r="B64" s="17" t="s">
        <v>46</v>
      </c>
      <c r="C64" s="17">
        <v>1</v>
      </c>
      <c r="D64" s="66">
        <v>25000</v>
      </c>
      <c r="E64" s="45">
        <f t="shared" ref="E64:E69" si="7">D64*12</f>
        <v>300000</v>
      </c>
      <c r="F64" s="42"/>
      <c r="G64" s="16"/>
    </row>
    <row r="65" spans="1:8">
      <c r="B65" s="17" t="s">
        <v>47</v>
      </c>
      <c r="C65" s="17">
        <v>1</v>
      </c>
      <c r="D65" s="66">
        <v>30000</v>
      </c>
      <c r="E65" s="44">
        <f t="shared" si="7"/>
        <v>360000</v>
      </c>
      <c r="F65" s="42"/>
      <c r="H65" s="16"/>
    </row>
    <row r="66" spans="1:8" s="16" customFormat="1">
      <c r="B66" s="17" t="s">
        <v>61</v>
      </c>
      <c r="C66" s="17">
        <v>1</v>
      </c>
      <c r="D66" s="66">
        <v>60000</v>
      </c>
      <c r="E66" s="44">
        <f t="shared" si="7"/>
        <v>720000</v>
      </c>
      <c r="F66" s="42"/>
      <c r="G66"/>
      <c r="H66"/>
    </row>
    <row r="67" spans="1:8">
      <c r="B67" s="28" t="s">
        <v>48</v>
      </c>
      <c r="C67" s="17">
        <v>1</v>
      </c>
      <c r="D67" s="66">
        <v>100000</v>
      </c>
      <c r="E67" s="44">
        <f t="shared" si="7"/>
        <v>1200000</v>
      </c>
      <c r="F67" s="42"/>
    </row>
    <row r="68" spans="1:8">
      <c r="B68" s="28" t="s">
        <v>49</v>
      </c>
      <c r="C68" s="17">
        <v>1</v>
      </c>
      <c r="D68" s="66">
        <v>200000</v>
      </c>
      <c r="E68" s="45"/>
      <c r="F68" s="42"/>
    </row>
    <row r="69" spans="1:8">
      <c r="A69" s="35"/>
      <c r="B69" s="28" t="s">
        <v>50</v>
      </c>
      <c r="C69" s="28">
        <v>1</v>
      </c>
      <c r="D69" s="66">
        <v>30000</v>
      </c>
      <c r="E69" s="45">
        <f t="shared" si="7"/>
        <v>360000</v>
      </c>
      <c r="F69" s="42"/>
    </row>
    <row r="70" spans="1:8">
      <c r="B70" s="16"/>
      <c r="C70" s="16"/>
      <c r="D70" s="26">
        <v>410000</v>
      </c>
      <c r="E70" s="45">
        <f>SUM(E63:E69)</f>
        <v>3240000</v>
      </c>
      <c r="F70" s="65"/>
    </row>
    <row r="71" spans="1:8">
      <c r="B71" s="16"/>
      <c r="C71" s="16"/>
      <c r="D71" s="19"/>
      <c r="E71" s="16"/>
    </row>
    <row r="72" spans="1:8">
      <c r="B72" s="22"/>
      <c r="C72" s="22"/>
      <c r="D72" s="27"/>
      <c r="E72" s="22"/>
    </row>
    <row r="73" spans="1:8">
      <c r="B73" s="30" t="s">
        <v>51</v>
      </c>
      <c r="C73" s="16"/>
      <c r="D73" s="16"/>
      <c r="E73" s="16"/>
    </row>
    <row r="74" spans="1:8">
      <c r="B74" s="29" t="s">
        <v>42</v>
      </c>
      <c r="C74" s="29" t="s">
        <v>43</v>
      </c>
      <c r="D74" s="31" t="s">
        <v>52</v>
      </c>
      <c r="E74" s="32" t="s">
        <v>31</v>
      </c>
    </row>
    <row r="75" spans="1:8">
      <c r="B75" s="28" t="s">
        <v>53</v>
      </c>
      <c r="C75" s="28">
        <v>3</v>
      </c>
      <c r="D75" s="33">
        <v>20000</v>
      </c>
      <c r="E75" s="33">
        <v>60000</v>
      </c>
    </row>
    <row r="76" spans="1:8">
      <c r="B76" s="28" t="s">
        <v>54</v>
      </c>
      <c r="C76" s="17">
        <v>5</v>
      </c>
      <c r="D76" s="26">
        <v>20000</v>
      </c>
      <c r="E76" s="33">
        <v>100000</v>
      </c>
    </row>
    <row r="77" spans="1:8">
      <c r="B77" s="28" t="s">
        <v>55</v>
      </c>
      <c r="C77" s="17">
        <v>1</v>
      </c>
      <c r="D77" s="26">
        <v>30000</v>
      </c>
      <c r="E77" s="33">
        <v>30000</v>
      </c>
    </row>
    <row r="78" spans="1:8">
      <c r="B78" s="28" t="s">
        <v>56</v>
      </c>
      <c r="C78" s="17">
        <v>3</v>
      </c>
      <c r="D78" s="26">
        <v>350000</v>
      </c>
      <c r="E78" s="33">
        <v>1050000</v>
      </c>
    </row>
    <row r="79" spans="1:8">
      <c r="B79" s="28" t="s">
        <v>57</v>
      </c>
      <c r="C79" s="17">
        <v>1</v>
      </c>
      <c r="D79" s="26">
        <v>100000</v>
      </c>
      <c r="E79" s="33">
        <v>100000</v>
      </c>
    </row>
    <row r="80" spans="1:8">
      <c r="B80" s="28" t="s">
        <v>58</v>
      </c>
      <c r="C80" s="17">
        <v>1</v>
      </c>
      <c r="D80" s="26">
        <v>30000</v>
      </c>
      <c r="E80" s="33">
        <v>30000</v>
      </c>
    </row>
    <row r="81" spans="2:11">
      <c r="B81" s="28" t="s">
        <v>59</v>
      </c>
      <c r="C81" s="17">
        <v>1</v>
      </c>
      <c r="D81" s="26">
        <v>20000</v>
      </c>
      <c r="E81" s="33">
        <v>20000</v>
      </c>
    </row>
    <row r="82" spans="2:11">
      <c r="B82" s="16"/>
      <c r="C82" s="16"/>
      <c r="D82" s="29" t="s">
        <v>60</v>
      </c>
      <c r="E82" s="34">
        <v>1390000</v>
      </c>
    </row>
    <row r="85" spans="2:11">
      <c r="B85" s="16"/>
      <c r="C85" s="42"/>
      <c r="D85" s="52"/>
      <c r="E85" s="53"/>
    </row>
    <row r="86" spans="2:11">
      <c r="B86" s="35" t="s">
        <v>71</v>
      </c>
    </row>
    <row r="88" spans="2:11">
      <c r="B88" s="35" t="s">
        <v>74</v>
      </c>
      <c r="C88" s="39">
        <v>300000</v>
      </c>
      <c r="D88" s="35" t="s">
        <v>72</v>
      </c>
      <c r="E88" s="39">
        <f>C88*12</f>
        <v>3600000</v>
      </c>
    </row>
    <row r="89" spans="2:11">
      <c r="I89" s="40"/>
    </row>
    <row r="90" spans="2:11">
      <c r="G90" s="71">
        <v>0.1</v>
      </c>
      <c r="I90" s="40"/>
    </row>
    <row r="91" spans="2:11" s="39" customFormat="1">
      <c r="B91" s="68" t="s">
        <v>82</v>
      </c>
      <c r="C91" s="69" t="s">
        <v>37</v>
      </c>
      <c r="D91" s="69" t="s">
        <v>83</v>
      </c>
      <c r="E91" s="69" t="s">
        <v>84</v>
      </c>
      <c r="F91" s="69" t="s">
        <v>85</v>
      </c>
      <c r="G91" s="69" t="s">
        <v>86</v>
      </c>
      <c r="H91" s="74" t="s">
        <v>87</v>
      </c>
      <c r="I91" s="79"/>
      <c r="J91" s="80" t="s">
        <v>92</v>
      </c>
      <c r="K91" s="81" t="s">
        <v>93</v>
      </c>
    </row>
    <row r="92" spans="2:11" s="39" customFormat="1">
      <c r="B92" s="44" t="s">
        <v>88</v>
      </c>
      <c r="C92" s="70">
        <v>3</v>
      </c>
      <c r="D92" s="44">
        <v>350000</v>
      </c>
      <c r="E92" s="70">
        <f>C92*D92</f>
        <v>1050000</v>
      </c>
      <c r="F92" s="70">
        <v>6</v>
      </c>
      <c r="G92" s="70">
        <f>E92*0.1</f>
        <v>105000</v>
      </c>
      <c r="H92" s="75">
        <f>SUM((E92-G92)/F92)</f>
        <v>157500</v>
      </c>
      <c r="I92" s="78"/>
      <c r="J92" s="76">
        <f t="shared" ref="J92:J98" si="8">H92*K92</f>
        <v>157500</v>
      </c>
      <c r="K92" s="44">
        <v>1</v>
      </c>
    </row>
    <row r="93" spans="2:11" s="39" customFormat="1">
      <c r="B93" s="44" t="s">
        <v>89</v>
      </c>
      <c r="C93" s="70">
        <v>1</v>
      </c>
      <c r="D93" s="44">
        <v>100000</v>
      </c>
      <c r="E93" s="70">
        <f t="shared" ref="E93:E98" si="9">C93*D93</f>
        <v>100000</v>
      </c>
      <c r="F93" s="70">
        <v>6</v>
      </c>
      <c r="G93" s="70">
        <f t="shared" ref="G93:G98" si="10">E93*0.1</f>
        <v>10000</v>
      </c>
      <c r="H93" s="75">
        <f t="shared" ref="H93:H98" si="11">SUM((E93-G93)/F93)</f>
        <v>15000</v>
      </c>
      <c r="I93" s="78"/>
      <c r="J93" s="76">
        <f t="shared" si="8"/>
        <v>15000</v>
      </c>
      <c r="K93" s="44">
        <v>1</v>
      </c>
    </row>
    <row r="94" spans="2:11" s="39" customFormat="1">
      <c r="B94" s="44" t="s">
        <v>90</v>
      </c>
      <c r="C94" s="70">
        <v>1</v>
      </c>
      <c r="D94" s="44">
        <v>30000</v>
      </c>
      <c r="E94" s="70">
        <f t="shared" si="9"/>
        <v>30000</v>
      </c>
      <c r="F94" s="70">
        <v>6</v>
      </c>
      <c r="G94" s="70">
        <f t="shared" si="10"/>
        <v>3000</v>
      </c>
      <c r="H94" s="75">
        <f t="shared" si="11"/>
        <v>4500</v>
      </c>
      <c r="I94" s="78"/>
      <c r="J94" s="76">
        <f t="shared" si="8"/>
        <v>4500</v>
      </c>
      <c r="K94" s="44">
        <v>1</v>
      </c>
    </row>
    <row r="95" spans="2:11" s="39" customFormat="1">
      <c r="B95" s="44" t="s">
        <v>53</v>
      </c>
      <c r="C95" s="70">
        <v>3</v>
      </c>
      <c r="D95" s="45">
        <v>20000</v>
      </c>
      <c r="E95" s="70">
        <f t="shared" si="9"/>
        <v>60000</v>
      </c>
      <c r="F95" s="70">
        <v>7</v>
      </c>
      <c r="G95" s="70">
        <f t="shared" si="10"/>
        <v>6000</v>
      </c>
      <c r="H95" s="75">
        <f t="shared" si="11"/>
        <v>7714.2857142857147</v>
      </c>
      <c r="I95" s="78"/>
      <c r="J95" s="76">
        <f t="shared" si="8"/>
        <v>15428.571428571429</v>
      </c>
      <c r="K95" s="44">
        <v>2</v>
      </c>
    </row>
    <row r="96" spans="2:11" s="39" customFormat="1">
      <c r="B96" s="44" t="s">
        <v>54</v>
      </c>
      <c r="C96" s="70">
        <v>5</v>
      </c>
      <c r="D96" s="44">
        <v>20000</v>
      </c>
      <c r="E96" s="70">
        <f t="shared" si="9"/>
        <v>100000</v>
      </c>
      <c r="F96" s="70">
        <v>7</v>
      </c>
      <c r="G96" s="70">
        <f t="shared" si="10"/>
        <v>10000</v>
      </c>
      <c r="H96" s="75">
        <f t="shared" si="11"/>
        <v>12857.142857142857</v>
      </c>
      <c r="I96" s="78"/>
      <c r="J96" s="76">
        <f t="shared" si="8"/>
        <v>25714.285714285714</v>
      </c>
      <c r="K96" s="44">
        <v>2</v>
      </c>
    </row>
    <row r="97" spans="2:14" s="39" customFormat="1">
      <c r="B97" s="44" t="s">
        <v>55</v>
      </c>
      <c r="C97" s="70">
        <v>1</v>
      </c>
      <c r="D97" s="44">
        <v>30000</v>
      </c>
      <c r="E97" s="70">
        <f t="shared" si="9"/>
        <v>30000</v>
      </c>
      <c r="F97" s="70">
        <v>7</v>
      </c>
      <c r="G97" s="70">
        <f t="shared" si="10"/>
        <v>3000</v>
      </c>
      <c r="H97" s="75">
        <f t="shared" si="11"/>
        <v>3857.1428571428573</v>
      </c>
      <c r="I97" s="78"/>
      <c r="J97" s="76">
        <f t="shared" si="8"/>
        <v>7714.2857142857147</v>
      </c>
      <c r="K97" s="44">
        <v>2</v>
      </c>
    </row>
    <row r="98" spans="2:14" s="39" customFormat="1">
      <c r="B98" s="45" t="s">
        <v>91</v>
      </c>
      <c r="C98" s="70">
        <v>1</v>
      </c>
      <c r="D98" s="44">
        <v>20000</v>
      </c>
      <c r="E98" s="70">
        <f t="shared" si="9"/>
        <v>20000</v>
      </c>
      <c r="F98" s="70">
        <v>7</v>
      </c>
      <c r="G98" s="70">
        <f t="shared" si="10"/>
        <v>2000</v>
      </c>
      <c r="H98" s="75">
        <f t="shared" si="11"/>
        <v>2571.4285714285716</v>
      </c>
      <c r="I98" s="78"/>
      <c r="J98" s="76">
        <f t="shared" si="8"/>
        <v>5142.8571428571431</v>
      </c>
      <c r="K98" s="44">
        <v>2</v>
      </c>
    </row>
    <row r="99" spans="2:14">
      <c r="G99" s="39">
        <f>SUM(G92:G98)</f>
        <v>139000</v>
      </c>
      <c r="H99" s="72">
        <f>SUM(H92:H98)</f>
        <v>204000.00000000003</v>
      </c>
      <c r="I99" s="77"/>
      <c r="J99" s="39">
        <f>SUM(J92:J98)</f>
        <v>230999.99999999997</v>
      </c>
    </row>
    <row r="100" spans="2:14">
      <c r="F100" s="35" t="s">
        <v>101</v>
      </c>
      <c r="G100" s="88">
        <f>G99*5</f>
        <v>695000</v>
      </c>
      <c r="I100" s="40"/>
    </row>
    <row r="103" spans="2:14">
      <c r="B103" s="35"/>
    </row>
    <row r="104" spans="2:14">
      <c r="B104" s="98" t="s">
        <v>102</v>
      </c>
      <c r="C104" s="90"/>
      <c r="D104" s="90"/>
    </row>
    <row r="105" spans="2:14">
      <c r="B105" s="95" t="s">
        <v>103</v>
      </c>
      <c r="C105" s="96"/>
      <c r="D105" s="93" t="s">
        <v>104</v>
      </c>
    </row>
    <row r="106" spans="2:14">
      <c r="B106" s="97" t="s">
        <v>105</v>
      </c>
      <c r="C106" s="94"/>
      <c r="D106" s="8">
        <f>D7</f>
        <v>9000000</v>
      </c>
    </row>
    <row r="107" spans="2:14">
      <c r="B107" s="95" t="s">
        <v>106</v>
      </c>
      <c r="C107" s="96"/>
      <c r="D107" s="6">
        <v>30</v>
      </c>
    </row>
    <row r="108" spans="2:14">
      <c r="B108" s="97" t="s">
        <v>107</v>
      </c>
      <c r="C108" s="94"/>
      <c r="D108" s="8">
        <f>SUM(D106/D107)</f>
        <v>300000</v>
      </c>
    </row>
    <row r="109" spans="2:14">
      <c r="B109" s="95" t="s">
        <v>108</v>
      </c>
      <c r="C109" s="96"/>
      <c r="D109" s="6">
        <v>3</v>
      </c>
    </row>
    <row r="111" spans="2:14" ht="15.75" thickBot="1"/>
    <row r="112" spans="2:14">
      <c r="C112" s="99" t="s">
        <v>109</v>
      </c>
      <c r="D112" s="100" t="s">
        <v>110</v>
      </c>
      <c r="E112" s="100" t="s">
        <v>111</v>
      </c>
      <c r="F112" s="100" t="s">
        <v>112</v>
      </c>
      <c r="G112" s="100" t="s">
        <v>113</v>
      </c>
      <c r="H112" s="100" t="s">
        <v>114</v>
      </c>
      <c r="I112" s="100" t="s">
        <v>115</v>
      </c>
      <c r="J112" s="100" t="s">
        <v>116</v>
      </c>
      <c r="K112" s="100" t="s">
        <v>117</v>
      </c>
      <c r="L112" s="100" t="s">
        <v>118</v>
      </c>
      <c r="M112" s="100" t="s">
        <v>119</v>
      </c>
      <c r="N112" s="101" t="s">
        <v>120</v>
      </c>
    </row>
    <row r="113" spans="2:14">
      <c r="C113" s="8" t="s">
        <v>121</v>
      </c>
      <c r="D113" s="8">
        <f>D108</f>
        <v>300000</v>
      </c>
      <c r="E113" s="8">
        <f>D108</f>
        <v>300000</v>
      </c>
      <c r="F113" s="8">
        <f>D108</f>
        <v>300000</v>
      </c>
      <c r="G113" s="8"/>
      <c r="H113" s="8"/>
      <c r="I113" s="8"/>
      <c r="J113" s="8"/>
      <c r="K113" s="8"/>
      <c r="L113" s="8"/>
      <c r="M113" s="8"/>
      <c r="N113" s="8"/>
    </row>
    <row r="114" spans="2:14">
      <c r="C114" s="8"/>
      <c r="D114" s="8" t="s">
        <v>121</v>
      </c>
      <c r="E114" s="8">
        <f>D108</f>
        <v>300000</v>
      </c>
      <c r="F114" s="8">
        <f>D108</f>
        <v>300000</v>
      </c>
      <c r="G114" s="8">
        <f>D108</f>
        <v>300000</v>
      </c>
      <c r="H114" s="8"/>
      <c r="I114" s="8"/>
      <c r="J114" s="8"/>
      <c r="K114" s="8"/>
      <c r="L114" s="8"/>
      <c r="M114" s="8"/>
      <c r="N114" s="8"/>
    </row>
    <row r="115" spans="2:14">
      <c r="C115" s="8"/>
      <c r="D115" s="8"/>
      <c r="E115" s="8" t="s">
        <v>121</v>
      </c>
      <c r="F115" s="8">
        <f>D108</f>
        <v>300000</v>
      </c>
      <c r="G115" s="8">
        <f>D108</f>
        <v>300000</v>
      </c>
      <c r="H115" s="8">
        <f>D108</f>
        <v>300000</v>
      </c>
      <c r="I115" s="8"/>
      <c r="J115" s="8"/>
      <c r="K115" s="8"/>
      <c r="L115" s="8"/>
      <c r="M115" s="8"/>
      <c r="N115" s="8"/>
    </row>
    <row r="116" spans="2:14">
      <c r="C116" s="8"/>
      <c r="D116" s="8"/>
      <c r="E116" s="8"/>
      <c r="F116" s="8" t="s">
        <v>121</v>
      </c>
      <c r="G116" s="8">
        <f>D108</f>
        <v>300000</v>
      </c>
      <c r="H116" s="8">
        <f>D108</f>
        <v>300000</v>
      </c>
      <c r="I116" s="8">
        <f>D108</f>
        <v>300000</v>
      </c>
      <c r="J116" s="8"/>
      <c r="K116" s="8"/>
      <c r="L116" s="8"/>
      <c r="M116" s="8"/>
      <c r="N116" s="8"/>
    </row>
    <row r="117" spans="2:14">
      <c r="C117" s="8"/>
      <c r="D117" s="8"/>
      <c r="E117" s="8"/>
      <c r="F117" s="8"/>
      <c r="G117" s="8" t="s">
        <v>121</v>
      </c>
      <c r="H117" s="8">
        <f>D108</f>
        <v>300000</v>
      </c>
      <c r="I117" s="8">
        <f>D108</f>
        <v>300000</v>
      </c>
      <c r="J117" s="8">
        <f>D108</f>
        <v>300000</v>
      </c>
      <c r="K117" s="8"/>
      <c r="L117" s="8"/>
      <c r="M117" s="8"/>
      <c r="N117" s="8"/>
    </row>
    <row r="118" spans="2:14">
      <c r="C118" s="8"/>
      <c r="D118" s="8"/>
      <c r="E118" s="8"/>
      <c r="F118" s="8"/>
      <c r="G118" s="8"/>
      <c r="H118" s="8" t="s">
        <v>121</v>
      </c>
      <c r="I118" s="8">
        <f>D108</f>
        <v>300000</v>
      </c>
      <c r="J118" s="8">
        <f>D108</f>
        <v>300000</v>
      </c>
      <c r="K118" s="8">
        <f>D108</f>
        <v>300000</v>
      </c>
      <c r="L118" s="8"/>
      <c r="M118" s="8"/>
      <c r="N118" s="8"/>
    </row>
    <row r="119" spans="2:14">
      <c r="C119" s="8"/>
      <c r="D119" s="8"/>
      <c r="E119" s="8"/>
      <c r="F119" s="8"/>
      <c r="G119" s="8"/>
      <c r="H119" s="8"/>
      <c r="I119" s="8" t="s">
        <v>121</v>
      </c>
      <c r="J119" s="8">
        <f>D108</f>
        <v>300000</v>
      </c>
      <c r="K119" s="8">
        <f>D108</f>
        <v>300000</v>
      </c>
      <c r="L119" s="8">
        <f>D108</f>
        <v>300000</v>
      </c>
      <c r="M119" s="8"/>
      <c r="N119" s="8"/>
    </row>
    <row r="120" spans="2:14">
      <c r="C120" s="8"/>
      <c r="D120" s="8"/>
      <c r="E120" s="8"/>
      <c r="F120" s="8"/>
      <c r="G120" s="8"/>
      <c r="H120" s="8"/>
      <c r="I120" s="8"/>
      <c r="J120" s="8" t="s">
        <v>121</v>
      </c>
      <c r="K120" s="8">
        <f>D108</f>
        <v>300000</v>
      </c>
      <c r="L120" s="8">
        <f>D108</f>
        <v>300000</v>
      </c>
      <c r="M120" s="8">
        <f>D108</f>
        <v>300000</v>
      </c>
      <c r="N120" s="8"/>
    </row>
    <row r="121" spans="2:14">
      <c r="C121" s="8"/>
      <c r="D121" s="8"/>
      <c r="E121" s="8"/>
      <c r="F121" s="8"/>
      <c r="G121" s="8"/>
      <c r="H121" s="8"/>
      <c r="I121" s="8"/>
      <c r="J121" s="8"/>
      <c r="K121" s="8" t="s">
        <v>121</v>
      </c>
      <c r="L121" s="8">
        <f>D108</f>
        <v>300000</v>
      </c>
      <c r="M121" s="8">
        <f>D108</f>
        <v>300000</v>
      </c>
      <c r="N121" s="8">
        <f>D108</f>
        <v>300000</v>
      </c>
    </row>
    <row r="122" spans="2:14">
      <c r="C122" s="8"/>
      <c r="D122" s="8"/>
      <c r="E122" s="8"/>
      <c r="F122" s="8"/>
      <c r="G122" s="8"/>
      <c r="H122" s="8"/>
      <c r="I122" s="8"/>
      <c r="J122" s="8"/>
      <c r="K122" s="8"/>
      <c r="L122" s="8" t="s">
        <v>121</v>
      </c>
      <c r="M122" s="8">
        <f>D108</f>
        <v>300000</v>
      </c>
      <c r="N122" s="8">
        <f>D108</f>
        <v>300000</v>
      </c>
    </row>
    <row r="123" spans="2:14"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 t="s">
        <v>121</v>
      </c>
      <c r="N123" s="8">
        <f>D108</f>
        <v>300000</v>
      </c>
    </row>
    <row r="124" spans="2:14" ht="15.75" thickBot="1"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 t="s">
        <v>121</v>
      </c>
    </row>
    <row r="125" spans="2:14" ht="15.75" thickBot="1">
      <c r="C125" s="103">
        <f>SUM(C113:C124)</f>
        <v>0</v>
      </c>
      <c r="D125" s="104">
        <f t="shared" ref="D125:N125" si="12">SUM(D113:D124)</f>
        <v>300000</v>
      </c>
      <c r="E125" s="104">
        <f t="shared" si="12"/>
        <v>600000</v>
      </c>
      <c r="F125" s="104">
        <f t="shared" si="12"/>
        <v>900000</v>
      </c>
      <c r="G125" s="104">
        <f t="shared" si="12"/>
        <v>900000</v>
      </c>
      <c r="H125" s="104">
        <f t="shared" si="12"/>
        <v>900000</v>
      </c>
      <c r="I125" s="104">
        <f t="shared" si="12"/>
        <v>900000</v>
      </c>
      <c r="J125" s="104">
        <f t="shared" si="12"/>
        <v>900000</v>
      </c>
      <c r="K125" s="104">
        <f t="shared" si="12"/>
        <v>900000</v>
      </c>
      <c r="L125" s="104">
        <f t="shared" si="12"/>
        <v>900000</v>
      </c>
      <c r="M125" s="104">
        <f t="shared" si="12"/>
        <v>900000</v>
      </c>
      <c r="N125" s="105">
        <f t="shared" si="12"/>
        <v>900000</v>
      </c>
    </row>
    <row r="127" spans="2:14" ht="15.75" thickBot="1"/>
    <row r="128" spans="2:14">
      <c r="B128" s="106" t="s">
        <v>122</v>
      </c>
      <c r="C128" s="107">
        <f>D11</f>
        <v>-10140000</v>
      </c>
    </row>
    <row r="129" spans="1:16">
      <c r="B129" s="108" t="s">
        <v>123</v>
      </c>
      <c r="C129" s="107">
        <v>12</v>
      </c>
    </row>
    <row r="130" spans="1:16" ht="15.75" thickBot="1">
      <c r="B130" s="109" t="s">
        <v>124</v>
      </c>
      <c r="C130" s="107">
        <f>C128/C129</f>
        <v>-845000</v>
      </c>
    </row>
    <row r="132" spans="1:16" ht="15.75" thickBot="1"/>
    <row r="133" spans="1:16">
      <c r="A133" s="90"/>
      <c r="B133" s="91" t="s">
        <v>125</v>
      </c>
      <c r="C133" s="8">
        <f>C130</f>
        <v>-845000</v>
      </c>
      <c r="D133" s="8">
        <f>C130</f>
        <v>-845000</v>
      </c>
      <c r="E133" s="8">
        <f>C130</f>
        <v>-845000</v>
      </c>
      <c r="F133" s="8">
        <f>C130</f>
        <v>-845000</v>
      </c>
      <c r="G133" s="8">
        <f>C130</f>
        <v>-845000</v>
      </c>
      <c r="H133" s="8">
        <f>C130</f>
        <v>-845000</v>
      </c>
      <c r="I133" s="8">
        <f>C130</f>
        <v>-845000</v>
      </c>
      <c r="J133" s="8">
        <f>C130</f>
        <v>-845000</v>
      </c>
      <c r="K133" s="8">
        <f>C130</f>
        <v>-845000</v>
      </c>
      <c r="L133" s="8">
        <f>C130</f>
        <v>-845000</v>
      </c>
      <c r="M133" s="8">
        <f>C130</f>
        <v>-845000</v>
      </c>
      <c r="N133" s="8">
        <f>C130</f>
        <v>-845000</v>
      </c>
      <c r="O133" s="90"/>
      <c r="P133" s="90"/>
    </row>
    <row r="134" spans="1:16" ht="15.75" thickBot="1">
      <c r="A134" s="90"/>
      <c r="B134" s="92" t="s">
        <v>126</v>
      </c>
      <c r="C134" s="110">
        <f>C125+C133</f>
        <v>-845000</v>
      </c>
      <c r="D134" s="110">
        <f t="shared" ref="D134:F134" si="13">D125+D133</f>
        <v>-545000</v>
      </c>
      <c r="E134" s="110">
        <f t="shared" si="13"/>
        <v>-245000</v>
      </c>
      <c r="F134" s="110">
        <f t="shared" si="13"/>
        <v>55000</v>
      </c>
      <c r="G134" s="110">
        <f t="shared" ref="G134" si="14">G125+G133</f>
        <v>55000</v>
      </c>
      <c r="H134" s="110">
        <f t="shared" ref="H134" si="15">H125+H133</f>
        <v>55000</v>
      </c>
      <c r="I134" s="110">
        <f t="shared" ref="I134" si="16">I125+I133</f>
        <v>55000</v>
      </c>
      <c r="J134" s="110">
        <f t="shared" ref="J134" si="17">J125+J133</f>
        <v>55000</v>
      </c>
      <c r="K134" s="110">
        <f t="shared" ref="K134" si="18">K125+K133</f>
        <v>55000</v>
      </c>
      <c r="L134" s="110">
        <f t="shared" ref="L134" si="19">L125+L133</f>
        <v>55000</v>
      </c>
      <c r="M134" s="110">
        <f t="shared" ref="M134" si="20">M125+M133</f>
        <v>55000</v>
      </c>
      <c r="N134" s="110">
        <f t="shared" ref="N134" si="21">N125+N133</f>
        <v>55000</v>
      </c>
      <c r="O134" s="90"/>
      <c r="P134" s="90"/>
    </row>
    <row r="135" spans="1:16" ht="15.75" thickBot="1">
      <c r="A135" s="90"/>
      <c r="B135" s="90"/>
      <c r="C135" s="90"/>
      <c r="D135" s="90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</row>
    <row r="136" spans="1:16" ht="15.75" thickBot="1">
      <c r="A136" s="90"/>
      <c r="B136" s="111" t="s">
        <v>102</v>
      </c>
      <c r="C136" s="112"/>
      <c r="D136" s="110">
        <f>MIN(C134:N134)</f>
        <v>-845000</v>
      </c>
      <c r="E136" s="90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</row>
    <row r="137" spans="1:16">
      <c r="A137" s="90"/>
      <c r="B137" s="90"/>
      <c r="C137" s="90"/>
      <c r="D137" s="90"/>
      <c r="E137" s="90"/>
      <c r="F137" s="90"/>
      <c r="G137" s="90"/>
      <c r="H137" s="90"/>
      <c r="I137" s="90"/>
      <c r="J137" s="90"/>
      <c r="K137" s="90"/>
      <c r="L137" s="90"/>
      <c r="M137" s="90"/>
      <c r="N137" s="90"/>
      <c r="O137" s="90"/>
      <c r="P137" s="90"/>
    </row>
  </sheetData>
  <mergeCells count="5">
    <mergeCell ref="B105:C105"/>
    <mergeCell ref="B106:C106"/>
    <mergeCell ref="B107:C107"/>
    <mergeCell ref="B108:C108"/>
    <mergeCell ref="B109:C10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2009-11-18T00:12:02Z</dcterms:created>
  <dcterms:modified xsi:type="dcterms:W3CDTF">2009-11-20T00:25:10Z</dcterms:modified>
</cp:coreProperties>
</file>