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3995" windowHeight="58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25" i="1"/>
  <c r="D103"/>
  <c r="C103"/>
  <c r="C102"/>
  <c r="C101"/>
  <c r="F59"/>
  <c r="F8" s="1"/>
  <c r="F58"/>
  <c r="F71"/>
  <c r="F69"/>
  <c r="F9" s="1"/>
  <c r="H37"/>
  <c r="E8" l="1"/>
  <c r="G8"/>
  <c r="D9"/>
  <c r="G9"/>
  <c r="E9"/>
  <c r="H8"/>
  <c r="H9"/>
  <c r="C23"/>
  <c r="C24" s="1"/>
  <c r="E19"/>
  <c r="F19"/>
  <c r="G19"/>
  <c r="H19"/>
  <c r="D19"/>
  <c r="E89"/>
  <c r="G89" s="1"/>
  <c r="E90"/>
  <c r="E91"/>
  <c r="G91" s="1"/>
  <c r="E92"/>
  <c r="G92" s="1"/>
  <c r="E93"/>
  <c r="G93" s="1"/>
  <c r="E94"/>
  <c r="E88"/>
  <c r="G88" s="1"/>
  <c r="E53"/>
  <c r="E54" s="1"/>
  <c r="D8" s="1"/>
  <c r="H4"/>
  <c r="G4"/>
  <c r="E65"/>
  <c r="E66"/>
  <c r="E67"/>
  <c r="E68"/>
  <c r="E70"/>
  <c r="E64"/>
  <c r="E71" l="1"/>
  <c r="F5"/>
  <c r="E5"/>
  <c r="G5"/>
  <c r="D5"/>
  <c r="H5"/>
  <c r="C119"/>
  <c r="F110"/>
  <c r="H92"/>
  <c r="J92" s="1"/>
  <c r="G94"/>
  <c r="H94" s="1"/>
  <c r="J94" s="1"/>
  <c r="G90"/>
  <c r="H90" s="1"/>
  <c r="J90" s="1"/>
  <c r="H88"/>
  <c r="H93"/>
  <c r="J93" s="1"/>
  <c r="H91"/>
  <c r="J91" s="1"/>
  <c r="H89"/>
  <c r="J89" s="1"/>
  <c r="H7"/>
  <c r="G7"/>
  <c r="F4"/>
  <c r="F7" s="1"/>
  <c r="E4"/>
  <c r="D4"/>
  <c r="D7" s="1"/>
  <c r="B101" s="1"/>
  <c r="C44"/>
  <c r="E10" l="1"/>
  <c r="E11" s="1"/>
  <c r="G10"/>
  <c r="G11" s="1"/>
  <c r="D10"/>
  <c r="D11" s="1"/>
  <c r="B102" s="1"/>
  <c r="F10"/>
  <c r="F11" s="1"/>
  <c r="H10"/>
  <c r="H11" s="1"/>
  <c r="G12"/>
  <c r="B103"/>
  <c r="C26" s="1"/>
  <c r="F12"/>
  <c r="H12"/>
  <c r="C111"/>
  <c r="D113"/>
  <c r="D115"/>
  <c r="D112"/>
  <c r="D114"/>
  <c r="D111"/>
  <c r="D12"/>
  <c r="E7"/>
  <c r="E12" s="1"/>
  <c r="G95"/>
  <c r="G96" s="1"/>
  <c r="H22" s="1"/>
  <c r="H95"/>
  <c r="J88"/>
  <c r="J95" s="1"/>
  <c r="H15" s="1"/>
  <c r="H21" s="1"/>
  <c r="D116" l="1"/>
  <c r="E111"/>
  <c r="D20" s="1"/>
  <c r="D14"/>
  <c r="D16" s="1"/>
  <c r="D17" s="1"/>
  <c r="D18" s="1"/>
  <c r="D26" l="1"/>
  <c r="F111"/>
  <c r="C112" l="1"/>
  <c r="E14" l="1"/>
  <c r="E16" s="1"/>
  <c r="E17" s="1"/>
  <c r="E18" s="1"/>
  <c r="E112"/>
  <c r="E20" s="1"/>
  <c r="E26" l="1"/>
  <c r="F112"/>
  <c r="C113" l="1"/>
  <c r="F14" l="1"/>
  <c r="F16" s="1"/>
  <c r="F17" s="1"/>
  <c r="F18" s="1"/>
  <c r="F26" s="1"/>
  <c r="E113"/>
  <c r="F20" s="1"/>
  <c r="F113" l="1"/>
  <c r="C114" l="1"/>
  <c r="G14" l="1"/>
  <c r="G16" s="1"/>
  <c r="G17" s="1"/>
  <c r="G18" s="1"/>
  <c r="E114"/>
  <c r="G20" s="1"/>
  <c r="G26" l="1"/>
  <c r="C31" s="1"/>
  <c r="F114"/>
  <c r="C115" l="1"/>
  <c r="H14" l="1"/>
  <c r="H16" s="1"/>
  <c r="H17" s="1"/>
  <c r="H18" s="1"/>
  <c r="E115"/>
  <c r="H20" s="1"/>
  <c r="C116"/>
  <c r="H26" l="1"/>
  <c r="C30" s="1"/>
  <c r="C29"/>
  <c r="E116"/>
  <c r="F115"/>
</calcChain>
</file>

<file path=xl/sharedStrings.xml><?xml version="1.0" encoding="utf-8"?>
<sst xmlns="http://schemas.openxmlformats.org/spreadsheetml/2006/main" count="124" uniqueCount="111">
  <si>
    <t>Flujo de caja</t>
  </si>
  <si>
    <t>Año1</t>
  </si>
  <si>
    <t>Año 2</t>
  </si>
  <si>
    <t>Año3</t>
  </si>
  <si>
    <t>Año4</t>
  </si>
  <si>
    <t>Año5</t>
  </si>
  <si>
    <t>Ingresos</t>
  </si>
  <si>
    <t>Remuneraciones</t>
  </si>
  <si>
    <t>Gastos arriendo</t>
  </si>
  <si>
    <t>Egresos</t>
  </si>
  <si>
    <t>Margen de utilidad</t>
  </si>
  <si>
    <t>Depreciación</t>
  </si>
  <si>
    <t>Valor libro</t>
  </si>
  <si>
    <t>Utilidad antes de impuesto</t>
  </si>
  <si>
    <t>Valor Libro</t>
  </si>
  <si>
    <t>Valor de desecho</t>
  </si>
  <si>
    <t>Capital de trabajo</t>
  </si>
  <si>
    <t>Flujo caja neto</t>
  </si>
  <si>
    <t>Venta de sistema</t>
  </si>
  <si>
    <t>Venta activos</t>
  </si>
  <si>
    <t>Valor del sistema</t>
  </si>
  <si>
    <t>Cantidad de venta por año</t>
  </si>
  <si>
    <t>Año 1</t>
  </si>
  <si>
    <t>Año 3</t>
  </si>
  <si>
    <t>Año 4</t>
  </si>
  <si>
    <t>Año 5</t>
  </si>
  <si>
    <t>Total</t>
  </si>
  <si>
    <t>Flujo de caja desarrollo del sistema</t>
  </si>
  <si>
    <t>Duración de proyecto</t>
  </si>
  <si>
    <t>meses</t>
  </si>
  <si>
    <t>Detalle Remuneraciones</t>
  </si>
  <si>
    <t xml:space="preserve">Detalle </t>
  </si>
  <si>
    <t>Cantidad</t>
  </si>
  <si>
    <t>Sueldo Mes</t>
  </si>
  <si>
    <t>Total Sueldos</t>
  </si>
  <si>
    <t>Analista Programador</t>
  </si>
  <si>
    <t xml:space="preserve">Gastos </t>
  </si>
  <si>
    <t>Detalle</t>
  </si>
  <si>
    <t>cantidad</t>
  </si>
  <si>
    <t>Total Mensual</t>
  </si>
  <si>
    <t>Luz</t>
  </si>
  <si>
    <t>Agua</t>
  </si>
  <si>
    <t>Comestibles</t>
  </si>
  <si>
    <t>Arriendo oficina</t>
  </si>
  <si>
    <t>valor</t>
  </si>
  <si>
    <t>Escritorios</t>
  </si>
  <si>
    <t>Sillas</t>
  </si>
  <si>
    <t>Estante</t>
  </si>
  <si>
    <t>Computadores</t>
  </si>
  <si>
    <t>Impresora</t>
  </si>
  <si>
    <t>Router wifi</t>
  </si>
  <si>
    <t>Mesa Impresora</t>
  </si>
  <si>
    <t>I. Inicial</t>
  </si>
  <si>
    <t>Demanda de Clientes</t>
  </si>
  <si>
    <t>Total Pymes</t>
  </si>
  <si>
    <t>Invierten en TI</t>
  </si>
  <si>
    <t>Total Mercado</t>
  </si>
  <si>
    <t>% Mercado esperado</t>
  </si>
  <si>
    <t>Total Demanda Primer año</t>
  </si>
  <si>
    <t>Tasa de crecimiento</t>
  </si>
  <si>
    <t>Total Proyecto</t>
  </si>
  <si>
    <t>Controles de cambio y mantenciones</t>
  </si>
  <si>
    <t>Valor Mantención y modificaciones</t>
  </si>
  <si>
    <t>Depreciación Activos</t>
  </si>
  <si>
    <t>V. adquisición</t>
  </si>
  <si>
    <t>Valor total</t>
  </si>
  <si>
    <t>V. residual</t>
  </si>
  <si>
    <t xml:space="preserve">Depreciación </t>
  </si>
  <si>
    <t>computadores</t>
  </si>
  <si>
    <t>impresora</t>
  </si>
  <si>
    <t>router</t>
  </si>
  <si>
    <t>Mesa impresora</t>
  </si>
  <si>
    <t>valor libro</t>
  </si>
  <si>
    <t>falto depreciar</t>
  </si>
  <si>
    <t>Impuesto (17%)</t>
  </si>
  <si>
    <t>Año0</t>
  </si>
  <si>
    <t xml:space="preserve">Van </t>
  </si>
  <si>
    <t>Tir</t>
  </si>
  <si>
    <t>Td   %</t>
  </si>
  <si>
    <t>Pri</t>
  </si>
  <si>
    <t>Total v. residual</t>
  </si>
  <si>
    <t>PAGO</t>
  </si>
  <si>
    <t>SALDO</t>
  </si>
  <si>
    <t>AÑOS</t>
  </si>
  <si>
    <t>INTERESES</t>
  </si>
  <si>
    <t>FIJO</t>
  </si>
  <si>
    <t>AMORTIZACION</t>
  </si>
  <si>
    <t>INSOLUTO</t>
  </si>
  <si>
    <t>Totales</t>
  </si>
  <si>
    <t>Pago Fijo</t>
  </si>
  <si>
    <t>* se consideran 2 mantenciones y modificaciones en el año</t>
  </si>
  <si>
    <t>Total Anual Gastos</t>
  </si>
  <si>
    <t>Total Anual Arriendo</t>
  </si>
  <si>
    <t>* Se considera otro analista programador para realizar soporte y mantenciones del sistema</t>
  </si>
  <si>
    <t>Sueldo</t>
  </si>
  <si>
    <t>El primer año se contratara una vez terminado el desarrollo por</t>
  </si>
  <si>
    <t>Costos de energía y teléfono y otros</t>
  </si>
  <si>
    <t>Intereses del préstamo</t>
  </si>
  <si>
    <t>Utilidad después del impuesto</t>
  </si>
  <si>
    <t>Amortización préstamo</t>
  </si>
  <si>
    <t>Inversión Inicial</t>
  </si>
  <si>
    <t>Préstamo</t>
  </si>
  <si>
    <t>se recupera la inversión al tercer año</t>
  </si>
  <si>
    <t>y los siguientes 4 años serán completos</t>
  </si>
  <si>
    <t>Insumos (tintas, accesorios of)</t>
  </si>
  <si>
    <t>Movilización</t>
  </si>
  <si>
    <t>Teléfono + Internet</t>
  </si>
  <si>
    <t>Inversión Activos</t>
  </si>
  <si>
    <t>Vida útil</t>
  </si>
  <si>
    <t>Calculo Amortización</t>
  </si>
  <si>
    <t>Con financiamiento del 70%</t>
  </si>
</sst>
</file>

<file path=xl/styles.xml><?xml version="1.0" encoding="utf-8"?>
<styleSheet xmlns="http://schemas.openxmlformats.org/spreadsheetml/2006/main">
  <numFmts count="1">
    <numFmt numFmtId="8" formatCode="&quot;$&quot;\ #,##0.00;[Red]\-&quot;$&quot;\ 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0" fillId="0" borderId="0" xfId="0"/>
    <xf numFmtId="3" fontId="0" fillId="0" borderId="1" xfId="0" applyNumberFormat="1" applyBorder="1"/>
    <xf numFmtId="3" fontId="1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3" fontId="2" fillId="0" borderId="1" xfId="0" applyNumberFormat="1" applyFont="1" applyBorder="1"/>
    <xf numFmtId="3" fontId="3" fillId="2" borderId="1" xfId="0" applyNumberFormat="1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0" fillId="0" borderId="1" xfId="0" applyBorder="1"/>
    <xf numFmtId="0" fontId="0" fillId="0" borderId="4" xfId="0" applyBorder="1"/>
    <xf numFmtId="0" fontId="1" fillId="0" borderId="0" xfId="0" applyFont="1" applyFill="1" applyBorder="1" applyAlignment="1">
      <alignment horizontal="right"/>
    </xf>
    <xf numFmtId="9" fontId="0" fillId="0" borderId="1" xfId="0" applyNumberFormat="1" applyBorder="1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2" borderId="1" xfId="0" applyFill="1" applyBorder="1"/>
    <xf numFmtId="0" fontId="1" fillId="2" borderId="1" xfId="0" applyFont="1" applyFill="1" applyBorder="1"/>
    <xf numFmtId="3" fontId="0" fillId="0" borderId="1" xfId="0" applyNumberFormat="1" applyBorder="1"/>
    <xf numFmtId="3" fontId="0" fillId="0" borderId="0" xfId="0" applyNumberFormat="1" applyBorder="1"/>
    <xf numFmtId="0" fontId="0" fillId="0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3" fontId="1" fillId="3" borderId="1" xfId="0" applyNumberFormat="1" applyFont="1" applyFill="1" applyBorder="1"/>
    <xf numFmtId="0" fontId="0" fillId="3" borderId="1" xfId="0" applyFill="1" applyBorder="1"/>
    <xf numFmtId="3" fontId="0" fillId="0" borderId="1" xfId="0" applyNumberFormat="1" applyFill="1" applyBorder="1"/>
    <xf numFmtId="3" fontId="1" fillId="0" borderId="1" xfId="0" applyNumberFormat="1" applyFont="1" applyBorder="1"/>
    <xf numFmtId="0" fontId="0" fillId="0" borderId="0" xfId="0"/>
    <xf numFmtId="0" fontId="0" fillId="0" borderId="1" xfId="0" applyBorder="1"/>
    <xf numFmtId="0" fontId="1" fillId="0" borderId="1" xfId="0" applyFont="1" applyBorder="1"/>
    <xf numFmtId="3" fontId="0" fillId="0" borderId="0" xfId="0" applyNumberFormat="1"/>
    <xf numFmtId="0" fontId="0" fillId="0" borderId="0" xfId="0" applyBorder="1"/>
    <xf numFmtId="0" fontId="0" fillId="2" borderId="1" xfId="0" applyFill="1" applyBorder="1"/>
    <xf numFmtId="0" fontId="0" fillId="0" borderId="0" xfId="0" applyFill="1" applyBorder="1"/>
    <xf numFmtId="0" fontId="1" fillId="2" borderId="1" xfId="0" applyFont="1" applyFill="1" applyBorder="1"/>
    <xf numFmtId="3" fontId="0" fillId="0" borderId="1" xfId="0" applyNumberFormat="1" applyBorder="1"/>
    <xf numFmtId="3" fontId="0" fillId="0" borderId="1" xfId="0" applyNumberFormat="1" applyFill="1" applyBorder="1"/>
    <xf numFmtId="3" fontId="1" fillId="0" borderId="1" xfId="0" applyNumberFormat="1" applyFont="1" applyBorder="1"/>
    <xf numFmtId="1" fontId="0" fillId="0" borderId="0" xfId="0" applyNumberFormat="1"/>
    <xf numFmtId="9" fontId="0" fillId="0" borderId="4" xfId="0" applyNumberFormat="1" applyBorder="1"/>
    <xf numFmtId="0" fontId="1" fillId="0" borderId="2" xfId="0" applyFont="1" applyBorder="1"/>
    <xf numFmtId="0" fontId="0" fillId="0" borderId="2" xfId="0" applyBorder="1"/>
    <xf numFmtId="0" fontId="3" fillId="0" borderId="3" xfId="0" applyFont="1" applyFill="1" applyBorder="1"/>
    <xf numFmtId="0" fontId="2" fillId="0" borderId="3" xfId="0" applyFont="1" applyFill="1" applyBorder="1"/>
    <xf numFmtId="3" fontId="0" fillId="0" borderId="3" xfId="0" applyNumberFormat="1" applyFill="1" applyBorder="1"/>
    <xf numFmtId="0" fontId="1" fillId="2" borderId="1" xfId="0" applyFont="1" applyFill="1" applyBorder="1" applyAlignment="1">
      <alignment horizontal="left"/>
    </xf>
    <xf numFmtId="0" fontId="1" fillId="2" borderId="8" xfId="0" applyFont="1" applyFill="1" applyBorder="1"/>
    <xf numFmtId="0" fontId="0" fillId="2" borderId="4" xfId="0" applyFill="1" applyBorder="1"/>
    <xf numFmtId="0" fontId="1" fillId="2" borderId="5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2" borderId="7" xfId="0" applyFill="1" applyBorder="1"/>
    <xf numFmtId="3" fontId="0" fillId="0" borderId="8" xfId="0" applyNumberFormat="1" applyBorder="1"/>
    <xf numFmtId="3" fontId="1" fillId="0" borderId="0" xfId="0" applyNumberFormat="1" applyFont="1" applyBorder="1"/>
    <xf numFmtId="3" fontId="5" fillId="0" borderId="1" xfId="0" applyNumberFormat="1" applyFont="1" applyBorder="1"/>
    <xf numFmtId="3" fontId="6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0" xfId="0" applyNumberFormat="1"/>
    <xf numFmtId="3" fontId="0" fillId="0" borderId="0" xfId="0" applyNumberFormat="1" applyAlignment="1">
      <alignment horizontal="center"/>
    </xf>
    <xf numFmtId="3" fontId="2" fillId="0" borderId="1" xfId="0" applyNumberFormat="1" applyFont="1" applyFill="1" applyBorder="1"/>
    <xf numFmtId="3" fontId="5" fillId="2" borderId="8" xfId="0" applyNumberFormat="1" applyFont="1" applyFill="1" applyBorder="1"/>
    <xf numFmtId="3" fontId="0" fillId="0" borderId="8" xfId="0" applyNumberFormat="1" applyBorder="1" applyAlignment="1">
      <alignment horizontal="center"/>
    </xf>
    <xf numFmtId="3" fontId="0" fillId="0" borderId="4" xfId="0" applyNumberFormat="1" applyBorder="1"/>
    <xf numFmtId="3" fontId="0" fillId="0" borderId="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5" fillId="0" borderId="9" xfId="0" applyNumberFormat="1" applyFont="1" applyFill="1" applyBorder="1"/>
    <xf numFmtId="3" fontId="1" fillId="2" borderId="4" xfId="0" applyNumberFormat="1" applyFont="1" applyFill="1" applyBorder="1"/>
    <xf numFmtId="3" fontId="1" fillId="2" borderId="1" xfId="0" applyNumberFormat="1" applyFont="1" applyFill="1" applyBorder="1"/>
    <xf numFmtId="3" fontId="3" fillId="2" borderId="2" xfId="0" applyNumberFormat="1" applyFont="1" applyFill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3" fillId="0" borderId="1" xfId="0" applyFont="1" applyFill="1" applyBorder="1"/>
    <xf numFmtId="8" fontId="3" fillId="0" borderId="1" xfId="0" applyNumberFormat="1" applyFont="1" applyFill="1" applyBorder="1"/>
    <xf numFmtId="9" fontId="3" fillId="0" borderId="1" xfId="0" applyNumberFormat="1" applyFont="1" applyFill="1" applyBorder="1"/>
    <xf numFmtId="3" fontId="0" fillId="0" borderId="0" xfId="0" applyNumberFormat="1" applyFill="1" applyBorder="1" applyAlignment="1">
      <alignment horizontal="center"/>
    </xf>
    <xf numFmtId="0" fontId="7" fillId="0" borderId="3" xfId="0" applyFont="1" applyFill="1" applyBorder="1"/>
    <xf numFmtId="0" fontId="2" fillId="0" borderId="0" xfId="0" applyFont="1"/>
    <xf numFmtId="0" fontId="3" fillId="0" borderId="0" xfId="0" applyFont="1"/>
    <xf numFmtId="3" fontId="0" fillId="0" borderId="9" xfId="0" applyNumberFormat="1" applyBorder="1"/>
    <xf numFmtId="3" fontId="0" fillId="0" borderId="2" xfId="0" applyNumberFormat="1" applyBorder="1"/>
    <xf numFmtId="0" fontId="1" fillId="0" borderId="2" xfId="0" applyFont="1" applyBorder="1" applyAlignment="1">
      <alignment horizontal="center"/>
    </xf>
    <xf numFmtId="0" fontId="3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0" xfId="0" applyFont="1" applyBorder="1"/>
    <xf numFmtId="0" fontId="3" fillId="0" borderId="16" xfId="0" applyFont="1" applyBorder="1"/>
    <xf numFmtId="0" fontId="3" fillId="0" borderId="11" xfId="0" applyFont="1" applyBorder="1"/>
    <xf numFmtId="3" fontId="3" fillId="0" borderId="17" xfId="0" applyNumberFormat="1" applyFont="1" applyBorder="1"/>
    <xf numFmtId="0" fontId="3" fillId="0" borderId="18" xfId="0" applyFont="1" applyBorder="1"/>
    <xf numFmtId="0" fontId="3" fillId="0" borderId="12" xfId="0" applyFont="1" applyBorder="1"/>
    <xf numFmtId="3" fontId="3" fillId="0" borderId="19" xfId="0" applyNumberFormat="1" applyFont="1" applyBorder="1"/>
    <xf numFmtId="3" fontId="1" fillId="0" borderId="1" xfId="0" applyNumberFormat="1" applyFont="1" applyFill="1" applyBorder="1"/>
    <xf numFmtId="0" fontId="0" fillId="0" borderId="5" xfId="0" applyFill="1" applyBorder="1"/>
    <xf numFmtId="0" fontId="0" fillId="0" borderId="1" xfId="0" applyBorder="1" applyAlignment="1">
      <alignment horizontal="center"/>
    </xf>
    <xf numFmtId="3" fontId="0" fillId="0" borderId="21" xfId="0" applyNumberFormat="1" applyBorder="1"/>
    <xf numFmtId="0" fontId="0" fillId="0" borderId="22" xfId="0" applyBorder="1"/>
    <xf numFmtId="0" fontId="0" fillId="0" borderId="6" xfId="0" applyBorder="1"/>
    <xf numFmtId="0" fontId="0" fillId="0" borderId="8" xfId="0" applyFill="1" applyBorder="1"/>
    <xf numFmtId="0" fontId="0" fillId="0" borderId="23" xfId="0" applyBorder="1"/>
    <xf numFmtId="3" fontId="0" fillId="0" borderId="7" xfId="0" applyNumberFormat="1" applyBorder="1"/>
    <xf numFmtId="0" fontId="1" fillId="3" borderId="20" xfId="0" applyFont="1" applyFill="1" applyBorder="1" applyAlignment="1">
      <alignment horizontal="right"/>
    </xf>
    <xf numFmtId="3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0"/>
  <sheetViews>
    <sheetView tabSelected="1" topLeftCell="A67" workbookViewId="0">
      <selection activeCell="C2" sqref="C2"/>
    </sheetView>
  </sheetViews>
  <sheetFormatPr baseColWidth="10" defaultRowHeight="15"/>
  <cols>
    <col min="2" max="2" width="31.7109375" customWidth="1"/>
    <col min="3" max="3" width="14.140625" customWidth="1"/>
    <col min="4" max="4" width="16.85546875" customWidth="1"/>
    <col min="5" max="5" width="17.5703125" customWidth="1"/>
    <col min="6" max="6" width="19.140625" customWidth="1"/>
    <col min="7" max="7" width="14.42578125" customWidth="1"/>
    <col min="8" max="8" width="15.140625" customWidth="1"/>
    <col min="10" max="10" width="12.5703125" customWidth="1"/>
    <col min="11" max="11" width="13.85546875" customWidth="1"/>
  </cols>
  <sheetData>
    <row r="1" spans="2:8">
      <c r="B1" s="1" t="s">
        <v>0</v>
      </c>
      <c r="C1" s="19" t="s">
        <v>110</v>
      </c>
    </row>
    <row r="2" spans="2:8">
      <c r="C2" s="33"/>
    </row>
    <row r="3" spans="2:8">
      <c r="B3" s="2"/>
      <c r="C3" s="19" t="s">
        <v>75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2:8">
      <c r="B4" s="7" t="s">
        <v>18</v>
      </c>
      <c r="C4" s="7"/>
      <c r="D4" s="3">
        <f>$C$36*$C39</f>
        <v>6000000</v>
      </c>
      <c r="E4" s="3">
        <f>$C$36*$C40</f>
        <v>8000000</v>
      </c>
      <c r="F4" s="3">
        <f>$C$36*$C41</f>
        <v>12000000</v>
      </c>
      <c r="G4" s="3">
        <f>$C$36*$C42</f>
        <v>20000000</v>
      </c>
      <c r="H4" s="3">
        <f>$C$36*$C43</f>
        <v>30000000</v>
      </c>
    </row>
    <row r="5" spans="2:8" s="33" customFormat="1">
      <c r="B5" s="7" t="s">
        <v>61</v>
      </c>
      <c r="C5" s="7"/>
      <c r="D5" s="41">
        <f>$H$37</f>
        <v>200000</v>
      </c>
      <c r="E5" s="41">
        <f>$H$37</f>
        <v>200000</v>
      </c>
      <c r="F5" s="41">
        <f>$H$37</f>
        <v>200000</v>
      </c>
      <c r="G5" s="41">
        <f>$H$37</f>
        <v>200000</v>
      </c>
      <c r="H5" s="41">
        <f>$H$37</f>
        <v>200000</v>
      </c>
    </row>
    <row r="6" spans="2:8">
      <c r="B6" s="7" t="s">
        <v>19</v>
      </c>
      <c r="C6" s="7"/>
      <c r="D6" s="3"/>
      <c r="E6" s="3"/>
      <c r="F6" s="3"/>
      <c r="G6" s="3"/>
      <c r="H6" s="3"/>
    </row>
    <row r="7" spans="2:8" s="19" customFormat="1">
      <c r="B7" s="8" t="s">
        <v>6</v>
      </c>
      <c r="C7" s="8"/>
      <c r="D7" s="73">
        <f>SUM(D4:D6)</f>
        <v>6200000</v>
      </c>
      <c r="E7" s="73">
        <f t="shared" ref="E7:H7" si="0">SUM(E4:E6)</f>
        <v>8200000</v>
      </c>
      <c r="F7" s="73">
        <f t="shared" si="0"/>
        <v>12200000</v>
      </c>
      <c r="G7" s="73">
        <f t="shared" si="0"/>
        <v>20200000</v>
      </c>
      <c r="H7" s="73">
        <f t="shared" si="0"/>
        <v>30200000</v>
      </c>
    </row>
    <row r="8" spans="2:8">
      <c r="B8" s="7" t="s">
        <v>7</v>
      </c>
      <c r="C8" s="7"/>
      <c r="D8" s="41">
        <f>-(E54+F58)</f>
        <v>-4500000</v>
      </c>
      <c r="E8" s="41">
        <f>-$F$59</f>
        <v>-3600000</v>
      </c>
      <c r="F8" s="41">
        <f t="shared" ref="F8:H8" si="1">-$F$59</f>
        <v>-3600000</v>
      </c>
      <c r="G8" s="41">
        <f t="shared" si="1"/>
        <v>-3600000</v>
      </c>
      <c r="H8" s="41">
        <f t="shared" si="1"/>
        <v>-3600000</v>
      </c>
    </row>
    <row r="9" spans="2:8">
      <c r="B9" s="5" t="s">
        <v>8</v>
      </c>
      <c r="C9" s="5"/>
      <c r="D9" s="41">
        <f>-$F$69</f>
        <v>-2400000</v>
      </c>
      <c r="E9" s="41">
        <f t="shared" ref="E9:H9" si="2">-$F$69</f>
        <v>-2400000</v>
      </c>
      <c r="F9" s="41">
        <f t="shared" si="2"/>
        <v>-2400000</v>
      </c>
      <c r="G9" s="41">
        <f t="shared" si="2"/>
        <v>-2400000</v>
      </c>
      <c r="H9" s="41">
        <f t="shared" si="2"/>
        <v>-2400000</v>
      </c>
    </row>
    <row r="10" spans="2:8">
      <c r="B10" s="5" t="s">
        <v>96</v>
      </c>
      <c r="C10" s="5"/>
      <c r="D10" s="7">
        <f>-$E$71</f>
        <v>-2640000</v>
      </c>
      <c r="E10" s="7">
        <f t="shared" ref="E10:H10" si="3">-$E$71</f>
        <v>-2640000</v>
      </c>
      <c r="F10" s="7">
        <f t="shared" si="3"/>
        <v>-2640000</v>
      </c>
      <c r="G10" s="7">
        <f t="shared" si="3"/>
        <v>-2640000</v>
      </c>
      <c r="H10" s="7">
        <f t="shared" si="3"/>
        <v>-2640000</v>
      </c>
    </row>
    <row r="11" spans="2:8" s="19" customFormat="1">
      <c r="B11" s="9" t="s">
        <v>9</v>
      </c>
      <c r="C11" s="9"/>
      <c r="D11" s="8">
        <f>SUM(D8:D10)</f>
        <v>-9540000</v>
      </c>
      <c r="E11" s="8">
        <f>SUM(E8:E10)</f>
        <v>-8640000</v>
      </c>
      <c r="F11" s="8">
        <f>SUM(F8:F10)</f>
        <v>-8640000</v>
      </c>
      <c r="G11" s="8">
        <f>SUM(G8:G10)</f>
        <v>-8640000</v>
      </c>
      <c r="H11" s="8">
        <f>SUM(H8:H10)</f>
        <v>-8640000</v>
      </c>
    </row>
    <row r="12" spans="2:8" s="19" customFormat="1">
      <c r="B12" s="9" t="s">
        <v>10</v>
      </c>
      <c r="C12" s="9"/>
      <c r="D12" s="8">
        <f>SUM(D7+D11)</f>
        <v>-3340000</v>
      </c>
      <c r="E12" s="8">
        <f t="shared" ref="E12:H12" si="4">SUM(E7+E11)</f>
        <v>-440000</v>
      </c>
      <c r="F12" s="8">
        <f t="shared" si="4"/>
        <v>3560000</v>
      </c>
      <c r="G12" s="8">
        <f t="shared" si="4"/>
        <v>11560000</v>
      </c>
      <c r="H12" s="8">
        <f t="shared" si="4"/>
        <v>21560000</v>
      </c>
    </row>
    <row r="13" spans="2:8">
      <c r="B13" s="6" t="s">
        <v>11</v>
      </c>
      <c r="C13" s="6"/>
      <c r="D13" s="65">
        <v>-204000</v>
      </c>
      <c r="E13" s="65">
        <v>-204000</v>
      </c>
      <c r="F13" s="65">
        <v>-204000</v>
      </c>
      <c r="G13" s="65">
        <v>-204000</v>
      </c>
      <c r="H13" s="65">
        <v>-204000</v>
      </c>
    </row>
    <row r="14" spans="2:8">
      <c r="B14" s="5" t="s">
        <v>97</v>
      </c>
      <c r="C14" s="5"/>
      <c r="D14" s="7">
        <f>-$C111</f>
        <v>-60325.999999999993</v>
      </c>
      <c r="E14" s="7">
        <f>-$C112</f>
        <v>-49667.030240709901</v>
      </c>
      <c r="F14" s="7">
        <f>-$C113</f>
        <v>-38347.20435634382</v>
      </c>
      <c r="G14" s="7">
        <f>-$C114</f>
        <v>-26325.549267147046</v>
      </c>
      <c r="H14" s="7">
        <f>-$C115</f>
        <v>-13558.551562420071</v>
      </c>
    </row>
    <row r="15" spans="2:8">
      <c r="B15" s="5" t="s">
        <v>12</v>
      </c>
      <c r="C15" s="5"/>
      <c r="D15" s="7"/>
      <c r="E15" s="41"/>
      <c r="F15" s="41"/>
      <c r="G15" s="41"/>
      <c r="H15" s="41">
        <f>-(J95)</f>
        <v>-230999.99999999997</v>
      </c>
    </row>
    <row r="16" spans="2:8" s="19" customFormat="1">
      <c r="B16" s="9" t="s">
        <v>13</v>
      </c>
      <c r="C16" s="9"/>
      <c r="D16" s="8">
        <f>SUM(D12:D15)</f>
        <v>-3604326</v>
      </c>
      <c r="E16" s="8">
        <f t="shared" ref="E16:H16" si="5">SUM(E12:E15)</f>
        <v>-693667.03024070989</v>
      </c>
      <c r="F16" s="8">
        <f t="shared" si="5"/>
        <v>3317652.795643656</v>
      </c>
      <c r="G16" s="8">
        <f t="shared" si="5"/>
        <v>11329674.450732853</v>
      </c>
      <c r="H16" s="8">
        <f t="shared" si="5"/>
        <v>21111441.448437579</v>
      </c>
    </row>
    <row r="17" spans="2:8">
      <c r="B17" s="6" t="s">
        <v>74</v>
      </c>
      <c r="C17" s="6"/>
      <c r="D17" s="65">
        <f>-(D16*0.17)</f>
        <v>612735.42000000004</v>
      </c>
      <c r="E17" s="65">
        <f t="shared" ref="E17:H17" si="6">-(E16*0.17)</f>
        <v>117923.39514092069</v>
      </c>
      <c r="F17" s="65">
        <f t="shared" si="6"/>
        <v>-564000.97525942163</v>
      </c>
      <c r="G17" s="65">
        <f t="shared" si="6"/>
        <v>-1926044.6566245852</v>
      </c>
      <c r="H17" s="65">
        <f t="shared" si="6"/>
        <v>-3588945.0462343888</v>
      </c>
    </row>
    <row r="18" spans="2:8" s="19" customFormat="1">
      <c r="B18" s="9" t="s">
        <v>98</v>
      </c>
      <c r="C18" s="9"/>
      <c r="D18" s="8">
        <f>SUM(D16:D17)</f>
        <v>-2991590.58</v>
      </c>
      <c r="E18" s="8">
        <f t="shared" ref="E18:H18" si="7">SUM(E16:E17)</f>
        <v>-575743.63509978924</v>
      </c>
      <c r="F18" s="8">
        <f t="shared" si="7"/>
        <v>2753651.8203842342</v>
      </c>
      <c r="G18" s="8">
        <f t="shared" si="7"/>
        <v>9403629.7941082679</v>
      </c>
      <c r="H18" s="8">
        <f t="shared" si="7"/>
        <v>17522496.402203191</v>
      </c>
    </row>
    <row r="19" spans="2:8">
      <c r="B19" s="6" t="s">
        <v>11</v>
      </c>
      <c r="C19" s="6"/>
      <c r="D19" s="65">
        <f>-SUM(D13)</f>
        <v>204000</v>
      </c>
      <c r="E19" s="65">
        <f t="shared" ref="E19:H19" si="8">-SUM(E13)</f>
        <v>204000</v>
      </c>
      <c r="F19" s="65">
        <f t="shared" si="8"/>
        <v>204000</v>
      </c>
      <c r="G19" s="65">
        <f t="shared" si="8"/>
        <v>204000</v>
      </c>
      <c r="H19" s="65">
        <f t="shared" si="8"/>
        <v>204000</v>
      </c>
    </row>
    <row r="20" spans="2:8">
      <c r="B20" s="5" t="s">
        <v>99</v>
      </c>
      <c r="C20" s="5"/>
      <c r="D20" s="7">
        <f>-$E$111</f>
        <v>-171918.86708532408</v>
      </c>
      <c r="E20" s="7">
        <f>-$E$112</f>
        <v>-182577.83684461418</v>
      </c>
      <c r="F20" s="7">
        <f>-$E$113</f>
        <v>-193897.66272898024</v>
      </c>
      <c r="G20" s="7">
        <f>-$E$114</f>
        <v>-205919.31781817702</v>
      </c>
      <c r="H20" s="7">
        <f>-$E$115</f>
        <v>-218686.31552290401</v>
      </c>
    </row>
    <row r="21" spans="2:8">
      <c r="B21" s="5" t="s">
        <v>14</v>
      </c>
      <c r="C21" s="5"/>
      <c r="D21" s="7"/>
      <c r="E21" s="41"/>
      <c r="F21" s="41"/>
      <c r="G21" s="41"/>
      <c r="H21" s="41">
        <f>-SUM(H15)</f>
        <v>230999.99999999997</v>
      </c>
    </row>
    <row r="22" spans="2:8">
      <c r="B22" s="5" t="s">
        <v>15</v>
      </c>
      <c r="C22" s="5"/>
      <c r="D22" s="7"/>
      <c r="E22" s="41"/>
      <c r="F22" s="41"/>
      <c r="G22" s="41"/>
      <c r="H22" s="41">
        <f>G96</f>
        <v>695000</v>
      </c>
    </row>
    <row r="23" spans="2:8">
      <c r="B23" s="5" t="s">
        <v>100</v>
      </c>
      <c r="C23" s="7">
        <f>-E83</f>
        <v>-1390000</v>
      </c>
      <c r="E23" s="41"/>
      <c r="F23" s="41"/>
      <c r="G23" s="41"/>
      <c r="H23" s="41"/>
    </row>
    <row r="24" spans="2:8">
      <c r="B24" s="5" t="s">
        <v>101</v>
      </c>
      <c r="C24" s="7">
        <f>-C23*(C27/100)</f>
        <v>972999.99999999988</v>
      </c>
      <c r="D24" s="7"/>
      <c r="E24" s="41"/>
      <c r="F24" s="41"/>
      <c r="G24" s="41"/>
      <c r="H24" s="41"/>
    </row>
    <row r="25" spans="2:8">
      <c r="B25" s="5" t="s">
        <v>16</v>
      </c>
      <c r="C25" s="7">
        <f>D103</f>
        <v>-3780000</v>
      </c>
      <c r="D25" s="7"/>
      <c r="E25" s="41"/>
      <c r="F25" s="41"/>
      <c r="G25" s="41"/>
      <c r="H25" s="41"/>
    </row>
    <row r="26" spans="2:8">
      <c r="B26" s="10" t="s">
        <v>17</v>
      </c>
      <c r="C26" s="74">
        <f>SUM(C19:C25)</f>
        <v>-4197000</v>
      </c>
      <c r="D26" s="74">
        <f>SUM(D18:D25)</f>
        <v>-2959509.4470853242</v>
      </c>
      <c r="E26" s="74">
        <f t="shared" ref="E26:H26" si="9">SUM(E18:E25)</f>
        <v>-554321.47194440337</v>
      </c>
      <c r="F26" s="74">
        <f t="shared" si="9"/>
        <v>2763754.157655254</v>
      </c>
      <c r="G26" s="74">
        <f t="shared" si="9"/>
        <v>9401710.47629009</v>
      </c>
      <c r="H26" s="74">
        <f t="shared" si="9"/>
        <v>18433810.086680286</v>
      </c>
    </row>
    <row r="27" spans="2:8">
      <c r="B27" s="48"/>
      <c r="C27" s="81">
        <v>70</v>
      </c>
      <c r="D27" s="49"/>
      <c r="E27" s="50"/>
      <c r="F27" s="50"/>
      <c r="G27" s="50"/>
      <c r="H27" s="50"/>
    </row>
    <row r="28" spans="2:8" s="33" customFormat="1">
      <c r="B28" s="77" t="s">
        <v>78</v>
      </c>
      <c r="C28" s="77">
        <v>12</v>
      </c>
      <c r="D28" s="75"/>
      <c r="E28" s="76"/>
      <c r="F28" s="76"/>
      <c r="G28" s="76"/>
      <c r="H28" s="76"/>
    </row>
    <row r="29" spans="2:8" s="33" customFormat="1">
      <c r="B29" s="77" t="s">
        <v>76</v>
      </c>
      <c r="C29" s="78">
        <f>NPV(C28/100,D26:H26)+C26</f>
        <v>11120660.658427969</v>
      </c>
      <c r="D29" s="75"/>
      <c r="E29" s="76"/>
      <c r="F29" s="76"/>
      <c r="G29" s="76"/>
      <c r="H29" s="76"/>
    </row>
    <row r="30" spans="2:8" s="33" customFormat="1">
      <c r="B30" s="77" t="s">
        <v>77</v>
      </c>
      <c r="C30" s="79">
        <f>IRR(C26:H26,C28/100)</f>
        <v>0.41527083730821057</v>
      </c>
      <c r="D30" s="75"/>
      <c r="E30" s="76"/>
      <c r="F30" s="76"/>
      <c r="G30" s="76"/>
      <c r="H30" s="76"/>
    </row>
    <row r="31" spans="2:8">
      <c r="B31" s="77" t="s">
        <v>79</v>
      </c>
      <c r="C31" s="34">
        <f>SUM(D26:G26)/-C26</f>
        <v>2.0613852072708165</v>
      </c>
      <c r="D31" s="33" t="s">
        <v>102</v>
      </c>
    </row>
    <row r="36" spans="2:8">
      <c r="B36" s="35" t="s">
        <v>20</v>
      </c>
      <c r="C36" s="41">
        <v>2000000</v>
      </c>
    </row>
    <row r="37" spans="2:8" s="33" customFormat="1">
      <c r="B37" s="35" t="s">
        <v>62</v>
      </c>
      <c r="C37" s="41">
        <v>100000</v>
      </c>
      <c r="D37" s="33" t="s">
        <v>90</v>
      </c>
      <c r="H37" s="36">
        <f>C37*2</f>
        <v>200000</v>
      </c>
    </row>
    <row r="38" spans="2:8">
      <c r="B38" s="1" t="s">
        <v>21</v>
      </c>
      <c r="E38" s="46" t="s">
        <v>53</v>
      </c>
      <c r="F38" s="47"/>
    </row>
    <row r="39" spans="2:8">
      <c r="B39" s="51" t="s">
        <v>22</v>
      </c>
      <c r="C39" s="11">
        <v>3</v>
      </c>
      <c r="E39" s="52" t="s">
        <v>54</v>
      </c>
      <c r="F39" s="53"/>
      <c r="G39" s="12">
        <v>962</v>
      </c>
    </row>
    <row r="40" spans="2:8">
      <c r="B40" s="51" t="s">
        <v>2</v>
      </c>
      <c r="C40" s="11">
        <v>4</v>
      </c>
      <c r="E40" s="52" t="s">
        <v>55</v>
      </c>
      <c r="F40" s="53"/>
      <c r="G40" s="45">
        <v>0.1</v>
      </c>
    </row>
    <row r="41" spans="2:8">
      <c r="B41" s="51" t="s">
        <v>23</v>
      </c>
      <c r="C41" s="11">
        <v>6</v>
      </c>
      <c r="E41" s="54" t="s">
        <v>56</v>
      </c>
      <c r="F41" s="55"/>
      <c r="G41" s="12">
        <v>96.2</v>
      </c>
    </row>
    <row r="42" spans="2:8">
      <c r="B42" s="51" t="s">
        <v>24</v>
      </c>
      <c r="C42" s="11">
        <v>10</v>
      </c>
      <c r="E42" s="56" t="s">
        <v>57</v>
      </c>
      <c r="F42" s="57"/>
      <c r="G42" s="14">
        <v>0.03</v>
      </c>
    </row>
    <row r="43" spans="2:8">
      <c r="B43" s="51" t="s">
        <v>25</v>
      </c>
      <c r="C43" s="11">
        <v>15</v>
      </c>
      <c r="E43" s="40" t="s">
        <v>58</v>
      </c>
      <c r="F43" s="38"/>
      <c r="G43" s="34">
        <v>2.8860000000000001</v>
      </c>
    </row>
    <row r="44" spans="2:8">
      <c r="B44" s="13" t="s">
        <v>26</v>
      </c>
      <c r="C44" s="11">
        <f>SUM(C39:C43)</f>
        <v>38</v>
      </c>
      <c r="E44" s="40" t="s">
        <v>59</v>
      </c>
      <c r="F44" s="38"/>
      <c r="G44" s="14">
        <v>0.5</v>
      </c>
    </row>
    <row r="45" spans="2:8">
      <c r="G45" s="33"/>
    </row>
    <row r="46" spans="2:8">
      <c r="G46" s="15"/>
      <c r="H46" s="44"/>
    </row>
    <row r="47" spans="2:8">
      <c r="E47" s="15"/>
      <c r="F47" s="15"/>
      <c r="G47" s="33"/>
      <c r="H47" s="15"/>
    </row>
    <row r="48" spans="2:8">
      <c r="B48" s="20" t="s">
        <v>27</v>
      </c>
      <c r="C48" s="15"/>
      <c r="D48" s="15"/>
      <c r="G48" s="33"/>
      <c r="H48" s="44"/>
    </row>
    <row r="49" spans="1:8">
      <c r="B49" s="15"/>
      <c r="C49" s="19" t="s">
        <v>28</v>
      </c>
      <c r="E49" s="17">
        <v>3</v>
      </c>
      <c r="F49" s="21" t="s">
        <v>29</v>
      </c>
      <c r="G49" s="33"/>
      <c r="H49" s="44"/>
    </row>
    <row r="50" spans="1:8">
      <c r="B50" s="22" t="s">
        <v>30</v>
      </c>
      <c r="C50" s="15"/>
      <c r="D50" s="15"/>
      <c r="E50" s="15"/>
      <c r="F50" s="15"/>
      <c r="G50" s="33"/>
      <c r="H50" s="44"/>
    </row>
    <row r="51" spans="1:8">
      <c r="B51" s="23" t="s">
        <v>31</v>
      </c>
      <c r="C51" s="23" t="s">
        <v>32</v>
      </c>
      <c r="D51" s="23" t="s">
        <v>33</v>
      </c>
      <c r="E51" s="23" t="s">
        <v>34</v>
      </c>
      <c r="F51" s="15"/>
      <c r="G51" s="33"/>
      <c r="H51" s="44"/>
    </row>
    <row r="52" spans="1:8">
      <c r="B52" s="16" t="s">
        <v>35</v>
      </c>
      <c r="C52" s="16">
        <v>1</v>
      </c>
      <c r="D52" s="24">
        <v>600000</v>
      </c>
      <c r="E52" s="24">
        <v>600000</v>
      </c>
      <c r="F52" s="15"/>
      <c r="G52" s="15"/>
      <c r="H52" s="44"/>
    </row>
    <row r="53" spans="1:8">
      <c r="B53" s="21"/>
      <c r="C53" s="21"/>
      <c r="D53" s="43" t="s">
        <v>39</v>
      </c>
      <c r="E53" s="41">
        <f>SUM(E52:E52)</f>
        <v>600000</v>
      </c>
    </row>
    <row r="54" spans="1:8">
      <c r="B54" s="21"/>
      <c r="C54" s="21"/>
      <c r="D54" s="43" t="s">
        <v>60</v>
      </c>
      <c r="E54" s="41">
        <f>E53*3</f>
        <v>1800000</v>
      </c>
    </row>
    <row r="55" spans="1:8" s="33" customFormat="1">
      <c r="B55" s="37"/>
      <c r="C55" s="37"/>
      <c r="D55" s="59"/>
      <c r="E55" s="25"/>
    </row>
    <row r="56" spans="1:8" s="33" customFormat="1">
      <c r="B56" s="37" t="s">
        <v>93</v>
      </c>
      <c r="C56" s="37"/>
      <c r="D56" s="59"/>
      <c r="E56" s="25"/>
    </row>
    <row r="57" spans="1:8" s="33" customFormat="1">
      <c r="B57" s="107" t="s">
        <v>94</v>
      </c>
      <c r="C57" s="101">
        <v>300000</v>
      </c>
      <c r="D57" s="59"/>
      <c r="E57" s="108" t="s">
        <v>29</v>
      </c>
    </row>
    <row r="58" spans="1:8">
      <c r="B58" s="104" t="s">
        <v>95</v>
      </c>
      <c r="C58" s="105"/>
      <c r="D58" s="12"/>
      <c r="E58" s="100">
        <v>9</v>
      </c>
      <c r="F58" s="41">
        <f>E58*C57</f>
        <v>2700000</v>
      </c>
    </row>
    <row r="59" spans="1:8" s="33" customFormat="1">
      <c r="B59" s="99" t="s">
        <v>103</v>
      </c>
      <c r="C59" s="102"/>
      <c r="D59" s="103"/>
      <c r="E59" s="62">
        <v>12</v>
      </c>
      <c r="F59" s="106">
        <f>C57*E59</f>
        <v>3600000</v>
      </c>
    </row>
    <row r="60" spans="1:8" s="33" customFormat="1">
      <c r="B60" s="39"/>
      <c r="C60" s="37"/>
      <c r="D60" s="37"/>
      <c r="E60" s="37"/>
    </row>
    <row r="62" spans="1:8">
      <c r="B62" s="22" t="s">
        <v>36</v>
      </c>
      <c r="C62" s="15"/>
      <c r="D62" s="15"/>
      <c r="E62" s="15"/>
    </row>
    <row r="63" spans="1:8">
      <c r="B63" s="23" t="s">
        <v>37</v>
      </c>
      <c r="C63" s="23" t="s">
        <v>38</v>
      </c>
      <c r="D63" s="52" t="s">
        <v>39</v>
      </c>
      <c r="E63" s="40" t="s">
        <v>91</v>
      </c>
      <c r="F63" s="40" t="s">
        <v>92</v>
      </c>
    </row>
    <row r="64" spans="1:8">
      <c r="A64" s="33"/>
      <c r="B64" s="16" t="s">
        <v>40</v>
      </c>
      <c r="C64" s="16">
        <v>1</v>
      </c>
      <c r="D64" s="58">
        <v>25000</v>
      </c>
      <c r="E64" s="42">
        <f>D64*12</f>
        <v>300000</v>
      </c>
      <c r="F64" s="26"/>
    </row>
    <row r="65" spans="1:8">
      <c r="A65" s="33"/>
      <c r="B65" s="16" t="s">
        <v>41</v>
      </c>
      <c r="C65" s="16">
        <v>1</v>
      </c>
      <c r="D65" s="58">
        <v>25000</v>
      </c>
      <c r="E65" s="42">
        <f t="shared" ref="E65:E70" si="10">D65*12</f>
        <v>300000</v>
      </c>
      <c r="F65" s="26"/>
      <c r="G65" s="15"/>
    </row>
    <row r="66" spans="1:8">
      <c r="B66" s="34" t="s">
        <v>104</v>
      </c>
      <c r="C66" s="16">
        <v>1</v>
      </c>
      <c r="D66" s="58">
        <v>30000</v>
      </c>
      <c r="E66" s="41">
        <f t="shared" si="10"/>
        <v>360000</v>
      </c>
      <c r="F66" s="26"/>
      <c r="H66" s="15"/>
    </row>
    <row r="67" spans="1:8" s="15" customFormat="1">
      <c r="B67" s="34" t="s">
        <v>105</v>
      </c>
      <c r="C67" s="16">
        <v>1</v>
      </c>
      <c r="D67" s="58">
        <v>60000</v>
      </c>
      <c r="E67" s="41">
        <f t="shared" si="10"/>
        <v>720000</v>
      </c>
      <c r="F67" s="26"/>
      <c r="G67"/>
      <c r="H67"/>
    </row>
    <row r="68" spans="1:8">
      <c r="B68" s="26" t="s">
        <v>42</v>
      </c>
      <c r="C68" s="16">
        <v>1</v>
      </c>
      <c r="D68" s="58">
        <v>50000</v>
      </c>
      <c r="E68" s="41">
        <f t="shared" si="10"/>
        <v>600000</v>
      </c>
      <c r="F68" s="26"/>
    </row>
    <row r="69" spans="1:8">
      <c r="B69" s="26" t="s">
        <v>43</v>
      </c>
      <c r="C69" s="16">
        <v>1</v>
      </c>
      <c r="D69" s="58">
        <v>200000</v>
      </c>
      <c r="F69" s="42">
        <f>D69*12</f>
        <v>2400000</v>
      </c>
    </row>
    <row r="70" spans="1:8">
      <c r="A70" s="33"/>
      <c r="B70" s="26" t="s">
        <v>106</v>
      </c>
      <c r="C70" s="26">
        <v>1</v>
      </c>
      <c r="D70" s="58">
        <v>30000</v>
      </c>
      <c r="E70" s="42">
        <f t="shared" si="10"/>
        <v>360000</v>
      </c>
      <c r="F70" s="26"/>
    </row>
    <row r="71" spans="1:8">
      <c r="B71" s="15"/>
      <c r="C71" s="15"/>
      <c r="D71" s="24">
        <v>410000</v>
      </c>
      <c r="E71" s="98">
        <f>SUM(E64:E70)</f>
        <v>2640000</v>
      </c>
      <c r="F71" s="98">
        <f>SUM(F64:F70)</f>
        <v>2400000</v>
      </c>
    </row>
    <row r="72" spans="1:8">
      <c r="B72" s="15"/>
      <c r="C72" s="15"/>
      <c r="D72" s="18"/>
      <c r="E72" s="15"/>
    </row>
    <row r="73" spans="1:8">
      <c r="B73" s="21"/>
      <c r="C73" s="21"/>
      <c r="D73" s="25"/>
      <c r="E73" s="21"/>
    </row>
    <row r="74" spans="1:8">
      <c r="B74" s="28" t="s">
        <v>107</v>
      </c>
      <c r="C74" s="15"/>
      <c r="D74" s="15"/>
      <c r="E74" s="15"/>
    </row>
    <row r="75" spans="1:8">
      <c r="B75" s="27" t="s">
        <v>37</v>
      </c>
      <c r="C75" s="27" t="s">
        <v>38</v>
      </c>
      <c r="D75" s="29" t="s">
        <v>44</v>
      </c>
      <c r="E75" s="30" t="s">
        <v>26</v>
      </c>
    </row>
    <row r="76" spans="1:8">
      <c r="B76" s="26" t="s">
        <v>45</v>
      </c>
      <c r="C76" s="26">
        <v>3</v>
      </c>
      <c r="D76" s="31">
        <v>20000</v>
      </c>
      <c r="E76" s="31">
        <v>60000</v>
      </c>
    </row>
    <row r="77" spans="1:8">
      <c r="B77" s="26" t="s">
        <v>46</v>
      </c>
      <c r="C77" s="16">
        <v>5</v>
      </c>
      <c r="D77" s="24">
        <v>20000</v>
      </c>
      <c r="E77" s="31">
        <v>100000</v>
      </c>
    </row>
    <row r="78" spans="1:8">
      <c r="B78" s="26" t="s">
        <v>47</v>
      </c>
      <c r="C78" s="16">
        <v>1</v>
      </c>
      <c r="D78" s="24">
        <v>30000</v>
      </c>
      <c r="E78" s="31">
        <v>30000</v>
      </c>
    </row>
    <row r="79" spans="1:8">
      <c r="B79" s="26" t="s">
        <v>48</v>
      </c>
      <c r="C79" s="16">
        <v>3</v>
      </c>
      <c r="D79" s="24">
        <v>350000</v>
      </c>
      <c r="E79" s="31">
        <v>1050000</v>
      </c>
    </row>
    <row r="80" spans="1:8">
      <c r="B80" s="26" t="s">
        <v>49</v>
      </c>
      <c r="C80" s="16">
        <v>1</v>
      </c>
      <c r="D80" s="24">
        <v>100000</v>
      </c>
      <c r="E80" s="31">
        <v>100000</v>
      </c>
    </row>
    <row r="81" spans="2:11">
      <c r="B81" s="26" t="s">
        <v>50</v>
      </c>
      <c r="C81" s="16">
        <v>1</v>
      </c>
      <c r="D81" s="24">
        <v>30000</v>
      </c>
      <c r="E81" s="31">
        <v>30000</v>
      </c>
    </row>
    <row r="82" spans="2:11">
      <c r="B82" s="26" t="s">
        <v>51</v>
      </c>
      <c r="C82" s="16">
        <v>1</v>
      </c>
      <c r="D82" s="24">
        <v>20000</v>
      </c>
      <c r="E82" s="31">
        <v>20000</v>
      </c>
    </row>
    <row r="83" spans="2:11">
      <c r="B83" s="15"/>
      <c r="C83" s="15"/>
      <c r="D83" s="27" t="s">
        <v>52</v>
      </c>
      <c r="E83" s="32">
        <v>1390000</v>
      </c>
    </row>
    <row r="85" spans="2:11">
      <c r="I85" s="37"/>
    </row>
    <row r="86" spans="2:11">
      <c r="G86" s="63">
        <v>0.1</v>
      </c>
      <c r="I86" s="37"/>
    </row>
    <row r="87" spans="2:11" s="36" customFormat="1">
      <c r="B87" s="60" t="s">
        <v>63</v>
      </c>
      <c r="C87" s="61" t="s">
        <v>32</v>
      </c>
      <c r="D87" s="61" t="s">
        <v>64</v>
      </c>
      <c r="E87" s="61" t="s">
        <v>65</v>
      </c>
      <c r="F87" s="61" t="s">
        <v>108</v>
      </c>
      <c r="G87" s="61" t="s">
        <v>66</v>
      </c>
      <c r="H87" s="66" t="s">
        <v>67</v>
      </c>
      <c r="I87" s="71"/>
      <c r="J87" s="72" t="s">
        <v>72</v>
      </c>
      <c r="K87" s="73" t="s">
        <v>73</v>
      </c>
    </row>
    <row r="88" spans="2:11" s="36" customFormat="1">
      <c r="B88" s="41" t="s">
        <v>68</v>
      </c>
      <c r="C88" s="62">
        <v>3</v>
      </c>
      <c r="D88" s="41">
        <v>350000</v>
      </c>
      <c r="E88" s="62">
        <f>C88*D88</f>
        <v>1050000</v>
      </c>
      <c r="F88" s="62">
        <v>6</v>
      </c>
      <c r="G88" s="62">
        <f>E88*0.1</f>
        <v>105000</v>
      </c>
      <c r="H88" s="67">
        <f>SUM((E88-G88)/F88)</f>
        <v>157500</v>
      </c>
      <c r="I88" s="70"/>
      <c r="J88" s="68">
        <f t="shared" ref="J88:J94" si="11">H88*K88</f>
        <v>157500</v>
      </c>
      <c r="K88" s="41">
        <v>1</v>
      </c>
    </row>
    <row r="89" spans="2:11" s="36" customFormat="1">
      <c r="B89" s="41" t="s">
        <v>69</v>
      </c>
      <c r="C89" s="62">
        <v>1</v>
      </c>
      <c r="D89" s="41">
        <v>100000</v>
      </c>
      <c r="E89" s="62">
        <f t="shared" ref="E89:E94" si="12">C89*D89</f>
        <v>100000</v>
      </c>
      <c r="F89" s="62">
        <v>6</v>
      </c>
      <c r="G89" s="62">
        <f t="shared" ref="G89:G94" si="13">E89*0.1</f>
        <v>10000</v>
      </c>
      <c r="H89" s="67">
        <f t="shared" ref="H89:H94" si="14">SUM((E89-G89)/F89)</f>
        <v>15000</v>
      </c>
      <c r="I89" s="70"/>
      <c r="J89" s="68">
        <f t="shared" si="11"/>
        <v>15000</v>
      </c>
      <c r="K89" s="41">
        <v>1</v>
      </c>
    </row>
    <row r="90" spans="2:11" s="36" customFormat="1">
      <c r="B90" s="41" t="s">
        <v>70</v>
      </c>
      <c r="C90" s="62">
        <v>1</v>
      </c>
      <c r="D90" s="41">
        <v>30000</v>
      </c>
      <c r="E90" s="62">
        <f t="shared" si="12"/>
        <v>30000</v>
      </c>
      <c r="F90" s="62">
        <v>6</v>
      </c>
      <c r="G90" s="62">
        <f t="shared" si="13"/>
        <v>3000</v>
      </c>
      <c r="H90" s="67">
        <f t="shared" si="14"/>
        <v>4500</v>
      </c>
      <c r="I90" s="70"/>
      <c r="J90" s="68">
        <f t="shared" si="11"/>
        <v>4500</v>
      </c>
      <c r="K90" s="41">
        <v>1</v>
      </c>
    </row>
    <row r="91" spans="2:11" s="36" customFormat="1">
      <c r="B91" s="41" t="s">
        <v>45</v>
      </c>
      <c r="C91" s="62">
        <v>3</v>
      </c>
      <c r="D91" s="42">
        <v>20000</v>
      </c>
      <c r="E91" s="62">
        <f t="shared" si="12"/>
        <v>60000</v>
      </c>
      <c r="F91" s="62">
        <v>7</v>
      </c>
      <c r="G91" s="62">
        <f t="shared" si="13"/>
        <v>6000</v>
      </c>
      <c r="H91" s="67">
        <f t="shared" si="14"/>
        <v>7714.2857142857147</v>
      </c>
      <c r="I91" s="70"/>
      <c r="J91" s="68">
        <f t="shared" si="11"/>
        <v>15428.571428571429</v>
      </c>
      <c r="K91" s="41">
        <v>2</v>
      </c>
    </row>
    <row r="92" spans="2:11" s="36" customFormat="1">
      <c r="B92" s="41" t="s">
        <v>46</v>
      </c>
      <c r="C92" s="62">
        <v>5</v>
      </c>
      <c r="D92" s="41">
        <v>20000</v>
      </c>
      <c r="E92" s="62">
        <f t="shared" si="12"/>
        <v>100000</v>
      </c>
      <c r="F92" s="62">
        <v>7</v>
      </c>
      <c r="G92" s="62">
        <f t="shared" si="13"/>
        <v>10000</v>
      </c>
      <c r="H92" s="67">
        <f t="shared" si="14"/>
        <v>12857.142857142857</v>
      </c>
      <c r="I92" s="70"/>
      <c r="J92" s="68">
        <f t="shared" si="11"/>
        <v>25714.285714285714</v>
      </c>
      <c r="K92" s="41">
        <v>2</v>
      </c>
    </row>
    <row r="93" spans="2:11" s="36" customFormat="1">
      <c r="B93" s="41" t="s">
        <v>47</v>
      </c>
      <c r="C93" s="62">
        <v>1</v>
      </c>
      <c r="D93" s="41">
        <v>30000</v>
      </c>
      <c r="E93" s="62">
        <f t="shared" si="12"/>
        <v>30000</v>
      </c>
      <c r="F93" s="62">
        <v>7</v>
      </c>
      <c r="G93" s="62">
        <f t="shared" si="13"/>
        <v>3000</v>
      </c>
      <c r="H93" s="67">
        <f t="shared" si="14"/>
        <v>3857.1428571428573</v>
      </c>
      <c r="I93" s="70"/>
      <c r="J93" s="68">
        <f t="shared" si="11"/>
        <v>7714.2857142857147</v>
      </c>
      <c r="K93" s="41">
        <v>2</v>
      </c>
    </row>
    <row r="94" spans="2:11" s="36" customFormat="1">
      <c r="B94" s="42" t="s">
        <v>71</v>
      </c>
      <c r="C94" s="62">
        <v>1</v>
      </c>
      <c r="D94" s="41">
        <v>20000</v>
      </c>
      <c r="E94" s="62">
        <f t="shared" si="12"/>
        <v>20000</v>
      </c>
      <c r="F94" s="62">
        <v>7</v>
      </c>
      <c r="G94" s="62">
        <f t="shared" si="13"/>
        <v>2000</v>
      </c>
      <c r="H94" s="67">
        <f t="shared" si="14"/>
        <v>2571.4285714285716</v>
      </c>
      <c r="I94" s="70"/>
      <c r="J94" s="68">
        <f t="shared" si="11"/>
        <v>5142.8571428571431</v>
      </c>
      <c r="K94" s="41">
        <v>2</v>
      </c>
    </row>
    <row r="95" spans="2:11">
      <c r="G95" s="36">
        <f>SUM(G88:G94)</f>
        <v>139000</v>
      </c>
      <c r="H95" s="64">
        <f>SUM(H88:H94)</f>
        <v>204000.00000000003</v>
      </c>
      <c r="I95" s="69"/>
      <c r="J95" s="36">
        <f>SUM(J88:J94)</f>
        <v>230999.99999999997</v>
      </c>
    </row>
    <row r="96" spans="2:11">
      <c r="F96" s="19" t="s">
        <v>80</v>
      </c>
      <c r="G96" s="80">
        <f>G95*5</f>
        <v>695000</v>
      </c>
      <c r="I96" s="37"/>
    </row>
    <row r="99" spans="2:6">
      <c r="B99" s="33"/>
    </row>
    <row r="100" spans="2:6">
      <c r="B100" s="86" t="s">
        <v>16</v>
      </c>
    </row>
    <row r="101" spans="2:6">
      <c r="B101" s="85">
        <f>D7</f>
        <v>6200000</v>
      </c>
      <c r="C101" s="41">
        <f>E7</f>
        <v>8200000</v>
      </c>
    </row>
    <row r="102" spans="2:6">
      <c r="B102" s="84">
        <f>D11</f>
        <v>-9540000</v>
      </c>
      <c r="C102" s="41">
        <f>E11</f>
        <v>-8640000</v>
      </c>
      <c r="D102" s="109" t="s">
        <v>26</v>
      </c>
    </row>
    <row r="103" spans="2:6">
      <c r="B103" s="43">
        <f>-(-B101-B102)</f>
        <v>-3340000</v>
      </c>
      <c r="C103" s="43">
        <f>SUM(C101:C102)</f>
        <v>-440000</v>
      </c>
      <c r="D103" s="43">
        <f>SUM(B103:C103)</f>
        <v>-3780000</v>
      </c>
    </row>
    <row r="106" spans="2:6">
      <c r="B106" s="33"/>
    </row>
    <row r="107" spans="2:6" ht="15.75" thickBot="1">
      <c r="B107" s="83" t="s">
        <v>109</v>
      </c>
      <c r="C107" s="82"/>
      <c r="D107" s="82"/>
      <c r="E107" s="82"/>
      <c r="F107" s="82"/>
    </row>
    <row r="108" spans="2:6">
      <c r="B108" s="87"/>
      <c r="C108" s="88">
        <v>6.2E-2</v>
      </c>
      <c r="D108" s="88" t="s">
        <v>81</v>
      </c>
      <c r="E108" s="88"/>
      <c r="F108" s="89" t="s">
        <v>82</v>
      </c>
    </row>
    <row r="109" spans="2:6">
      <c r="B109" s="90" t="s">
        <v>83</v>
      </c>
      <c r="C109" s="91" t="s">
        <v>84</v>
      </c>
      <c r="D109" s="91" t="s">
        <v>85</v>
      </c>
      <c r="E109" s="91" t="s">
        <v>86</v>
      </c>
      <c r="F109" s="92" t="s">
        <v>87</v>
      </c>
    </row>
    <row r="110" spans="2:6">
      <c r="B110" s="5">
        <v>0</v>
      </c>
      <c r="C110" s="5"/>
      <c r="D110" s="5"/>
      <c r="E110" s="5"/>
      <c r="F110" s="7">
        <f>C24</f>
        <v>972999.99999999988</v>
      </c>
    </row>
    <row r="111" spans="2:6">
      <c r="B111" s="5">
        <v>1</v>
      </c>
      <c r="C111" s="7">
        <f>F110*$C$108</f>
        <v>60325.999999999993</v>
      </c>
      <c r="D111" s="7">
        <f>C$119</f>
        <v>232244.86708532408</v>
      </c>
      <c r="E111" s="7">
        <f>D111-C111</f>
        <v>171918.86708532408</v>
      </c>
      <c r="F111" s="7">
        <f>F110-E111</f>
        <v>801081.13291467587</v>
      </c>
    </row>
    <row r="112" spans="2:6">
      <c r="B112" s="5">
        <v>2</v>
      </c>
      <c r="C112" s="7">
        <f t="shared" ref="C112:C115" si="15">F111*$C$108</f>
        <v>49667.030240709901</v>
      </c>
      <c r="D112" s="7">
        <f t="shared" ref="D112:D115" si="16">C$119</f>
        <v>232244.86708532408</v>
      </c>
      <c r="E112" s="7">
        <f t="shared" ref="E112:E115" si="17">D112-C112</f>
        <v>182577.83684461418</v>
      </c>
      <c r="F112" s="7">
        <f t="shared" ref="F112:F115" si="18">F111-E112</f>
        <v>618503.29607006162</v>
      </c>
    </row>
    <row r="113" spans="2:6">
      <c r="B113" s="5">
        <v>3</v>
      </c>
      <c r="C113" s="7">
        <f t="shared" si="15"/>
        <v>38347.20435634382</v>
      </c>
      <c r="D113" s="7">
        <f t="shared" si="16"/>
        <v>232244.86708532408</v>
      </c>
      <c r="E113" s="7">
        <f t="shared" si="17"/>
        <v>193897.66272898024</v>
      </c>
      <c r="F113" s="7">
        <f t="shared" si="18"/>
        <v>424605.63334108138</v>
      </c>
    </row>
    <row r="114" spans="2:6">
      <c r="B114" s="5">
        <v>4</v>
      </c>
      <c r="C114" s="7">
        <f t="shared" si="15"/>
        <v>26325.549267147046</v>
      </c>
      <c r="D114" s="7">
        <f t="shared" si="16"/>
        <v>232244.86708532408</v>
      </c>
      <c r="E114" s="7">
        <f t="shared" si="17"/>
        <v>205919.31781817702</v>
      </c>
      <c r="F114" s="7">
        <f t="shared" si="18"/>
        <v>218686.31552290436</v>
      </c>
    </row>
    <row r="115" spans="2:6">
      <c r="B115" s="5">
        <v>5</v>
      </c>
      <c r="C115" s="7">
        <f t="shared" si="15"/>
        <v>13558.551562420071</v>
      </c>
      <c r="D115" s="7">
        <f t="shared" si="16"/>
        <v>232244.86708532408</v>
      </c>
      <c r="E115" s="7">
        <f t="shared" si="17"/>
        <v>218686.31552290401</v>
      </c>
      <c r="F115" s="7">
        <f t="shared" si="18"/>
        <v>3.4924596548080444E-10</v>
      </c>
    </row>
    <row r="116" spans="2:6" ht="15.75" thickBot="1">
      <c r="B116" s="93" t="s">
        <v>88</v>
      </c>
      <c r="C116" s="94">
        <f>SUM(C111:C115)</f>
        <v>188224.33542662085</v>
      </c>
      <c r="D116" s="94">
        <f>SUM(D111:D115)</f>
        <v>1161224.3354266204</v>
      </c>
      <c r="E116" s="94">
        <f>SUM(E111:E115)</f>
        <v>972999.99999999965</v>
      </c>
      <c r="F116" s="95"/>
    </row>
    <row r="117" spans="2:6">
      <c r="B117" s="82"/>
      <c r="C117" s="82"/>
      <c r="D117" s="82"/>
      <c r="E117" s="82"/>
      <c r="F117" s="82"/>
    </row>
    <row r="118" spans="2:6" ht="15.75" thickBot="1">
      <c r="B118" s="82"/>
      <c r="C118" s="82"/>
      <c r="D118" s="82"/>
      <c r="E118" s="82"/>
      <c r="F118" s="82"/>
    </row>
    <row r="119" spans="2:6" ht="15.75" thickBot="1">
      <c r="B119" s="96" t="s">
        <v>89</v>
      </c>
      <c r="C119" s="97">
        <f>(C24*C108*((1+C108)^5))/(((1+C108)^5)-1)</f>
        <v>232244.86708532408</v>
      </c>
      <c r="D119" s="82"/>
      <c r="E119" s="82"/>
      <c r="F119" s="82"/>
    </row>
    <row r="120" spans="2:6">
      <c r="B120" s="82"/>
      <c r="C120" s="82"/>
      <c r="D120" s="82"/>
      <c r="E120" s="82"/>
      <c r="F120" s="8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2009-11-18T00:12:02Z</dcterms:created>
  <dcterms:modified xsi:type="dcterms:W3CDTF">2009-11-25T21:47:59Z</dcterms:modified>
</cp:coreProperties>
</file>