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35" windowHeight="8385" activeTab="1"/>
  </bookViews>
  <sheets>
    <sheet name="FCN Puro" sheetId="1" r:id="rId1"/>
    <sheet name="FCN EN 70%" sheetId="4" r:id="rId2"/>
  </sheets>
  <calcPr calcId="125725"/>
</workbook>
</file>

<file path=xl/calcChain.xml><?xml version="1.0" encoding="utf-8"?>
<calcChain xmlns="http://schemas.openxmlformats.org/spreadsheetml/2006/main">
  <c r="F36" i="4"/>
  <c r="F35"/>
  <c r="D31" i="1" l="1"/>
  <c r="C308" i="4"/>
  <c r="D264"/>
  <c r="D263"/>
  <c r="D262"/>
  <c r="D261"/>
  <c r="D260"/>
  <c r="H256"/>
  <c r="H275" s="1"/>
  <c r="G256"/>
  <c r="G275" s="1"/>
  <c r="F256"/>
  <c r="F275" s="1"/>
  <c r="E256"/>
  <c r="E275" s="1"/>
  <c r="D256"/>
  <c r="D275" s="1"/>
  <c r="H254"/>
  <c r="G254"/>
  <c r="F254"/>
  <c r="D254"/>
  <c r="D273" s="1"/>
  <c r="H253"/>
  <c r="G253"/>
  <c r="F253"/>
  <c r="D253"/>
  <c r="D272" s="1"/>
  <c r="H252"/>
  <c r="G252"/>
  <c r="F252"/>
  <c r="D252"/>
  <c r="D271" s="1"/>
  <c r="H251"/>
  <c r="G251"/>
  <c r="F251"/>
  <c r="D251"/>
  <c r="D270" s="1"/>
  <c r="H250"/>
  <c r="G250"/>
  <c r="F250"/>
  <c r="D250"/>
  <c r="D269" s="1"/>
  <c r="H231"/>
  <c r="H242" s="1"/>
  <c r="G231"/>
  <c r="G242" s="1"/>
  <c r="F231"/>
  <c r="F242" s="1"/>
  <c r="E231"/>
  <c r="E242" s="1"/>
  <c r="D231"/>
  <c r="D242" s="1"/>
  <c r="H230"/>
  <c r="H241" s="1"/>
  <c r="G230"/>
  <c r="G241" s="1"/>
  <c r="F230"/>
  <c r="F241" s="1"/>
  <c r="E230"/>
  <c r="E241" s="1"/>
  <c r="D230"/>
  <c r="D241" s="1"/>
  <c r="H229"/>
  <c r="H240" s="1"/>
  <c r="G229"/>
  <c r="G240" s="1"/>
  <c r="F229"/>
  <c r="F240" s="1"/>
  <c r="E229"/>
  <c r="E240" s="1"/>
  <c r="D229"/>
  <c r="D240" s="1"/>
  <c r="H228"/>
  <c r="H239" s="1"/>
  <c r="G228"/>
  <c r="G239" s="1"/>
  <c r="F228"/>
  <c r="F239" s="1"/>
  <c r="E228"/>
  <c r="E239" s="1"/>
  <c r="D228"/>
  <c r="D239" s="1"/>
  <c r="H227"/>
  <c r="H238" s="1"/>
  <c r="G227"/>
  <c r="G238" s="1"/>
  <c r="F227"/>
  <c r="F238" s="1"/>
  <c r="E227"/>
  <c r="E238" s="1"/>
  <c r="D227"/>
  <c r="D238" s="1"/>
  <c r="H226"/>
  <c r="H237" s="1"/>
  <c r="H243" s="1"/>
  <c r="G226"/>
  <c r="F226"/>
  <c r="F237" s="1"/>
  <c r="F243" s="1"/>
  <c r="E226"/>
  <c r="D226"/>
  <c r="D237" s="1"/>
  <c r="D243" s="1"/>
  <c r="H220"/>
  <c r="G220"/>
  <c r="F220"/>
  <c r="E220"/>
  <c r="I192"/>
  <c r="I191"/>
  <c r="I190"/>
  <c r="I189"/>
  <c r="I188"/>
  <c r="H185"/>
  <c r="F185"/>
  <c r="F184"/>
  <c r="H184" s="1"/>
  <c r="F183"/>
  <c r="F182"/>
  <c r="H182" s="1"/>
  <c r="F181"/>
  <c r="H181" s="1"/>
  <c r="F180"/>
  <c r="H180" s="1"/>
  <c r="H121"/>
  <c r="E254" s="1"/>
  <c r="H120"/>
  <c r="E253" s="1"/>
  <c r="H119"/>
  <c r="E252" s="1"/>
  <c r="H118"/>
  <c r="E251" s="1"/>
  <c r="H117"/>
  <c r="E250" s="1"/>
  <c r="E94"/>
  <c r="F94" s="1"/>
  <c r="G94" s="1"/>
  <c r="H94" s="1"/>
  <c r="E93"/>
  <c r="F93" s="1"/>
  <c r="G93" s="1"/>
  <c r="H93" s="1"/>
  <c r="E92"/>
  <c r="F92" s="1"/>
  <c r="G92" s="1"/>
  <c r="H92" s="1"/>
  <c r="E91"/>
  <c r="F91" s="1"/>
  <c r="G91" s="1"/>
  <c r="H91" s="1"/>
  <c r="E86"/>
  <c r="F86" s="1"/>
  <c r="G86" s="1"/>
  <c r="H86" s="1"/>
  <c r="E85"/>
  <c r="F85" s="1"/>
  <c r="G85" s="1"/>
  <c r="H85" s="1"/>
  <c r="E84"/>
  <c r="F84" s="1"/>
  <c r="G84" s="1"/>
  <c r="H84" s="1"/>
  <c r="E83"/>
  <c r="F83" s="1"/>
  <c r="G83" s="1"/>
  <c r="H83" s="1"/>
  <c r="E78"/>
  <c r="F78" s="1"/>
  <c r="G78" s="1"/>
  <c r="H78" s="1"/>
  <c r="E77"/>
  <c r="F77" s="1"/>
  <c r="G77" s="1"/>
  <c r="H77" s="1"/>
  <c r="E76"/>
  <c r="F76" s="1"/>
  <c r="G76" s="1"/>
  <c r="H76" s="1"/>
  <c r="E75"/>
  <c r="F75" s="1"/>
  <c r="G75" s="1"/>
  <c r="H75" s="1"/>
  <c r="E71"/>
  <c r="F71" s="1"/>
  <c r="G71" s="1"/>
  <c r="H71" s="1"/>
  <c r="E70"/>
  <c r="F70" s="1"/>
  <c r="G70" s="1"/>
  <c r="H70" s="1"/>
  <c r="E69"/>
  <c r="F69" s="1"/>
  <c r="G69" s="1"/>
  <c r="H69" s="1"/>
  <c r="E68"/>
  <c r="F68" s="1"/>
  <c r="G68" s="1"/>
  <c r="H68" s="1"/>
  <c r="E64"/>
  <c r="F64" s="1"/>
  <c r="G64" s="1"/>
  <c r="H64" s="1"/>
  <c r="E63"/>
  <c r="F63" s="1"/>
  <c r="G63" s="1"/>
  <c r="H63" s="1"/>
  <c r="E62"/>
  <c r="F62" s="1"/>
  <c r="G62" s="1"/>
  <c r="H62" s="1"/>
  <c r="E61"/>
  <c r="F61" s="1"/>
  <c r="G61" s="1"/>
  <c r="H61" s="1"/>
  <c r="C46"/>
  <c r="C54" s="1"/>
  <c r="D175" s="1"/>
  <c r="C45"/>
  <c r="C53" s="1"/>
  <c r="D174" s="1"/>
  <c r="C44"/>
  <c r="C52" s="1"/>
  <c r="D173" s="1"/>
  <c r="C43"/>
  <c r="C306" i="1"/>
  <c r="F255" i="4" l="1"/>
  <c r="F274" s="1"/>
  <c r="D45"/>
  <c r="D53" s="1"/>
  <c r="E174" s="1"/>
  <c r="D255"/>
  <c r="D274" s="1"/>
  <c r="D276" s="1"/>
  <c r="H255"/>
  <c r="H274" s="1"/>
  <c r="D265"/>
  <c r="C47"/>
  <c r="C51"/>
  <c r="D172" s="1"/>
  <c r="D43"/>
  <c r="I181"/>
  <c r="H183"/>
  <c r="I183" s="1"/>
  <c r="I185"/>
  <c r="E232"/>
  <c r="F28" s="1"/>
  <c r="G232"/>
  <c r="H28" s="1"/>
  <c r="R99"/>
  <c r="L99"/>
  <c r="F99"/>
  <c r="O99"/>
  <c r="I99"/>
  <c r="R108"/>
  <c r="L108"/>
  <c r="F108"/>
  <c r="O108"/>
  <c r="I108"/>
  <c r="O117"/>
  <c r="I117"/>
  <c r="F117"/>
  <c r="R117"/>
  <c r="L117"/>
  <c r="O126"/>
  <c r="I126"/>
  <c r="R126"/>
  <c r="L126"/>
  <c r="F126"/>
  <c r="O100"/>
  <c r="I100"/>
  <c r="R100"/>
  <c r="L100"/>
  <c r="F100"/>
  <c r="O109"/>
  <c r="I109"/>
  <c r="R109"/>
  <c r="L109"/>
  <c r="F109"/>
  <c r="O118"/>
  <c r="I118"/>
  <c r="F118"/>
  <c r="R118"/>
  <c r="L118"/>
  <c r="R127"/>
  <c r="L127"/>
  <c r="F127"/>
  <c r="O127"/>
  <c r="I127"/>
  <c r="R101"/>
  <c r="L101"/>
  <c r="F101"/>
  <c r="O101"/>
  <c r="I101"/>
  <c r="R110"/>
  <c r="L110"/>
  <c r="F110"/>
  <c r="O110"/>
  <c r="I110"/>
  <c r="O111"/>
  <c r="I111"/>
  <c r="R111"/>
  <c r="L111"/>
  <c r="F111"/>
  <c r="O128"/>
  <c r="I128"/>
  <c r="R128"/>
  <c r="L128"/>
  <c r="F128"/>
  <c r="H216"/>
  <c r="F216"/>
  <c r="D216"/>
  <c r="D197"/>
  <c r="G216"/>
  <c r="E216"/>
  <c r="H197"/>
  <c r="D220"/>
  <c r="D201"/>
  <c r="E43"/>
  <c r="D44"/>
  <c r="E45"/>
  <c r="D46"/>
  <c r="D51"/>
  <c r="O119"/>
  <c r="I119"/>
  <c r="F119"/>
  <c r="R119"/>
  <c r="L119"/>
  <c r="O102"/>
  <c r="I102"/>
  <c r="R102"/>
  <c r="L102"/>
  <c r="F102"/>
  <c r="O120"/>
  <c r="I120"/>
  <c r="F120"/>
  <c r="R120"/>
  <c r="L120"/>
  <c r="R129"/>
  <c r="L129"/>
  <c r="F129"/>
  <c r="O129"/>
  <c r="I129"/>
  <c r="R103"/>
  <c r="L103"/>
  <c r="F103"/>
  <c r="O103"/>
  <c r="I103"/>
  <c r="R112"/>
  <c r="L112"/>
  <c r="F112"/>
  <c r="O112"/>
  <c r="I112"/>
  <c r="O121"/>
  <c r="I121"/>
  <c r="F121"/>
  <c r="R121"/>
  <c r="L121"/>
  <c r="O130"/>
  <c r="I130"/>
  <c r="R130"/>
  <c r="L130"/>
  <c r="F130"/>
  <c r="D176"/>
  <c r="C55"/>
  <c r="I180"/>
  <c r="I182"/>
  <c r="I184"/>
  <c r="D232"/>
  <c r="D30" s="1"/>
  <c r="F232"/>
  <c r="G28" s="1"/>
  <c r="H232"/>
  <c r="I28" s="1"/>
  <c r="E237"/>
  <c r="E243" s="1"/>
  <c r="G237"/>
  <c r="G243" s="1"/>
  <c r="E255"/>
  <c r="E274" s="1"/>
  <c r="G255"/>
  <c r="G274" s="1"/>
  <c r="H218" i="1"/>
  <c r="G218"/>
  <c r="F218"/>
  <c r="E218"/>
  <c r="H229"/>
  <c r="H240" s="1"/>
  <c r="G229"/>
  <c r="G240" s="1"/>
  <c r="F229"/>
  <c r="F240" s="1"/>
  <c r="E229"/>
  <c r="E240" s="1"/>
  <c r="D229"/>
  <c r="D240" s="1"/>
  <c r="H228"/>
  <c r="H239" s="1"/>
  <c r="G228"/>
  <c r="G239" s="1"/>
  <c r="F228"/>
  <c r="F239" s="1"/>
  <c r="E228"/>
  <c r="E239" s="1"/>
  <c r="D228"/>
  <c r="D239" s="1"/>
  <c r="H227"/>
  <c r="H238" s="1"/>
  <c r="G227"/>
  <c r="G238" s="1"/>
  <c r="F227"/>
  <c r="F238" s="1"/>
  <c r="E227"/>
  <c r="E238" s="1"/>
  <c r="D227"/>
  <c r="D238" s="1"/>
  <c r="H226"/>
  <c r="H237" s="1"/>
  <c r="G226"/>
  <c r="G237" s="1"/>
  <c r="F226"/>
  <c r="F237" s="1"/>
  <c r="E226"/>
  <c r="E237" s="1"/>
  <c r="D226"/>
  <c r="D237" s="1"/>
  <c r="H225"/>
  <c r="H236" s="1"/>
  <c r="G225"/>
  <c r="G236" s="1"/>
  <c r="F225"/>
  <c r="F236" s="1"/>
  <c r="E225"/>
  <c r="E236" s="1"/>
  <c r="D225"/>
  <c r="D236" s="1"/>
  <c r="H224"/>
  <c r="G224"/>
  <c r="G235" s="1"/>
  <c r="F224"/>
  <c r="E224"/>
  <c r="E235" s="1"/>
  <c r="D224"/>
  <c r="F183"/>
  <c r="F182"/>
  <c r="H182" s="1"/>
  <c r="F181"/>
  <c r="F180"/>
  <c r="F179"/>
  <c r="F178"/>
  <c r="H178" s="1"/>
  <c r="I190"/>
  <c r="I189"/>
  <c r="I188"/>
  <c r="I187"/>
  <c r="I186"/>
  <c r="I243" i="4" l="1"/>
  <c r="I29" s="1"/>
  <c r="D283"/>
  <c r="E13"/>
  <c r="F218"/>
  <c r="D199"/>
  <c r="E218"/>
  <c r="H218"/>
  <c r="D218"/>
  <c r="G218"/>
  <c r="D47"/>
  <c r="D31"/>
  <c r="D33" s="1"/>
  <c r="G217"/>
  <c r="E217"/>
  <c r="D198"/>
  <c r="H217"/>
  <c r="F217"/>
  <c r="D217"/>
  <c r="F198"/>
  <c r="D289"/>
  <c r="D291" s="1"/>
  <c r="E10"/>
  <c r="E12" s="1"/>
  <c r="E172"/>
  <c r="E53"/>
  <c r="F174" s="1"/>
  <c r="F45"/>
  <c r="E51"/>
  <c r="F43"/>
  <c r="L131"/>
  <c r="F143" s="1"/>
  <c r="I131"/>
  <c r="E143" s="1"/>
  <c r="E159" s="1"/>
  <c r="E167" s="1"/>
  <c r="L122"/>
  <c r="F142" s="1"/>
  <c r="F158" s="1"/>
  <c r="F166" s="1"/>
  <c r="F122"/>
  <c r="D142" s="1"/>
  <c r="D158" s="1"/>
  <c r="D166" s="1"/>
  <c r="O122"/>
  <c r="G142" s="1"/>
  <c r="G158" s="1"/>
  <c r="G166" s="1"/>
  <c r="O113"/>
  <c r="G141" s="1"/>
  <c r="L113"/>
  <c r="F141" s="1"/>
  <c r="I104"/>
  <c r="E140" s="1"/>
  <c r="F104"/>
  <c r="D140" s="1"/>
  <c r="R104"/>
  <c r="H140" s="1"/>
  <c r="G219"/>
  <c r="E219"/>
  <c r="E200"/>
  <c r="H219"/>
  <c r="F219"/>
  <c r="D219"/>
  <c r="D200"/>
  <c r="G215"/>
  <c r="G221" s="1"/>
  <c r="E215"/>
  <c r="D196"/>
  <c r="D202" s="1"/>
  <c r="E19" s="1"/>
  <c r="E25" s="1"/>
  <c r="H215"/>
  <c r="F215"/>
  <c r="F221" s="1"/>
  <c r="D215"/>
  <c r="G196"/>
  <c r="D282"/>
  <c r="E16"/>
  <c r="D54"/>
  <c r="E175" s="1"/>
  <c r="E46"/>
  <c r="D52"/>
  <c r="E173" s="1"/>
  <c r="E44"/>
  <c r="F131"/>
  <c r="D143" s="1"/>
  <c r="D159" s="1"/>
  <c r="D167" s="1"/>
  <c r="R131"/>
  <c r="H143" s="1"/>
  <c r="O131"/>
  <c r="G143" s="1"/>
  <c r="R122"/>
  <c r="H142" s="1"/>
  <c r="I122"/>
  <c r="E142" s="1"/>
  <c r="E158" s="1"/>
  <c r="E166" s="1"/>
  <c r="I113"/>
  <c r="E141" s="1"/>
  <c r="E157" s="1"/>
  <c r="E165" s="1"/>
  <c r="F113"/>
  <c r="D141" s="1"/>
  <c r="D157" s="1"/>
  <c r="D165" s="1"/>
  <c r="R113"/>
  <c r="H141" s="1"/>
  <c r="O104"/>
  <c r="G140" s="1"/>
  <c r="L104"/>
  <c r="F140" s="1"/>
  <c r="D230" i="1"/>
  <c r="D29" s="1"/>
  <c r="F230"/>
  <c r="G27" s="1"/>
  <c r="H230"/>
  <c r="I27" s="1"/>
  <c r="H180"/>
  <c r="I180" s="1"/>
  <c r="I182"/>
  <c r="D198" s="1"/>
  <c r="E241"/>
  <c r="G241"/>
  <c r="I178"/>
  <c r="H179"/>
  <c r="I179" s="1"/>
  <c r="H181"/>
  <c r="I181" s="1"/>
  <c r="H183"/>
  <c r="I183" s="1"/>
  <c r="D218" s="1"/>
  <c r="E230"/>
  <c r="F27" s="1"/>
  <c r="G230"/>
  <c r="H27" s="1"/>
  <c r="D235"/>
  <c r="D241" s="1"/>
  <c r="F235"/>
  <c r="F241" s="1"/>
  <c r="H235"/>
  <c r="H241" s="1"/>
  <c r="D221" i="4" l="1"/>
  <c r="H221"/>
  <c r="E221"/>
  <c r="I221"/>
  <c r="I21" s="1"/>
  <c r="I27" s="1"/>
  <c r="F323"/>
  <c r="C332"/>
  <c r="G144"/>
  <c r="G156"/>
  <c r="E52"/>
  <c r="F173" s="1"/>
  <c r="F44"/>
  <c r="E54"/>
  <c r="F175" s="1"/>
  <c r="F46"/>
  <c r="H144"/>
  <c r="E144"/>
  <c r="E156"/>
  <c r="F47"/>
  <c r="F51"/>
  <c r="G43"/>
  <c r="F53"/>
  <c r="G174" s="1"/>
  <c r="G45"/>
  <c r="G53" s="1"/>
  <c r="H174" s="1"/>
  <c r="G159"/>
  <c r="G167" s="1"/>
  <c r="G157"/>
  <c r="G165" s="1"/>
  <c r="D55"/>
  <c r="F10" s="1"/>
  <c r="F12" s="1"/>
  <c r="F156"/>
  <c r="F144"/>
  <c r="D156"/>
  <c r="D144"/>
  <c r="F172"/>
  <c r="N306"/>
  <c r="M305"/>
  <c r="M304"/>
  <c r="M303"/>
  <c r="K303"/>
  <c r="K302"/>
  <c r="K301"/>
  <c r="K308" s="1"/>
  <c r="I301"/>
  <c r="I300"/>
  <c r="I299"/>
  <c r="G299"/>
  <c r="G298"/>
  <c r="G297"/>
  <c r="G308" s="1"/>
  <c r="E297"/>
  <c r="E296"/>
  <c r="E308" s="1"/>
  <c r="N305"/>
  <c r="N304"/>
  <c r="N308" s="1"/>
  <c r="L304"/>
  <c r="L303"/>
  <c r="L302"/>
  <c r="J302"/>
  <c r="J301"/>
  <c r="J300"/>
  <c r="J308" s="1"/>
  <c r="H300"/>
  <c r="H299"/>
  <c r="H298"/>
  <c r="F298"/>
  <c r="F297"/>
  <c r="F296"/>
  <c r="F308" s="1"/>
  <c r="D296"/>
  <c r="D308" s="1"/>
  <c r="E202"/>
  <c r="F19" s="1"/>
  <c r="F25" s="1"/>
  <c r="F157"/>
  <c r="F165" s="1"/>
  <c r="F159"/>
  <c r="F167" s="1"/>
  <c r="E47"/>
  <c r="E176"/>
  <c r="E213" i="1"/>
  <c r="G213"/>
  <c r="D213"/>
  <c r="F213"/>
  <c r="H213"/>
  <c r="E198"/>
  <c r="I241"/>
  <c r="I28" s="1"/>
  <c r="G215"/>
  <c r="E215"/>
  <c r="H215"/>
  <c r="F215"/>
  <c r="D215"/>
  <c r="F196"/>
  <c r="D196"/>
  <c r="H214"/>
  <c r="F214"/>
  <c r="D214"/>
  <c r="G214"/>
  <c r="E214"/>
  <c r="H216"/>
  <c r="F216"/>
  <c r="D216"/>
  <c r="G216"/>
  <c r="E216"/>
  <c r="G217"/>
  <c r="E217"/>
  <c r="H217"/>
  <c r="F217"/>
  <c r="D217"/>
  <c r="D197"/>
  <c r="H195"/>
  <c r="D195"/>
  <c r="D199"/>
  <c r="G194"/>
  <c r="D194"/>
  <c r="C324" i="4" l="1"/>
  <c r="E20" s="1"/>
  <c r="F176"/>
  <c r="D325"/>
  <c r="D327"/>
  <c r="D324"/>
  <c r="D326"/>
  <c r="D328"/>
  <c r="F282"/>
  <c r="G16"/>
  <c r="D160"/>
  <c r="D164"/>
  <c r="D168" s="1"/>
  <c r="F160"/>
  <c r="F164"/>
  <c r="F168" s="1"/>
  <c r="G51"/>
  <c r="E264"/>
  <c r="E273" s="1"/>
  <c r="E262"/>
  <c r="E271" s="1"/>
  <c r="E260"/>
  <c r="E269" s="1"/>
  <c r="E265"/>
  <c r="F265" s="1"/>
  <c r="G265" s="1"/>
  <c r="H265" s="1"/>
  <c r="E263"/>
  <c r="E272" s="1"/>
  <c r="E261"/>
  <c r="E270" s="1"/>
  <c r="E282"/>
  <c r="F16"/>
  <c r="F261"/>
  <c r="F270" s="1"/>
  <c r="F262"/>
  <c r="F271" s="1"/>
  <c r="G172"/>
  <c r="E164"/>
  <c r="E168" s="1"/>
  <c r="E160"/>
  <c r="F54"/>
  <c r="G175" s="1"/>
  <c r="G46"/>
  <c r="F52"/>
  <c r="G173" s="1"/>
  <c r="G44"/>
  <c r="G164"/>
  <c r="G168" s="1"/>
  <c r="G160"/>
  <c r="H156"/>
  <c r="H158"/>
  <c r="H166" s="1"/>
  <c r="H308"/>
  <c r="L308"/>
  <c r="I308"/>
  <c r="M308"/>
  <c r="E55"/>
  <c r="G10" s="1"/>
  <c r="G12" s="1"/>
  <c r="F202"/>
  <c r="D200" i="1"/>
  <c r="F219"/>
  <c r="D219"/>
  <c r="H219"/>
  <c r="G219"/>
  <c r="E219"/>
  <c r="D329" i="4" l="1"/>
  <c r="E324"/>
  <c r="E26" s="1"/>
  <c r="E281"/>
  <c r="F15"/>
  <c r="H172"/>
  <c r="G281"/>
  <c r="H15"/>
  <c r="G19"/>
  <c r="G25" s="1"/>
  <c r="G202"/>
  <c r="H164"/>
  <c r="G52"/>
  <c r="H173" s="1"/>
  <c r="H157"/>
  <c r="H165" s="1"/>
  <c r="G54"/>
  <c r="H175" s="1"/>
  <c r="H159"/>
  <c r="H167" s="1"/>
  <c r="F281"/>
  <c r="G15"/>
  <c r="D281"/>
  <c r="D284" s="1"/>
  <c r="E14" s="1"/>
  <c r="E15"/>
  <c r="G176"/>
  <c r="E276"/>
  <c r="F55"/>
  <c r="H10" s="1"/>
  <c r="H12" s="1"/>
  <c r="F260"/>
  <c r="F264"/>
  <c r="F263"/>
  <c r="G261"/>
  <c r="G262"/>
  <c r="G47"/>
  <c r="E200" i="1"/>
  <c r="E20"/>
  <c r="E25" s="1"/>
  <c r="I219"/>
  <c r="I21" s="1"/>
  <c r="I26" s="1"/>
  <c r="E17" i="4" l="1"/>
  <c r="H160"/>
  <c r="F324"/>
  <c r="G271"/>
  <c r="H262"/>
  <c r="H271" s="1"/>
  <c r="F269"/>
  <c r="G260"/>
  <c r="E283"/>
  <c r="F13"/>
  <c r="C310"/>
  <c r="C312" s="1"/>
  <c r="E18"/>
  <c r="E22" s="1"/>
  <c r="G270"/>
  <c r="H261"/>
  <c r="H270" s="1"/>
  <c r="F273"/>
  <c r="G264"/>
  <c r="G282"/>
  <c r="H16"/>
  <c r="H19"/>
  <c r="H25" s="1"/>
  <c r="H202"/>
  <c r="I19" s="1"/>
  <c r="I25" s="1"/>
  <c r="H168"/>
  <c r="H176"/>
  <c r="E284"/>
  <c r="F14" s="1"/>
  <c r="F17" s="1"/>
  <c r="F18" s="1"/>
  <c r="F272"/>
  <c r="G263"/>
  <c r="G55"/>
  <c r="I10" s="1"/>
  <c r="I12" s="1"/>
  <c r="F200" i="1"/>
  <c r="F20"/>
  <c r="F25" s="1"/>
  <c r="C325" i="4" l="1"/>
  <c r="F20" s="1"/>
  <c r="F22" s="1"/>
  <c r="F23" s="1"/>
  <c r="F24" s="1"/>
  <c r="G272"/>
  <c r="H263"/>
  <c r="H272" s="1"/>
  <c r="H281"/>
  <c r="I15"/>
  <c r="H282"/>
  <c r="I16"/>
  <c r="N314"/>
  <c r="N315" s="1"/>
  <c r="L314"/>
  <c r="L315" s="1"/>
  <c r="J314"/>
  <c r="J315" s="1"/>
  <c r="H314"/>
  <c r="H315" s="1"/>
  <c r="F314"/>
  <c r="F315" s="1"/>
  <c r="D314"/>
  <c r="D315" s="1"/>
  <c r="M314"/>
  <c r="M315" s="1"/>
  <c r="K314"/>
  <c r="K315" s="1"/>
  <c r="I314"/>
  <c r="I315" s="1"/>
  <c r="G314"/>
  <c r="G315" s="1"/>
  <c r="E314"/>
  <c r="E315" s="1"/>
  <c r="C314"/>
  <c r="C315" s="1"/>
  <c r="F276"/>
  <c r="G273"/>
  <c r="H264"/>
  <c r="H273" s="1"/>
  <c r="E23"/>
  <c r="E24" s="1"/>
  <c r="E33" s="1"/>
  <c r="G269"/>
  <c r="H260"/>
  <c r="H269" s="1"/>
  <c r="H276" s="1"/>
  <c r="G200" i="1"/>
  <c r="G20"/>
  <c r="G25" s="1"/>
  <c r="F33" i="4" l="1"/>
  <c r="E325"/>
  <c r="F26" s="1"/>
  <c r="H283"/>
  <c r="I13"/>
  <c r="F283"/>
  <c r="F284" s="1"/>
  <c r="G14" s="1"/>
  <c r="G17" s="1"/>
  <c r="G13"/>
  <c r="H284"/>
  <c r="I14" s="1"/>
  <c r="I17" s="1"/>
  <c r="I18" s="1"/>
  <c r="G276"/>
  <c r="D317"/>
  <c r="D32" s="1"/>
  <c r="H200" i="1"/>
  <c r="I20" s="1"/>
  <c r="I25" s="1"/>
  <c r="H20"/>
  <c r="H25" s="1"/>
  <c r="F325" i="4" l="1"/>
  <c r="C326" s="1"/>
  <c r="G20" s="1"/>
  <c r="G18"/>
  <c r="G22" s="1"/>
  <c r="G283"/>
  <c r="G284" s="1"/>
  <c r="H14" s="1"/>
  <c r="H17" s="1"/>
  <c r="H18" s="1"/>
  <c r="H13"/>
  <c r="E254" i="1"/>
  <c r="E253" s="1"/>
  <c r="E272" s="1"/>
  <c r="F254"/>
  <c r="G254"/>
  <c r="G253" s="1"/>
  <c r="G272" s="1"/>
  <c r="H254"/>
  <c r="H253" s="1"/>
  <c r="D254"/>
  <c r="D253" s="1"/>
  <c r="D272" s="1"/>
  <c r="F253"/>
  <c r="F272" s="1"/>
  <c r="D258"/>
  <c r="F273"/>
  <c r="H249"/>
  <c r="H250"/>
  <c r="H251"/>
  <c r="H252"/>
  <c r="H248"/>
  <c r="G249"/>
  <c r="G250"/>
  <c r="G251"/>
  <c r="G252"/>
  <c r="G248"/>
  <c r="F249"/>
  <c r="F250"/>
  <c r="F251"/>
  <c r="F252"/>
  <c r="F248"/>
  <c r="D249"/>
  <c r="D250"/>
  <c r="D251"/>
  <c r="D252"/>
  <c r="D248"/>
  <c r="D267" s="1"/>
  <c r="H119"/>
  <c r="H116"/>
  <c r="H117"/>
  <c r="H118"/>
  <c r="H115"/>
  <c r="D259"/>
  <c r="D268" s="1"/>
  <c r="D260"/>
  <c r="D261"/>
  <c r="D270" s="1"/>
  <c r="D262"/>
  <c r="E273"/>
  <c r="E326" i="4" l="1"/>
  <c r="G26" s="1"/>
  <c r="G23"/>
  <c r="G24" s="1"/>
  <c r="G33" s="1"/>
  <c r="G273" i="1"/>
  <c r="D263"/>
  <c r="D271"/>
  <c r="D269"/>
  <c r="E248"/>
  <c r="E251"/>
  <c r="E249"/>
  <c r="E252"/>
  <c r="E250"/>
  <c r="H272"/>
  <c r="H273"/>
  <c r="D273"/>
  <c r="F326" i="4" l="1"/>
  <c r="C327" s="1"/>
  <c r="H20" s="1"/>
  <c r="H22" s="1"/>
  <c r="H23" s="1"/>
  <c r="H24" s="1"/>
  <c r="D274" i="1"/>
  <c r="E92"/>
  <c r="F92" s="1"/>
  <c r="G92" s="1"/>
  <c r="H92" s="1"/>
  <c r="E91"/>
  <c r="F91" s="1"/>
  <c r="G91" s="1"/>
  <c r="H91" s="1"/>
  <c r="E90"/>
  <c r="F90" s="1"/>
  <c r="G90" s="1"/>
  <c r="H90" s="1"/>
  <c r="E89"/>
  <c r="F89" s="1"/>
  <c r="G89" s="1"/>
  <c r="H89" s="1"/>
  <c r="E84"/>
  <c r="F84" s="1"/>
  <c r="G84" s="1"/>
  <c r="H84" s="1"/>
  <c r="E83"/>
  <c r="F83" s="1"/>
  <c r="G83" s="1"/>
  <c r="H83" s="1"/>
  <c r="E82"/>
  <c r="F82" s="1"/>
  <c r="G82" s="1"/>
  <c r="H82" s="1"/>
  <c r="E81"/>
  <c r="E76"/>
  <c r="E75"/>
  <c r="F75" s="1"/>
  <c r="G75" s="1"/>
  <c r="H75" s="1"/>
  <c r="E74"/>
  <c r="F74" s="1"/>
  <c r="G74" s="1"/>
  <c r="H74" s="1"/>
  <c r="E73"/>
  <c r="F73" s="1"/>
  <c r="G73" s="1"/>
  <c r="H73" s="1"/>
  <c r="E69"/>
  <c r="F69" s="1"/>
  <c r="G69" s="1"/>
  <c r="H69" s="1"/>
  <c r="E68"/>
  <c r="F68" s="1"/>
  <c r="G68" s="1"/>
  <c r="H68" s="1"/>
  <c r="E67"/>
  <c r="F67" s="1"/>
  <c r="G67" s="1"/>
  <c r="H67" s="1"/>
  <c r="E66"/>
  <c r="F66" s="1"/>
  <c r="G66" s="1"/>
  <c r="H66" s="1"/>
  <c r="E60"/>
  <c r="F60" s="1"/>
  <c r="G60" s="1"/>
  <c r="H60" s="1"/>
  <c r="E61"/>
  <c r="F61" s="1"/>
  <c r="G61" s="1"/>
  <c r="H61" s="1"/>
  <c r="E62"/>
  <c r="F62" s="1"/>
  <c r="G62" s="1"/>
  <c r="H62" s="1"/>
  <c r="E59"/>
  <c r="F59" s="1"/>
  <c r="G59" s="1"/>
  <c r="H59" s="1"/>
  <c r="C44"/>
  <c r="C43"/>
  <c r="C42"/>
  <c r="C41"/>
  <c r="E327" i="4" l="1"/>
  <c r="H26" s="1"/>
  <c r="H33" s="1"/>
  <c r="D281" i="1"/>
  <c r="E14"/>
  <c r="F81"/>
  <c r="G81" s="1"/>
  <c r="F76"/>
  <c r="G76" s="1"/>
  <c r="C50"/>
  <c r="D171" s="1"/>
  <c r="C49"/>
  <c r="D170" s="1"/>
  <c r="C51"/>
  <c r="D172" s="1"/>
  <c r="C52"/>
  <c r="D173" s="1"/>
  <c r="C53"/>
  <c r="D287" s="1"/>
  <c r="D289" s="1"/>
  <c r="R97"/>
  <c r="L97"/>
  <c r="I97"/>
  <c r="O97"/>
  <c r="F97"/>
  <c r="R115"/>
  <c r="L115"/>
  <c r="F115"/>
  <c r="O115"/>
  <c r="I115"/>
  <c r="O98"/>
  <c r="F98"/>
  <c r="R98"/>
  <c r="L98"/>
  <c r="I98"/>
  <c r="O116"/>
  <c r="I116"/>
  <c r="R116"/>
  <c r="L116"/>
  <c r="F116"/>
  <c r="R99"/>
  <c r="L99"/>
  <c r="I99"/>
  <c r="O99"/>
  <c r="F99"/>
  <c r="R117"/>
  <c r="L117"/>
  <c r="F117"/>
  <c r="O117"/>
  <c r="I117"/>
  <c r="O118"/>
  <c r="I118"/>
  <c r="R118"/>
  <c r="L118"/>
  <c r="F118"/>
  <c r="R101"/>
  <c r="L101"/>
  <c r="I101"/>
  <c r="O101"/>
  <c r="F101"/>
  <c r="R119"/>
  <c r="L119"/>
  <c r="F119"/>
  <c r="O119"/>
  <c r="I119"/>
  <c r="R124"/>
  <c r="L124"/>
  <c r="F124"/>
  <c r="O124"/>
  <c r="I124"/>
  <c r="R106"/>
  <c r="L106"/>
  <c r="F106"/>
  <c r="O106"/>
  <c r="I106"/>
  <c r="O107"/>
  <c r="I107"/>
  <c r="R107"/>
  <c r="L107"/>
  <c r="F107"/>
  <c r="O125"/>
  <c r="I125"/>
  <c r="R125"/>
  <c r="L125"/>
  <c r="F125"/>
  <c r="R108"/>
  <c r="L108"/>
  <c r="F108"/>
  <c r="O108"/>
  <c r="I108"/>
  <c r="O109"/>
  <c r="I109"/>
  <c r="R109"/>
  <c r="L109"/>
  <c r="F109"/>
  <c r="O127"/>
  <c r="I127"/>
  <c r="R127"/>
  <c r="L127"/>
  <c r="F127"/>
  <c r="R110"/>
  <c r="L110"/>
  <c r="F110"/>
  <c r="O110"/>
  <c r="I110"/>
  <c r="R128"/>
  <c r="L128"/>
  <c r="F128"/>
  <c r="O128"/>
  <c r="I128"/>
  <c r="D41"/>
  <c r="D42"/>
  <c r="D43"/>
  <c r="D44"/>
  <c r="C45"/>
  <c r="F327" i="4" l="1"/>
  <c r="C328" s="1"/>
  <c r="I20" s="1"/>
  <c r="I22" s="1"/>
  <c r="I24" s="1"/>
  <c r="D174" i="1"/>
  <c r="D280" s="1"/>
  <c r="R120"/>
  <c r="H140" s="1"/>
  <c r="N304"/>
  <c r="N302"/>
  <c r="M302"/>
  <c r="L302"/>
  <c r="L300"/>
  <c r="K300"/>
  <c r="J300"/>
  <c r="J298"/>
  <c r="I298"/>
  <c r="H298"/>
  <c r="H296"/>
  <c r="G296"/>
  <c r="F296"/>
  <c r="F294"/>
  <c r="E294"/>
  <c r="N303"/>
  <c r="M303"/>
  <c r="M301"/>
  <c r="L301"/>
  <c r="K301"/>
  <c r="K299"/>
  <c r="J299"/>
  <c r="I299"/>
  <c r="I297"/>
  <c r="H297"/>
  <c r="G297"/>
  <c r="G295"/>
  <c r="F295"/>
  <c r="E295"/>
  <c r="D294"/>
  <c r="D306" s="1"/>
  <c r="E11"/>
  <c r="E13" s="1"/>
  <c r="E17"/>
  <c r="H76"/>
  <c r="H81"/>
  <c r="F111"/>
  <c r="D139" s="1"/>
  <c r="D155" s="1"/>
  <c r="D163" s="1"/>
  <c r="R111"/>
  <c r="H139" s="1"/>
  <c r="I111"/>
  <c r="E139" s="1"/>
  <c r="E155" s="1"/>
  <c r="E163" s="1"/>
  <c r="I120"/>
  <c r="E140" s="1"/>
  <c r="E156" s="1"/>
  <c r="E164" s="1"/>
  <c r="F120"/>
  <c r="D140" s="1"/>
  <c r="D156" s="1"/>
  <c r="D164" s="1"/>
  <c r="O111"/>
  <c r="G139" s="1"/>
  <c r="L111"/>
  <c r="F139" s="1"/>
  <c r="O120"/>
  <c r="G140" s="1"/>
  <c r="L120"/>
  <c r="F140" s="1"/>
  <c r="D52"/>
  <c r="E44"/>
  <c r="D51"/>
  <c r="E43"/>
  <c r="D50"/>
  <c r="E42"/>
  <c r="D49"/>
  <c r="D45"/>
  <c r="E41"/>
  <c r="E328" i="4" l="1"/>
  <c r="I26" s="1"/>
  <c r="I33" s="1"/>
  <c r="C329"/>
  <c r="I306" i="1"/>
  <c r="M306"/>
  <c r="G306"/>
  <c r="K306"/>
  <c r="E306"/>
  <c r="H306"/>
  <c r="L306"/>
  <c r="F306"/>
  <c r="J306"/>
  <c r="N306"/>
  <c r="O100"/>
  <c r="O102" s="1"/>
  <c r="G138" s="1"/>
  <c r="R100"/>
  <c r="R102" s="1"/>
  <c r="H138" s="1"/>
  <c r="I100"/>
  <c r="I102" s="1"/>
  <c r="E138" s="1"/>
  <c r="E154" s="1"/>
  <c r="F100"/>
  <c r="F102" s="1"/>
  <c r="D138" s="1"/>
  <c r="D154" s="1"/>
  <c r="D162" s="1"/>
  <c r="L100"/>
  <c r="L102" s="1"/>
  <c r="F138" s="1"/>
  <c r="F154" s="1"/>
  <c r="R126"/>
  <c r="R129" s="1"/>
  <c r="H141" s="1"/>
  <c r="F126"/>
  <c r="F129" s="1"/>
  <c r="D141" s="1"/>
  <c r="D157" s="1"/>
  <c r="D165" s="1"/>
  <c r="I126"/>
  <c r="I129" s="1"/>
  <c r="E141" s="1"/>
  <c r="E157" s="1"/>
  <c r="E165" s="1"/>
  <c r="L126"/>
  <c r="L129" s="1"/>
  <c r="F141" s="1"/>
  <c r="F157" s="1"/>
  <c r="F165" s="1"/>
  <c r="O126"/>
  <c r="O129" s="1"/>
  <c r="G141" s="1"/>
  <c r="E162"/>
  <c r="F156"/>
  <c r="F164" s="1"/>
  <c r="F155"/>
  <c r="F163" s="1"/>
  <c r="D53"/>
  <c r="F11" s="1"/>
  <c r="F13" s="1"/>
  <c r="E170"/>
  <c r="E171"/>
  <c r="E172"/>
  <c r="E173"/>
  <c r="E49"/>
  <c r="E45"/>
  <c r="F41"/>
  <c r="E50"/>
  <c r="F42"/>
  <c r="E51"/>
  <c r="F43"/>
  <c r="E52"/>
  <c r="F44"/>
  <c r="C35" i="4" l="1"/>
  <c r="C36"/>
  <c r="F328"/>
  <c r="E329"/>
  <c r="H142" i="1"/>
  <c r="E142"/>
  <c r="D166"/>
  <c r="E16" s="1"/>
  <c r="F142"/>
  <c r="E158"/>
  <c r="D142"/>
  <c r="D158"/>
  <c r="G142"/>
  <c r="D279"/>
  <c r="D282" s="1"/>
  <c r="E166"/>
  <c r="G155"/>
  <c r="G163" s="1"/>
  <c r="G157"/>
  <c r="G165" s="1"/>
  <c r="G156"/>
  <c r="G164" s="1"/>
  <c r="G154"/>
  <c r="E258"/>
  <c r="G162"/>
  <c r="F158"/>
  <c r="F162"/>
  <c r="F166" s="1"/>
  <c r="E260"/>
  <c r="E261"/>
  <c r="E262"/>
  <c r="E263"/>
  <c r="F263" s="1"/>
  <c r="G263" s="1"/>
  <c r="H263" s="1"/>
  <c r="E259"/>
  <c r="F173"/>
  <c r="F172"/>
  <c r="F171"/>
  <c r="F170"/>
  <c r="E174"/>
  <c r="F52"/>
  <c r="G44"/>
  <c r="F51"/>
  <c r="G43"/>
  <c r="F50"/>
  <c r="G42"/>
  <c r="F49"/>
  <c r="F45"/>
  <c r="G41"/>
  <c r="E53"/>
  <c r="G166" l="1"/>
  <c r="G279" s="1"/>
  <c r="G11"/>
  <c r="G13" s="1"/>
  <c r="E280"/>
  <c r="F17"/>
  <c r="F279"/>
  <c r="G16"/>
  <c r="H16"/>
  <c r="E279"/>
  <c r="F16"/>
  <c r="G158"/>
  <c r="E15"/>
  <c r="E18" s="1"/>
  <c r="H154"/>
  <c r="H162" s="1"/>
  <c r="F174"/>
  <c r="G50"/>
  <c r="H171" s="1"/>
  <c r="H155"/>
  <c r="H163" s="1"/>
  <c r="G51"/>
  <c r="H172" s="1"/>
  <c r="H156"/>
  <c r="H164" s="1"/>
  <c r="G52"/>
  <c r="H157"/>
  <c r="H165" s="1"/>
  <c r="F258"/>
  <c r="E267"/>
  <c r="F260"/>
  <c r="E269"/>
  <c r="F259"/>
  <c r="E268"/>
  <c r="F262"/>
  <c r="E271"/>
  <c r="F261"/>
  <c r="E270"/>
  <c r="F53"/>
  <c r="H11" s="1"/>
  <c r="H13" s="1"/>
  <c r="G170"/>
  <c r="G171"/>
  <c r="G172"/>
  <c r="H173"/>
  <c r="G173"/>
  <c r="G49"/>
  <c r="G45"/>
  <c r="E19" l="1"/>
  <c r="E22" s="1"/>
  <c r="E23" s="1"/>
  <c r="E24" s="1"/>
  <c r="E31" s="1"/>
  <c r="C308"/>
  <c r="C310" s="1"/>
  <c r="F280"/>
  <c r="G17"/>
  <c r="H166"/>
  <c r="H158"/>
  <c r="G261"/>
  <c r="F270"/>
  <c r="G262"/>
  <c r="F271"/>
  <c r="G259"/>
  <c r="F268"/>
  <c r="G260"/>
  <c r="F269"/>
  <c r="G258"/>
  <c r="F267"/>
  <c r="E274"/>
  <c r="G53"/>
  <c r="I11" s="1"/>
  <c r="I13" s="1"/>
  <c r="H170"/>
  <c r="H174" s="1"/>
  <c r="G174"/>
  <c r="F274" l="1"/>
  <c r="N312"/>
  <c r="N313" s="1"/>
  <c r="L312"/>
  <c r="L313" s="1"/>
  <c r="J312"/>
  <c r="J313" s="1"/>
  <c r="H312"/>
  <c r="H313" s="1"/>
  <c r="F312"/>
  <c r="F313" s="1"/>
  <c r="D312"/>
  <c r="D313" s="1"/>
  <c r="M312"/>
  <c r="M313" s="1"/>
  <c r="K312"/>
  <c r="K313" s="1"/>
  <c r="I312"/>
  <c r="I313" s="1"/>
  <c r="G312"/>
  <c r="G313" s="1"/>
  <c r="E312"/>
  <c r="E313" s="1"/>
  <c r="C312"/>
  <c r="C313" s="1"/>
  <c r="E281"/>
  <c r="F14"/>
  <c r="H279"/>
  <c r="I16"/>
  <c r="H280"/>
  <c r="I17"/>
  <c r="G280"/>
  <c r="H17"/>
  <c r="F281"/>
  <c r="F282" s="1"/>
  <c r="G15" s="1"/>
  <c r="G14"/>
  <c r="E282"/>
  <c r="H258"/>
  <c r="H267" s="1"/>
  <c r="G267"/>
  <c r="H260"/>
  <c r="H269" s="1"/>
  <c r="G269"/>
  <c r="H259"/>
  <c r="H268" s="1"/>
  <c r="G268"/>
  <c r="H262"/>
  <c r="H271" s="1"/>
  <c r="G271"/>
  <c r="H261"/>
  <c r="H270" s="1"/>
  <c r="G270"/>
  <c r="D315" l="1"/>
  <c r="D30" s="1"/>
  <c r="F15"/>
  <c r="G18"/>
  <c r="G19" s="1"/>
  <c r="G22" s="1"/>
  <c r="H274"/>
  <c r="G274"/>
  <c r="G23" l="1"/>
  <c r="G24" s="1"/>
  <c r="G31" s="1"/>
  <c r="G281"/>
  <c r="G282" s="1"/>
  <c r="H14"/>
  <c r="H281"/>
  <c r="H282" s="1"/>
  <c r="I14"/>
  <c r="F18"/>
  <c r="F19" l="1"/>
  <c r="F22" s="1"/>
  <c r="F23" s="1"/>
  <c r="F24" s="1"/>
  <c r="F31" s="1"/>
  <c r="I15"/>
  <c r="H15"/>
  <c r="H18" l="1"/>
  <c r="I18"/>
  <c r="I19" s="1"/>
  <c r="I22" s="1"/>
  <c r="I24" s="1"/>
  <c r="I31" s="1"/>
  <c r="H19" l="1"/>
  <c r="H22" s="1"/>
  <c r="H23" s="1"/>
  <c r="H24" s="1"/>
  <c r="H31" s="1"/>
  <c r="C36"/>
  <c r="C34" l="1"/>
  <c r="C33"/>
  <c r="C35"/>
</calcChain>
</file>

<file path=xl/comments1.xml><?xml version="1.0" encoding="utf-8"?>
<comments xmlns="http://schemas.openxmlformats.org/spreadsheetml/2006/main">
  <authors>
    <author>Usuario</author>
  </authors>
  <commentList>
    <comment ref="D257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D25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sharedStrings.xml><?xml version="1.0" encoding="utf-8"?>
<sst xmlns="http://schemas.openxmlformats.org/spreadsheetml/2006/main" count="966" uniqueCount="160">
  <si>
    <t>Demanda</t>
  </si>
  <si>
    <t>Productos</t>
  </si>
  <si>
    <t>Unidad/Mes</t>
  </si>
  <si>
    <t>Meses</t>
  </si>
  <si>
    <t>Crecimineto Anual</t>
  </si>
  <si>
    <t>BFNRP</t>
  </si>
  <si>
    <t>BFRP</t>
  </si>
  <si>
    <t>BFNRPL</t>
  </si>
  <si>
    <t>BFRPL</t>
  </si>
  <si>
    <t>Año 1</t>
  </si>
  <si>
    <t>Año 2</t>
  </si>
  <si>
    <t>Año 3</t>
  </si>
  <si>
    <t>Año 4</t>
  </si>
  <si>
    <t>Año 5</t>
  </si>
  <si>
    <t>Demanda Total</t>
  </si>
  <si>
    <t>Ingresos</t>
  </si>
  <si>
    <t>Ingreso Total</t>
  </si>
  <si>
    <t>Demanda Proyectada proximos 5 años</t>
  </si>
  <si>
    <t>Precio Unidad</t>
  </si>
  <si>
    <t>Ingresos por Venta</t>
  </si>
  <si>
    <t>Producción por maquina</t>
  </si>
  <si>
    <t>Maquina Lavadora</t>
  </si>
  <si>
    <t>Maquina Llenadora</t>
  </si>
  <si>
    <t>Maquina Etiquetadora</t>
  </si>
  <si>
    <t>Maquina Empacadora</t>
  </si>
  <si>
    <t>Maquina Paletizadora</t>
  </si>
  <si>
    <t>Tipo Bebida</t>
  </si>
  <si>
    <t>C. Teoríca</t>
  </si>
  <si>
    <t>% de Rendimiento</t>
  </si>
  <si>
    <t>Rendimiento</t>
  </si>
  <si>
    <t>3,5 Perdida 1</t>
  </si>
  <si>
    <t>2,1 Perdida 2</t>
  </si>
  <si>
    <t>Cant. Real</t>
  </si>
  <si>
    <t>Cantidad</t>
  </si>
  <si>
    <t>Cap. Producción</t>
  </si>
  <si>
    <t xml:space="preserve">Turnos </t>
  </si>
  <si>
    <t>Producción Bebidas</t>
  </si>
  <si>
    <t>* La producción de bebida es igual a la capacidad de produccion de la maquina con el valor más bajo, ya que es una cadena de producción todos los productos deben pasar por los mismos procesos y si uno de estos no cumple, no se considera producido por que esta incompleto, aunque existan maquinas con mayor rendimiento.</t>
  </si>
  <si>
    <t>Producción Total</t>
  </si>
  <si>
    <t>2do Año se compro una nueva maquina paletizadora y aumenta 2 operadores uno para cada turno. Solo se usará para la linea de producción BFNRPL que requiere mayor demanda</t>
  </si>
  <si>
    <t>1er Año compra de maquina empacadora y  aumentamos 2 operadores uno para cada turno. Solo se usará para la linea de producción BFNRPL que requiere mayor demanda</t>
  </si>
  <si>
    <t>3er Año se compro una nueva maquina etiquetadora y aumenta 2 operadores uno para cada turno. Solo se usará para la linea de producción BFNRPL que requiere mayor demanda</t>
  </si>
  <si>
    <t xml:space="preserve">Costos de Energia y Combustible 4,5 % de las ventas </t>
  </si>
  <si>
    <t>Infraestructura</t>
  </si>
  <si>
    <t>Valor de Adquisición</t>
  </si>
  <si>
    <t>Valor Total</t>
  </si>
  <si>
    <t>Vida Util</t>
  </si>
  <si>
    <t>Depreciación</t>
  </si>
  <si>
    <t>Inversion Inicial</t>
  </si>
  <si>
    <t>Valor Residual 15%</t>
  </si>
  <si>
    <t>Tabla de Reinversiones</t>
  </si>
  <si>
    <t>Total</t>
  </si>
  <si>
    <t>Valor Libro</t>
  </si>
  <si>
    <t>Operador Maquina Lavadora</t>
  </si>
  <si>
    <t>Operador Maquina Llenadora</t>
  </si>
  <si>
    <t>Operador Maquina Etiquetadora</t>
  </si>
  <si>
    <t>Operador Maquina Empacadora</t>
  </si>
  <si>
    <t>Operador Maquina Paletizadora</t>
  </si>
  <si>
    <t>Ayudantes</t>
  </si>
  <si>
    <t>Supervisor</t>
  </si>
  <si>
    <t>Remuneraciones</t>
  </si>
  <si>
    <t>Totales</t>
  </si>
  <si>
    <t>Sueldos Variables x Produccion</t>
  </si>
  <si>
    <t>Sueldo Fijo</t>
  </si>
  <si>
    <t>Mensual/Año 1</t>
  </si>
  <si>
    <t>Mensual/Año 2</t>
  </si>
  <si>
    <t>Mensual/Año 3</t>
  </si>
  <si>
    <t>Mensual/Año 4</t>
  </si>
  <si>
    <t>Mensual/Año 5</t>
  </si>
  <si>
    <t>Total Produccion</t>
  </si>
  <si>
    <t>4to Año se compro una nueva maquina  lavadora y 2 operadores uno para cada turno.Solo se usará para la linea de producción BFNRPL que requiere la mayor demanda</t>
  </si>
  <si>
    <t>5to Año se compro una nueva maquina  llenadora y 2 operadores uno para cada turno. Solo se usará para la linea de producción BFNRPL que requiere la mayor demanda</t>
  </si>
  <si>
    <t>Costos por almacenaje 12%</t>
  </si>
  <si>
    <t>Valor Venta Bebidas Almacenadas</t>
  </si>
  <si>
    <t>Turnos</t>
  </si>
  <si>
    <t>Cada Linea de produccion y turno tiene 1 supervisor</t>
  </si>
  <si>
    <t>Cada Supervisor 3 ayudantes</t>
  </si>
  <si>
    <t>Lineas De Produccion</t>
  </si>
  <si>
    <t>Balance Personal Total x Maq</t>
  </si>
  <si>
    <t>Costos Produccion</t>
  </si>
  <si>
    <t>Costos Almacenaje</t>
  </si>
  <si>
    <t>Costos Energia Combustibles</t>
  </si>
  <si>
    <t>Costo Mano de Obra</t>
  </si>
  <si>
    <t>Costos de Produccion</t>
  </si>
  <si>
    <t>Compradas</t>
  </si>
  <si>
    <t>Calculo de depreciación</t>
  </si>
  <si>
    <t>AÑO 0</t>
  </si>
  <si>
    <t>AÑO 1</t>
  </si>
  <si>
    <t>AÑO 2</t>
  </si>
  <si>
    <t>AÑO 3</t>
  </si>
  <si>
    <t>AÑO 4</t>
  </si>
  <si>
    <t>AÑO 5</t>
  </si>
  <si>
    <t>VENTAS DEL PRODUCTO</t>
  </si>
  <si>
    <t>VENTAS DE ACTIVOS</t>
  </si>
  <si>
    <t>TOTALDE INGRESOS</t>
  </si>
  <si>
    <t>REMUNERACIONES</t>
  </si>
  <si>
    <t>TOTAL DE EGRESOS</t>
  </si>
  <si>
    <t>MARGEN DE UTILIDAD</t>
  </si>
  <si>
    <t>DEPRECIACION</t>
  </si>
  <si>
    <t>VALOR LIBRO</t>
  </si>
  <si>
    <t>UTILIDAD ANTES DE IMPTO</t>
  </si>
  <si>
    <t>IMPUESTO (17%)</t>
  </si>
  <si>
    <t>UTILIDAD DESPUES DE IMPTO</t>
  </si>
  <si>
    <t>Inversion Ampliacion (Aum de Cap)</t>
  </si>
  <si>
    <t>VALOR DE DESECHO</t>
  </si>
  <si>
    <t>INVERSION INICIAL</t>
  </si>
  <si>
    <t>PRESTAMO</t>
  </si>
  <si>
    <t>CAPITAL DE TRABAJO</t>
  </si>
  <si>
    <t>FLUJO CAJA NETO</t>
  </si>
  <si>
    <t>COSTOS DE PRODUCCION</t>
  </si>
  <si>
    <t>COSTOS DE ALMACENAJE</t>
  </si>
  <si>
    <t>COSTOS DE ENERGIA Y COMB.</t>
  </si>
  <si>
    <t>Capital de Trabajo</t>
  </si>
  <si>
    <t>CONDICIONES DE PAGO</t>
  </si>
  <si>
    <t>30, 60, 90</t>
  </si>
  <si>
    <t>INGRESO</t>
  </si>
  <si>
    <t>CANTIDAD DE PAGOS</t>
  </si>
  <si>
    <t>PAGO MENSUAL</t>
  </si>
  <si>
    <t>CUOTAS (3)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</si>
  <si>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</si>
  <si>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</si>
  <si>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</si>
  <si>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</si>
  <si>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</si>
  <si>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</si>
  <si>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</si>
  <si>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</si>
  <si>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</si>
  <si>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</si>
  <si>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</si>
  <si>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</si>
  <si>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Vendo</t>
  </si>
  <si>
    <t>Egresos Meses</t>
  </si>
  <si>
    <t>Saldo</t>
  </si>
  <si>
    <t>VAN</t>
  </si>
  <si>
    <t>TIR</t>
  </si>
  <si>
    <t>PRI</t>
  </si>
  <si>
    <t>RBC</t>
  </si>
  <si>
    <t>Maquinas a comprar</t>
  </si>
  <si>
    <t>Depresiaciones</t>
  </si>
  <si>
    <t>Falta Depreciar</t>
  </si>
  <si>
    <t>Calculo Valor libro</t>
  </si>
  <si>
    <t>Valor desecho</t>
  </si>
  <si>
    <t>Calculo Valor desecho</t>
  </si>
  <si>
    <t>Pagos</t>
  </si>
  <si>
    <t>Egreso Año 1</t>
  </si>
  <si>
    <t>Pago Mensual</t>
  </si>
  <si>
    <t>FLUJO DE CAJA NETO  PURO</t>
  </si>
  <si>
    <t>FLUJO DE CAJA NETO ESCENARIO NORMAL  70% FINANCIAMIENTO</t>
  </si>
  <si>
    <t>Calculo Amoritzacion</t>
  </si>
  <si>
    <t>PAGO</t>
  </si>
  <si>
    <t>SALDO</t>
  </si>
  <si>
    <t>AÑOS</t>
  </si>
  <si>
    <t>INTERESES</t>
  </si>
  <si>
    <t>FIJO</t>
  </si>
  <si>
    <t>AMORTIZACION</t>
  </si>
  <si>
    <t>INSOLUTO</t>
  </si>
  <si>
    <t>Pago Fijo</t>
  </si>
  <si>
    <t>INTERESES DEL PRESTAMO</t>
  </si>
  <si>
    <t>AMORTIZACION PRESTAMO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</si>
</sst>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indexed="10"/>
      <name val="Calibri"/>
      <family val="2"/>
      <scheme val="minor"/>
    </font>
    <font>
      <b/>
      <i/>
      <sz val="10"/>
      <color indexed="12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12" xfId="0" applyBorder="1"/>
    <xf numFmtId="0" fontId="0" fillId="0" borderId="0" xfId="0" applyBorder="1"/>
    <xf numFmtId="0" fontId="0" fillId="0" borderId="18" xfId="0" applyBorder="1"/>
    <xf numFmtId="0" fontId="3" fillId="0" borderId="11" xfId="0" applyFont="1" applyBorder="1" applyAlignment="1">
      <alignment horizontal="center"/>
    </xf>
    <xf numFmtId="3" fontId="5" fillId="0" borderId="19" xfId="0" applyNumberFormat="1" applyFont="1" applyBorder="1"/>
    <xf numFmtId="3" fontId="5" fillId="0" borderId="44" xfId="0" applyNumberFormat="1" applyFont="1" applyBorder="1"/>
    <xf numFmtId="0" fontId="3" fillId="0" borderId="11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7" fillId="0" borderId="42" xfId="0" applyFont="1" applyBorder="1"/>
    <xf numFmtId="0" fontId="7" fillId="0" borderId="28" xfId="0" applyFont="1" applyBorder="1"/>
    <xf numFmtId="0" fontId="7" fillId="3" borderId="43" xfId="0" applyFont="1" applyFill="1" applyBorder="1"/>
    <xf numFmtId="0" fontId="7" fillId="0" borderId="33" xfId="0" applyFont="1" applyBorder="1"/>
    <xf numFmtId="0" fontId="7" fillId="0" borderId="19" xfId="0" applyFont="1" applyBorder="1"/>
    <xf numFmtId="0" fontId="7" fillId="3" borderId="45" xfId="0" applyFont="1" applyFill="1" applyBorder="1"/>
    <xf numFmtId="0" fontId="7" fillId="0" borderId="32" xfId="0" applyFont="1" applyBorder="1"/>
    <xf numFmtId="0" fontId="3" fillId="0" borderId="0" xfId="0" applyFont="1" applyFill="1" applyBorder="1"/>
    <xf numFmtId="0" fontId="7" fillId="0" borderId="0" xfId="0" applyFont="1" applyBorder="1"/>
    <xf numFmtId="3" fontId="8" fillId="0" borderId="0" xfId="0" applyNumberFormat="1" applyFont="1" applyBorder="1"/>
    <xf numFmtId="3" fontId="9" fillId="0" borderId="0" xfId="0" applyNumberFormat="1" applyFont="1" applyBorder="1"/>
    <xf numFmtId="3" fontId="7" fillId="0" borderId="1" xfId="0" applyNumberFormat="1" applyFont="1" applyBorder="1"/>
    <xf numFmtId="9" fontId="7" fillId="0" borderId="1" xfId="0" applyNumberFormat="1" applyFont="1" applyBorder="1"/>
    <xf numFmtId="4" fontId="7" fillId="0" borderId="0" xfId="0" applyNumberFormat="1" applyFont="1"/>
    <xf numFmtId="4" fontId="7" fillId="0" borderId="3" xfId="0" applyNumberFormat="1" applyFont="1" applyBorder="1"/>
    <xf numFmtId="4" fontId="7" fillId="0" borderId="4" xfId="0" applyNumberFormat="1" applyFont="1" applyBorder="1"/>
    <xf numFmtId="4" fontId="7" fillId="0" borderId="1" xfId="0" applyNumberFormat="1" applyFont="1" applyBorder="1"/>
    <xf numFmtId="4" fontId="7" fillId="0" borderId="6" xfId="0" applyNumberFormat="1" applyFont="1" applyBorder="1"/>
    <xf numFmtId="4" fontId="7" fillId="0" borderId="8" xfId="0" applyNumberFormat="1" applyFont="1" applyBorder="1"/>
    <xf numFmtId="4" fontId="7" fillId="0" borderId="9" xfId="0" applyNumberFormat="1" applyFont="1" applyBorder="1"/>
    <xf numFmtId="4" fontId="10" fillId="2" borderId="2" xfId="0" applyNumberFormat="1" applyFont="1" applyFill="1" applyBorder="1"/>
    <xf numFmtId="4" fontId="10" fillId="2" borderId="3" xfId="0" applyNumberFormat="1" applyFont="1" applyFill="1" applyBorder="1"/>
    <xf numFmtId="4" fontId="10" fillId="2" borderId="4" xfId="0" applyNumberFormat="1" applyFont="1" applyFill="1" applyBorder="1"/>
    <xf numFmtId="4" fontId="10" fillId="2" borderId="5" xfId="0" applyNumberFormat="1" applyFont="1" applyFill="1" applyBorder="1"/>
    <xf numFmtId="3" fontId="10" fillId="2" borderId="1" xfId="0" applyNumberFormat="1" applyFont="1" applyFill="1" applyBorder="1"/>
    <xf numFmtId="3" fontId="10" fillId="2" borderId="6" xfId="0" applyNumberFormat="1" applyFont="1" applyFill="1" applyBorder="1"/>
    <xf numFmtId="4" fontId="10" fillId="2" borderId="7" xfId="0" applyNumberFormat="1" applyFont="1" applyFill="1" applyBorder="1"/>
    <xf numFmtId="3" fontId="10" fillId="2" borderId="8" xfId="0" applyNumberFormat="1" applyFont="1" applyFill="1" applyBorder="1"/>
    <xf numFmtId="3" fontId="10" fillId="2" borderId="9" xfId="0" applyNumberFormat="1" applyFont="1" applyFill="1" applyBorder="1"/>
    <xf numFmtId="4" fontId="10" fillId="0" borderId="2" xfId="0" applyNumberFormat="1" applyFont="1" applyBorder="1"/>
    <xf numFmtId="4" fontId="10" fillId="0" borderId="5" xfId="0" applyNumberFormat="1" applyFont="1" applyBorder="1"/>
    <xf numFmtId="3" fontId="7" fillId="0" borderId="6" xfId="0" applyNumberFormat="1" applyFont="1" applyBorder="1"/>
    <xf numFmtId="4" fontId="10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4" fontId="10" fillId="0" borderId="0" xfId="0" applyNumberFormat="1" applyFont="1" applyFill="1" applyBorder="1"/>
    <xf numFmtId="4" fontId="7" fillId="0" borderId="17" xfId="0" applyNumberFormat="1" applyFont="1" applyBorder="1" applyAlignment="1">
      <alignment horizontal="center"/>
    </xf>
    <xf numFmtId="4" fontId="7" fillId="0" borderId="18" xfId="0" applyNumberFormat="1" applyFont="1" applyBorder="1" applyAlignment="1">
      <alignment horizontal="center"/>
    </xf>
    <xf numFmtId="0" fontId="7" fillId="0" borderId="16" xfId="0" applyFont="1" applyBorder="1"/>
    <xf numFmtId="0" fontId="10" fillId="0" borderId="1" xfId="0" applyFont="1" applyBorder="1"/>
    <xf numFmtId="4" fontId="10" fillId="0" borderId="1" xfId="0" applyNumberFormat="1" applyFont="1" applyBorder="1"/>
    <xf numFmtId="3" fontId="10" fillId="0" borderId="1" xfId="0" applyNumberFormat="1" applyFont="1" applyBorder="1"/>
    <xf numFmtId="4" fontId="7" fillId="0" borderId="0" xfId="0" applyNumberFormat="1" applyFont="1" applyBorder="1"/>
    <xf numFmtId="0" fontId="10" fillId="0" borderId="0" xfId="0" applyFont="1"/>
    <xf numFmtId="4" fontId="10" fillId="0" borderId="0" xfId="0" applyNumberFormat="1" applyFont="1" applyBorder="1"/>
    <xf numFmtId="3" fontId="7" fillId="0" borderId="0" xfId="0" applyNumberFormat="1" applyFont="1" applyBorder="1"/>
    <xf numFmtId="3" fontId="10" fillId="0" borderId="0" xfId="0" applyNumberFormat="1" applyFont="1" applyBorder="1"/>
    <xf numFmtId="4" fontId="7" fillId="0" borderId="11" xfId="0" applyNumberFormat="1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 applyAlignment="1"/>
    <xf numFmtId="0" fontId="7" fillId="0" borderId="1" xfId="0" applyFont="1" applyBorder="1" applyAlignment="1"/>
    <xf numFmtId="0" fontId="7" fillId="0" borderId="1" xfId="0" applyFont="1" applyFill="1" applyBorder="1" applyAlignment="1"/>
    <xf numFmtId="0" fontId="7" fillId="0" borderId="11" xfId="0" applyFont="1" applyBorder="1"/>
    <xf numFmtId="0" fontId="7" fillId="0" borderId="13" xfId="0" applyFont="1" applyBorder="1"/>
    <xf numFmtId="0" fontId="7" fillId="0" borderId="22" xfId="0" applyFont="1" applyBorder="1"/>
    <xf numFmtId="0" fontId="7" fillId="0" borderId="14" xfId="0" applyFont="1" applyBorder="1"/>
    <xf numFmtId="0" fontId="7" fillId="0" borderId="10" xfId="0" applyFont="1" applyBorder="1"/>
    <xf numFmtId="3" fontId="7" fillId="0" borderId="10" xfId="0" applyNumberFormat="1" applyFont="1" applyBorder="1"/>
    <xf numFmtId="0" fontId="10" fillId="0" borderId="24" xfId="0" applyFont="1" applyBorder="1"/>
    <xf numFmtId="3" fontId="10" fillId="0" borderId="24" xfId="0" applyNumberFormat="1" applyFont="1" applyBorder="1"/>
    <xf numFmtId="3" fontId="10" fillId="0" borderId="18" xfId="0" applyNumberFormat="1" applyFont="1" applyBorder="1"/>
    <xf numFmtId="0" fontId="11" fillId="0" borderId="0" xfId="0" applyFont="1"/>
    <xf numFmtId="4" fontId="10" fillId="0" borderId="0" xfId="0" applyNumberFormat="1" applyFont="1" applyFill="1" applyBorder="1" applyAlignment="1">
      <alignment horizontal="left" vertical="top" wrapText="1"/>
    </xf>
    <xf numFmtId="4" fontId="10" fillId="0" borderId="0" xfId="0" applyNumberFormat="1" applyFont="1" applyFill="1" applyBorder="1" applyAlignment="1">
      <alignment horizontal="left" vertical="top" wrapText="1"/>
    </xf>
    <xf numFmtId="0" fontId="7" fillId="0" borderId="12" xfId="0" applyFont="1" applyBorder="1"/>
    <xf numFmtId="4" fontId="10" fillId="0" borderId="22" xfId="0" applyNumberFormat="1" applyFont="1" applyBorder="1"/>
    <xf numFmtId="4" fontId="7" fillId="0" borderId="17" xfId="0" applyNumberFormat="1" applyFont="1" applyFill="1" applyBorder="1"/>
    <xf numFmtId="0" fontId="7" fillId="0" borderId="24" xfId="0" applyFont="1" applyBorder="1"/>
    <xf numFmtId="3" fontId="7" fillId="0" borderId="24" xfId="0" applyNumberFormat="1" applyFont="1" applyBorder="1"/>
    <xf numFmtId="3" fontId="7" fillId="0" borderId="18" xfId="0" applyNumberFormat="1" applyFont="1" applyBorder="1"/>
    <xf numFmtId="4" fontId="10" fillId="0" borderId="1" xfId="0" applyNumberFormat="1" applyFont="1" applyFill="1" applyBorder="1"/>
    <xf numFmtId="0" fontId="7" fillId="0" borderId="30" xfId="0" applyFont="1" applyBorder="1"/>
    <xf numFmtId="0" fontId="10" fillId="0" borderId="19" xfId="0" applyFont="1" applyBorder="1"/>
    <xf numFmtId="4" fontId="10" fillId="0" borderId="30" xfId="0" applyNumberFormat="1" applyFont="1" applyBorder="1"/>
    <xf numFmtId="4" fontId="10" fillId="0" borderId="31" xfId="0" applyNumberFormat="1" applyFont="1" applyBorder="1"/>
    <xf numFmtId="3" fontId="7" fillId="0" borderId="0" xfId="0" applyNumberFormat="1" applyFont="1"/>
    <xf numFmtId="0" fontId="10" fillId="0" borderId="17" xfId="0" applyFont="1" applyBorder="1"/>
    <xf numFmtId="1" fontId="7" fillId="0" borderId="0" xfId="0" applyNumberFormat="1" applyFont="1"/>
    <xf numFmtId="4" fontId="7" fillId="0" borderId="11" xfId="0" applyNumberFormat="1" applyFont="1" applyBorder="1"/>
    <xf numFmtId="4" fontId="7" fillId="0" borderId="22" xfId="0" applyNumberFormat="1" applyFont="1" applyBorder="1"/>
    <xf numFmtId="4" fontId="7" fillId="0" borderId="22" xfId="0" applyNumberFormat="1" applyFont="1" applyFill="1" applyBorder="1"/>
    <xf numFmtId="3" fontId="10" fillId="0" borderId="17" xfId="0" applyNumberFormat="1" applyFont="1" applyBorder="1"/>
    <xf numFmtId="0" fontId="10" fillId="0" borderId="18" xfId="0" applyFont="1" applyBorder="1"/>
    <xf numFmtId="3" fontId="7" fillId="0" borderId="21" xfId="0" applyNumberFormat="1" applyFont="1" applyBorder="1"/>
    <xf numFmtId="0" fontId="7" fillId="0" borderId="15" xfId="0" applyFont="1" applyBorder="1"/>
    <xf numFmtId="4" fontId="7" fillId="0" borderId="21" xfId="0" applyNumberFormat="1" applyFont="1" applyFill="1" applyBorder="1"/>
    <xf numFmtId="0" fontId="10" fillId="0" borderId="1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 wrapText="1"/>
    </xf>
    <xf numFmtId="0" fontId="7" fillId="0" borderId="25" xfId="0" applyFont="1" applyBorder="1"/>
    <xf numFmtId="3" fontId="7" fillId="0" borderId="26" xfId="0" applyNumberFormat="1" applyFont="1" applyBorder="1"/>
    <xf numFmtId="4" fontId="7" fillId="0" borderId="0" xfId="0" applyNumberFormat="1" applyFont="1" applyFill="1" applyBorder="1"/>
    <xf numFmtId="4" fontId="10" fillId="0" borderId="10" xfId="0" applyNumberFormat="1" applyFont="1" applyBorder="1"/>
    <xf numFmtId="0" fontId="10" fillId="0" borderId="10" xfId="0" applyFont="1" applyBorder="1"/>
    <xf numFmtId="0" fontId="10" fillId="0" borderId="10" xfId="0" applyFont="1" applyBorder="1" applyAlignment="1">
      <alignment horizontal="center" wrapText="1"/>
    </xf>
    <xf numFmtId="3" fontId="7" fillId="0" borderId="19" xfId="0" applyNumberFormat="1" applyFont="1" applyBorder="1"/>
    <xf numFmtId="4" fontId="7" fillId="0" borderId="21" xfId="0" applyNumberFormat="1" applyFont="1" applyBorder="1"/>
    <xf numFmtId="3" fontId="7" fillId="0" borderId="28" xfId="0" applyNumberFormat="1" applyFont="1" applyBorder="1"/>
    <xf numFmtId="3" fontId="7" fillId="0" borderId="17" xfId="0" applyNumberFormat="1" applyFont="1" applyBorder="1"/>
    <xf numFmtId="3" fontId="7" fillId="0" borderId="26" xfId="0" applyNumberFormat="1" applyFont="1" applyFill="1" applyBorder="1"/>
    <xf numFmtId="3" fontId="7" fillId="0" borderId="29" xfId="0" applyNumberFormat="1" applyFont="1" applyFill="1" applyBorder="1"/>
    <xf numFmtId="4" fontId="7" fillId="0" borderId="1" xfId="0" applyNumberFormat="1" applyFont="1" applyFill="1" applyBorder="1"/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3" fontId="3" fillId="0" borderId="3" xfId="0" applyNumberFormat="1" applyFont="1" applyBorder="1" applyAlignment="1">
      <alignment wrapText="1"/>
    </xf>
    <xf numFmtId="3" fontId="3" fillId="0" borderId="10" xfId="0" applyNumberFormat="1" applyFont="1" applyBorder="1" applyAlignment="1">
      <alignment wrapText="1"/>
    </xf>
    <xf numFmtId="3" fontId="3" fillId="3" borderId="36" xfId="0" applyNumberFormat="1" applyFont="1" applyFill="1" applyBorder="1" applyAlignment="1">
      <alignment wrapText="1"/>
    </xf>
    <xf numFmtId="3" fontId="3" fillId="3" borderId="37" xfId="0" applyNumberFormat="1" applyFont="1" applyFill="1" applyBorder="1" applyAlignment="1">
      <alignment wrapText="1"/>
    </xf>
    <xf numFmtId="3" fontId="5" fillId="0" borderId="16" xfId="0" applyNumberFormat="1" applyFont="1" applyBorder="1" applyAlignment="1">
      <alignment wrapText="1"/>
    </xf>
    <xf numFmtId="3" fontId="5" fillId="0" borderId="1" xfId="0" applyNumberFormat="1" applyFont="1" applyBorder="1" applyAlignment="1">
      <alignment wrapText="1"/>
    </xf>
    <xf numFmtId="3" fontId="5" fillId="3" borderId="39" xfId="0" applyNumberFormat="1" applyFont="1" applyFill="1" applyBorder="1" applyAlignment="1">
      <alignment wrapText="1"/>
    </xf>
    <xf numFmtId="3" fontId="5" fillId="3" borderId="40" xfId="0" applyNumberFormat="1" applyFont="1" applyFill="1" applyBorder="1" applyAlignment="1">
      <alignment wrapText="1"/>
    </xf>
    <xf numFmtId="3" fontId="5" fillId="0" borderId="3" xfId="0" applyNumberFormat="1" applyFont="1" applyBorder="1" applyAlignment="1">
      <alignment wrapText="1"/>
    </xf>
    <xf numFmtId="3" fontId="5" fillId="0" borderId="10" xfId="0" applyNumberFormat="1" applyFont="1" applyBorder="1" applyAlignment="1">
      <alignment wrapText="1"/>
    </xf>
    <xf numFmtId="3" fontId="5" fillId="0" borderId="34" xfId="0" applyNumberFormat="1" applyFont="1" applyBorder="1" applyAlignment="1">
      <alignment wrapText="1"/>
    </xf>
    <xf numFmtId="3" fontId="5" fillId="0" borderId="27" xfId="0" applyNumberFormat="1" applyFont="1" applyBorder="1" applyAlignment="1">
      <alignment wrapText="1"/>
    </xf>
    <xf numFmtId="3" fontId="3" fillId="0" borderId="41" xfId="0" applyNumberFormat="1" applyFont="1" applyBorder="1" applyAlignment="1">
      <alignment wrapText="1"/>
    </xf>
    <xf numFmtId="3" fontId="3" fillId="0" borderId="16" xfId="0" applyNumberFormat="1" applyFont="1" applyBorder="1" applyAlignment="1">
      <alignment wrapText="1"/>
    </xf>
    <xf numFmtId="3" fontId="3" fillId="0" borderId="38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3" fontId="3" fillId="0" borderId="34" xfId="0" applyNumberFormat="1" applyFont="1" applyBorder="1" applyAlignment="1">
      <alignment wrapText="1"/>
    </xf>
    <xf numFmtId="3" fontId="5" fillId="0" borderId="23" xfId="0" applyNumberFormat="1" applyFont="1" applyBorder="1" applyAlignment="1">
      <alignment wrapText="1"/>
    </xf>
    <xf numFmtId="3" fontId="4" fillId="0" borderId="6" xfId="0" applyNumberFormat="1" applyFont="1" applyBorder="1" applyAlignment="1">
      <alignment wrapText="1"/>
    </xf>
    <xf numFmtId="0" fontId="7" fillId="0" borderId="38" xfId="0" applyFont="1" applyBorder="1" applyAlignment="1">
      <alignment wrapText="1"/>
    </xf>
    <xf numFmtId="0" fontId="7" fillId="0" borderId="8" xfId="0" applyFont="1" applyBorder="1" applyAlignment="1">
      <alignment wrapText="1"/>
    </xf>
    <xf numFmtId="3" fontId="3" fillId="0" borderId="9" xfId="0" applyNumberFormat="1" applyFont="1" applyBorder="1" applyAlignment="1">
      <alignment wrapText="1"/>
    </xf>
    <xf numFmtId="4" fontId="10" fillId="0" borderId="17" xfId="0" applyNumberFormat="1" applyFont="1" applyBorder="1"/>
    <xf numFmtId="0" fontId="7" fillId="0" borderId="48" xfId="0" applyFont="1" applyBorder="1"/>
    <xf numFmtId="3" fontId="7" fillId="0" borderId="48" xfId="0" applyNumberFormat="1" applyFont="1" applyBorder="1"/>
    <xf numFmtId="3" fontId="7" fillId="0" borderId="15" xfId="0" applyNumberFormat="1" applyFont="1" applyBorder="1"/>
    <xf numFmtId="0" fontId="10" fillId="0" borderId="1" xfId="0" applyFont="1" applyFill="1" applyBorder="1"/>
    <xf numFmtId="0" fontId="0" fillId="0" borderId="48" xfId="0" applyBorder="1"/>
    <xf numFmtId="4" fontId="7" fillId="0" borderId="25" xfId="0" applyNumberFormat="1" applyFont="1" applyFill="1" applyBorder="1"/>
    <xf numFmtId="3" fontId="7" fillId="0" borderId="25" xfId="0" applyNumberFormat="1" applyFont="1" applyBorder="1"/>
    <xf numFmtId="3" fontId="7" fillId="0" borderId="29" xfId="0" applyNumberFormat="1" applyFont="1" applyBorder="1"/>
    <xf numFmtId="3" fontId="10" fillId="0" borderId="47" xfId="0" applyNumberFormat="1" applyFont="1" applyBorder="1"/>
    <xf numFmtId="3" fontId="10" fillId="0" borderId="26" xfId="0" applyNumberFormat="1" applyFont="1" applyBorder="1"/>
    <xf numFmtId="3" fontId="7" fillId="0" borderId="49" xfId="0" applyNumberFormat="1" applyFont="1" applyBorder="1"/>
    <xf numFmtId="0" fontId="10" fillId="0" borderId="30" xfId="0" applyFont="1" applyBorder="1" applyAlignment="1">
      <alignment horizontal="center" wrapText="1"/>
    </xf>
    <xf numFmtId="3" fontId="7" fillId="0" borderId="16" xfId="0" applyNumberFormat="1" applyFont="1" applyBorder="1"/>
    <xf numFmtId="0" fontId="10" fillId="0" borderId="47" xfId="0" applyFont="1" applyFill="1" applyBorder="1" applyAlignment="1">
      <alignment horizontal="center" wrapText="1"/>
    </xf>
    <xf numFmtId="0" fontId="10" fillId="0" borderId="25" xfId="0" applyFont="1" applyBorder="1"/>
    <xf numFmtId="0" fontId="10" fillId="0" borderId="26" xfId="0" applyFont="1" applyBorder="1"/>
    <xf numFmtId="3" fontId="10" fillId="0" borderId="29" xfId="0" applyNumberFormat="1" applyFont="1" applyBorder="1"/>
    <xf numFmtId="0" fontId="10" fillId="0" borderId="29" xfId="0" applyFont="1" applyBorder="1"/>
    <xf numFmtId="0" fontId="7" fillId="0" borderId="21" xfId="0" applyFont="1" applyBorder="1"/>
    <xf numFmtId="3" fontId="10" fillId="0" borderId="25" xfId="0" applyNumberFormat="1" applyFont="1" applyBorder="1"/>
    <xf numFmtId="0" fontId="7" fillId="0" borderId="50" xfId="0" applyFont="1" applyBorder="1"/>
    <xf numFmtId="0" fontId="7" fillId="0" borderId="51" xfId="0" applyFont="1" applyBorder="1"/>
    <xf numFmtId="0" fontId="7" fillId="0" borderId="52" xfId="0" applyFont="1" applyBorder="1"/>
    <xf numFmtId="0" fontId="7" fillId="3" borderId="17" xfId="0" applyFont="1" applyFill="1" applyBorder="1"/>
    <xf numFmtId="0" fontId="7" fillId="3" borderId="18" xfId="0" applyFont="1" applyFill="1" applyBorder="1"/>
    <xf numFmtId="0" fontId="7" fillId="4" borderId="17" xfId="0" applyFont="1" applyFill="1" applyBorder="1"/>
    <xf numFmtId="0" fontId="7" fillId="4" borderId="18" xfId="0" applyFont="1" applyFill="1" applyBorder="1"/>
    <xf numFmtId="0" fontId="7" fillId="4" borderId="45" xfId="0" applyFont="1" applyFill="1" applyBorder="1"/>
    <xf numFmtId="3" fontId="6" fillId="4" borderId="39" xfId="0" applyNumberFormat="1" applyFont="1" applyFill="1" applyBorder="1" applyAlignment="1">
      <alignment wrapText="1"/>
    </xf>
    <xf numFmtId="3" fontId="6" fillId="4" borderId="40" xfId="0" applyNumberFormat="1" applyFont="1" applyFill="1" applyBorder="1" applyAlignment="1">
      <alignment wrapText="1"/>
    </xf>
    <xf numFmtId="0" fontId="7" fillId="0" borderId="19" xfId="0" applyFont="1" applyFill="1" applyBorder="1"/>
    <xf numFmtId="3" fontId="5" fillId="0" borderId="1" xfId="0" applyNumberFormat="1" applyFont="1" applyFill="1" applyBorder="1" applyAlignment="1">
      <alignment wrapText="1"/>
    </xf>
    <xf numFmtId="0" fontId="7" fillId="4" borderId="47" xfId="0" applyFont="1" applyFill="1" applyBorder="1"/>
    <xf numFmtId="0" fontId="7" fillId="4" borderId="46" xfId="0" applyFont="1" applyFill="1" applyBorder="1"/>
    <xf numFmtId="3" fontId="6" fillId="4" borderId="26" xfId="0" applyNumberFormat="1" applyFont="1" applyFill="1" applyBorder="1" applyAlignment="1">
      <alignment wrapText="1"/>
    </xf>
    <xf numFmtId="3" fontId="6" fillId="4" borderId="29" xfId="0" applyNumberFormat="1" applyFont="1" applyFill="1" applyBorder="1" applyAlignment="1">
      <alignment wrapText="1"/>
    </xf>
    <xf numFmtId="4" fontId="10" fillId="0" borderId="3" xfId="0" applyNumberFormat="1" applyFont="1" applyBorder="1"/>
    <xf numFmtId="4" fontId="10" fillId="0" borderId="4" xfId="0" applyNumberFormat="1" applyFont="1" applyBorder="1"/>
    <xf numFmtId="3" fontId="8" fillId="4" borderId="46" xfId="0" applyNumberFormat="1" applyFont="1" applyFill="1" applyBorder="1"/>
    <xf numFmtId="3" fontId="9" fillId="4" borderId="26" xfId="0" applyNumberFormat="1" applyFont="1" applyFill="1" applyBorder="1" applyAlignment="1">
      <alignment wrapText="1"/>
    </xf>
    <xf numFmtId="3" fontId="9" fillId="4" borderId="29" xfId="0" applyNumberFormat="1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41" xfId="0" applyFont="1" applyBorder="1" applyAlignment="1">
      <alignment wrapText="1"/>
    </xf>
    <xf numFmtId="3" fontId="12" fillId="0" borderId="0" xfId="0" applyNumberFormat="1" applyFont="1" applyFill="1" applyBorder="1"/>
    <xf numFmtId="3" fontId="10" fillId="0" borderId="28" xfId="0" applyNumberFormat="1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0" fontId="10" fillId="0" borderId="21" xfId="0" applyFont="1" applyBorder="1"/>
    <xf numFmtId="0" fontId="10" fillId="0" borderId="15" xfId="0" applyFont="1" applyBorder="1"/>
    <xf numFmtId="0" fontId="10" fillId="0" borderId="22" xfId="0" applyFont="1" applyBorder="1"/>
    <xf numFmtId="0" fontId="10" fillId="0" borderId="0" xfId="0" applyFont="1" applyBorder="1"/>
    <xf numFmtId="0" fontId="10" fillId="0" borderId="14" xfId="0" applyFont="1" applyBorder="1"/>
    <xf numFmtId="3" fontId="10" fillId="0" borderId="48" xfId="0" applyNumberFormat="1" applyFont="1" applyBorder="1"/>
    <xf numFmtId="3" fontId="13" fillId="0" borderId="16" xfId="0" applyNumberFormat="1" applyFont="1" applyBorder="1" applyAlignment="1">
      <alignment wrapText="1"/>
    </xf>
    <xf numFmtId="9" fontId="7" fillId="0" borderId="19" xfId="0" applyNumberFormat="1" applyFont="1" applyBorder="1"/>
    <xf numFmtId="0" fontId="3" fillId="0" borderId="4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315"/>
  <sheetViews>
    <sheetView topLeftCell="A9" workbookViewId="0">
      <selection activeCell="C33" sqref="C33"/>
    </sheetView>
  </sheetViews>
  <sheetFormatPr baseColWidth="10" defaultRowHeight="12.75"/>
  <cols>
    <col min="1" max="1" width="2.140625" style="14" customWidth="1"/>
    <col min="2" max="2" width="12.85546875" style="14" customWidth="1"/>
    <col min="3" max="3" width="16.28515625" style="14" customWidth="1"/>
    <col min="4" max="4" width="14.85546875" style="14" bestFit="1" customWidth="1"/>
    <col min="5" max="5" width="14.7109375" style="14" customWidth="1"/>
    <col min="6" max="6" width="14.85546875" style="14" customWidth="1"/>
    <col min="7" max="7" width="13.85546875" style="14" bestFit="1" customWidth="1"/>
    <col min="8" max="8" width="15.7109375" style="14" bestFit="1" customWidth="1"/>
    <col min="9" max="9" width="14.5703125" style="14" bestFit="1" customWidth="1"/>
    <col min="10" max="10" width="12.7109375" style="14" bestFit="1" customWidth="1"/>
    <col min="11" max="11" width="13.5703125" style="14" customWidth="1"/>
    <col min="12" max="12" width="16.7109375" style="14" customWidth="1"/>
    <col min="13" max="14" width="12.7109375" style="14" bestFit="1" customWidth="1"/>
    <col min="15" max="15" width="15.140625" style="14" customWidth="1"/>
    <col min="16" max="16" width="13.7109375" style="14" customWidth="1"/>
    <col min="17" max="17" width="11.42578125" style="14"/>
    <col min="18" max="18" width="17" style="14" customWidth="1"/>
    <col min="19" max="16384" width="11.42578125" style="14"/>
  </cols>
  <sheetData>
    <row r="2" spans="2:9">
      <c r="B2" s="13" t="s">
        <v>147</v>
      </c>
      <c r="C2" s="13"/>
      <c r="D2" s="13"/>
      <c r="E2" s="13"/>
      <c r="F2" s="13"/>
      <c r="G2" s="13"/>
      <c r="H2" s="13"/>
    </row>
    <row r="3" spans="2:9" ht="13.5" thickBot="1"/>
    <row r="4" spans="2:9">
      <c r="B4" s="45" t="s">
        <v>1</v>
      </c>
      <c r="C4" s="185" t="s">
        <v>2</v>
      </c>
      <c r="D4" s="185" t="s">
        <v>3</v>
      </c>
      <c r="E4" s="185" t="s">
        <v>4</v>
      </c>
      <c r="F4" s="186" t="s">
        <v>18</v>
      </c>
    </row>
    <row r="5" spans="2:9">
      <c r="B5" s="46" t="s">
        <v>5</v>
      </c>
      <c r="C5" s="32">
        <v>250000</v>
      </c>
      <c r="D5" s="32">
        <v>12</v>
      </c>
      <c r="E5" s="32">
        <v>3.5</v>
      </c>
      <c r="F5" s="33">
        <v>850</v>
      </c>
    </row>
    <row r="6" spans="2:9">
      <c r="B6" s="46" t="s">
        <v>6</v>
      </c>
      <c r="C6" s="32">
        <v>300000</v>
      </c>
      <c r="D6" s="32">
        <v>12</v>
      </c>
      <c r="E6" s="32">
        <v>2.5</v>
      </c>
      <c r="F6" s="33">
        <v>850</v>
      </c>
    </row>
    <row r="7" spans="2:9">
      <c r="B7" s="46" t="s">
        <v>7</v>
      </c>
      <c r="C7" s="32">
        <v>450000</v>
      </c>
      <c r="D7" s="32">
        <v>12</v>
      </c>
      <c r="E7" s="32">
        <v>4.5</v>
      </c>
      <c r="F7" s="33">
        <v>1050</v>
      </c>
    </row>
    <row r="8" spans="2:9" ht="13.5" thickBot="1">
      <c r="B8" s="48" t="s">
        <v>8</v>
      </c>
      <c r="C8" s="34">
        <v>280000</v>
      </c>
      <c r="D8" s="34">
        <v>12</v>
      </c>
      <c r="E8" s="34">
        <v>6</v>
      </c>
      <c r="F8" s="35">
        <v>1050</v>
      </c>
    </row>
    <row r="9" spans="2:9" ht="13.5" thickBot="1">
      <c r="B9" s="58"/>
      <c r="C9" s="58"/>
      <c r="D9" s="58"/>
      <c r="E9" s="58"/>
      <c r="F9" s="58"/>
    </row>
    <row r="10" spans="2:9" ht="13.5" thickBot="1">
      <c r="D10" s="4" t="s">
        <v>86</v>
      </c>
      <c r="E10" s="123" t="s">
        <v>87</v>
      </c>
      <c r="F10" s="123" t="s">
        <v>88</v>
      </c>
      <c r="G10" s="123" t="s">
        <v>89</v>
      </c>
      <c r="H10" s="123" t="s">
        <v>90</v>
      </c>
      <c r="I10" s="124" t="s">
        <v>91</v>
      </c>
    </row>
    <row r="11" spans="2:9" ht="13.5" thickBot="1">
      <c r="B11" s="69" t="s">
        <v>92</v>
      </c>
      <c r="C11" s="70"/>
      <c r="D11" s="16"/>
      <c r="E11" s="125">
        <f>C53</f>
        <v>14808000000</v>
      </c>
      <c r="F11" s="125">
        <f t="shared" ref="F11:I11" si="0">D53</f>
        <v>15440580000</v>
      </c>
      <c r="G11" s="125">
        <f t="shared" si="0"/>
        <v>16102378799.999998</v>
      </c>
      <c r="H11" s="125">
        <f t="shared" si="0"/>
        <v>16794832270.499996</v>
      </c>
      <c r="I11" s="125">
        <f t="shared" si="0"/>
        <v>17519450277.329998</v>
      </c>
    </row>
    <row r="12" spans="2:9" ht="13.5" thickBot="1">
      <c r="B12" s="69" t="s">
        <v>93</v>
      </c>
      <c r="C12" s="70"/>
      <c r="D12" s="17"/>
      <c r="E12" s="126">
        <v>0</v>
      </c>
      <c r="F12" s="126">
        <v>0</v>
      </c>
      <c r="G12" s="126">
        <v>0</v>
      </c>
      <c r="H12" s="126">
        <v>0</v>
      </c>
      <c r="I12" s="126">
        <v>0</v>
      </c>
    </row>
    <row r="13" spans="2:9" ht="13.5" thickBot="1">
      <c r="B13" s="172" t="s">
        <v>94</v>
      </c>
      <c r="C13" s="173"/>
      <c r="D13" s="18"/>
      <c r="E13" s="127">
        <f>SUM(E11:E12)</f>
        <v>14808000000</v>
      </c>
      <c r="F13" s="127">
        <f>SUM(F11:F12)</f>
        <v>15440580000</v>
      </c>
      <c r="G13" s="127">
        <f>SUM(G11:G12)</f>
        <v>16102378799.999998</v>
      </c>
      <c r="H13" s="127">
        <f>SUM(H11:H12)</f>
        <v>16794832270.499996</v>
      </c>
      <c r="I13" s="128">
        <f>SUM(I11:I12)</f>
        <v>17519450277.329998</v>
      </c>
    </row>
    <row r="14" spans="2:9" ht="13.5" thickBot="1">
      <c r="B14" s="69" t="s">
        <v>95</v>
      </c>
      <c r="C14" s="70"/>
      <c r="D14" s="179"/>
      <c r="E14" s="180">
        <f>-D274</f>
        <v>-266820000</v>
      </c>
      <c r="F14" s="180">
        <f t="shared" ref="F14:I14" si="1">-E274</f>
        <v>-273502123.21522999</v>
      </c>
      <c r="G14" s="180">
        <f t="shared" si="1"/>
        <v>-281082359.86250663</v>
      </c>
      <c r="H14" s="180">
        <f t="shared" si="1"/>
        <v>-289155193.01956642</v>
      </c>
      <c r="I14" s="180">
        <f t="shared" si="1"/>
        <v>-329468951.61290324</v>
      </c>
    </row>
    <row r="15" spans="2:9" ht="13.5" thickBot="1">
      <c r="B15" s="69" t="s">
        <v>109</v>
      </c>
      <c r="C15" s="70"/>
      <c r="D15" s="19"/>
      <c r="E15" s="129">
        <f>-D282</f>
        <v>-400976864.72999996</v>
      </c>
      <c r="F15" s="129">
        <f t="shared" ref="F15:I15" si="2">-E282</f>
        <v>-398196549.50630748</v>
      </c>
      <c r="G15" s="129">
        <f t="shared" si="2"/>
        <v>-397562919.79812664</v>
      </c>
      <c r="H15" s="129">
        <f t="shared" si="2"/>
        <v>-394007654.48801661</v>
      </c>
      <c r="I15" s="129">
        <f t="shared" si="2"/>
        <v>-516469999.04078829</v>
      </c>
    </row>
    <row r="16" spans="2:9" ht="13.5" thickBot="1">
      <c r="B16" s="69" t="s">
        <v>110</v>
      </c>
      <c r="C16" s="70"/>
      <c r="D16" s="20"/>
      <c r="E16" s="130">
        <f>-D166</f>
        <v>-670727458.91999984</v>
      </c>
      <c r="F16" s="130">
        <f t="shared" ref="F16:I16" si="3">-E166</f>
        <v>-624457974.81000006</v>
      </c>
      <c r="G16" s="130">
        <f t="shared" si="3"/>
        <v>-584562273.33000004</v>
      </c>
      <c r="H16" s="130">
        <f t="shared" si="3"/>
        <v>-531107972.76000023</v>
      </c>
      <c r="I16" s="130">
        <f t="shared" si="3"/>
        <v>-948035782.07040036</v>
      </c>
    </row>
    <row r="17" spans="2:9" ht="13.5" thickBot="1">
      <c r="B17" s="69" t="s">
        <v>111</v>
      </c>
      <c r="C17" s="70"/>
      <c r="D17" s="20"/>
      <c r="E17" s="130">
        <f>-D174</f>
        <v>-666360000</v>
      </c>
      <c r="F17" s="130">
        <f t="shared" ref="F17:I17" si="4">-E174</f>
        <v>-694826100</v>
      </c>
      <c r="G17" s="130">
        <f t="shared" si="4"/>
        <v>-724607045.99999988</v>
      </c>
      <c r="H17" s="130">
        <f t="shared" si="4"/>
        <v>-755767452.1724999</v>
      </c>
      <c r="I17" s="130">
        <f t="shared" si="4"/>
        <v>-788375262.47984982</v>
      </c>
    </row>
    <row r="18" spans="2:9" ht="13.5" thickBot="1">
      <c r="B18" s="172" t="s">
        <v>96</v>
      </c>
      <c r="C18" s="173"/>
      <c r="D18" s="21"/>
      <c r="E18" s="131">
        <f>SUM(E15:E17)</f>
        <v>-1738064323.6499999</v>
      </c>
      <c r="F18" s="131">
        <f>SUM(F15:F17)</f>
        <v>-1717480624.3163075</v>
      </c>
      <c r="G18" s="131">
        <f>SUM(G15:G17)</f>
        <v>-1706732239.1281266</v>
      </c>
      <c r="H18" s="131">
        <f>SUM(H15:H17)</f>
        <v>-1680883079.4205167</v>
      </c>
      <c r="I18" s="132">
        <f>SUM(I15:I17)</f>
        <v>-2252881043.5910387</v>
      </c>
    </row>
    <row r="19" spans="2:9" ht="13.5" thickBot="1">
      <c r="B19" s="174" t="s">
        <v>97</v>
      </c>
      <c r="C19" s="175"/>
      <c r="D19" s="176"/>
      <c r="E19" s="177">
        <f>SUM(E13+E18)</f>
        <v>13069935676.35</v>
      </c>
      <c r="F19" s="177">
        <f>SUM(F13+F18)</f>
        <v>13723099375.683693</v>
      </c>
      <c r="G19" s="177">
        <f>SUM(G13+G18)</f>
        <v>14395646560.871872</v>
      </c>
      <c r="H19" s="177">
        <f>SUM(H13+H18)</f>
        <v>15113949191.079479</v>
      </c>
      <c r="I19" s="178">
        <f>SUM(I13+I18)</f>
        <v>15266569233.73896</v>
      </c>
    </row>
    <row r="20" spans="2:9" ht="13.5" thickBot="1">
      <c r="B20" s="69" t="s">
        <v>98</v>
      </c>
      <c r="C20" s="70"/>
      <c r="D20" s="16"/>
      <c r="E20" s="133">
        <f>-D200</f>
        <v>-197483333.33333331</v>
      </c>
      <c r="F20" s="133">
        <f>-E200</f>
        <v>-202583333.33333331</v>
      </c>
      <c r="G20" s="133">
        <f>-F200</f>
        <v>-209949999.99999997</v>
      </c>
      <c r="H20" s="133">
        <f>-G200</f>
        <v>-218449999.99999997</v>
      </c>
      <c r="I20" s="133">
        <f>-H200</f>
        <v>-232616666.66666663</v>
      </c>
    </row>
    <row r="21" spans="2:9" ht="13.5" thickBot="1">
      <c r="B21" s="69" t="s">
        <v>99</v>
      </c>
      <c r="C21" s="75"/>
      <c r="D21" s="17"/>
      <c r="E21" s="134"/>
      <c r="F21" s="134"/>
      <c r="G21" s="134"/>
      <c r="H21" s="134"/>
      <c r="I21" s="135">
        <f>-I219</f>
        <v>-2606666666.6666665</v>
      </c>
    </row>
    <row r="22" spans="2:9" ht="13.5" thickBot="1">
      <c r="B22" s="174" t="s">
        <v>100</v>
      </c>
      <c r="C22" s="181"/>
      <c r="D22" s="182"/>
      <c r="E22" s="183">
        <f>SUM(E19:E21)</f>
        <v>12872452343.016666</v>
      </c>
      <c r="F22" s="183">
        <f>SUM(F19:F21)</f>
        <v>13520516042.350359</v>
      </c>
      <c r="G22" s="183">
        <f>SUM(G19:G21)</f>
        <v>14185696560.871872</v>
      </c>
      <c r="H22" s="183">
        <f>SUM(H19:H21)</f>
        <v>14895499191.079479</v>
      </c>
      <c r="I22" s="184">
        <f>SUM(I19:I21)</f>
        <v>12427285900.405628</v>
      </c>
    </row>
    <row r="23" spans="2:9" ht="13.5" thickBot="1">
      <c r="B23" s="69" t="s">
        <v>101</v>
      </c>
      <c r="C23" s="70"/>
      <c r="D23" s="22"/>
      <c r="E23" s="136">
        <f>-SUM(E22)*0.17</f>
        <v>-2188316898.3128333</v>
      </c>
      <c r="F23" s="136">
        <f>-SUM(F22)*0.17</f>
        <v>-2298487727.1995611</v>
      </c>
      <c r="G23" s="136">
        <f>-SUM(G22)*0.17</f>
        <v>-2411568415.3482184</v>
      </c>
      <c r="H23" s="136">
        <f>-SUM(H22)*0.17</f>
        <v>-2532234862.4835114</v>
      </c>
      <c r="I23" s="137">
        <v>0</v>
      </c>
    </row>
    <row r="24" spans="2:9" ht="13.5" thickBot="1">
      <c r="B24" s="174" t="s">
        <v>102</v>
      </c>
      <c r="C24" s="181"/>
      <c r="D24" s="182"/>
      <c r="E24" s="183">
        <f>SUM(E22:E23)</f>
        <v>10684135444.703833</v>
      </c>
      <c r="F24" s="183">
        <f>SUM(F22:F23)</f>
        <v>11222028315.150799</v>
      </c>
      <c r="G24" s="183">
        <f>SUM(G22:G23)</f>
        <v>11774128145.523653</v>
      </c>
      <c r="H24" s="183">
        <f>SUM(H22:H23)</f>
        <v>12363264328.595968</v>
      </c>
      <c r="I24" s="184">
        <f>SUM(I22:I23)</f>
        <v>12427285900.405628</v>
      </c>
    </row>
    <row r="25" spans="2:9" ht="13.5" thickBot="1">
      <c r="B25" s="69" t="s">
        <v>98</v>
      </c>
      <c r="C25" s="70"/>
      <c r="D25" s="19"/>
      <c r="E25" s="138">
        <f>-SUM(E20)</f>
        <v>197483333.33333331</v>
      </c>
      <c r="F25" s="138">
        <f>-SUM(F20)</f>
        <v>202583333.33333331</v>
      </c>
      <c r="G25" s="138">
        <f>-SUM(G20)</f>
        <v>209949999.99999997</v>
      </c>
      <c r="H25" s="138">
        <f>-SUM(H20)</f>
        <v>218449999.99999997</v>
      </c>
      <c r="I25" s="139">
        <f>-SUM(I20)</f>
        <v>232616666.66666663</v>
      </c>
    </row>
    <row r="26" spans="2:9" ht="13.5" thickBot="1">
      <c r="B26" s="69" t="s">
        <v>99</v>
      </c>
      <c r="C26" s="70"/>
      <c r="D26" s="20"/>
      <c r="E26" s="140"/>
      <c r="F26" s="141"/>
      <c r="G26" s="141"/>
      <c r="H26" s="141"/>
      <c r="I26" s="142">
        <f>-SUM(I21)</f>
        <v>2606666666.6666665</v>
      </c>
    </row>
    <row r="27" spans="2:9" ht="13.5" thickBot="1">
      <c r="B27" s="69" t="s">
        <v>103</v>
      </c>
      <c r="C27" s="70"/>
      <c r="D27" s="20"/>
      <c r="E27" s="140"/>
      <c r="F27" s="130">
        <f>-E230</f>
        <v>-90000000</v>
      </c>
      <c r="G27" s="130">
        <f t="shared" ref="G27:I27" si="5">-F230</f>
        <v>-130000000</v>
      </c>
      <c r="H27" s="130">
        <f t="shared" si="5"/>
        <v>-150000000</v>
      </c>
      <c r="I27" s="130">
        <f t="shared" si="5"/>
        <v>-250000000</v>
      </c>
    </row>
    <row r="28" spans="2:9" ht="13.5" thickBot="1">
      <c r="B28" s="69" t="s">
        <v>104</v>
      </c>
      <c r="C28" s="70"/>
      <c r="D28" s="20"/>
      <c r="E28" s="140"/>
      <c r="F28" s="130"/>
      <c r="G28" s="140"/>
      <c r="H28" s="143"/>
      <c r="I28" s="144">
        <f>I241</f>
        <v>652500000</v>
      </c>
    </row>
    <row r="29" spans="2:9" ht="13.5" thickBot="1">
      <c r="B29" s="69" t="s">
        <v>105</v>
      </c>
      <c r="C29" s="70"/>
      <c r="D29" s="5">
        <f>-D230</f>
        <v>-3730000000</v>
      </c>
      <c r="E29" s="140"/>
      <c r="F29" s="140"/>
      <c r="G29" s="140"/>
      <c r="H29" s="140"/>
      <c r="I29" s="145"/>
    </row>
    <row r="30" spans="2:9" ht="13.5" thickBot="1">
      <c r="B30" s="69" t="s">
        <v>107</v>
      </c>
      <c r="C30" s="70"/>
      <c r="D30" s="6">
        <f>D315</f>
        <v>-144838693.63749999</v>
      </c>
      <c r="E30" s="146"/>
      <c r="F30" s="146"/>
      <c r="G30" s="146"/>
      <c r="H30" s="146"/>
      <c r="I30" s="147"/>
    </row>
    <row r="31" spans="2:9" ht="13.5" thickBot="1">
      <c r="B31" s="174" t="s">
        <v>108</v>
      </c>
      <c r="C31" s="175"/>
      <c r="D31" s="187">
        <f>SUM(D29)</f>
        <v>-3730000000</v>
      </c>
      <c r="E31" s="188">
        <f>SUM(E24:E30)</f>
        <v>10881618778.037167</v>
      </c>
      <c r="F31" s="188">
        <f>SUM(F24:F30)</f>
        <v>11334611648.484133</v>
      </c>
      <c r="G31" s="188">
        <f>SUM(G24:G30)</f>
        <v>11854078145.523653</v>
      </c>
      <c r="H31" s="188">
        <f>SUM(H24:H30)</f>
        <v>12431714328.595968</v>
      </c>
      <c r="I31" s="189">
        <f>SUM(I24:I30)</f>
        <v>15669069233.73896</v>
      </c>
    </row>
    <row r="32" spans="2:9" ht="13.5" thickBot="1">
      <c r="B32" s="23"/>
      <c r="C32" s="24"/>
      <c r="D32" s="25"/>
      <c r="E32" s="26"/>
      <c r="F32" s="26"/>
      <c r="G32" s="26"/>
      <c r="H32" s="26"/>
      <c r="I32" s="26"/>
    </row>
    <row r="33" spans="2:9" ht="15">
      <c r="B33" s="7" t="s">
        <v>134</v>
      </c>
      <c r="C33" s="27">
        <f>NPV(E33/100,E31:I31)+D31</f>
        <v>40250742631.153931</v>
      </c>
      <c r="D33" s="25"/>
      <c r="E33">
        <v>12</v>
      </c>
      <c r="F33" s="26"/>
      <c r="G33" s="26"/>
      <c r="H33" s="26"/>
      <c r="I33" s="26"/>
    </row>
    <row r="34" spans="2:9">
      <c r="B34" s="8" t="s">
        <v>135</v>
      </c>
      <c r="C34" s="28">
        <f>IRR(D31:I31,E33/100)</f>
        <v>2.9585996775007124</v>
      </c>
      <c r="D34" s="25"/>
      <c r="E34" s="26"/>
      <c r="F34" s="26"/>
      <c r="G34" s="26"/>
      <c r="H34" s="26"/>
      <c r="I34" s="26"/>
    </row>
    <row r="35" spans="2:9">
      <c r="B35" s="8" t="s">
        <v>136</v>
      </c>
      <c r="C35" s="27">
        <f>SUM(E31:I31)/-D31</f>
        <v>16.667853119136698</v>
      </c>
      <c r="D35" s="25"/>
      <c r="E35" s="26"/>
      <c r="F35" s="26"/>
      <c r="G35" s="26"/>
      <c r="H35" s="26"/>
      <c r="I35" s="26"/>
    </row>
    <row r="36" spans="2:9" ht="13.5" thickBot="1">
      <c r="B36" s="9" t="s">
        <v>137</v>
      </c>
      <c r="C36" s="27">
        <f>SUM(E13:I13)/-SUM(E18:I18)</f>
        <v>8.8681700750642314</v>
      </c>
      <c r="D36" s="25"/>
      <c r="E36" s="26"/>
      <c r="F36" s="26"/>
      <c r="G36" s="26"/>
      <c r="H36" s="26"/>
      <c r="I36" s="26"/>
    </row>
    <row r="37" spans="2:9">
      <c r="B37" s="23"/>
      <c r="C37" s="24"/>
      <c r="D37" s="25"/>
      <c r="E37" s="26"/>
      <c r="F37" s="26"/>
      <c r="G37" s="26"/>
      <c r="H37" s="26"/>
      <c r="I37" s="26"/>
    </row>
    <row r="38" spans="2:9">
      <c r="G38" s="29"/>
    </row>
    <row r="39" spans="2:9" ht="13.5" thickBot="1">
      <c r="B39" s="29" t="s">
        <v>17</v>
      </c>
      <c r="C39" s="29"/>
      <c r="D39" s="29"/>
      <c r="E39" s="29"/>
      <c r="F39" s="29"/>
      <c r="G39" s="29"/>
    </row>
    <row r="40" spans="2:9">
      <c r="B40" s="36" t="s">
        <v>0</v>
      </c>
      <c r="C40" s="37" t="s">
        <v>9</v>
      </c>
      <c r="D40" s="37" t="s">
        <v>10</v>
      </c>
      <c r="E40" s="37" t="s">
        <v>11</v>
      </c>
      <c r="F40" s="37" t="s">
        <v>12</v>
      </c>
      <c r="G40" s="38" t="s">
        <v>13</v>
      </c>
    </row>
    <row r="41" spans="2:9">
      <c r="B41" s="39" t="s">
        <v>5</v>
      </c>
      <c r="C41" s="40">
        <f>C5*D5</f>
        <v>3000000</v>
      </c>
      <c r="D41" s="40">
        <f>C41*(1+($E5/100))</f>
        <v>3104999.9999999995</v>
      </c>
      <c r="E41" s="40">
        <f>D41*(1+($E5/100))</f>
        <v>3213674.9999999991</v>
      </c>
      <c r="F41" s="40">
        <f>E41*(1+($E5/100))</f>
        <v>3326153.6249999986</v>
      </c>
      <c r="G41" s="41">
        <f>F41*(1+($E5/100))</f>
        <v>3442569.0018749982</v>
      </c>
    </row>
    <row r="42" spans="2:9">
      <c r="B42" s="39" t="s">
        <v>6</v>
      </c>
      <c r="C42" s="40">
        <f>C6*D6</f>
        <v>3600000</v>
      </c>
      <c r="D42" s="40">
        <f>C42*(1+($E6/100))</f>
        <v>3689999.9999999995</v>
      </c>
      <c r="E42" s="40">
        <f>D42*(1+($E6/100))</f>
        <v>3782249.9999999991</v>
      </c>
      <c r="F42" s="40">
        <f>E42*(1+($E6/100))</f>
        <v>3876806.2499999986</v>
      </c>
      <c r="G42" s="41">
        <f>F42*(1+($E6/100))</f>
        <v>3973726.4062499981</v>
      </c>
    </row>
    <row r="43" spans="2:9">
      <c r="B43" s="39" t="s">
        <v>7</v>
      </c>
      <c r="C43" s="40">
        <f>C7*D7</f>
        <v>5400000</v>
      </c>
      <c r="D43" s="40">
        <f>C43*(1+($E7/100))</f>
        <v>5643000</v>
      </c>
      <c r="E43" s="40">
        <f>D43*(1+($E7/100))</f>
        <v>5896935</v>
      </c>
      <c r="F43" s="40">
        <f>E43*(1+($E7/100))</f>
        <v>6162297.0749999993</v>
      </c>
      <c r="G43" s="41">
        <f>F43*(1+($E7/100))</f>
        <v>6439600.4433749989</v>
      </c>
    </row>
    <row r="44" spans="2:9">
      <c r="B44" s="39" t="s">
        <v>8</v>
      </c>
      <c r="C44" s="40">
        <f>C8*D8</f>
        <v>3360000</v>
      </c>
      <c r="D44" s="40">
        <f>C44*(1+($E8/100))</f>
        <v>3561600</v>
      </c>
      <c r="E44" s="40">
        <f>D44*(1+($E8/100))</f>
        <v>3775296</v>
      </c>
      <c r="F44" s="40">
        <f>E44*(1+($E8/100))</f>
        <v>4001813.7600000002</v>
      </c>
      <c r="G44" s="41">
        <f>F44*(1+($E8/100))</f>
        <v>4241922.5856000008</v>
      </c>
    </row>
    <row r="45" spans="2:9" ht="13.5" thickBot="1">
      <c r="B45" s="42" t="s">
        <v>14</v>
      </c>
      <c r="C45" s="43">
        <f>SUM(C41:C44)</f>
        <v>15360000</v>
      </c>
      <c r="D45" s="43">
        <f t="shared" ref="D45:F45" si="6">SUM(D41:D44)</f>
        <v>15999600</v>
      </c>
      <c r="E45" s="43">
        <f t="shared" si="6"/>
        <v>16668155.999999998</v>
      </c>
      <c r="F45" s="43">
        <f t="shared" si="6"/>
        <v>17367070.709999997</v>
      </c>
      <c r="G45" s="44">
        <f>SUM(G41:G44)</f>
        <v>18097818.437099997</v>
      </c>
    </row>
    <row r="46" spans="2:9">
      <c r="B46" s="29"/>
      <c r="C46" s="29"/>
      <c r="D46" s="29"/>
      <c r="E46" s="29"/>
      <c r="F46" s="29"/>
      <c r="G46" s="29"/>
    </row>
    <row r="47" spans="2:9" ht="13.5" thickBot="1">
      <c r="B47" s="29" t="s">
        <v>19</v>
      </c>
      <c r="C47" s="29"/>
      <c r="D47" s="29"/>
      <c r="E47" s="29"/>
      <c r="F47" s="29"/>
      <c r="G47" s="29"/>
    </row>
    <row r="48" spans="2:9">
      <c r="B48" s="45" t="s">
        <v>15</v>
      </c>
      <c r="C48" s="30" t="s">
        <v>9</v>
      </c>
      <c r="D48" s="30" t="s">
        <v>10</v>
      </c>
      <c r="E48" s="30" t="s">
        <v>11</v>
      </c>
      <c r="F48" s="30" t="s">
        <v>12</v>
      </c>
      <c r="G48" s="31" t="s">
        <v>13</v>
      </c>
    </row>
    <row r="49" spans="2:8">
      <c r="B49" s="46" t="s">
        <v>5</v>
      </c>
      <c r="C49" s="27">
        <f>C41*$F5</f>
        <v>2550000000</v>
      </c>
      <c r="D49" s="27">
        <f>D41*$F5</f>
        <v>2639249999.9999995</v>
      </c>
      <c r="E49" s="27">
        <f>E41*$F5</f>
        <v>2731623749.999999</v>
      </c>
      <c r="F49" s="27">
        <f>F41*$F5</f>
        <v>2827230581.249999</v>
      </c>
      <c r="G49" s="47">
        <f>G41*$F5</f>
        <v>2926183651.5937486</v>
      </c>
    </row>
    <row r="50" spans="2:8">
      <c r="B50" s="46" t="s">
        <v>6</v>
      </c>
      <c r="C50" s="27">
        <f>C42*$F6</f>
        <v>3060000000</v>
      </c>
      <c r="D50" s="27">
        <f>D42*$F6</f>
        <v>3136499999.9999995</v>
      </c>
      <c r="E50" s="27">
        <f>E42*$F6</f>
        <v>3214912499.999999</v>
      </c>
      <c r="F50" s="27">
        <f>F42*$F6</f>
        <v>3295285312.499999</v>
      </c>
      <c r="G50" s="47">
        <f>G42*$F6</f>
        <v>3377667445.3124986</v>
      </c>
    </row>
    <row r="51" spans="2:8">
      <c r="B51" s="46" t="s">
        <v>7</v>
      </c>
      <c r="C51" s="27">
        <f>C43*$F7</f>
        <v>5670000000</v>
      </c>
      <c r="D51" s="27">
        <f>D43*$F7</f>
        <v>5925150000</v>
      </c>
      <c r="E51" s="27">
        <f>E43*$F7</f>
        <v>6191781750</v>
      </c>
      <c r="F51" s="27">
        <f>F43*$F7</f>
        <v>6470411928.749999</v>
      </c>
      <c r="G51" s="47">
        <f>G43*$F7</f>
        <v>6761580465.5437489</v>
      </c>
    </row>
    <row r="52" spans="2:8">
      <c r="B52" s="46" t="s">
        <v>8</v>
      </c>
      <c r="C52" s="27">
        <f>C44*$F8</f>
        <v>3528000000</v>
      </c>
      <c r="D52" s="27">
        <f>D44*$F8</f>
        <v>3739680000</v>
      </c>
      <c r="E52" s="27">
        <f>E44*$F8</f>
        <v>3964060800</v>
      </c>
      <c r="F52" s="27">
        <f>F44*$F8</f>
        <v>4201904448.0000005</v>
      </c>
      <c r="G52" s="47">
        <f>G44*$F8</f>
        <v>4454018714.8800011</v>
      </c>
    </row>
    <row r="53" spans="2:8" ht="13.5" thickBot="1">
      <c r="B53" s="48" t="s">
        <v>16</v>
      </c>
      <c r="C53" s="49">
        <f>SUM(C49:C52)</f>
        <v>14808000000</v>
      </c>
      <c r="D53" s="49">
        <f t="shared" ref="D53:G53" si="7">SUM(D49:D52)</f>
        <v>15440580000</v>
      </c>
      <c r="E53" s="49">
        <f t="shared" si="7"/>
        <v>16102378799.999998</v>
      </c>
      <c r="F53" s="49">
        <f t="shared" si="7"/>
        <v>16794832270.499996</v>
      </c>
      <c r="G53" s="50">
        <f t="shared" si="7"/>
        <v>17519450277.329998</v>
      </c>
    </row>
    <row r="55" spans="2:8">
      <c r="B55" s="51" t="s">
        <v>20</v>
      </c>
    </row>
    <row r="56" spans="2:8" ht="13.5" thickBot="1"/>
    <row r="57" spans="2:8" ht="13.5" thickBot="1">
      <c r="B57" s="52" t="s">
        <v>21</v>
      </c>
      <c r="C57" s="53"/>
    </row>
    <row r="58" spans="2:8">
      <c r="B58" s="54" t="s">
        <v>26</v>
      </c>
      <c r="C58" s="54" t="s">
        <v>27</v>
      </c>
      <c r="D58" s="15" t="s">
        <v>28</v>
      </c>
      <c r="E58" s="15" t="s">
        <v>29</v>
      </c>
      <c r="F58" s="15" t="s">
        <v>30</v>
      </c>
      <c r="G58" s="15" t="s">
        <v>31</v>
      </c>
      <c r="H58" s="55" t="s">
        <v>32</v>
      </c>
    </row>
    <row r="59" spans="2:8">
      <c r="B59" s="56" t="s">
        <v>5</v>
      </c>
      <c r="C59" s="27">
        <v>3800000</v>
      </c>
      <c r="D59" s="27">
        <v>85</v>
      </c>
      <c r="E59" s="27">
        <f>C59*(D59/100)</f>
        <v>3230000</v>
      </c>
      <c r="F59" s="27">
        <f>E59-(E59*0.035)</f>
        <v>3116950</v>
      </c>
      <c r="G59" s="27">
        <f>F59-(F59*0.021)</f>
        <v>3051494.05</v>
      </c>
      <c r="H59" s="57">
        <f>G59</f>
        <v>3051494.05</v>
      </c>
    </row>
    <row r="60" spans="2:8">
      <c r="B60" s="56" t="s">
        <v>6</v>
      </c>
      <c r="C60" s="27">
        <v>3800000</v>
      </c>
      <c r="D60" s="27">
        <v>87</v>
      </c>
      <c r="E60" s="27">
        <f t="shared" ref="E60:E62" si="8">C60*(D60/100)</f>
        <v>3306000</v>
      </c>
      <c r="F60" s="27">
        <f t="shared" ref="F60:F62" si="9">E60-(E60*0.035)</f>
        <v>3190290</v>
      </c>
      <c r="G60" s="27">
        <f t="shared" ref="G60:G62" si="10">F60-(F60*0.021)</f>
        <v>3123293.91</v>
      </c>
      <c r="H60" s="57">
        <f t="shared" ref="H60:H62" si="11">G60</f>
        <v>3123293.91</v>
      </c>
    </row>
    <row r="61" spans="2:8">
      <c r="B61" s="56" t="s">
        <v>7</v>
      </c>
      <c r="C61" s="27">
        <v>3800000</v>
      </c>
      <c r="D61" s="27">
        <v>83</v>
      </c>
      <c r="E61" s="27">
        <f t="shared" si="8"/>
        <v>3154000</v>
      </c>
      <c r="F61" s="27">
        <f t="shared" si="9"/>
        <v>3043610</v>
      </c>
      <c r="G61" s="27">
        <f t="shared" si="10"/>
        <v>2979694.19</v>
      </c>
      <c r="H61" s="57">
        <f t="shared" si="11"/>
        <v>2979694.19</v>
      </c>
    </row>
    <row r="62" spans="2:8">
      <c r="B62" s="56" t="s">
        <v>8</v>
      </c>
      <c r="C62" s="27">
        <v>3800000</v>
      </c>
      <c r="D62" s="27">
        <v>89</v>
      </c>
      <c r="E62" s="27">
        <f t="shared" si="8"/>
        <v>3382000</v>
      </c>
      <c r="F62" s="27">
        <f t="shared" si="9"/>
        <v>3263630</v>
      </c>
      <c r="G62" s="27">
        <f t="shared" si="10"/>
        <v>3195093.77</v>
      </c>
      <c r="H62" s="57">
        <f t="shared" si="11"/>
        <v>3195093.77</v>
      </c>
    </row>
    <row r="63" spans="2:8" ht="13.5" thickBot="1">
      <c r="B63" s="24"/>
      <c r="C63" s="58"/>
      <c r="H63" s="59"/>
    </row>
    <row r="64" spans="2:8" ht="13.5" thickBot="1">
      <c r="B64" s="52" t="s">
        <v>22</v>
      </c>
      <c r="C64" s="53"/>
      <c r="H64" s="59"/>
    </row>
    <row r="65" spans="2:8">
      <c r="B65" s="54" t="s">
        <v>26</v>
      </c>
      <c r="C65" s="54" t="s">
        <v>27</v>
      </c>
      <c r="D65" s="15" t="s">
        <v>28</v>
      </c>
      <c r="E65" s="15" t="s">
        <v>29</v>
      </c>
      <c r="F65" s="15" t="s">
        <v>30</v>
      </c>
      <c r="G65" s="15" t="s">
        <v>31</v>
      </c>
      <c r="H65" s="55" t="s">
        <v>32</v>
      </c>
    </row>
    <row r="66" spans="2:8">
      <c r="B66" s="56" t="s">
        <v>5</v>
      </c>
      <c r="C66" s="27">
        <v>3950000</v>
      </c>
      <c r="D66" s="27">
        <v>85</v>
      </c>
      <c r="E66" s="27">
        <f>C66*(D66/100)</f>
        <v>3357500</v>
      </c>
      <c r="F66" s="27">
        <f>E66-(E66*0.035)</f>
        <v>3239987.5</v>
      </c>
      <c r="G66" s="27">
        <f>F66-(F66*0.021)</f>
        <v>3171947.7625000002</v>
      </c>
      <c r="H66" s="57">
        <f>G66</f>
        <v>3171947.7625000002</v>
      </c>
    </row>
    <row r="67" spans="2:8">
      <c r="B67" s="56" t="s">
        <v>6</v>
      </c>
      <c r="C67" s="27">
        <v>3950000</v>
      </c>
      <c r="D67" s="27">
        <v>87</v>
      </c>
      <c r="E67" s="27">
        <f t="shared" ref="E67:E69" si="12">C67*(D67/100)</f>
        <v>3436500</v>
      </c>
      <c r="F67" s="27">
        <f t="shared" ref="F67:F69" si="13">E67-(E67*0.035)</f>
        <v>3316222.5</v>
      </c>
      <c r="G67" s="27">
        <f t="shared" ref="G67:G69" si="14">F67-(F67*0.021)</f>
        <v>3246581.8275000001</v>
      </c>
      <c r="H67" s="57">
        <f t="shared" ref="H67:H69" si="15">G67</f>
        <v>3246581.8275000001</v>
      </c>
    </row>
    <row r="68" spans="2:8">
      <c r="B68" s="56" t="s">
        <v>7</v>
      </c>
      <c r="C68" s="27">
        <v>3950000</v>
      </c>
      <c r="D68" s="27">
        <v>83</v>
      </c>
      <c r="E68" s="27">
        <f t="shared" si="12"/>
        <v>3278500</v>
      </c>
      <c r="F68" s="27">
        <f t="shared" si="13"/>
        <v>3163752.5</v>
      </c>
      <c r="G68" s="27">
        <f t="shared" si="14"/>
        <v>3097313.6974999998</v>
      </c>
      <c r="H68" s="57">
        <f t="shared" si="15"/>
        <v>3097313.6974999998</v>
      </c>
    </row>
    <row r="69" spans="2:8">
      <c r="B69" s="56" t="s">
        <v>8</v>
      </c>
      <c r="C69" s="27">
        <v>3950000</v>
      </c>
      <c r="D69" s="27">
        <v>89</v>
      </c>
      <c r="E69" s="27">
        <f t="shared" si="12"/>
        <v>3515500</v>
      </c>
      <c r="F69" s="27">
        <f t="shared" si="13"/>
        <v>3392457.5</v>
      </c>
      <c r="G69" s="27">
        <f t="shared" si="14"/>
        <v>3321215.8925000001</v>
      </c>
      <c r="H69" s="57">
        <f t="shared" si="15"/>
        <v>3321215.8925000001</v>
      </c>
    </row>
    <row r="70" spans="2:8" ht="13.5" thickBot="1">
      <c r="B70" s="60"/>
      <c r="C70" s="61"/>
      <c r="D70" s="61"/>
      <c r="E70" s="61"/>
      <c r="F70" s="61"/>
      <c r="G70" s="61"/>
      <c r="H70" s="62"/>
    </row>
    <row r="71" spans="2:8" ht="13.5" thickBot="1">
      <c r="B71" s="52" t="s">
        <v>23</v>
      </c>
      <c r="C71" s="53"/>
      <c r="H71" s="59"/>
    </row>
    <row r="72" spans="2:8">
      <c r="B72" s="54" t="s">
        <v>26</v>
      </c>
      <c r="C72" s="54" t="s">
        <v>27</v>
      </c>
      <c r="D72" s="15" t="s">
        <v>28</v>
      </c>
      <c r="E72" s="15" t="s">
        <v>29</v>
      </c>
      <c r="F72" s="15" t="s">
        <v>30</v>
      </c>
      <c r="G72" s="15" t="s">
        <v>31</v>
      </c>
      <c r="H72" s="55" t="s">
        <v>32</v>
      </c>
    </row>
    <row r="73" spans="2:8">
      <c r="B73" s="56" t="s">
        <v>5</v>
      </c>
      <c r="C73" s="27">
        <v>3600000</v>
      </c>
      <c r="D73" s="27">
        <v>85</v>
      </c>
      <c r="E73" s="27">
        <f>C73*(D73/100)</f>
        <v>3060000</v>
      </c>
      <c r="F73" s="27">
        <f>E73-(E73*0.035)</f>
        <v>2952900</v>
      </c>
      <c r="G73" s="27">
        <f>F73-(F73*0.021)</f>
        <v>2890889.1</v>
      </c>
      <c r="H73" s="57">
        <f>G73</f>
        <v>2890889.1</v>
      </c>
    </row>
    <row r="74" spans="2:8">
      <c r="B74" s="56" t="s">
        <v>6</v>
      </c>
      <c r="C74" s="27">
        <v>3600000</v>
      </c>
      <c r="D74" s="27">
        <v>87</v>
      </c>
      <c r="E74" s="27">
        <f t="shared" ref="E74:E76" si="16">C74*(D74/100)</f>
        <v>3132000</v>
      </c>
      <c r="F74" s="27">
        <f t="shared" ref="F74:F76" si="17">E74-(E74*0.035)</f>
        <v>3022380</v>
      </c>
      <c r="G74" s="27">
        <f t="shared" ref="G74:G76" si="18">F74-(F74*0.021)</f>
        <v>2958910.02</v>
      </c>
      <c r="H74" s="57">
        <f t="shared" ref="H74:H76" si="19">G74</f>
        <v>2958910.02</v>
      </c>
    </row>
    <row r="75" spans="2:8">
      <c r="B75" s="56" t="s">
        <v>7</v>
      </c>
      <c r="C75" s="27">
        <v>3600000</v>
      </c>
      <c r="D75" s="27">
        <v>83</v>
      </c>
      <c r="E75" s="27">
        <f t="shared" si="16"/>
        <v>2988000</v>
      </c>
      <c r="F75" s="27">
        <f t="shared" si="17"/>
        <v>2883420</v>
      </c>
      <c r="G75" s="27">
        <f t="shared" si="18"/>
        <v>2822868.18</v>
      </c>
      <c r="H75" s="57">
        <f t="shared" si="19"/>
        <v>2822868.18</v>
      </c>
    </row>
    <row r="76" spans="2:8">
      <c r="B76" s="56" t="s">
        <v>8</v>
      </c>
      <c r="C76" s="27">
        <v>3600000</v>
      </c>
      <c r="D76" s="27">
        <v>89</v>
      </c>
      <c r="E76" s="27">
        <f t="shared" si="16"/>
        <v>3204000</v>
      </c>
      <c r="F76" s="27">
        <f t="shared" si="17"/>
        <v>3091860</v>
      </c>
      <c r="G76" s="27">
        <f t="shared" si="18"/>
        <v>3026930.94</v>
      </c>
      <c r="H76" s="57">
        <f t="shared" si="19"/>
        <v>3026930.94</v>
      </c>
    </row>
    <row r="77" spans="2:8">
      <c r="H77" s="59"/>
    </row>
    <row r="78" spans="2:8" ht="13.5" thickBot="1">
      <c r="H78" s="59"/>
    </row>
    <row r="79" spans="2:8" ht="13.5" thickBot="1">
      <c r="B79" s="52" t="s">
        <v>24</v>
      </c>
      <c r="C79" s="53"/>
      <c r="H79" s="59"/>
    </row>
    <row r="80" spans="2:8">
      <c r="B80" s="54" t="s">
        <v>26</v>
      </c>
      <c r="C80" s="54" t="s">
        <v>27</v>
      </c>
      <c r="D80" s="15" t="s">
        <v>28</v>
      </c>
      <c r="E80" s="15" t="s">
        <v>29</v>
      </c>
      <c r="F80" s="15" t="s">
        <v>30</v>
      </c>
      <c r="G80" s="15" t="s">
        <v>31</v>
      </c>
      <c r="H80" s="55" t="s">
        <v>32</v>
      </c>
    </row>
    <row r="81" spans="2:18">
      <c r="B81" s="56" t="s">
        <v>5</v>
      </c>
      <c r="C81" s="27">
        <v>3250000</v>
      </c>
      <c r="D81" s="27">
        <v>85</v>
      </c>
      <c r="E81" s="27">
        <f>C81*(D81/100)</f>
        <v>2762500</v>
      </c>
      <c r="F81" s="27">
        <f>E81-(E81*0.035)</f>
        <v>2665812.5</v>
      </c>
      <c r="G81" s="27">
        <f>F81-(F81*0.021)</f>
        <v>2609830.4375</v>
      </c>
      <c r="H81" s="57">
        <f>G81</f>
        <v>2609830.4375</v>
      </c>
    </row>
    <row r="82" spans="2:18">
      <c r="B82" s="56" t="s">
        <v>6</v>
      </c>
      <c r="C82" s="27">
        <v>3250000</v>
      </c>
      <c r="D82" s="27">
        <v>87</v>
      </c>
      <c r="E82" s="27">
        <f t="shared" ref="E82:E84" si="20">C82*(D82/100)</f>
        <v>2827500</v>
      </c>
      <c r="F82" s="27">
        <f t="shared" ref="F82:F84" si="21">E82-(E82*0.035)</f>
        <v>2728537.5</v>
      </c>
      <c r="G82" s="27">
        <f t="shared" ref="G82:G84" si="22">F82-(F82*0.021)</f>
        <v>2671238.2124999999</v>
      </c>
      <c r="H82" s="57">
        <f t="shared" ref="H82:H84" si="23">G82</f>
        <v>2671238.2124999999</v>
      </c>
    </row>
    <row r="83" spans="2:18">
      <c r="B83" s="56" t="s">
        <v>7</v>
      </c>
      <c r="C83" s="27">
        <v>3250000</v>
      </c>
      <c r="D83" s="27">
        <v>83</v>
      </c>
      <c r="E83" s="27">
        <f t="shared" si="20"/>
        <v>2697500</v>
      </c>
      <c r="F83" s="27">
        <f t="shared" si="21"/>
        <v>2603087.5</v>
      </c>
      <c r="G83" s="27">
        <f t="shared" si="22"/>
        <v>2548422.6625000001</v>
      </c>
      <c r="H83" s="57">
        <f t="shared" si="23"/>
        <v>2548422.6625000001</v>
      </c>
    </row>
    <row r="84" spans="2:18">
      <c r="B84" s="56" t="s">
        <v>8</v>
      </c>
      <c r="C84" s="27">
        <v>3250000</v>
      </c>
      <c r="D84" s="27">
        <v>89</v>
      </c>
      <c r="E84" s="27">
        <f t="shared" si="20"/>
        <v>2892500</v>
      </c>
      <c r="F84" s="27">
        <f t="shared" si="21"/>
        <v>2791262.5</v>
      </c>
      <c r="G84" s="27">
        <f t="shared" si="22"/>
        <v>2732645.9874999998</v>
      </c>
      <c r="H84" s="57">
        <f t="shared" si="23"/>
        <v>2732645.9874999998</v>
      </c>
    </row>
    <row r="85" spans="2:18">
      <c r="H85" s="59"/>
    </row>
    <row r="86" spans="2:18" ht="13.5" thickBot="1">
      <c r="H86" s="59"/>
    </row>
    <row r="87" spans="2:18" ht="13.5" thickBot="1">
      <c r="B87" s="52" t="s">
        <v>25</v>
      </c>
      <c r="C87" s="53"/>
      <c r="H87" s="59"/>
    </row>
    <row r="88" spans="2:18">
      <c r="B88" s="54" t="s">
        <v>26</v>
      </c>
      <c r="C88" s="54" t="s">
        <v>27</v>
      </c>
      <c r="D88" s="15" t="s">
        <v>28</v>
      </c>
      <c r="E88" s="15" t="s">
        <v>29</v>
      </c>
      <c r="F88" s="15" t="s">
        <v>30</v>
      </c>
      <c r="G88" s="15" t="s">
        <v>31</v>
      </c>
      <c r="H88" s="55" t="s">
        <v>32</v>
      </c>
    </row>
    <row r="89" spans="2:18">
      <c r="B89" s="56" t="s">
        <v>5</v>
      </c>
      <c r="C89" s="27">
        <v>3450000</v>
      </c>
      <c r="D89" s="27">
        <v>85</v>
      </c>
      <c r="E89" s="27">
        <f>C89*(D89/100)</f>
        <v>2932500</v>
      </c>
      <c r="F89" s="27">
        <f>E89-(E89*0.035)</f>
        <v>2829862.5</v>
      </c>
      <c r="G89" s="27">
        <f>F89-(F89*0.021)</f>
        <v>2770435.3875000002</v>
      </c>
      <c r="H89" s="57">
        <f>G89</f>
        <v>2770435.3875000002</v>
      </c>
    </row>
    <row r="90" spans="2:18">
      <c r="B90" s="56" t="s">
        <v>6</v>
      </c>
      <c r="C90" s="27">
        <v>3450000</v>
      </c>
      <c r="D90" s="27">
        <v>87</v>
      </c>
      <c r="E90" s="27">
        <f t="shared" ref="E90:E92" si="24">C90*(D90/100)</f>
        <v>3001500</v>
      </c>
      <c r="F90" s="27">
        <f t="shared" ref="F90:F92" si="25">E90-(E90*0.035)</f>
        <v>2896447.5</v>
      </c>
      <c r="G90" s="27">
        <f t="shared" ref="G90:G92" si="26">F90-(F90*0.021)</f>
        <v>2835622.1025</v>
      </c>
      <c r="H90" s="57">
        <f t="shared" ref="H90:H92" si="27">G90</f>
        <v>2835622.1025</v>
      </c>
    </row>
    <row r="91" spans="2:18">
      <c r="B91" s="56" t="s">
        <v>7</v>
      </c>
      <c r="C91" s="27">
        <v>3450000</v>
      </c>
      <c r="D91" s="27">
        <v>83</v>
      </c>
      <c r="E91" s="27">
        <f t="shared" si="24"/>
        <v>2863500</v>
      </c>
      <c r="F91" s="27">
        <f t="shared" si="25"/>
        <v>2763277.5</v>
      </c>
      <c r="G91" s="27">
        <f t="shared" si="26"/>
        <v>2705248.6724999999</v>
      </c>
      <c r="H91" s="57">
        <f t="shared" si="27"/>
        <v>2705248.6724999999</v>
      </c>
    </row>
    <row r="92" spans="2:18">
      <c r="B92" s="56" t="s">
        <v>8</v>
      </c>
      <c r="C92" s="27">
        <v>3450000</v>
      </c>
      <c r="D92" s="27">
        <v>89</v>
      </c>
      <c r="E92" s="27">
        <f t="shared" si="24"/>
        <v>3070500</v>
      </c>
      <c r="F92" s="27">
        <f t="shared" si="25"/>
        <v>2963032.5</v>
      </c>
      <c r="G92" s="27">
        <f t="shared" si="26"/>
        <v>2900808.8174999999</v>
      </c>
      <c r="H92" s="57">
        <f t="shared" si="27"/>
        <v>2900808.8174999999</v>
      </c>
    </row>
    <row r="94" spans="2:18" ht="13.5" thickBot="1"/>
    <row r="95" spans="2:18" ht="13.5" thickBot="1">
      <c r="B95" s="63" t="s">
        <v>5</v>
      </c>
      <c r="C95" s="64"/>
      <c r="D95" s="65" t="s">
        <v>9</v>
      </c>
      <c r="E95" s="65"/>
      <c r="F95" s="65"/>
      <c r="G95" s="65" t="s">
        <v>10</v>
      </c>
      <c r="H95" s="65"/>
      <c r="I95" s="65"/>
      <c r="J95" s="66" t="s">
        <v>11</v>
      </c>
      <c r="K95" s="67"/>
      <c r="L95" s="68"/>
      <c r="M95" s="66" t="s">
        <v>12</v>
      </c>
      <c r="N95" s="67"/>
      <c r="O95" s="68"/>
      <c r="P95" s="66" t="s">
        <v>13</v>
      </c>
      <c r="Q95" s="67"/>
      <c r="R95" s="68"/>
    </row>
    <row r="96" spans="2:18" ht="13.5" thickBot="1">
      <c r="B96" s="69" t="s">
        <v>26</v>
      </c>
      <c r="C96" s="70"/>
      <c r="D96" s="71" t="s">
        <v>35</v>
      </c>
      <c r="E96" s="72" t="s">
        <v>33</v>
      </c>
      <c r="F96" s="73" t="s">
        <v>34</v>
      </c>
      <c r="G96" s="72" t="s">
        <v>35</v>
      </c>
      <c r="H96" s="72" t="s">
        <v>33</v>
      </c>
      <c r="I96" s="73" t="s">
        <v>34</v>
      </c>
      <c r="J96" s="72" t="s">
        <v>35</v>
      </c>
      <c r="K96" s="72" t="s">
        <v>33</v>
      </c>
      <c r="L96" s="73" t="s">
        <v>34</v>
      </c>
      <c r="M96" s="72" t="s">
        <v>35</v>
      </c>
      <c r="N96" s="72" t="s">
        <v>33</v>
      </c>
      <c r="O96" s="73" t="s">
        <v>34</v>
      </c>
      <c r="P96" s="72" t="s">
        <v>35</v>
      </c>
      <c r="Q96" s="72" t="s">
        <v>33</v>
      </c>
      <c r="R96" s="73" t="s">
        <v>34</v>
      </c>
    </row>
    <row r="97" spans="2:18">
      <c r="B97" s="74" t="s">
        <v>21</v>
      </c>
      <c r="C97" s="75"/>
      <c r="D97" s="20">
        <v>2</v>
      </c>
      <c r="E97" s="15">
        <v>1</v>
      </c>
      <c r="F97" s="27">
        <f>$H$59*D97*E97</f>
        <v>6102988.0999999996</v>
      </c>
      <c r="G97" s="15">
        <v>2</v>
      </c>
      <c r="H97" s="15">
        <v>1</v>
      </c>
      <c r="I97" s="27">
        <f>$H$59*G97*H97</f>
        <v>6102988.0999999996</v>
      </c>
      <c r="J97" s="15">
        <v>2</v>
      </c>
      <c r="K97" s="15">
        <v>1</v>
      </c>
      <c r="L97" s="27">
        <f>$H$59*J97*K97</f>
        <v>6102988.0999999996</v>
      </c>
      <c r="M97" s="15">
        <v>2</v>
      </c>
      <c r="N97" s="15">
        <v>1</v>
      </c>
      <c r="O97" s="27">
        <f>$H$59*M97*N97</f>
        <v>6102988.0999999996</v>
      </c>
      <c r="P97" s="15">
        <v>2</v>
      </c>
      <c r="Q97" s="15">
        <v>1</v>
      </c>
      <c r="R97" s="27">
        <f>$H$59*P97*Q97</f>
        <v>6102988.0999999996</v>
      </c>
    </row>
    <row r="98" spans="2:18">
      <c r="B98" s="76" t="s">
        <v>22</v>
      </c>
      <c r="C98" s="77"/>
      <c r="D98" s="20">
        <v>2</v>
      </c>
      <c r="E98" s="15">
        <v>1</v>
      </c>
      <c r="F98" s="27">
        <f>$H$66*D98*E98</f>
        <v>6343895.5250000004</v>
      </c>
      <c r="G98" s="15">
        <v>2</v>
      </c>
      <c r="H98" s="15">
        <v>1</v>
      </c>
      <c r="I98" s="27">
        <f>$H$66*G98*H98</f>
        <v>6343895.5250000004</v>
      </c>
      <c r="J98" s="15">
        <v>2</v>
      </c>
      <c r="K98" s="15">
        <v>1</v>
      </c>
      <c r="L98" s="27">
        <f>$H$66*J98*K98</f>
        <v>6343895.5250000004</v>
      </c>
      <c r="M98" s="15">
        <v>2</v>
      </c>
      <c r="N98" s="15">
        <v>1</v>
      </c>
      <c r="O98" s="27">
        <f>$H$66*M98*N98</f>
        <v>6343895.5250000004</v>
      </c>
      <c r="P98" s="15">
        <v>2</v>
      </c>
      <c r="Q98" s="15">
        <v>1</v>
      </c>
      <c r="R98" s="27">
        <f>$H$66*P98*Q98</f>
        <v>6343895.5250000004</v>
      </c>
    </row>
    <row r="99" spans="2:18">
      <c r="B99" s="76" t="s">
        <v>23</v>
      </c>
      <c r="C99" s="77"/>
      <c r="D99" s="20">
        <v>2</v>
      </c>
      <c r="E99" s="15">
        <v>1</v>
      </c>
      <c r="F99" s="27">
        <f>$H$73*D99*E99</f>
        <v>5781778.2000000002</v>
      </c>
      <c r="G99" s="15">
        <v>2</v>
      </c>
      <c r="H99" s="15">
        <v>1</v>
      </c>
      <c r="I99" s="27">
        <f>$H$73*G99*H99</f>
        <v>5781778.2000000002</v>
      </c>
      <c r="J99" s="15">
        <v>2</v>
      </c>
      <c r="K99" s="15">
        <v>1</v>
      </c>
      <c r="L99" s="27">
        <f>$H$73*J99*K99</f>
        <v>5781778.2000000002</v>
      </c>
      <c r="M99" s="15">
        <v>2</v>
      </c>
      <c r="N99" s="15">
        <v>1</v>
      </c>
      <c r="O99" s="27">
        <f>$H$73*M99*N99</f>
        <v>5781778.2000000002</v>
      </c>
      <c r="P99" s="15">
        <v>2</v>
      </c>
      <c r="Q99" s="15">
        <v>1</v>
      </c>
      <c r="R99" s="27">
        <f>$H$73*P99*Q99</f>
        <v>5781778.2000000002</v>
      </c>
    </row>
    <row r="100" spans="2:18">
      <c r="B100" s="76" t="s">
        <v>24</v>
      </c>
      <c r="C100" s="77"/>
      <c r="D100" s="20">
        <v>2</v>
      </c>
      <c r="E100" s="15">
        <v>1</v>
      </c>
      <c r="F100" s="27">
        <f>$H$81*D100*E100</f>
        <v>5219660.875</v>
      </c>
      <c r="G100" s="15">
        <v>2</v>
      </c>
      <c r="H100" s="15">
        <v>1</v>
      </c>
      <c r="I100" s="27">
        <f>$H$81*G100*H100</f>
        <v>5219660.875</v>
      </c>
      <c r="J100" s="15">
        <v>2</v>
      </c>
      <c r="K100" s="15">
        <v>1</v>
      </c>
      <c r="L100" s="27">
        <f>$H$81*J100*K100</f>
        <v>5219660.875</v>
      </c>
      <c r="M100" s="15">
        <v>2</v>
      </c>
      <c r="N100" s="15">
        <v>1</v>
      </c>
      <c r="O100" s="27">
        <f>$H$81*M100*N100</f>
        <v>5219660.875</v>
      </c>
      <c r="P100" s="15">
        <v>2</v>
      </c>
      <c r="Q100" s="15">
        <v>1</v>
      </c>
      <c r="R100" s="27">
        <f>$H$81*P100*Q100</f>
        <v>5219660.875</v>
      </c>
    </row>
    <row r="101" spans="2:18" ht="13.5" thickBot="1">
      <c r="B101" s="76" t="s">
        <v>25</v>
      </c>
      <c r="C101" s="77"/>
      <c r="D101" s="20">
        <v>2</v>
      </c>
      <c r="E101" s="78">
        <v>1</v>
      </c>
      <c r="F101" s="79">
        <f>$H$89*D101*E101</f>
        <v>5540870.7750000004</v>
      </c>
      <c r="G101" s="78">
        <v>2</v>
      </c>
      <c r="H101" s="78">
        <v>1</v>
      </c>
      <c r="I101" s="79">
        <f>$H$89*G101*H101</f>
        <v>5540870.7750000004</v>
      </c>
      <c r="J101" s="78">
        <v>2</v>
      </c>
      <c r="K101" s="78">
        <v>1</v>
      </c>
      <c r="L101" s="79">
        <f>$H$89*J101*K101</f>
        <v>5540870.7750000004</v>
      </c>
      <c r="M101" s="78">
        <v>2</v>
      </c>
      <c r="N101" s="78">
        <v>1</v>
      </c>
      <c r="O101" s="79">
        <f>$H$89*M101*N101</f>
        <v>5540870.7750000004</v>
      </c>
      <c r="P101" s="78">
        <v>2</v>
      </c>
      <c r="Q101" s="78">
        <v>1</v>
      </c>
      <c r="R101" s="79">
        <f>$H$89*P101*Q101</f>
        <v>5540870.7750000004</v>
      </c>
    </row>
    <row r="102" spans="2:18" ht="13.5" thickBot="1">
      <c r="B102" s="69" t="s">
        <v>69</v>
      </c>
      <c r="C102" s="80"/>
      <c r="D102" s="80"/>
      <c r="E102" s="80"/>
      <c r="F102" s="81">
        <f>MIN(F97:F101)</f>
        <v>5219660.875</v>
      </c>
      <c r="G102" s="81"/>
      <c r="H102" s="81"/>
      <c r="I102" s="81">
        <f>MIN(I97:I101)</f>
        <v>5219660.875</v>
      </c>
      <c r="J102" s="81"/>
      <c r="K102" s="81"/>
      <c r="L102" s="81">
        <f>MIN(L97:L101)</f>
        <v>5219660.875</v>
      </c>
      <c r="M102" s="81"/>
      <c r="N102" s="81"/>
      <c r="O102" s="81">
        <f>MIN(O97:O101)</f>
        <v>5219660.875</v>
      </c>
      <c r="P102" s="81"/>
      <c r="Q102" s="81"/>
      <c r="R102" s="82">
        <f>MIN(R97:R101)</f>
        <v>5219660.875</v>
      </c>
    </row>
    <row r="103" spans="2:18" ht="13.5" thickBot="1"/>
    <row r="104" spans="2:18" ht="13.5" thickBot="1">
      <c r="B104" s="63" t="s">
        <v>6</v>
      </c>
      <c r="C104" s="64"/>
      <c r="D104" s="65" t="s">
        <v>9</v>
      </c>
      <c r="E104" s="65"/>
      <c r="F104" s="65"/>
      <c r="G104" s="65" t="s">
        <v>10</v>
      </c>
      <c r="H104" s="65"/>
      <c r="I104" s="65"/>
      <c r="J104" s="66" t="s">
        <v>11</v>
      </c>
      <c r="K104" s="67"/>
      <c r="L104" s="68"/>
      <c r="M104" s="66" t="s">
        <v>12</v>
      </c>
      <c r="N104" s="67"/>
      <c r="O104" s="68"/>
      <c r="P104" s="66" t="s">
        <v>13</v>
      </c>
      <c r="Q104" s="67"/>
      <c r="R104" s="68"/>
    </row>
    <row r="105" spans="2:18" ht="13.5" thickBot="1">
      <c r="B105" s="69" t="s">
        <v>26</v>
      </c>
      <c r="C105" s="70"/>
      <c r="D105" s="71" t="s">
        <v>35</v>
      </c>
      <c r="E105" s="72" t="s">
        <v>33</v>
      </c>
      <c r="F105" s="73" t="s">
        <v>34</v>
      </c>
      <c r="G105" s="72" t="s">
        <v>35</v>
      </c>
      <c r="H105" s="72" t="s">
        <v>33</v>
      </c>
      <c r="I105" s="73" t="s">
        <v>34</v>
      </c>
      <c r="J105" s="72" t="s">
        <v>35</v>
      </c>
      <c r="K105" s="72" t="s">
        <v>33</v>
      </c>
      <c r="L105" s="73" t="s">
        <v>34</v>
      </c>
      <c r="M105" s="72" t="s">
        <v>35</v>
      </c>
      <c r="N105" s="72" t="s">
        <v>33</v>
      </c>
      <c r="O105" s="73" t="s">
        <v>34</v>
      </c>
      <c r="P105" s="72" t="s">
        <v>35</v>
      </c>
      <c r="Q105" s="72" t="s">
        <v>33</v>
      </c>
      <c r="R105" s="73" t="s">
        <v>34</v>
      </c>
    </row>
    <row r="106" spans="2:18">
      <c r="B106" s="74" t="s">
        <v>21</v>
      </c>
      <c r="C106" s="75"/>
      <c r="D106" s="20">
        <v>2</v>
      </c>
      <c r="E106" s="15">
        <v>1</v>
      </c>
      <c r="F106" s="27">
        <f>$H$60*D106*E106</f>
        <v>6246587.8200000003</v>
      </c>
      <c r="G106" s="20">
        <v>2</v>
      </c>
      <c r="H106" s="15">
        <v>1</v>
      </c>
      <c r="I106" s="27">
        <f>$H$60*G106*H106</f>
        <v>6246587.8200000003</v>
      </c>
      <c r="J106" s="20">
        <v>2</v>
      </c>
      <c r="K106" s="15">
        <v>1</v>
      </c>
      <c r="L106" s="27">
        <f>$H$60*J106*K106</f>
        <v>6246587.8200000003</v>
      </c>
      <c r="M106" s="20">
        <v>2</v>
      </c>
      <c r="N106" s="15">
        <v>1</v>
      </c>
      <c r="O106" s="27">
        <f>$H$60*M106*N106</f>
        <v>6246587.8200000003</v>
      </c>
      <c r="P106" s="20">
        <v>2</v>
      </c>
      <c r="Q106" s="15">
        <v>1</v>
      </c>
      <c r="R106" s="27">
        <f>$H$60*P106*Q106</f>
        <v>6246587.8200000003</v>
      </c>
    </row>
    <row r="107" spans="2:18">
      <c r="B107" s="76" t="s">
        <v>22</v>
      </c>
      <c r="C107" s="77"/>
      <c r="D107" s="20">
        <v>2</v>
      </c>
      <c r="E107" s="15">
        <v>1</v>
      </c>
      <c r="F107" s="27">
        <f>$H$67*D107*E107</f>
        <v>6493163.6550000003</v>
      </c>
      <c r="G107" s="20">
        <v>2</v>
      </c>
      <c r="H107" s="15">
        <v>1</v>
      </c>
      <c r="I107" s="27">
        <f>$H$67*G107*H107</f>
        <v>6493163.6550000003</v>
      </c>
      <c r="J107" s="20">
        <v>2</v>
      </c>
      <c r="K107" s="15">
        <v>1</v>
      </c>
      <c r="L107" s="27">
        <f>$H$67*J107*K107</f>
        <v>6493163.6550000003</v>
      </c>
      <c r="M107" s="20">
        <v>2</v>
      </c>
      <c r="N107" s="15">
        <v>1</v>
      </c>
      <c r="O107" s="27">
        <f>$H$67*M107*N107</f>
        <v>6493163.6550000003</v>
      </c>
      <c r="P107" s="20">
        <v>2</v>
      </c>
      <c r="Q107" s="15">
        <v>1</v>
      </c>
      <c r="R107" s="27">
        <f>$H$67*P107*Q107</f>
        <v>6493163.6550000003</v>
      </c>
    </row>
    <row r="108" spans="2:18">
      <c r="B108" s="76" t="s">
        <v>23</v>
      </c>
      <c r="C108" s="77"/>
      <c r="D108" s="20">
        <v>2</v>
      </c>
      <c r="E108" s="15">
        <v>1</v>
      </c>
      <c r="F108" s="27">
        <f>$H$74*D108*E108</f>
        <v>5917820.04</v>
      </c>
      <c r="G108" s="20">
        <v>2</v>
      </c>
      <c r="H108" s="15">
        <v>1</v>
      </c>
      <c r="I108" s="27">
        <f>$H$74*G108*H108</f>
        <v>5917820.04</v>
      </c>
      <c r="J108" s="20">
        <v>2</v>
      </c>
      <c r="K108" s="15">
        <v>1</v>
      </c>
      <c r="L108" s="27">
        <f>$H$74*J108*K108</f>
        <v>5917820.04</v>
      </c>
      <c r="M108" s="20">
        <v>2</v>
      </c>
      <c r="N108" s="15">
        <v>1</v>
      </c>
      <c r="O108" s="27">
        <f>$H$74*M108*N108</f>
        <v>5917820.04</v>
      </c>
      <c r="P108" s="20">
        <v>2</v>
      </c>
      <c r="Q108" s="15">
        <v>1</v>
      </c>
      <c r="R108" s="27">
        <f>$H$74*P108*Q108</f>
        <v>5917820.04</v>
      </c>
    </row>
    <row r="109" spans="2:18">
      <c r="B109" s="76" t="s">
        <v>24</v>
      </c>
      <c r="C109" s="77"/>
      <c r="D109" s="20">
        <v>2</v>
      </c>
      <c r="E109" s="15">
        <v>1</v>
      </c>
      <c r="F109" s="27">
        <f>$H$82*D109*E109</f>
        <v>5342476.4249999998</v>
      </c>
      <c r="G109" s="20">
        <v>2</v>
      </c>
      <c r="H109" s="15">
        <v>1</v>
      </c>
      <c r="I109" s="27">
        <f>$H$82*G109*H109</f>
        <v>5342476.4249999998</v>
      </c>
      <c r="J109" s="20">
        <v>2</v>
      </c>
      <c r="K109" s="15">
        <v>1</v>
      </c>
      <c r="L109" s="27">
        <f>$H$82*J109*K109</f>
        <v>5342476.4249999998</v>
      </c>
      <c r="M109" s="20">
        <v>2</v>
      </c>
      <c r="N109" s="15">
        <v>1</v>
      </c>
      <c r="O109" s="27">
        <f>$H$82*M109*N109</f>
        <v>5342476.4249999998</v>
      </c>
      <c r="P109" s="20">
        <v>2</v>
      </c>
      <c r="Q109" s="15">
        <v>1</v>
      </c>
      <c r="R109" s="27">
        <f>$H$82*P109*Q109</f>
        <v>5342476.4249999998</v>
      </c>
    </row>
    <row r="110" spans="2:18" ht="13.5" thickBot="1">
      <c r="B110" s="76" t="s">
        <v>25</v>
      </c>
      <c r="C110" s="77"/>
      <c r="D110" s="17">
        <v>2</v>
      </c>
      <c r="E110" s="78">
        <v>1</v>
      </c>
      <c r="F110" s="79">
        <f>$H$90*D110*E110</f>
        <v>5671244.2050000001</v>
      </c>
      <c r="G110" s="17">
        <v>2</v>
      </c>
      <c r="H110" s="78">
        <v>1</v>
      </c>
      <c r="I110" s="79">
        <f>$H$90*G110*H110</f>
        <v>5671244.2050000001</v>
      </c>
      <c r="J110" s="17">
        <v>2</v>
      </c>
      <c r="K110" s="78">
        <v>1</v>
      </c>
      <c r="L110" s="79">
        <f>$H$90*J110*K110</f>
        <v>5671244.2050000001</v>
      </c>
      <c r="M110" s="17">
        <v>2</v>
      </c>
      <c r="N110" s="78">
        <v>1</v>
      </c>
      <c r="O110" s="79">
        <f>$H$90*M110*N110</f>
        <v>5671244.2050000001</v>
      </c>
      <c r="P110" s="17">
        <v>2</v>
      </c>
      <c r="Q110" s="78">
        <v>1</v>
      </c>
      <c r="R110" s="79">
        <f>$H$90*P110*Q110</f>
        <v>5671244.2050000001</v>
      </c>
    </row>
    <row r="111" spans="2:18" ht="13.5" thickBot="1">
      <c r="B111" s="69" t="s">
        <v>69</v>
      </c>
      <c r="C111" s="80"/>
      <c r="D111" s="80"/>
      <c r="E111" s="80"/>
      <c r="F111" s="81">
        <f>MIN(F106:F110)</f>
        <v>5342476.4249999998</v>
      </c>
      <c r="G111" s="81"/>
      <c r="H111" s="81"/>
      <c r="I111" s="81">
        <f>MIN(I106:I110)</f>
        <v>5342476.4249999998</v>
      </c>
      <c r="J111" s="81"/>
      <c r="K111" s="81"/>
      <c r="L111" s="81">
        <f>MIN(L106:L110)</f>
        <v>5342476.4249999998</v>
      </c>
      <c r="M111" s="81"/>
      <c r="N111" s="81"/>
      <c r="O111" s="81">
        <f>MIN(O106:O110)</f>
        <v>5342476.4249999998</v>
      </c>
      <c r="P111" s="81"/>
      <c r="Q111" s="81"/>
      <c r="R111" s="82">
        <f>MIN(R106:R110)</f>
        <v>5342476.4249999998</v>
      </c>
    </row>
    <row r="112" spans="2:18" ht="13.5" thickBot="1"/>
    <row r="113" spans="1:18" ht="13.5" thickBot="1">
      <c r="B113" s="63" t="s">
        <v>7</v>
      </c>
      <c r="C113" s="64"/>
      <c r="D113" s="65" t="s">
        <v>9</v>
      </c>
      <c r="E113" s="65"/>
      <c r="F113" s="65"/>
      <c r="G113" s="65" t="s">
        <v>10</v>
      </c>
      <c r="H113" s="65"/>
      <c r="I113" s="65"/>
      <c r="J113" s="66" t="s">
        <v>11</v>
      </c>
      <c r="K113" s="67"/>
      <c r="L113" s="68"/>
      <c r="M113" s="66" t="s">
        <v>12</v>
      </c>
      <c r="N113" s="67"/>
      <c r="O113" s="68"/>
      <c r="P113" s="66" t="s">
        <v>13</v>
      </c>
      <c r="Q113" s="67"/>
      <c r="R113" s="68"/>
    </row>
    <row r="114" spans="1:18" ht="13.5" thickBot="1">
      <c r="B114" s="69" t="s">
        <v>26</v>
      </c>
      <c r="C114" s="70"/>
      <c r="D114" s="71" t="s">
        <v>35</v>
      </c>
      <c r="E114" s="72" t="s">
        <v>33</v>
      </c>
      <c r="F114" s="73" t="s">
        <v>34</v>
      </c>
      <c r="G114" s="72" t="s">
        <v>35</v>
      </c>
      <c r="H114" s="72" t="s">
        <v>33</v>
      </c>
      <c r="I114" s="73" t="s">
        <v>34</v>
      </c>
      <c r="J114" s="72" t="s">
        <v>35</v>
      </c>
      <c r="K114" s="72" t="s">
        <v>33</v>
      </c>
      <c r="L114" s="73" t="s">
        <v>34</v>
      </c>
      <c r="M114" s="72" t="s">
        <v>35</v>
      </c>
      <c r="N114" s="72" t="s">
        <v>33</v>
      </c>
      <c r="O114" s="73" t="s">
        <v>34</v>
      </c>
      <c r="P114" s="72" t="s">
        <v>35</v>
      </c>
      <c r="Q114" s="72" t="s">
        <v>33</v>
      </c>
      <c r="R114" s="73" t="s">
        <v>34</v>
      </c>
    </row>
    <row r="115" spans="1:18">
      <c r="B115" s="74" t="s">
        <v>21</v>
      </c>
      <c r="C115" s="75"/>
      <c r="D115" s="20">
        <v>2</v>
      </c>
      <c r="E115" s="15">
        <v>1</v>
      </c>
      <c r="F115" s="27">
        <f>$H$61*D115*E115</f>
        <v>5959388.3799999999</v>
      </c>
      <c r="G115" s="20">
        <v>2</v>
      </c>
      <c r="H115" s="15">
        <f>E115+0</f>
        <v>1</v>
      </c>
      <c r="I115" s="27">
        <f>$H$61*G115*H115</f>
        <v>5959388.3799999999</v>
      </c>
      <c r="J115" s="20">
        <v>2</v>
      </c>
      <c r="K115" s="15">
        <v>1</v>
      </c>
      <c r="L115" s="27">
        <f>$H$61*J115*K115</f>
        <v>5959388.3799999999</v>
      </c>
      <c r="M115" s="20">
        <v>2</v>
      </c>
      <c r="N115" s="15">
        <v>2</v>
      </c>
      <c r="O115" s="27">
        <f>$H$61*M115*N115</f>
        <v>11918776.76</v>
      </c>
      <c r="P115" s="20">
        <v>2</v>
      </c>
      <c r="Q115" s="15">
        <v>2</v>
      </c>
      <c r="R115" s="27">
        <f>$H$61*P115*Q115</f>
        <v>11918776.76</v>
      </c>
    </row>
    <row r="116" spans="1:18">
      <c r="B116" s="76" t="s">
        <v>22</v>
      </c>
      <c r="C116" s="77"/>
      <c r="D116" s="20">
        <v>2</v>
      </c>
      <c r="E116" s="15">
        <v>1</v>
      </c>
      <c r="F116" s="27">
        <f>$H$68*D116*E116</f>
        <v>6194627.3949999996</v>
      </c>
      <c r="G116" s="20">
        <v>2</v>
      </c>
      <c r="H116" s="15">
        <f t="shared" ref="H116:H118" si="28">E116+0</f>
        <v>1</v>
      </c>
      <c r="I116" s="27">
        <f>$H$68*G116*H116</f>
        <v>6194627.3949999996</v>
      </c>
      <c r="J116" s="20">
        <v>2</v>
      </c>
      <c r="K116" s="15">
        <v>1</v>
      </c>
      <c r="L116" s="27">
        <f>$H$68*J116*K116</f>
        <v>6194627.3949999996</v>
      </c>
      <c r="M116" s="20">
        <v>2</v>
      </c>
      <c r="N116" s="15">
        <v>1</v>
      </c>
      <c r="O116" s="27">
        <f>$H$68*M116*N116</f>
        <v>6194627.3949999996</v>
      </c>
      <c r="P116" s="20">
        <v>2</v>
      </c>
      <c r="Q116" s="15">
        <v>2</v>
      </c>
      <c r="R116" s="27">
        <f>$H$68*P116*Q116</f>
        <v>12389254.789999999</v>
      </c>
    </row>
    <row r="117" spans="1:18">
      <c r="B117" s="76" t="s">
        <v>23</v>
      </c>
      <c r="C117" s="77"/>
      <c r="D117" s="20">
        <v>2</v>
      </c>
      <c r="E117" s="15">
        <v>1</v>
      </c>
      <c r="F117" s="27">
        <f>$H$75*D117*E117</f>
        <v>5645736.3600000003</v>
      </c>
      <c r="G117" s="20">
        <v>2</v>
      </c>
      <c r="H117" s="15">
        <f t="shared" si="28"/>
        <v>1</v>
      </c>
      <c r="I117" s="27">
        <f>$H$75*G117*H117</f>
        <v>5645736.3600000003</v>
      </c>
      <c r="J117" s="20">
        <v>2</v>
      </c>
      <c r="K117" s="15">
        <v>2</v>
      </c>
      <c r="L117" s="27">
        <f>$H$75*J117*K117</f>
        <v>11291472.720000001</v>
      </c>
      <c r="M117" s="20">
        <v>2</v>
      </c>
      <c r="N117" s="15">
        <v>2</v>
      </c>
      <c r="O117" s="27">
        <f>$H$75*M117*N117</f>
        <v>11291472.720000001</v>
      </c>
      <c r="P117" s="20">
        <v>2</v>
      </c>
      <c r="Q117" s="15">
        <v>2</v>
      </c>
      <c r="R117" s="27">
        <f>$H$75*P117*Q117</f>
        <v>11291472.720000001</v>
      </c>
    </row>
    <row r="118" spans="1:18">
      <c r="B118" s="76" t="s">
        <v>24</v>
      </c>
      <c r="C118" s="77"/>
      <c r="D118" s="20">
        <v>2</v>
      </c>
      <c r="E118" s="15">
        <v>2</v>
      </c>
      <c r="F118" s="27">
        <f>$H$83*D118*E118</f>
        <v>10193690.65</v>
      </c>
      <c r="G118" s="20">
        <v>2</v>
      </c>
      <c r="H118" s="15">
        <f t="shared" si="28"/>
        <v>2</v>
      </c>
      <c r="I118" s="27">
        <f>$H$83*G118*H118</f>
        <v>10193690.65</v>
      </c>
      <c r="J118" s="20">
        <v>2</v>
      </c>
      <c r="K118" s="15">
        <v>2</v>
      </c>
      <c r="L118" s="27">
        <f>$H$83*J118*K118</f>
        <v>10193690.65</v>
      </c>
      <c r="M118" s="20">
        <v>2</v>
      </c>
      <c r="N118" s="15">
        <v>2</v>
      </c>
      <c r="O118" s="27">
        <f>$H$83*M118*N118</f>
        <v>10193690.65</v>
      </c>
      <c r="P118" s="20">
        <v>2</v>
      </c>
      <c r="Q118" s="15">
        <v>2</v>
      </c>
      <c r="R118" s="27">
        <f>$H$83*P118*Q118</f>
        <v>10193690.65</v>
      </c>
    </row>
    <row r="119" spans="1:18" ht="13.5" thickBot="1">
      <c r="B119" s="76" t="s">
        <v>25</v>
      </c>
      <c r="C119" s="77"/>
      <c r="D119" s="17">
        <v>2</v>
      </c>
      <c r="E119" s="78">
        <v>1</v>
      </c>
      <c r="F119" s="79">
        <f>$H$91*D119*E119</f>
        <v>5410497.3449999997</v>
      </c>
      <c r="G119" s="17">
        <v>2</v>
      </c>
      <c r="H119" s="15">
        <f>E119+1</f>
        <v>2</v>
      </c>
      <c r="I119" s="79">
        <f>$H$91*G119*H119</f>
        <v>10820994.689999999</v>
      </c>
      <c r="J119" s="17">
        <v>2</v>
      </c>
      <c r="K119" s="15">
        <v>2</v>
      </c>
      <c r="L119" s="79">
        <f>$H$91*J119*K119</f>
        <v>10820994.689999999</v>
      </c>
      <c r="M119" s="17">
        <v>2</v>
      </c>
      <c r="N119" s="78">
        <v>2</v>
      </c>
      <c r="O119" s="79">
        <f>$H$91*M119*N119</f>
        <v>10820994.689999999</v>
      </c>
      <c r="P119" s="17">
        <v>2</v>
      </c>
      <c r="Q119" s="78">
        <v>2</v>
      </c>
      <c r="R119" s="79">
        <f>$H$91*P119*Q119</f>
        <v>10820994.689999999</v>
      </c>
    </row>
    <row r="120" spans="1:18" ht="13.5" thickBot="1">
      <c r="B120" s="69" t="s">
        <v>69</v>
      </c>
      <c r="C120" s="80"/>
      <c r="D120" s="80"/>
      <c r="E120" s="80"/>
      <c r="F120" s="81">
        <f>MIN(F115:F119)</f>
        <v>5410497.3449999997</v>
      </c>
      <c r="G120" s="81"/>
      <c r="H120" s="81"/>
      <c r="I120" s="81">
        <f>MIN(I115:I119)</f>
        <v>5645736.3600000003</v>
      </c>
      <c r="J120" s="81"/>
      <c r="K120" s="81"/>
      <c r="L120" s="81">
        <f>MIN(L115:L119)</f>
        <v>5959388.3799999999</v>
      </c>
      <c r="M120" s="81"/>
      <c r="N120" s="81"/>
      <c r="O120" s="81">
        <f>MIN(O115:O119)</f>
        <v>6194627.3949999996</v>
      </c>
      <c r="P120" s="81"/>
      <c r="Q120" s="81"/>
      <c r="R120" s="82">
        <f>MIN(R115:R119)</f>
        <v>10193690.65</v>
      </c>
    </row>
    <row r="121" spans="1:18" ht="13.5" thickBot="1"/>
    <row r="122" spans="1:18" ht="13.5" thickBot="1">
      <c r="B122" s="63" t="s">
        <v>8</v>
      </c>
      <c r="C122" s="64"/>
      <c r="D122" s="65" t="s">
        <v>9</v>
      </c>
      <c r="E122" s="65"/>
      <c r="F122" s="65"/>
      <c r="G122" s="65" t="s">
        <v>10</v>
      </c>
      <c r="H122" s="65"/>
      <c r="I122" s="65"/>
      <c r="J122" s="66" t="s">
        <v>11</v>
      </c>
      <c r="K122" s="67"/>
      <c r="L122" s="68"/>
      <c r="M122" s="66" t="s">
        <v>12</v>
      </c>
      <c r="N122" s="67"/>
      <c r="O122" s="68"/>
      <c r="P122" s="66" t="s">
        <v>13</v>
      </c>
      <c r="Q122" s="67"/>
      <c r="R122" s="68"/>
    </row>
    <row r="123" spans="1:18" ht="13.5" thickBot="1">
      <c r="B123" s="69" t="s">
        <v>26</v>
      </c>
      <c r="C123" s="70"/>
      <c r="D123" s="71" t="s">
        <v>35</v>
      </c>
      <c r="E123" s="72" t="s">
        <v>33</v>
      </c>
      <c r="F123" s="73" t="s">
        <v>34</v>
      </c>
      <c r="G123" s="72" t="s">
        <v>35</v>
      </c>
      <c r="H123" s="72" t="s">
        <v>33</v>
      </c>
      <c r="I123" s="73" t="s">
        <v>34</v>
      </c>
      <c r="J123" s="72" t="s">
        <v>35</v>
      </c>
      <c r="K123" s="72" t="s">
        <v>33</v>
      </c>
      <c r="L123" s="73" t="s">
        <v>34</v>
      </c>
      <c r="M123" s="72" t="s">
        <v>35</v>
      </c>
      <c r="N123" s="72" t="s">
        <v>33</v>
      </c>
      <c r="O123" s="73" t="s">
        <v>34</v>
      </c>
      <c r="P123" s="72" t="s">
        <v>35</v>
      </c>
      <c r="Q123" s="72" t="s">
        <v>33</v>
      </c>
      <c r="R123" s="73" t="s">
        <v>34</v>
      </c>
    </row>
    <row r="124" spans="1:18">
      <c r="B124" s="74" t="s">
        <v>21</v>
      </c>
      <c r="C124" s="75"/>
      <c r="D124" s="20">
        <v>2</v>
      </c>
      <c r="E124" s="15">
        <v>1</v>
      </c>
      <c r="F124" s="27">
        <f>$H$62*D124*E124</f>
        <v>6390187.54</v>
      </c>
      <c r="G124" s="20">
        <v>2</v>
      </c>
      <c r="H124" s="15">
        <v>1</v>
      </c>
      <c r="I124" s="27">
        <f>$H$62*G124*H124</f>
        <v>6390187.54</v>
      </c>
      <c r="J124" s="20">
        <v>2</v>
      </c>
      <c r="K124" s="15">
        <v>1</v>
      </c>
      <c r="L124" s="27">
        <f>$H$62*J124*K124</f>
        <v>6390187.54</v>
      </c>
      <c r="M124" s="20">
        <v>2</v>
      </c>
      <c r="N124" s="15">
        <v>1</v>
      </c>
      <c r="O124" s="27">
        <f>$H$62*M124*N124</f>
        <v>6390187.54</v>
      </c>
      <c r="P124" s="20">
        <v>2</v>
      </c>
      <c r="Q124" s="15">
        <v>1</v>
      </c>
      <c r="R124" s="27">
        <f>$H$62*P124*Q124</f>
        <v>6390187.54</v>
      </c>
    </row>
    <row r="125" spans="1:18">
      <c r="A125" s="83"/>
      <c r="B125" s="76" t="s">
        <v>22</v>
      </c>
      <c r="C125" s="77"/>
      <c r="D125" s="20">
        <v>2</v>
      </c>
      <c r="E125" s="15">
        <v>1</v>
      </c>
      <c r="F125" s="27">
        <f>$H$69*D125*E125</f>
        <v>6642431.7850000001</v>
      </c>
      <c r="G125" s="20">
        <v>2</v>
      </c>
      <c r="H125" s="15">
        <v>1</v>
      </c>
      <c r="I125" s="27">
        <f>$H$69*G125*H125</f>
        <v>6642431.7850000001</v>
      </c>
      <c r="J125" s="20">
        <v>2</v>
      </c>
      <c r="K125" s="15">
        <v>1</v>
      </c>
      <c r="L125" s="27">
        <f>$H$69*J125*K125</f>
        <v>6642431.7850000001</v>
      </c>
      <c r="M125" s="20">
        <v>2</v>
      </c>
      <c r="N125" s="15">
        <v>1</v>
      </c>
      <c r="O125" s="27">
        <f>$H$69*M125*N125</f>
        <v>6642431.7850000001</v>
      </c>
      <c r="P125" s="20">
        <v>2</v>
      </c>
      <c r="Q125" s="15">
        <v>1</v>
      </c>
      <c r="R125" s="27">
        <f>$H$69*P125*Q125</f>
        <v>6642431.7850000001</v>
      </c>
    </row>
    <row r="126" spans="1:18">
      <c r="B126" s="76" t="s">
        <v>23</v>
      </c>
      <c r="C126" s="77"/>
      <c r="D126" s="20">
        <v>2</v>
      </c>
      <c r="E126" s="15">
        <v>1</v>
      </c>
      <c r="F126" s="27">
        <f>$H$76*D126*E126</f>
        <v>6053861.8799999999</v>
      </c>
      <c r="G126" s="20">
        <v>2</v>
      </c>
      <c r="H126" s="15">
        <v>1</v>
      </c>
      <c r="I126" s="27">
        <f>$H$76*G126*H126</f>
        <v>6053861.8799999999</v>
      </c>
      <c r="J126" s="20">
        <v>2</v>
      </c>
      <c r="K126" s="15">
        <v>1</v>
      </c>
      <c r="L126" s="27">
        <f>$H$76*J126*K126</f>
        <v>6053861.8799999999</v>
      </c>
      <c r="M126" s="20">
        <v>2</v>
      </c>
      <c r="N126" s="15">
        <v>1</v>
      </c>
      <c r="O126" s="27">
        <f>$H$76*M126*N126</f>
        <v>6053861.8799999999</v>
      </c>
      <c r="P126" s="20">
        <v>2</v>
      </c>
      <c r="Q126" s="15">
        <v>1</v>
      </c>
      <c r="R126" s="27">
        <f>$H$76*P126*Q126</f>
        <v>6053861.8799999999</v>
      </c>
    </row>
    <row r="127" spans="1:18">
      <c r="B127" s="76" t="s">
        <v>24</v>
      </c>
      <c r="C127" s="77"/>
      <c r="D127" s="20">
        <v>2</v>
      </c>
      <c r="E127" s="15">
        <v>1</v>
      </c>
      <c r="F127" s="27">
        <f>$H$84*D127*E127</f>
        <v>5465291.9749999996</v>
      </c>
      <c r="G127" s="20">
        <v>2</v>
      </c>
      <c r="H127" s="15">
        <v>1</v>
      </c>
      <c r="I127" s="27">
        <f>$H$84*G127*H127</f>
        <v>5465291.9749999996</v>
      </c>
      <c r="J127" s="20">
        <v>2</v>
      </c>
      <c r="K127" s="15">
        <v>1</v>
      </c>
      <c r="L127" s="27">
        <f>$H$84*J127*K127</f>
        <v>5465291.9749999996</v>
      </c>
      <c r="M127" s="20">
        <v>2</v>
      </c>
      <c r="N127" s="15">
        <v>1</v>
      </c>
      <c r="O127" s="27">
        <f>$H$84*M127*N127</f>
        <v>5465291.9749999996</v>
      </c>
      <c r="P127" s="20">
        <v>2</v>
      </c>
      <c r="Q127" s="15">
        <v>1</v>
      </c>
      <c r="R127" s="27">
        <f>$H$84*P127*Q127</f>
        <v>5465291.9749999996</v>
      </c>
    </row>
    <row r="128" spans="1:18" ht="13.5" thickBot="1">
      <c r="B128" s="76" t="s">
        <v>25</v>
      </c>
      <c r="C128" s="77"/>
      <c r="D128" s="17">
        <v>2</v>
      </c>
      <c r="E128" s="78">
        <v>1</v>
      </c>
      <c r="F128" s="79">
        <f>$H$92*D128*E128</f>
        <v>5801617.6349999998</v>
      </c>
      <c r="G128" s="17">
        <v>2</v>
      </c>
      <c r="H128" s="78">
        <v>1</v>
      </c>
      <c r="I128" s="79">
        <f>$H$92*G128*H128</f>
        <v>5801617.6349999998</v>
      </c>
      <c r="J128" s="17">
        <v>2</v>
      </c>
      <c r="K128" s="78">
        <v>1</v>
      </c>
      <c r="L128" s="79">
        <f>$H$92*J128*K128</f>
        <v>5801617.6349999998</v>
      </c>
      <c r="M128" s="17">
        <v>2</v>
      </c>
      <c r="N128" s="78">
        <v>1</v>
      </c>
      <c r="O128" s="79">
        <f>$H$92*M128*N128</f>
        <v>5801617.6349999998</v>
      </c>
      <c r="P128" s="17">
        <v>2</v>
      </c>
      <c r="Q128" s="78">
        <v>1</v>
      </c>
      <c r="R128" s="79">
        <f>$H$92*P128*Q128</f>
        <v>5801617.6349999998</v>
      </c>
    </row>
    <row r="129" spans="2:18" ht="13.5" thickBot="1">
      <c r="B129" s="69" t="s">
        <v>69</v>
      </c>
      <c r="C129" s="80"/>
      <c r="D129" s="80"/>
      <c r="E129" s="80"/>
      <c r="F129" s="81">
        <f>MIN(F124:F128)</f>
        <v>5465291.9749999996</v>
      </c>
      <c r="G129" s="81"/>
      <c r="H129" s="81"/>
      <c r="I129" s="81">
        <f>MIN(I124:I128)</f>
        <v>5465291.9749999996</v>
      </c>
      <c r="J129" s="81"/>
      <c r="K129" s="81"/>
      <c r="L129" s="81">
        <f>MIN(L124:L128)</f>
        <v>5465291.9749999996</v>
      </c>
      <c r="M129" s="81"/>
      <c r="N129" s="81"/>
      <c r="O129" s="81">
        <f>MIN(O124:O128)</f>
        <v>5465291.9749999996</v>
      </c>
      <c r="P129" s="81"/>
      <c r="Q129" s="81"/>
      <c r="R129" s="82">
        <f>MIN(R124:R128)</f>
        <v>5465291.9749999996</v>
      </c>
    </row>
    <row r="131" spans="2:18">
      <c r="B131" s="84" t="s">
        <v>37</v>
      </c>
      <c r="C131" s="84"/>
      <c r="D131" s="84"/>
      <c r="E131" s="84"/>
      <c r="F131" s="84"/>
    </row>
    <row r="132" spans="2:18">
      <c r="B132" s="84"/>
      <c r="C132" s="84"/>
      <c r="D132" s="84"/>
      <c r="E132" s="84"/>
      <c r="F132" s="84"/>
    </row>
    <row r="133" spans="2:18">
      <c r="B133" s="84"/>
      <c r="C133" s="84"/>
      <c r="D133" s="84"/>
      <c r="E133" s="84"/>
      <c r="F133" s="84"/>
    </row>
    <row r="134" spans="2:18">
      <c r="B134" s="84"/>
      <c r="C134" s="84"/>
      <c r="D134" s="84"/>
      <c r="E134" s="84"/>
      <c r="F134" s="84"/>
    </row>
    <row r="135" spans="2:18">
      <c r="B135" s="85"/>
      <c r="C135" s="85"/>
      <c r="D135" s="85"/>
      <c r="E135" s="85"/>
      <c r="F135" s="85"/>
    </row>
    <row r="136" spans="2:18" ht="13.5" thickBot="1">
      <c r="B136" s="51" t="s">
        <v>36</v>
      </c>
    </row>
    <row r="137" spans="2:18">
      <c r="B137" s="74" t="s">
        <v>26</v>
      </c>
      <c r="C137" s="86"/>
      <c r="D137" s="55" t="s">
        <v>9</v>
      </c>
      <c r="E137" s="55" t="s">
        <v>10</v>
      </c>
      <c r="F137" s="55" t="s">
        <v>11</v>
      </c>
      <c r="G137" s="55" t="s">
        <v>12</v>
      </c>
      <c r="H137" s="55" t="s">
        <v>13</v>
      </c>
    </row>
    <row r="138" spans="2:18">
      <c r="B138" s="87" t="s">
        <v>5</v>
      </c>
      <c r="C138" s="61"/>
      <c r="D138" s="27">
        <f>F$102</f>
        <v>5219660.875</v>
      </c>
      <c r="E138" s="27">
        <f>$I$102</f>
        <v>5219660.875</v>
      </c>
      <c r="F138" s="27">
        <f>$L$102</f>
        <v>5219660.875</v>
      </c>
      <c r="G138" s="27">
        <f>$O$102</f>
        <v>5219660.875</v>
      </c>
      <c r="H138" s="27">
        <f>$R$102</f>
        <v>5219660.875</v>
      </c>
    </row>
    <row r="139" spans="2:18">
      <c r="B139" s="87" t="s">
        <v>6</v>
      </c>
      <c r="C139" s="61"/>
      <c r="D139" s="27">
        <f>F111</f>
        <v>5342476.4249999998</v>
      </c>
      <c r="E139" s="27">
        <f>$I$111</f>
        <v>5342476.4249999998</v>
      </c>
      <c r="F139" s="27">
        <f>$L$111</f>
        <v>5342476.4249999998</v>
      </c>
      <c r="G139" s="27">
        <f>$O$111</f>
        <v>5342476.4249999998</v>
      </c>
      <c r="H139" s="27">
        <f>$R$111</f>
        <v>5342476.4249999998</v>
      </c>
    </row>
    <row r="140" spans="2:18">
      <c r="B140" s="87" t="s">
        <v>7</v>
      </c>
      <c r="C140" s="61"/>
      <c r="D140" s="27">
        <f>F120</f>
        <v>5410497.3449999997</v>
      </c>
      <c r="E140" s="27">
        <f>$I$120</f>
        <v>5645736.3600000003</v>
      </c>
      <c r="F140" s="27">
        <f>$L$120</f>
        <v>5959388.3799999999</v>
      </c>
      <c r="G140" s="27">
        <f>$O$120</f>
        <v>6194627.3949999996</v>
      </c>
      <c r="H140" s="27">
        <f>$R$120</f>
        <v>10193690.65</v>
      </c>
    </row>
    <row r="141" spans="2:18" ht="13.5" thickBot="1">
      <c r="B141" s="87" t="s">
        <v>8</v>
      </c>
      <c r="C141" s="61"/>
      <c r="D141" s="79">
        <f>F129</f>
        <v>5465291.9749999996</v>
      </c>
      <c r="E141" s="27">
        <f>$I$129</f>
        <v>5465291.9749999996</v>
      </c>
      <c r="F141" s="27">
        <f>$L$129</f>
        <v>5465291.9749999996</v>
      </c>
      <c r="G141" s="27">
        <f>$O$129</f>
        <v>5465291.9749999996</v>
      </c>
      <c r="H141" s="27">
        <f>$R$129</f>
        <v>5465291.9749999996</v>
      </c>
    </row>
    <row r="142" spans="2:18" ht="13.5" thickBot="1">
      <c r="B142" s="88" t="s">
        <v>38</v>
      </c>
      <c r="C142" s="89"/>
      <c r="D142" s="90">
        <f>SUM(D138:D141)</f>
        <v>21437926.619999997</v>
      </c>
      <c r="E142" s="90">
        <f>SUM(E138:E141)</f>
        <v>21673165.634999998</v>
      </c>
      <c r="F142" s="90">
        <f>SUM(F138:F141)</f>
        <v>21986817.655000001</v>
      </c>
      <c r="G142" s="90">
        <f>SUM(G138:G141)</f>
        <v>22222056.670000002</v>
      </c>
      <c r="H142" s="91">
        <f>SUM(H138:H141)</f>
        <v>26221119.925000004</v>
      </c>
    </row>
    <row r="144" spans="2:18">
      <c r="B144" s="59" t="s">
        <v>40</v>
      </c>
    </row>
    <row r="145" spans="2:10">
      <c r="B145" s="59" t="s">
        <v>39</v>
      </c>
    </row>
    <row r="146" spans="2:10">
      <c r="B146" s="51" t="s">
        <v>41</v>
      </c>
    </row>
    <row r="147" spans="2:10">
      <c r="B147" s="51" t="s">
        <v>70</v>
      </c>
    </row>
    <row r="148" spans="2:10">
      <c r="B148" s="51" t="s">
        <v>71</v>
      </c>
      <c r="J148" s="83"/>
    </row>
    <row r="149" spans="2:10">
      <c r="B149" s="51"/>
    </row>
    <row r="150" spans="2:10">
      <c r="B150" s="92" t="s">
        <v>77</v>
      </c>
      <c r="C150" s="55"/>
      <c r="D150" s="55">
        <v>4</v>
      </c>
      <c r="E150" s="55">
        <v>4</v>
      </c>
      <c r="F150" s="55">
        <v>4</v>
      </c>
      <c r="G150" s="55">
        <v>4</v>
      </c>
      <c r="H150" s="55">
        <v>5</v>
      </c>
    </row>
    <row r="151" spans="2:10">
      <c r="B151" s="51"/>
    </row>
    <row r="152" spans="2:10">
      <c r="B152" s="51" t="s">
        <v>73</v>
      </c>
    </row>
    <row r="153" spans="2:10">
      <c r="B153" s="93" t="s">
        <v>26</v>
      </c>
      <c r="C153" s="17"/>
      <c r="D153" s="94" t="s">
        <v>9</v>
      </c>
      <c r="E153" s="55" t="s">
        <v>10</v>
      </c>
      <c r="F153" s="55" t="s">
        <v>11</v>
      </c>
      <c r="G153" s="55" t="s">
        <v>12</v>
      </c>
      <c r="H153" s="55" t="s">
        <v>13</v>
      </c>
    </row>
    <row r="154" spans="2:10">
      <c r="B154" s="95" t="s">
        <v>5</v>
      </c>
      <c r="C154" s="17"/>
      <c r="D154" s="27">
        <f>(D$138-C$41)*$F$5</f>
        <v>1886711743.75</v>
      </c>
      <c r="E154" s="27">
        <f>(E$138-D$41)*$F$5</f>
        <v>1797461743.7500005</v>
      </c>
      <c r="F154" s="27">
        <f>(F$138-E$41)*$F$5</f>
        <v>1705087993.7500007</v>
      </c>
      <c r="G154" s="27">
        <f>(G$138-F$41)*$F$5</f>
        <v>1609481162.5000012</v>
      </c>
      <c r="H154" s="27">
        <f>(H$138-G$41)*$F$5</f>
        <v>1510528092.1562514</v>
      </c>
    </row>
    <row r="155" spans="2:10">
      <c r="B155" s="96" t="s">
        <v>6</v>
      </c>
      <c r="C155" s="22"/>
      <c r="D155" s="27">
        <f>(D$139-C$42)*$F$6</f>
        <v>1481104961.2499998</v>
      </c>
      <c r="E155" s="27">
        <f>(E$139-D$42)*$F$6</f>
        <v>1404604961.2500002</v>
      </c>
      <c r="F155" s="27">
        <f>(F$139-E$42)*$F$6</f>
        <v>1326192461.2500007</v>
      </c>
      <c r="G155" s="27">
        <f>(G$139-F$42)*$F$6</f>
        <v>1245819648.750001</v>
      </c>
      <c r="H155" s="27">
        <f>(H$139-G$42)*$F$6</f>
        <v>1163437515.9375014</v>
      </c>
    </row>
    <row r="156" spans="2:10">
      <c r="B156" s="96" t="s">
        <v>7</v>
      </c>
      <c r="C156" s="22"/>
      <c r="D156" s="27">
        <f>(D$140-C$43)*$F$7</f>
        <v>11022212.249999726</v>
      </c>
      <c r="E156" s="27">
        <f>(E$140-D$43)*$F$7</f>
        <v>2873178.000000352</v>
      </c>
      <c r="F156" s="27">
        <f>(F$140-E$43)*$F$7</f>
        <v>65576048.999999881</v>
      </c>
      <c r="G156" s="27">
        <f>(G$140-F$43)*$F$7</f>
        <v>33946836.000000313</v>
      </c>
      <c r="H156" s="27">
        <f>(H$140-G$43)*$F$7</f>
        <v>3941794716.9562516</v>
      </c>
    </row>
    <row r="157" spans="2:10" ht="13.5" thickBot="1">
      <c r="B157" s="96" t="s">
        <v>8</v>
      </c>
      <c r="C157" s="22"/>
      <c r="D157" s="79">
        <f>(D$141-C$44)*$F$8</f>
        <v>2210556573.7499995</v>
      </c>
      <c r="E157" s="79">
        <f>(E$141-D$44)*$F$8</f>
        <v>1998876573.7499995</v>
      </c>
      <c r="F157" s="79">
        <f>(F$141-E$44)*$F$8</f>
        <v>1774495773.7499995</v>
      </c>
      <c r="G157" s="79">
        <f>(G$141-F$44)*$F$8</f>
        <v>1536652125.7499993</v>
      </c>
      <c r="H157" s="79">
        <f>(H$141-G$44)*$F$8</f>
        <v>1284537858.8699987</v>
      </c>
    </row>
    <row r="158" spans="2:10" ht="13.5" thickBot="1">
      <c r="B158" s="98" t="s">
        <v>51</v>
      </c>
      <c r="C158" s="104"/>
      <c r="D158" s="103">
        <f>SUM(D154:D157)</f>
        <v>5589395490.999999</v>
      </c>
      <c r="E158" s="81">
        <f>SUM(E154:E157)</f>
        <v>5203816456.750001</v>
      </c>
      <c r="F158" s="81">
        <f>SUM(F154:F157)</f>
        <v>4871352277.750001</v>
      </c>
      <c r="G158" s="81">
        <f>SUM(G154:G157)</f>
        <v>4425899773.0000019</v>
      </c>
      <c r="H158" s="82">
        <f>SUM(H154:H157)</f>
        <v>7900298183.9200039</v>
      </c>
    </row>
    <row r="160" spans="2:10">
      <c r="B160" s="51" t="s">
        <v>72</v>
      </c>
      <c r="D160" s="14">
        <v>12</v>
      </c>
    </row>
    <row r="161" spans="2:8">
      <c r="B161" s="93" t="s">
        <v>26</v>
      </c>
      <c r="C161" s="17"/>
      <c r="D161" s="94" t="s">
        <v>9</v>
      </c>
      <c r="E161" s="55" t="s">
        <v>10</v>
      </c>
      <c r="F161" s="55" t="s">
        <v>11</v>
      </c>
      <c r="G161" s="55" t="s">
        <v>12</v>
      </c>
      <c r="H161" s="55" t="s">
        <v>13</v>
      </c>
    </row>
    <row r="162" spans="2:8">
      <c r="B162" s="95" t="s">
        <v>5</v>
      </c>
      <c r="C162" s="17"/>
      <c r="D162" s="27">
        <f>$D154*($D$160/100)</f>
        <v>226405409.25</v>
      </c>
      <c r="E162" s="27">
        <f t="shared" ref="E162:H162" si="29">E$154*($D$160/100)</f>
        <v>215695409.25000006</v>
      </c>
      <c r="F162" s="27">
        <f t="shared" si="29"/>
        <v>204610559.25000009</v>
      </c>
      <c r="G162" s="27">
        <f t="shared" si="29"/>
        <v>193137739.50000015</v>
      </c>
      <c r="H162" s="27">
        <f t="shared" si="29"/>
        <v>181263371.05875015</v>
      </c>
    </row>
    <row r="163" spans="2:8">
      <c r="B163" s="96" t="s">
        <v>6</v>
      </c>
      <c r="C163" s="22"/>
      <c r="D163" s="27">
        <f>D$155*($D$160/100)</f>
        <v>177732595.34999996</v>
      </c>
      <c r="E163" s="27">
        <f t="shared" ref="E163:H163" si="30">E$155*($D$160/100)</f>
        <v>168552595.35000002</v>
      </c>
      <c r="F163" s="27">
        <f t="shared" si="30"/>
        <v>159143095.35000008</v>
      </c>
      <c r="G163" s="27">
        <f t="shared" si="30"/>
        <v>149498357.85000011</v>
      </c>
      <c r="H163" s="27">
        <f t="shared" si="30"/>
        <v>139612501.91250017</v>
      </c>
    </row>
    <row r="164" spans="2:8">
      <c r="B164" s="96" t="s">
        <v>7</v>
      </c>
      <c r="C164" s="22"/>
      <c r="D164" s="27">
        <f>D$156*($D$160/100)</f>
        <v>1322665.4699999671</v>
      </c>
      <c r="E164" s="27">
        <f t="shared" ref="E164:H164" si="31">E$156*($D$160/100)</f>
        <v>344781.36000004224</v>
      </c>
      <c r="F164" s="27">
        <f t="shared" si="31"/>
        <v>7869125.879999985</v>
      </c>
      <c r="G164" s="27">
        <f t="shared" si="31"/>
        <v>4073620.3200000376</v>
      </c>
      <c r="H164" s="27">
        <f t="shared" si="31"/>
        <v>473015366.03475016</v>
      </c>
    </row>
    <row r="165" spans="2:8" ht="13.5" thickBot="1">
      <c r="B165" s="96" t="s">
        <v>8</v>
      </c>
      <c r="C165" s="22"/>
      <c r="D165" s="79">
        <f>D$157*($D$160/100)</f>
        <v>265266788.84999993</v>
      </c>
      <c r="E165" s="79">
        <f t="shared" ref="E165:H165" si="32">E$157*($D$160/100)</f>
        <v>239865188.84999993</v>
      </c>
      <c r="F165" s="79">
        <f t="shared" si="32"/>
        <v>212939492.84999993</v>
      </c>
      <c r="G165" s="79">
        <f t="shared" si="32"/>
        <v>184398255.08999991</v>
      </c>
      <c r="H165" s="79">
        <f t="shared" si="32"/>
        <v>154144543.06439984</v>
      </c>
    </row>
    <row r="166" spans="2:8" ht="13.5" thickBot="1">
      <c r="B166" s="148" t="s">
        <v>51</v>
      </c>
      <c r="C166" s="104"/>
      <c r="D166" s="81">
        <f>SUM(D162:D165)</f>
        <v>670727458.91999984</v>
      </c>
      <c r="E166" s="81">
        <f t="shared" ref="E166:H166" si="33">SUM(E162:E165)</f>
        <v>624457974.81000006</v>
      </c>
      <c r="F166" s="81">
        <f t="shared" si="33"/>
        <v>584562273.33000004</v>
      </c>
      <c r="G166" s="81">
        <f t="shared" si="33"/>
        <v>531107972.76000023</v>
      </c>
      <c r="H166" s="82">
        <f t="shared" si="33"/>
        <v>948035782.07040036</v>
      </c>
    </row>
    <row r="167" spans="2:8">
      <c r="B167" s="60"/>
      <c r="C167" s="24"/>
      <c r="D167" s="61"/>
      <c r="E167" s="61"/>
      <c r="F167" s="61"/>
      <c r="G167" s="61"/>
      <c r="H167" s="61"/>
    </row>
    <row r="168" spans="2:8" ht="13.5" thickBot="1">
      <c r="B168" s="51" t="s">
        <v>42</v>
      </c>
      <c r="E168" s="14">
        <v>4.5</v>
      </c>
    </row>
    <row r="169" spans="2:8">
      <c r="B169" s="74" t="s">
        <v>26</v>
      </c>
      <c r="C169" s="86"/>
      <c r="D169" s="55" t="s">
        <v>9</v>
      </c>
      <c r="E169" s="55" t="s">
        <v>10</v>
      </c>
      <c r="F169" s="55" t="s">
        <v>11</v>
      </c>
      <c r="G169" s="55" t="s">
        <v>12</v>
      </c>
      <c r="H169" s="55" t="s">
        <v>13</v>
      </c>
    </row>
    <row r="170" spans="2:8">
      <c r="B170" s="87" t="s">
        <v>5</v>
      </c>
      <c r="C170" s="61"/>
      <c r="D170" s="27">
        <f>(C49*($E$168/100))</f>
        <v>114750000</v>
      </c>
      <c r="E170" s="27">
        <f>(D49*($E$168/100))</f>
        <v>118766249.99999997</v>
      </c>
      <c r="F170" s="27">
        <f t="shared" ref="F170:H170" si="34">(E49*($E$168/100))</f>
        <v>122923068.74999996</v>
      </c>
      <c r="G170" s="27">
        <f t="shared" si="34"/>
        <v>127225376.15624996</v>
      </c>
      <c r="H170" s="27">
        <f t="shared" si="34"/>
        <v>131678264.32171868</v>
      </c>
    </row>
    <row r="171" spans="2:8">
      <c r="B171" s="87" t="s">
        <v>6</v>
      </c>
      <c r="C171" s="61"/>
      <c r="D171" s="27">
        <f t="shared" ref="D171:H173" si="35">(C50*($E$168/100))</f>
        <v>137700000</v>
      </c>
      <c r="E171" s="27">
        <f t="shared" si="35"/>
        <v>141142499.99999997</v>
      </c>
      <c r="F171" s="27">
        <f t="shared" si="35"/>
        <v>144671062.49999994</v>
      </c>
      <c r="G171" s="27">
        <f t="shared" si="35"/>
        <v>148287839.06249994</v>
      </c>
      <c r="H171" s="27">
        <f t="shared" si="35"/>
        <v>151995035.03906244</v>
      </c>
    </row>
    <row r="172" spans="2:8">
      <c r="B172" s="87" t="s">
        <v>7</v>
      </c>
      <c r="C172" s="61"/>
      <c r="D172" s="27">
        <f t="shared" si="35"/>
        <v>255150000</v>
      </c>
      <c r="E172" s="27">
        <f t="shared" si="35"/>
        <v>266631750</v>
      </c>
      <c r="F172" s="27">
        <f t="shared" si="35"/>
        <v>278630178.75</v>
      </c>
      <c r="G172" s="27">
        <f t="shared" si="35"/>
        <v>291168536.79374993</v>
      </c>
      <c r="H172" s="27">
        <f t="shared" si="35"/>
        <v>304271120.94946867</v>
      </c>
    </row>
    <row r="173" spans="2:8" ht="13.5" thickBot="1">
      <c r="B173" s="87" t="s">
        <v>8</v>
      </c>
      <c r="C173" s="61"/>
      <c r="D173" s="27">
        <f t="shared" si="35"/>
        <v>158760000</v>
      </c>
      <c r="E173" s="27">
        <f t="shared" si="35"/>
        <v>168285600</v>
      </c>
      <c r="F173" s="27">
        <f t="shared" si="35"/>
        <v>178382736</v>
      </c>
      <c r="G173" s="27">
        <f t="shared" si="35"/>
        <v>189085700.16000003</v>
      </c>
      <c r="H173" s="27">
        <f t="shared" si="35"/>
        <v>200430842.16960004</v>
      </c>
    </row>
    <row r="174" spans="2:8" ht="13.5" thickBot="1">
      <c r="B174" s="98" t="s">
        <v>51</v>
      </c>
      <c r="C174" s="104"/>
      <c r="D174" s="81">
        <f>SUM(D170:D173)</f>
        <v>666360000</v>
      </c>
      <c r="E174" s="81">
        <f t="shared" ref="E174:H174" si="36">SUM(E170:E173)</f>
        <v>694826100</v>
      </c>
      <c r="F174" s="81">
        <f t="shared" si="36"/>
        <v>724607045.99999988</v>
      </c>
      <c r="G174" s="81">
        <f t="shared" si="36"/>
        <v>755767452.1724999</v>
      </c>
      <c r="H174" s="82">
        <f t="shared" si="36"/>
        <v>788375262.47984982</v>
      </c>
    </row>
    <row r="176" spans="2:8">
      <c r="B176" s="59" t="s">
        <v>85</v>
      </c>
      <c r="C176" s="59"/>
      <c r="H176" s="99">
        <v>15</v>
      </c>
    </row>
    <row r="177" spans="2:9" ht="13.5" thickBot="1">
      <c r="D177" s="55" t="s">
        <v>33</v>
      </c>
      <c r="E177" s="55" t="s">
        <v>44</v>
      </c>
      <c r="F177" s="55" t="s">
        <v>45</v>
      </c>
      <c r="G177" s="55" t="s">
        <v>46</v>
      </c>
      <c r="H177" s="55" t="s">
        <v>49</v>
      </c>
      <c r="I177" s="55" t="s">
        <v>47</v>
      </c>
    </row>
    <row r="178" spans="2:9">
      <c r="B178" s="100" t="s">
        <v>21</v>
      </c>
      <c r="C178" s="86"/>
      <c r="D178" s="27">
        <v>1</v>
      </c>
      <c r="E178" s="27">
        <v>150000000</v>
      </c>
      <c r="F178" s="27">
        <f>(E178*D178)</f>
        <v>150000000</v>
      </c>
      <c r="G178" s="27">
        <v>15</v>
      </c>
      <c r="H178" s="27">
        <f>(F178*($H$176/100))</f>
        <v>22500000</v>
      </c>
      <c r="I178" s="27">
        <f>(F178-H178)/G178</f>
        <v>8500000</v>
      </c>
    </row>
    <row r="179" spans="2:9">
      <c r="B179" s="101" t="s">
        <v>22</v>
      </c>
      <c r="C179" s="24"/>
      <c r="D179" s="27">
        <v>1</v>
      </c>
      <c r="E179" s="27">
        <v>250000000</v>
      </c>
      <c r="F179" s="27">
        <f t="shared" ref="F179:F183" si="37">(E179*D179)</f>
        <v>250000000</v>
      </c>
      <c r="G179" s="27">
        <v>15</v>
      </c>
      <c r="H179" s="27">
        <f t="shared" ref="H179:H183" si="38">(F179*($H$176/100))</f>
        <v>37500000</v>
      </c>
      <c r="I179" s="27">
        <f t="shared" ref="I179:I183" si="39">(F179-H179)/G179</f>
        <v>14166666.666666666</v>
      </c>
    </row>
    <row r="180" spans="2:9">
      <c r="B180" s="101" t="s">
        <v>23</v>
      </c>
      <c r="C180" s="24"/>
      <c r="D180" s="27">
        <v>1</v>
      </c>
      <c r="E180" s="27">
        <v>130000000</v>
      </c>
      <c r="F180" s="27">
        <f t="shared" si="37"/>
        <v>130000000</v>
      </c>
      <c r="G180" s="27">
        <v>15</v>
      </c>
      <c r="H180" s="27">
        <f t="shared" si="38"/>
        <v>19500000</v>
      </c>
      <c r="I180" s="27">
        <f t="shared" si="39"/>
        <v>7366666.666666667</v>
      </c>
    </row>
    <row r="181" spans="2:9">
      <c r="B181" s="101" t="s">
        <v>24</v>
      </c>
      <c r="C181" s="24"/>
      <c r="D181" s="27">
        <v>1</v>
      </c>
      <c r="E181" s="27">
        <v>180000000</v>
      </c>
      <c r="F181" s="27">
        <f t="shared" si="37"/>
        <v>180000000</v>
      </c>
      <c r="G181" s="27">
        <v>15</v>
      </c>
      <c r="H181" s="27">
        <f t="shared" si="38"/>
        <v>27000000</v>
      </c>
      <c r="I181" s="27">
        <f t="shared" si="39"/>
        <v>10200000</v>
      </c>
    </row>
    <row r="182" spans="2:9">
      <c r="B182" s="101" t="s">
        <v>25</v>
      </c>
      <c r="C182" s="24"/>
      <c r="D182" s="27">
        <v>1</v>
      </c>
      <c r="E182" s="27">
        <v>90000000</v>
      </c>
      <c r="F182" s="27">
        <f t="shared" si="37"/>
        <v>90000000</v>
      </c>
      <c r="G182" s="27">
        <v>15</v>
      </c>
      <c r="H182" s="27">
        <f t="shared" si="38"/>
        <v>13500000</v>
      </c>
      <c r="I182" s="27">
        <f t="shared" si="39"/>
        <v>5100000</v>
      </c>
    </row>
    <row r="183" spans="2:9" ht="13.5" thickBot="1">
      <c r="B183" s="107" t="s">
        <v>43</v>
      </c>
      <c r="C183" s="149"/>
      <c r="D183" s="27">
        <v>1</v>
      </c>
      <c r="E183" s="27">
        <v>350000000</v>
      </c>
      <c r="F183" s="27">
        <f t="shared" si="37"/>
        <v>350000000</v>
      </c>
      <c r="G183" s="27">
        <v>50</v>
      </c>
      <c r="H183" s="27">
        <f t="shared" si="38"/>
        <v>52500000</v>
      </c>
      <c r="I183" s="27">
        <f t="shared" si="39"/>
        <v>5950000</v>
      </c>
    </row>
    <row r="184" spans="2:9">
      <c r="B184" s="112"/>
      <c r="C184" s="24"/>
      <c r="D184" s="61"/>
      <c r="E184" s="61"/>
      <c r="F184" s="61"/>
      <c r="G184" s="61"/>
      <c r="H184" s="61"/>
      <c r="I184" s="61"/>
    </row>
    <row r="185" spans="2:9" ht="15.75" thickBot="1">
      <c r="B185" s="112" t="s">
        <v>138</v>
      </c>
      <c r="C185"/>
      <c r="D185" s="55" t="s">
        <v>9</v>
      </c>
      <c r="E185" s="55" t="s">
        <v>10</v>
      </c>
      <c r="F185" s="55" t="s">
        <v>11</v>
      </c>
      <c r="G185" s="55" t="s">
        <v>12</v>
      </c>
      <c r="H185" s="55" t="s">
        <v>13</v>
      </c>
      <c r="I185" s="152" t="s">
        <v>84</v>
      </c>
    </row>
    <row r="186" spans="2:9">
      <c r="B186" s="100" t="s">
        <v>21</v>
      </c>
      <c r="C186" s="86"/>
      <c r="D186" s="15">
        <v>4</v>
      </c>
      <c r="E186" s="15"/>
      <c r="F186" s="15"/>
      <c r="G186" s="15">
        <v>1</v>
      </c>
      <c r="H186" s="15"/>
      <c r="I186" s="15">
        <f>SUM(D186:H186)</f>
        <v>5</v>
      </c>
    </row>
    <row r="187" spans="2:9">
      <c r="B187" s="101" t="s">
        <v>22</v>
      </c>
      <c r="C187" s="24"/>
      <c r="D187" s="15">
        <v>4</v>
      </c>
      <c r="E187" s="15"/>
      <c r="F187" s="15"/>
      <c r="G187" s="15"/>
      <c r="H187" s="15">
        <v>1</v>
      </c>
      <c r="I187" s="15">
        <f t="shared" ref="I187:I190" si="40">SUM(D187:H187)</f>
        <v>5</v>
      </c>
    </row>
    <row r="188" spans="2:9">
      <c r="B188" s="101" t="s">
        <v>23</v>
      </c>
      <c r="C188" s="24"/>
      <c r="D188" s="15">
        <v>4</v>
      </c>
      <c r="E188" s="15"/>
      <c r="F188" s="15">
        <v>1</v>
      </c>
      <c r="G188" s="15"/>
      <c r="H188" s="15"/>
      <c r="I188" s="15">
        <f t="shared" si="40"/>
        <v>5</v>
      </c>
    </row>
    <row r="189" spans="2:9">
      <c r="B189" s="101" t="s">
        <v>24</v>
      </c>
      <c r="C189" s="24"/>
      <c r="D189" s="15">
        <v>5</v>
      </c>
      <c r="E189" s="15"/>
      <c r="F189" s="15"/>
      <c r="G189" s="15"/>
      <c r="H189" s="15"/>
      <c r="I189" s="15">
        <f t="shared" si="40"/>
        <v>5</v>
      </c>
    </row>
    <row r="190" spans="2:9">
      <c r="B190" s="101" t="s">
        <v>25</v>
      </c>
      <c r="C190" s="24"/>
      <c r="D190" s="15">
        <v>4</v>
      </c>
      <c r="E190" s="15">
        <v>1</v>
      </c>
      <c r="F190" s="15"/>
      <c r="G190" s="15"/>
      <c r="H190" s="15"/>
      <c r="I190" s="15">
        <f t="shared" si="40"/>
        <v>5</v>
      </c>
    </row>
    <row r="191" spans="2:9" ht="13.5" thickBot="1">
      <c r="B191" s="107" t="s">
        <v>43</v>
      </c>
      <c r="C191" s="149"/>
      <c r="D191" s="15">
        <v>1</v>
      </c>
      <c r="E191" s="15"/>
      <c r="F191" s="15"/>
      <c r="G191" s="15"/>
      <c r="H191" s="15"/>
      <c r="I191" s="15"/>
    </row>
    <row r="192" spans="2:9">
      <c r="B192" s="112"/>
      <c r="C192" s="24"/>
      <c r="D192" s="24"/>
      <c r="E192" s="24"/>
      <c r="F192" s="24"/>
      <c r="G192" s="24"/>
      <c r="H192" s="24"/>
    </row>
    <row r="193" spans="2:8" ht="13.5" thickBot="1">
      <c r="B193" s="112" t="s">
        <v>139</v>
      </c>
      <c r="C193" s="24"/>
      <c r="D193" s="55" t="s">
        <v>9</v>
      </c>
      <c r="E193" s="55" t="s">
        <v>10</v>
      </c>
      <c r="F193" s="55" t="s">
        <v>11</v>
      </c>
      <c r="G193" s="55" t="s">
        <v>12</v>
      </c>
      <c r="H193" s="55" t="s">
        <v>13</v>
      </c>
    </row>
    <row r="194" spans="2:8">
      <c r="B194" s="100" t="s">
        <v>21</v>
      </c>
      <c r="C194" s="86"/>
      <c r="D194" s="27">
        <f>D186*I178</f>
        <v>34000000</v>
      </c>
      <c r="E194" s="27"/>
      <c r="F194" s="27"/>
      <c r="G194" s="27">
        <f>G186*I178</f>
        <v>8500000</v>
      </c>
      <c r="H194" s="27"/>
    </row>
    <row r="195" spans="2:8">
      <c r="B195" s="101" t="s">
        <v>22</v>
      </c>
      <c r="C195" s="24"/>
      <c r="D195" s="27">
        <f>D187*I179</f>
        <v>56666666.666666664</v>
      </c>
      <c r="E195" s="27"/>
      <c r="F195" s="27"/>
      <c r="G195" s="27"/>
      <c r="H195" s="27">
        <f>H187*I179</f>
        <v>14166666.666666666</v>
      </c>
    </row>
    <row r="196" spans="2:8">
      <c r="B196" s="101" t="s">
        <v>23</v>
      </c>
      <c r="C196" s="24"/>
      <c r="D196" s="27">
        <f>D188*I180</f>
        <v>29466666.666666668</v>
      </c>
      <c r="E196" s="27"/>
      <c r="F196" s="27">
        <f>F188*I180</f>
        <v>7366666.666666667</v>
      </c>
      <c r="G196" s="27"/>
      <c r="H196" s="27"/>
    </row>
    <row r="197" spans="2:8">
      <c r="B197" s="101" t="s">
        <v>24</v>
      </c>
      <c r="C197" s="24"/>
      <c r="D197" s="27">
        <f>D189*I181</f>
        <v>51000000</v>
      </c>
      <c r="E197" s="27"/>
      <c r="F197" s="27"/>
      <c r="G197" s="27"/>
      <c r="H197" s="27"/>
    </row>
    <row r="198" spans="2:8">
      <c r="B198" s="101" t="s">
        <v>25</v>
      </c>
      <c r="C198" s="24"/>
      <c r="D198" s="27">
        <f>D190*I182</f>
        <v>20400000</v>
      </c>
      <c r="E198" s="27">
        <f>I182*E190</f>
        <v>5100000</v>
      </c>
      <c r="F198" s="27"/>
      <c r="G198" s="27"/>
      <c r="H198" s="27"/>
    </row>
    <row r="199" spans="2:8" ht="13.5" thickBot="1">
      <c r="B199" s="107" t="s">
        <v>43</v>
      </c>
      <c r="C199" s="149"/>
      <c r="D199" s="27">
        <f>D191*I183</f>
        <v>5950000</v>
      </c>
      <c r="E199" s="15"/>
      <c r="F199" s="15"/>
      <c r="G199" s="15"/>
      <c r="H199" s="15"/>
    </row>
    <row r="200" spans="2:8" ht="15.75" thickBot="1">
      <c r="B200" s="88" t="s">
        <v>51</v>
      </c>
      <c r="C200" s="3"/>
      <c r="D200" s="105">
        <f>SUM(D194:D199)</f>
        <v>197483333.33333331</v>
      </c>
      <c r="E200" s="150">
        <f>SUM(E194:E198)+D200</f>
        <v>202583333.33333331</v>
      </c>
      <c r="F200" s="150">
        <f>SUM(F194:F198)+E200</f>
        <v>209949999.99999997</v>
      </c>
      <c r="G200" s="150">
        <f>SUM(G194:G198)+F200</f>
        <v>218449999.99999997</v>
      </c>
      <c r="H200" s="151">
        <f>SUM(H194:H198)+G200</f>
        <v>232616666.66666663</v>
      </c>
    </row>
    <row r="201" spans="2:8" ht="15">
      <c r="B201" s="112"/>
      <c r="C201" s="2"/>
      <c r="D201" s="61"/>
      <c r="E201" s="61"/>
      <c r="F201" s="61"/>
      <c r="G201" s="61"/>
      <c r="H201" s="61"/>
    </row>
    <row r="202" spans="2:8" ht="15">
      <c r="B202" s="112"/>
      <c r="C202" s="2"/>
      <c r="D202" s="61"/>
      <c r="E202" s="61"/>
      <c r="F202" s="61"/>
      <c r="G202" s="61"/>
      <c r="H202" s="61"/>
    </row>
    <row r="203" spans="2:8" ht="15.75" thickBot="1">
      <c r="B203" s="112" t="s">
        <v>140</v>
      </c>
      <c r="C203" s="2"/>
      <c r="D203" s="55" t="s">
        <v>9</v>
      </c>
      <c r="E203" s="55" t="s">
        <v>10</v>
      </c>
      <c r="F203" s="55" t="s">
        <v>11</v>
      </c>
      <c r="G203" s="55" t="s">
        <v>12</v>
      </c>
      <c r="H203" s="55" t="s">
        <v>13</v>
      </c>
    </row>
    <row r="204" spans="2:8" ht="15">
      <c r="B204" s="100" t="s">
        <v>21</v>
      </c>
      <c r="C204" s="1"/>
      <c r="D204" s="27">
        <v>10</v>
      </c>
      <c r="E204" s="27"/>
      <c r="F204" s="27"/>
      <c r="G204" s="27">
        <v>13</v>
      </c>
      <c r="H204" s="27"/>
    </row>
    <row r="205" spans="2:8" ht="15">
      <c r="B205" s="101" t="s">
        <v>22</v>
      </c>
      <c r="C205" s="2"/>
      <c r="D205" s="27">
        <v>10</v>
      </c>
      <c r="E205" s="27"/>
      <c r="F205" s="27"/>
      <c r="G205" s="27"/>
      <c r="H205" s="27">
        <v>14</v>
      </c>
    </row>
    <row r="206" spans="2:8" ht="15">
      <c r="B206" s="101" t="s">
        <v>23</v>
      </c>
      <c r="C206" s="2"/>
      <c r="D206" s="27">
        <v>10</v>
      </c>
      <c r="E206" s="27"/>
      <c r="F206" s="27">
        <v>12</v>
      </c>
      <c r="G206" s="27"/>
      <c r="H206" s="27"/>
    </row>
    <row r="207" spans="2:8" ht="15">
      <c r="B207" s="101" t="s">
        <v>24</v>
      </c>
      <c r="C207" s="2"/>
      <c r="D207" s="27">
        <v>10</v>
      </c>
      <c r="E207" s="27"/>
      <c r="F207" s="27"/>
      <c r="G207" s="27"/>
      <c r="H207" s="27"/>
    </row>
    <row r="208" spans="2:8" ht="15">
      <c r="B208" s="101" t="s">
        <v>25</v>
      </c>
      <c r="C208" s="2"/>
      <c r="D208" s="27">
        <v>10</v>
      </c>
      <c r="E208" s="27">
        <v>11</v>
      </c>
      <c r="F208" s="27"/>
      <c r="G208" s="27"/>
      <c r="H208" s="27"/>
    </row>
    <row r="209" spans="2:15" ht="15.75" thickBot="1">
      <c r="B209" s="107" t="s">
        <v>43</v>
      </c>
      <c r="C209" s="153"/>
      <c r="D209" s="27">
        <v>40</v>
      </c>
      <c r="E209" s="15"/>
      <c r="F209" s="15"/>
      <c r="G209" s="15"/>
      <c r="H209" s="15"/>
    </row>
    <row r="210" spans="2:15" ht="15">
      <c r="B210"/>
      <c r="C210" s="2"/>
      <c r="D210" s="61"/>
      <c r="E210" s="61"/>
      <c r="F210" s="61"/>
      <c r="G210" s="61"/>
      <c r="H210" s="61"/>
    </row>
    <row r="211" spans="2:15" ht="15">
      <c r="B211"/>
      <c r="C211"/>
      <c r="D211"/>
      <c r="E211"/>
      <c r="F211"/>
    </row>
    <row r="212" spans="2:15" ht="15.75" thickBot="1">
      <c r="B212" s="112" t="s">
        <v>141</v>
      </c>
      <c r="C212" s="2"/>
      <c r="D212" s="55" t="s">
        <v>9</v>
      </c>
      <c r="E212" s="55" t="s">
        <v>10</v>
      </c>
      <c r="F212" s="55" t="s">
        <v>11</v>
      </c>
      <c r="G212" s="55" t="s">
        <v>12</v>
      </c>
      <c r="H212" s="55" t="s">
        <v>13</v>
      </c>
      <c r="J212" s="97"/>
      <c r="K212" s="97"/>
      <c r="L212" s="97"/>
      <c r="M212" s="97"/>
      <c r="N212" s="97"/>
      <c r="O212" s="97"/>
    </row>
    <row r="213" spans="2:15" ht="15">
      <c r="B213" s="100" t="s">
        <v>21</v>
      </c>
      <c r="C213" s="1"/>
      <c r="D213" s="27">
        <f>D204*I178*D186</f>
        <v>340000000</v>
      </c>
      <c r="E213" s="27">
        <f>E204*E186*I178</f>
        <v>0</v>
      </c>
      <c r="F213" s="27">
        <f>F204*I178*F186</f>
        <v>0</v>
      </c>
      <c r="G213" s="27">
        <f>G204*I178*G186</f>
        <v>110500000</v>
      </c>
      <c r="H213" s="27">
        <f>H204*H186*I178</f>
        <v>0</v>
      </c>
      <c r="J213" s="97"/>
      <c r="K213" s="97"/>
      <c r="L213" s="97"/>
      <c r="M213" s="97"/>
      <c r="N213" s="97"/>
      <c r="O213" s="97"/>
    </row>
    <row r="214" spans="2:15" ht="15">
      <c r="B214" s="101" t="s">
        <v>22</v>
      </c>
      <c r="C214" s="2"/>
      <c r="D214" s="27">
        <f>D205*I179*D187</f>
        <v>566666666.66666663</v>
      </c>
      <c r="E214" s="27">
        <f>E205*E187*I179</f>
        <v>0</v>
      </c>
      <c r="F214" s="27">
        <f>F205*I179*F187</f>
        <v>0</v>
      </c>
      <c r="G214" s="27">
        <f>G205*I179*G187</f>
        <v>0</v>
      </c>
      <c r="H214" s="27">
        <f>H205*H187*I179</f>
        <v>198333333.33333331</v>
      </c>
      <c r="J214" s="97"/>
      <c r="K214" s="97"/>
      <c r="L214" s="97"/>
      <c r="M214" s="97"/>
      <c r="N214" s="97"/>
      <c r="O214" s="97"/>
    </row>
    <row r="215" spans="2:15" ht="15">
      <c r="B215" s="101" t="s">
        <v>23</v>
      </c>
      <c r="C215" s="2"/>
      <c r="D215" s="27">
        <f>D206*I180*D188</f>
        <v>294666666.66666669</v>
      </c>
      <c r="E215" s="27">
        <f>E206*E188*I180</f>
        <v>0</v>
      </c>
      <c r="F215" s="27">
        <f>F206*I180*F188</f>
        <v>88400000</v>
      </c>
      <c r="G215" s="27">
        <f>G206*I180*G188</f>
        <v>0</v>
      </c>
      <c r="H215" s="27">
        <f>H206*H188*I180</f>
        <v>0</v>
      </c>
      <c r="J215" s="97"/>
      <c r="K215" s="97"/>
      <c r="L215" s="97"/>
      <c r="M215" s="97"/>
      <c r="N215" s="97"/>
      <c r="O215" s="97"/>
    </row>
    <row r="216" spans="2:15" ht="15">
      <c r="B216" s="101" t="s">
        <v>24</v>
      </c>
      <c r="C216" s="2"/>
      <c r="D216" s="27">
        <f>D207*I181*D189</f>
        <v>510000000</v>
      </c>
      <c r="E216" s="27">
        <f>E207*E189*I181</f>
        <v>0</v>
      </c>
      <c r="F216" s="27">
        <f>F207*I181*F189</f>
        <v>0</v>
      </c>
      <c r="G216" s="27">
        <f>G207*I181*G189</f>
        <v>0</v>
      </c>
      <c r="H216" s="27">
        <f>H207*H189*I181</f>
        <v>0</v>
      </c>
      <c r="J216" s="97"/>
      <c r="K216" s="97"/>
      <c r="L216" s="97"/>
      <c r="M216" s="97"/>
      <c r="N216" s="97"/>
      <c r="O216" s="97"/>
    </row>
    <row r="217" spans="2:15" ht="15">
      <c r="B217" s="101" t="s">
        <v>25</v>
      </c>
      <c r="C217" s="2"/>
      <c r="D217" s="27">
        <f>D208*I182*D190</f>
        <v>204000000</v>
      </c>
      <c r="E217" s="27">
        <f>E208*E190*I182</f>
        <v>56100000</v>
      </c>
      <c r="F217" s="27">
        <f>F208*I182*F190</f>
        <v>0</v>
      </c>
      <c r="G217" s="27">
        <f>G208*I182*G190</f>
        <v>0</v>
      </c>
      <c r="H217" s="27">
        <f>H208*H190*I182</f>
        <v>0</v>
      </c>
      <c r="J217" s="97"/>
      <c r="K217" s="97"/>
      <c r="L217" s="97"/>
      <c r="M217" s="97"/>
      <c r="N217" s="97"/>
      <c r="O217" s="97"/>
    </row>
    <row r="218" spans="2:15" ht="15.75" thickBot="1">
      <c r="B218" s="102" t="s">
        <v>43</v>
      </c>
      <c r="C218" s="2"/>
      <c r="D218" s="79">
        <f>D209*D191*I183</f>
        <v>238000000</v>
      </c>
      <c r="E218" s="79">
        <f>E209*E191*J183</f>
        <v>0</v>
      </c>
      <c r="F218" s="79">
        <f>F209*F191*D191</f>
        <v>0</v>
      </c>
      <c r="G218" s="79">
        <f>G209*G191*E191</f>
        <v>0</v>
      </c>
      <c r="H218" s="79">
        <f>H209*H191*F191</f>
        <v>0</v>
      </c>
      <c r="J218" s="97"/>
      <c r="K218" s="97"/>
      <c r="L218" s="97"/>
      <c r="M218" s="97"/>
      <c r="N218" s="97"/>
      <c r="O218" s="97"/>
    </row>
    <row r="219" spans="2:15" ht="15.75" thickBot="1">
      <c r="B219" s="154" t="s">
        <v>51</v>
      </c>
      <c r="C219" s="3"/>
      <c r="D219" s="155">
        <f>SUM(D213:D218)</f>
        <v>2153333333.333333</v>
      </c>
      <c r="E219" s="111">
        <f>SUM(E213:E218)</f>
        <v>56100000</v>
      </c>
      <c r="F219" s="111">
        <f>SUM(F213:F218)</f>
        <v>88400000</v>
      </c>
      <c r="G219" s="111">
        <f>SUM(G213:G218)</f>
        <v>110500000</v>
      </c>
      <c r="H219" s="156">
        <f>SUM(H213:H217)</f>
        <v>198333333.33333331</v>
      </c>
      <c r="I219" s="157">
        <f>SUM(D219:H219)</f>
        <v>2606666666.6666665</v>
      </c>
      <c r="J219" s="97"/>
      <c r="K219" s="97"/>
      <c r="L219" s="97"/>
      <c r="M219" s="97"/>
      <c r="N219" s="97"/>
      <c r="O219" s="97"/>
    </row>
    <row r="220" spans="2:15" ht="15">
      <c r="B220"/>
      <c r="C220"/>
      <c r="D220"/>
      <c r="E220"/>
      <c r="F220"/>
      <c r="I220" s="59" t="s">
        <v>52</v>
      </c>
      <c r="J220" s="97"/>
      <c r="K220" s="97"/>
      <c r="L220" s="97"/>
      <c r="M220" s="97"/>
      <c r="N220" s="97"/>
      <c r="O220" s="97"/>
    </row>
    <row r="221" spans="2:15" ht="15">
      <c r="B221"/>
      <c r="C221"/>
      <c r="D221"/>
      <c r="E221"/>
      <c r="F221"/>
      <c r="G221"/>
      <c r="H221"/>
      <c r="I221"/>
    </row>
    <row r="222" spans="2:15">
      <c r="B222" s="14" t="s">
        <v>50</v>
      </c>
    </row>
    <row r="223" spans="2:15" ht="13.5" thickBot="1">
      <c r="D223" s="108" t="s">
        <v>9</v>
      </c>
      <c r="E223" s="108" t="s">
        <v>10</v>
      </c>
      <c r="F223" s="108" t="s">
        <v>11</v>
      </c>
      <c r="G223" s="108" t="s">
        <v>12</v>
      </c>
      <c r="H223" s="108" t="s">
        <v>13</v>
      </c>
    </row>
    <row r="224" spans="2:15">
      <c r="B224" s="100" t="s">
        <v>21</v>
      </c>
      <c r="C224" s="86"/>
      <c r="D224" s="27">
        <f>E178*D186</f>
        <v>600000000</v>
      </c>
      <c r="E224" s="109">
        <f>$E$178*E186</f>
        <v>0</v>
      </c>
      <c r="F224" s="109">
        <f>$E178*F186</f>
        <v>0</v>
      </c>
      <c r="G224" s="109">
        <f>$E178*G186</f>
        <v>150000000</v>
      </c>
      <c r="H224" s="109">
        <f>$E178*H186</f>
        <v>0</v>
      </c>
    </row>
    <row r="225" spans="2:8">
      <c r="B225" s="101" t="s">
        <v>22</v>
      </c>
      <c r="C225" s="24"/>
      <c r="D225" s="27">
        <f>E179*D187</f>
        <v>1000000000</v>
      </c>
      <c r="E225" s="109">
        <f>E179*E187</f>
        <v>0</v>
      </c>
      <c r="F225" s="109">
        <f>$E179*F187</f>
        <v>0</v>
      </c>
      <c r="G225" s="109">
        <f>$E179*G187</f>
        <v>0</v>
      </c>
      <c r="H225" s="109">
        <f>$E179*H187</f>
        <v>250000000</v>
      </c>
    </row>
    <row r="226" spans="2:8">
      <c r="B226" s="101" t="s">
        <v>23</v>
      </c>
      <c r="C226" s="24"/>
      <c r="D226" s="27">
        <f>E180*D188</f>
        <v>520000000</v>
      </c>
      <c r="E226" s="109">
        <f>E180*E188</f>
        <v>0</v>
      </c>
      <c r="F226" s="109">
        <f>$E180*F188</f>
        <v>130000000</v>
      </c>
      <c r="G226" s="109">
        <f>$E180*G188</f>
        <v>0</v>
      </c>
      <c r="H226" s="109">
        <f>$E180*H188</f>
        <v>0</v>
      </c>
    </row>
    <row r="227" spans="2:8">
      <c r="B227" s="101" t="s">
        <v>24</v>
      </c>
      <c r="C227" s="24"/>
      <c r="D227" s="27">
        <f>E181*D189</f>
        <v>900000000</v>
      </c>
      <c r="E227" s="109">
        <f>E181*E189</f>
        <v>0</v>
      </c>
      <c r="F227" s="109">
        <f>$E181*F189</f>
        <v>0</v>
      </c>
      <c r="G227" s="109">
        <f>$E181*G189</f>
        <v>0</v>
      </c>
      <c r="H227" s="109">
        <f>$E181*H189</f>
        <v>0</v>
      </c>
    </row>
    <row r="228" spans="2:8">
      <c r="B228" s="101" t="s">
        <v>25</v>
      </c>
      <c r="C228" s="24"/>
      <c r="D228" s="27">
        <f>E182*D190</f>
        <v>360000000</v>
      </c>
      <c r="E228" s="109">
        <f>E182*E190</f>
        <v>90000000</v>
      </c>
      <c r="F228" s="109">
        <f>$E182*F190</f>
        <v>0</v>
      </c>
      <c r="G228" s="109">
        <f>$E182*G190</f>
        <v>0</v>
      </c>
      <c r="H228" s="109">
        <f>$E182*H190</f>
        <v>0</v>
      </c>
    </row>
    <row r="229" spans="2:8" ht="13.5" thickBot="1">
      <c r="B229" s="107" t="s">
        <v>43</v>
      </c>
      <c r="C229" s="24"/>
      <c r="D229" s="27">
        <f>E183*D191</f>
        <v>350000000</v>
      </c>
      <c r="E229" s="109">
        <f>E183*E191</f>
        <v>0</v>
      </c>
      <c r="F229" s="109">
        <f>$E183*F191</f>
        <v>0</v>
      </c>
      <c r="G229" s="109">
        <f>$E183*G191</f>
        <v>0</v>
      </c>
      <c r="H229" s="109">
        <f>$E183*H191</f>
        <v>0</v>
      </c>
    </row>
    <row r="230" spans="2:8" ht="13.5" thickBot="1">
      <c r="C230" s="110" t="s">
        <v>51</v>
      </c>
      <c r="D230" s="158">
        <f>SUM(D224:D229)</f>
        <v>3730000000</v>
      </c>
      <c r="E230" s="111">
        <f t="shared" ref="E230:H230" si="41">SUM(E224:E229)</f>
        <v>90000000</v>
      </c>
      <c r="F230" s="111">
        <f t="shared" si="41"/>
        <v>130000000</v>
      </c>
      <c r="G230" s="111">
        <f t="shared" si="41"/>
        <v>150000000</v>
      </c>
      <c r="H230" s="111">
        <f t="shared" si="41"/>
        <v>250000000</v>
      </c>
    </row>
    <row r="231" spans="2:8">
      <c r="D231" s="59" t="s">
        <v>48</v>
      </c>
    </row>
    <row r="233" spans="2:8">
      <c r="B233" s="14" t="s">
        <v>143</v>
      </c>
    </row>
    <row r="234" spans="2:8" ht="13.5" thickBot="1">
      <c r="D234" s="108" t="s">
        <v>9</v>
      </c>
      <c r="E234" s="108" t="s">
        <v>10</v>
      </c>
      <c r="F234" s="108" t="s">
        <v>11</v>
      </c>
      <c r="G234" s="108" t="s">
        <v>12</v>
      </c>
      <c r="H234" s="108" t="s">
        <v>13</v>
      </c>
    </row>
    <row r="235" spans="2:8">
      <c r="B235" s="100" t="s">
        <v>21</v>
      </c>
      <c r="C235" s="86"/>
      <c r="D235" s="27">
        <f>D224*($H$176/100)</f>
        <v>90000000</v>
      </c>
      <c r="E235" s="27">
        <f t="shared" ref="E235:H235" si="42">E224*($H$176/100)</f>
        <v>0</v>
      </c>
      <c r="F235" s="27">
        <f t="shared" si="42"/>
        <v>0</v>
      </c>
      <c r="G235" s="27">
        <f t="shared" si="42"/>
        <v>22500000</v>
      </c>
      <c r="H235" s="27">
        <f t="shared" si="42"/>
        <v>0</v>
      </c>
    </row>
    <row r="236" spans="2:8">
      <c r="B236" s="101" t="s">
        <v>22</v>
      </c>
      <c r="C236" s="24"/>
      <c r="D236" s="27">
        <f t="shared" ref="D236:H240" si="43">D225*($H$176/100)</f>
        <v>150000000</v>
      </c>
      <c r="E236" s="27">
        <f t="shared" si="43"/>
        <v>0</v>
      </c>
      <c r="F236" s="27">
        <f t="shared" si="43"/>
        <v>0</v>
      </c>
      <c r="G236" s="27">
        <f t="shared" si="43"/>
        <v>0</v>
      </c>
      <c r="H236" s="27">
        <f t="shared" si="43"/>
        <v>37500000</v>
      </c>
    </row>
    <row r="237" spans="2:8">
      <c r="B237" s="101" t="s">
        <v>23</v>
      </c>
      <c r="C237" s="24"/>
      <c r="D237" s="27">
        <f t="shared" si="43"/>
        <v>78000000</v>
      </c>
      <c r="E237" s="27">
        <f t="shared" si="43"/>
        <v>0</v>
      </c>
      <c r="F237" s="27">
        <f t="shared" si="43"/>
        <v>19500000</v>
      </c>
      <c r="G237" s="27">
        <f t="shared" si="43"/>
        <v>0</v>
      </c>
      <c r="H237" s="27">
        <f t="shared" si="43"/>
        <v>0</v>
      </c>
    </row>
    <row r="238" spans="2:8">
      <c r="B238" s="101" t="s">
        <v>24</v>
      </c>
      <c r="C238" s="24"/>
      <c r="D238" s="27">
        <f t="shared" si="43"/>
        <v>135000000</v>
      </c>
      <c r="E238" s="27">
        <f t="shared" si="43"/>
        <v>0</v>
      </c>
      <c r="F238" s="27">
        <f t="shared" si="43"/>
        <v>0</v>
      </c>
      <c r="G238" s="27">
        <f t="shared" si="43"/>
        <v>0</v>
      </c>
      <c r="H238" s="27">
        <f t="shared" si="43"/>
        <v>0</v>
      </c>
    </row>
    <row r="239" spans="2:8">
      <c r="B239" s="101" t="s">
        <v>25</v>
      </c>
      <c r="C239" s="24"/>
      <c r="D239" s="27">
        <f t="shared" si="43"/>
        <v>54000000</v>
      </c>
      <c r="E239" s="27">
        <f t="shared" si="43"/>
        <v>13500000</v>
      </c>
      <c r="F239" s="27">
        <f t="shared" si="43"/>
        <v>0</v>
      </c>
      <c r="G239" s="27">
        <f t="shared" si="43"/>
        <v>0</v>
      </c>
      <c r="H239" s="27">
        <f t="shared" si="43"/>
        <v>0</v>
      </c>
    </row>
    <row r="240" spans="2:8" ht="13.5" thickBot="1">
      <c r="B240" s="107" t="s">
        <v>43</v>
      </c>
      <c r="C240" s="24"/>
      <c r="D240" s="27">
        <f t="shared" si="43"/>
        <v>52500000</v>
      </c>
      <c r="E240" s="27">
        <f t="shared" si="43"/>
        <v>0</v>
      </c>
      <c r="F240" s="27">
        <f t="shared" si="43"/>
        <v>0</v>
      </c>
      <c r="G240" s="27">
        <f t="shared" si="43"/>
        <v>0</v>
      </c>
      <c r="H240" s="27">
        <f t="shared" si="43"/>
        <v>0</v>
      </c>
    </row>
    <row r="241" spans="2:9" ht="13.5" thickBot="1">
      <c r="C241" s="110" t="s">
        <v>51</v>
      </c>
      <c r="D241" s="111">
        <f>SUM(D235:D240)</f>
        <v>559500000</v>
      </c>
      <c r="E241" s="111">
        <f t="shared" ref="E241:H241" si="44">SUM(E235:E240)</f>
        <v>13500000</v>
      </c>
      <c r="F241" s="111">
        <f t="shared" si="44"/>
        <v>19500000</v>
      </c>
      <c r="G241" s="111">
        <f t="shared" si="44"/>
        <v>22500000</v>
      </c>
      <c r="H241" s="159">
        <f t="shared" si="44"/>
        <v>37500000</v>
      </c>
      <c r="I241" s="157">
        <f>SUM(D241:H241)</f>
        <v>652500000</v>
      </c>
    </row>
    <row r="242" spans="2:9">
      <c r="I242" s="14" t="s">
        <v>142</v>
      </c>
    </row>
    <row r="243" spans="2:9">
      <c r="C243" s="24"/>
      <c r="D243" s="61"/>
      <c r="E243" s="61"/>
      <c r="F243" s="61"/>
      <c r="G243" s="61"/>
      <c r="H243" s="61"/>
      <c r="I243" s="61"/>
    </row>
    <row r="244" spans="2:9">
      <c r="B244" s="14" t="s">
        <v>75</v>
      </c>
    </row>
    <row r="245" spans="2:9">
      <c r="B245" s="14" t="s">
        <v>76</v>
      </c>
      <c r="E245" s="14">
        <v>3</v>
      </c>
    </row>
    <row r="246" spans="2:9" ht="13.5" thickBot="1">
      <c r="B246" s="14" t="s">
        <v>74</v>
      </c>
      <c r="C246" s="14">
        <v>2</v>
      </c>
    </row>
    <row r="247" spans="2:9" ht="13.5" thickBot="1">
      <c r="B247" s="113" t="s">
        <v>78</v>
      </c>
      <c r="C247" s="114"/>
      <c r="D247" s="115" t="s">
        <v>9</v>
      </c>
      <c r="E247" s="115" t="s">
        <v>10</v>
      </c>
      <c r="F247" s="115" t="s">
        <v>11</v>
      </c>
      <c r="G247" s="115" t="s">
        <v>12</v>
      </c>
      <c r="H247" s="160" t="s">
        <v>13</v>
      </c>
      <c r="I247" s="162" t="s">
        <v>63</v>
      </c>
    </row>
    <row r="248" spans="2:9">
      <c r="B248" s="100" t="s">
        <v>53</v>
      </c>
      <c r="C248" s="75"/>
      <c r="D248" s="20">
        <f>$C$246*SUM(E97,E106,E115,E124)</f>
        <v>8</v>
      </c>
      <c r="E248" s="20">
        <f>$C$246*SUM(H97,H106,H115,H124)</f>
        <v>8</v>
      </c>
      <c r="F248" s="20">
        <f>$C$246*SUM(K97,K106,K115,K124)</f>
        <v>8</v>
      </c>
      <c r="G248" s="20">
        <f>$C$246*SUM(N97,N106,N115,N124)</f>
        <v>10</v>
      </c>
      <c r="H248" s="20">
        <f>$C$246*SUM(Q97,Q106,Q115,Q124)</f>
        <v>10</v>
      </c>
      <c r="I248" s="161">
        <v>290000</v>
      </c>
    </row>
    <row r="249" spans="2:9">
      <c r="B249" s="101" t="s">
        <v>54</v>
      </c>
      <c r="C249" s="77"/>
      <c r="D249" s="20">
        <f>$C$246*SUM(E98,E107,E116,E125)</f>
        <v>8</v>
      </c>
      <c r="E249" s="20">
        <f t="shared" ref="E249:E252" si="45">$C$246*SUM(H98,H107,H116,H125)</f>
        <v>8</v>
      </c>
      <c r="F249" s="20">
        <f t="shared" ref="F249:F252" si="46">$C$246*SUM(K98,K107,K116,K125)</f>
        <v>8</v>
      </c>
      <c r="G249" s="20">
        <f t="shared" ref="G249:G252" si="47">$C$246*SUM(N98,N107,N116,N125)</f>
        <v>8</v>
      </c>
      <c r="H249" s="20">
        <f>$C$246*SUM(Q98,Q107,Q116,Q125)</f>
        <v>10</v>
      </c>
      <c r="I249" s="27">
        <v>350000</v>
      </c>
    </row>
    <row r="250" spans="2:9">
      <c r="B250" s="101" t="s">
        <v>55</v>
      </c>
      <c r="C250" s="77"/>
      <c r="D250" s="20">
        <f>$C$246*SUM(E99,E108,E117,E126)</f>
        <v>8</v>
      </c>
      <c r="E250" s="20">
        <f t="shared" si="45"/>
        <v>8</v>
      </c>
      <c r="F250" s="20">
        <f t="shared" si="46"/>
        <v>10</v>
      </c>
      <c r="G250" s="20">
        <f t="shared" si="47"/>
        <v>10</v>
      </c>
      <c r="H250" s="20">
        <f>$C$246*SUM(Q99,Q108,Q117,Q126)</f>
        <v>10</v>
      </c>
      <c r="I250" s="27">
        <v>270000</v>
      </c>
    </row>
    <row r="251" spans="2:9">
      <c r="B251" s="101" t="s">
        <v>56</v>
      </c>
      <c r="C251" s="77"/>
      <c r="D251" s="20">
        <f>$C$246*SUM(E100,E109,E118,E127)</f>
        <v>10</v>
      </c>
      <c r="E251" s="20">
        <f t="shared" si="45"/>
        <v>10</v>
      </c>
      <c r="F251" s="20">
        <f t="shared" si="46"/>
        <v>10</v>
      </c>
      <c r="G251" s="20">
        <f t="shared" si="47"/>
        <v>10</v>
      </c>
      <c r="H251" s="20">
        <f>$C$246*SUM(Q100,Q109,Q118,Q127)</f>
        <v>10</v>
      </c>
      <c r="I251" s="27">
        <v>260000</v>
      </c>
    </row>
    <row r="252" spans="2:9">
      <c r="B252" s="101" t="s">
        <v>57</v>
      </c>
      <c r="C252" s="77"/>
      <c r="D252" s="20">
        <f>$C$246*SUM(E101,E110,E119,E128)</f>
        <v>8</v>
      </c>
      <c r="E252" s="20">
        <f t="shared" si="45"/>
        <v>10</v>
      </c>
      <c r="F252" s="20">
        <f t="shared" si="46"/>
        <v>10</v>
      </c>
      <c r="G252" s="20">
        <f t="shared" si="47"/>
        <v>10</v>
      </c>
      <c r="H252" s="20">
        <f>$C$246*SUM(Q101,Q110,Q119,Q128)</f>
        <v>10</v>
      </c>
      <c r="I252" s="27">
        <v>240000</v>
      </c>
    </row>
    <row r="253" spans="2:9">
      <c r="B253" s="101" t="s">
        <v>58</v>
      </c>
      <c r="C253" s="77"/>
      <c r="D253" s="116">
        <f>D254*$E$245</f>
        <v>24</v>
      </c>
      <c r="E253" s="116">
        <f t="shared" ref="E253:H253" si="48">E254*$E$245</f>
        <v>24</v>
      </c>
      <c r="F253" s="116">
        <f t="shared" si="48"/>
        <v>24</v>
      </c>
      <c r="G253" s="116">
        <f t="shared" si="48"/>
        <v>24</v>
      </c>
      <c r="H253" s="116">
        <f t="shared" si="48"/>
        <v>30</v>
      </c>
      <c r="I253" s="27">
        <v>190000</v>
      </c>
    </row>
    <row r="254" spans="2:9" ht="13.5" thickBot="1">
      <c r="B254" s="117" t="s">
        <v>59</v>
      </c>
      <c r="C254" s="106"/>
      <c r="D254" s="116">
        <f>$C$246*D150</f>
        <v>8</v>
      </c>
      <c r="E254" s="116">
        <f t="shared" ref="E254:H254" si="49">$C$246*E150</f>
        <v>8</v>
      </c>
      <c r="F254" s="116">
        <f t="shared" si="49"/>
        <v>8</v>
      </c>
      <c r="G254" s="116">
        <f t="shared" si="49"/>
        <v>8</v>
      </c>
      <c r="H254" s="116">
        <f t="shared" si="49"/>
        <v>10</v>
      </c>
      <c r="I254" s="27">
        <v>550000</v>
      </c>
    </row>
    <row r="255" spans="2:9">
      <c r="B255" s="58"/>
      <c r="C255" s="24"/>
      <c r="D255" s="24"/>
      <c r="E255" s="24"/>
      <c r="F255" s="24"/>
      <c r="G255" s="24"/>
      <c r="H255" s="24"/>
      <c r="I255" s="61"/>
    </row>
    <row r="256" spans="2:9">
      <c r="B256" s="112"/>
      <c r="D256" s="14">
        <v>12.5</v>
      </c>
    </row>
    <row r="257" spans="2:8" ht="13.5" thickBot="1">
      <c r="B257" s="113" t="s">
        <v>62</v>
      </c>
      <c r="C257" s="114"/>
      <c r="D257" s="115" t="s">
        <v>64</v>
      </c>
      <c r="E257" s="115" t="s">
        <v>65</v>
      </c>
      <c r="F257" s="115" t="s">
        <v>66</v>
      </c>
      <c r="G257" s="115" t="s">
        <v>67</v>
      </c>
      <c r="H257" s="115" t="s">
        <v>68</v>
      </c>
    </row>
    <row r="258" spans="2:8">
      <c r="B258" s="100" t="s">
        <v>53</v>
      </c>
      <c r="C258" s="75"/>
      <c r="D258" s="116">
        <f>I248*($D$256/100)</f>
        <v>36250</v>
      </c>
      <c r="E258" s="27">
        <f>(E$142*D258)/D$142</f>
        <v>36647.772342675831</v>
      </c>
      <c r="F258" s="27">
        <f t="shared" ref="F258" si="50">(F$142*E258)/E$142</f>
        <v>37178.135466243613</v>
      </c>
      <c r="G258" s="27">
        <f t="shared" ref="G258:H258" si="51">(G$142*F258)/F$142</f>
        <v>37575.907808919445</v>
      </c>
      <c r="H258" s="27">
        <f t="shared" si="51"/>
        <v>44338.037634408611</v>
      </c>
    </row>
    <row r="259" spans="2:8">
      <c r="B259" s="101" t="s">
        <v>54</v>
      </c>
      <c r="C259" s="77"/>
      <c r="D259" s="116">
        <f t="shared" ref="D259:D262" si="52">I249*($D$256/100)</f>
        <v>43750</v>
      </c>
      <c r="E259" s="27">
        <f t="shared" ref="E259:F263" si="53">(E$142*D259)/D$142</f>
        <v>44230.070068746696</v>
      </c>
      <c r="F259" s="27">
        <f t="shared" si="53"/>
        <v>44870.163493742293</v>
      </c>
      <c r="G259" s="27">
        <f t="shared" ref="G259:H259" si="54">(G$142*F259)/F$142</f>
        <v>45350.233562488989</v>
      </c>
      <c r="H259" s="27">
        <f t="shared" si="54"/>
        <v>53511.424731182808</v>
      </c>
    </row>
    <row r="260" spans="2:8">
      <c r="B260" s="101" t="s">
        <v>55</v>
      </c>
      <c r="C260" s="77"/>
      <c r="D260" s="116">
        <f t="shared" si="52"/>
        <v>33750</v>
      </c>
      <c r="E260" s="27">
        <f t="shared" si="53"/>
        <v>34120.339767318881</v>
      </c>
      <c r="F260" s="27">
        <f t="shared" si="53"/>
        <v>34614.126123744056</v>
      </c>
      <c r="G260" s="27">
        <f t="shared" ref="G260:H260" si="55">(G$142*F260)/F$142</f>
        <v>34984.465891062937</v>
      </c>
      <c r="H260" s="27">
        <f t="shared" si="55"/>
        <v>41280.241935483886</v>
      </c>
    </row>
    <row r="261" spans="2:8">
      <c r="B261" s="101" t="s">
        <v>56</v>
      </c>
      <c r="C261" s="77"/>
      <c r="D261" s="116">
        <f t="shared" si="52"/>
        <v>32500</v>
      </c>
      <c r="E261" s="27">
        <f t="shared" si="53"/>
        <v>32856.623479640402</v>
      </c>
      <c r="F261" s="27">
        <f t="shared" si="53"/>
        <v>33332.121452494277</v>
      </c>
      <c r="G261" s="27">
        <f t="shared" ref="G261:H261" si="56">(G$142*F261)/F$142</f>
        <v>33688.744932134679</v>
      </c>
      <c r="H261" s="27">
        <f t="shared" si="56"/>
        <v>39751.34408602152</v>
      </c>
    </row>
    <row r="262" spans="2:8" ht="13.5" thickBot="1">
      <c r="B262" s="117" t="s">
        <v>57</v>
      </c>
      <c r="C262" s="106"/>
      <c r="D262" s="118">
        <f t="shared" si="52"/>
        <v>30000</v>
      </c>
      <c r="E262" s="79">
        <f t="shared" si="53"/>
        <v>30329.190904283445</v>
      </c>
      <c r="F262" s="79">
        <f t="shared" si="53"/>
        <v>30768.112109994712</v>
      </c>
      <c r="G262" s="79">
        <f t="shared" ref="G262:H263" si="57">(G$142*F262)/F$142</f>
        <v>31097.303014278161</v>
      </c>
      <c r="H262" s="79">
        <f t="shared" si="57"/>
        <v>36693.54838709678</v>
      </c>
    </row>
    <row r="263" spans="2:8" ht="13.5" thickBot="1">
      <c r="D263" s="119">
        <f>SUM(D258:D262)</f>
        <v>176250</v>
      </c>
      <c r="E263" s="120">
        <f t="shared" si="53"/>
        <v>178183.99656266527</v>
      </c>
      <c r="F263" s="120">
        <f t="shared" si="53"/>
        <v>180762.65864621897</v>
      </c>
      <c r="G263" s="120">
        <f t="shared" si="57"/>
        <v>182696.65520888424</v>
      </c>
      <c r="H263" s="121">
        <f t="shared" si="57"/>
        <v>215574.59677419363</v>
      </c>
    </row>
    <row r="266" spans="2:8" ht="13.5" thickBot="1">
      <c r="B266" s="112" t="s">
        <v>60</v>
      </c>
      <c r="D266" s="115" t="s">
        <v>9</v>
      </c>
      <c r="E266" s="115" t="s">
        <v>10</v>
      </c>
      <c r="F266" s="115" t="s">
        <v>11</v>
      </c>
      <c r="G266" s="115" t="s">
        <v>12</v>
      </c>
      <c r="H266" s="115" t="s">
        <v>13</v>
      </c>
    </row>
    <row r="267" spans="2:8">
      <c r="B267" s="100" t="s">
        <v>53</v>
      </c>
      <c r="C267" s="86"/>
      <c r="D267" s="27">
        <f t="shared" ref="D267:H271" si="58">D248*($I248+D258)*12</f>
        <v>31320000</v>
      </c>
      <c r="E267" s="27">
        <f t="shared" si="58"/>
        <v>31358186.14489688</v>
      </c>
      <c r="F267" s="27">
        <f t="shared" si="58"/>
        <v>31409101.004759386</v>
      </c>
      <c r="G267" s="27">
        <f t="shared" si="58"/>
        <v>39309108.937070332</v>
      </c>
      <c r="H267" s="27">
        <f t="shared" si="58"/>
        <v>40120564.516129032</v>
      </c>
    </row>
    <row r="268" spans="2:8">
      <c r="B268" s="101" t="s">
        <v>54</v>
      </c>
      <c r="C268" s="24"/>
      <c r="D268" s="27">
        <f t="shared" si="58"/>
        <v>37800000</v>
      </c>
      <c r="E268" s="27">
        <f t="shared" si="58"/>
        <v>37846086.726599678</v>
      </c>
      <c r="F268" s="27">
        <f t="shared" si="58"/>
        <v>37907535.695399262</v>
      </c>
      <c r="G268" s="27">
        <f t="shared" si="58"/>
        <v>37953622.42199894</v>
      </c>
      <c r="H268" s="27">
        <f t="shared" si="58"/>
        <v>48421370.967741936</v>
      </c>
    </row>
    <row r="269" spans="2:8">
      <c r="B269" s="101" t="s">
        <v>55</v>
      </c>
      <c r="C269" s="24"/>
      <c r="D269" s="27">
        <f t="shared" si="58"/>
        <v>29160000</v>
      </c>
      <c r="E269" s="27">
        <f t="shared" si="58"/>
        <v>29195552.617662609</v>
      </c>
      <c r="F269" s="27">
        <f t="shared" si="58"/>
        <v>36553695.134849288</v>
      </c>
      <c r="G269" s="27">
        <f t="shared" si="58"/>
        <v>36598135.906927556</v>
      </c>
      <c r="H269" s="27">
        <f t="shared" si="58"/>
        <v>37353629.032258064</v>
      </c>
    </row>
    <row r="270" spans="2:8">
      <c r="B270" s="101" t="s">
        <v>56</v>
      </c>
      <c r="C270" s="24"/>
      <c r="D270" s="27">
        <f t="shared" si="58"/>
        <v>35100000</v>
      </c>
      <c r="E270" s="27">
        <f t="shared" si="58"/>
        <v>35142794.817556843</v>
      </c>
      <c r="F270" s="27">
        <f t="shared" si="58"/>
        <v>35199854.574299313</v>
      </c>
      <c r="G270" s="27">
        <f t="shared" si="58"/>
        <v>35242649.391856164</v>
      </c>
      <c r="H270" s="27">
        <f t="shared" si="58"/>
        <v>35970161.290322587</v>
      </c>
    </row>
    <row r="271" spans="2:8">
      <c r="B271" s="101" t="s">
        <v>57</v>
      </c>
      <c r="C271" s="24"/>
      <c r="D271" s="27">
        <f t="shared" si="58"/>
        <v>25920000</v>
      </c>
      <c r="E271" s="27">
        <f t="shared" si="58"/>
        <v>32439502.908514012</v>
      </c>
      <c r="F271" s="27">
        <f t="shared" si="58"/>
        <v>32492173.453199364</v>
      </c>
      <c r="G271" s="27">
        <f t="shared" si="58"/>
        <v>32531676.36171338</v>
      </c>
      <c r="H271" s="27">
        <f t="shared" si="58"/>
        <v>33203225.806451611</v>
      </c>
    </row>
    <row r="272" spans="2:8">
      <c r="B272" s="101" t="s">
        <v>58</v>
      </c>
      <c r="C272" s="24"/>
      <c r="D272" s="27">
        <f t="shared" ref="D272:H273" si="59">D253*$I253*12</f>
        <v>54720000</v>
      </c>
      <c r="E272" s="27">
        <f t="shared" si="59"/>
        <v>54720000</v>
      </c>
      <c r="F272" s="27">
        <f t="shared" si="59"/>
        <v>54720000</v>
      </c>
      <c r="G272" s="27">
        <f t="shared" si="59"/>
        <v>54720000</v>
      </c>
      <c r="H272" s="27">
        <f t="shared" si="59"/>
        <v>68400000</v>
      </c>
    </row>
    <row r="273" spans="2:8" ht="13.5" thickBot="1">
      <c r="B273" s="101" t="s">
        <v>59</v>
      </c>
      <c r="C273" s="24"/>
      <c r="D273" s="79">
        <f t="shared" si="59"/>
        <v>52800000</v>
      </c>
      <c r="E273" s="79">
        <f t="shared" si="59"/>
        <v>52800000</v>
      </c>
      <c r="F273" s="79">
        <f t="shared" si="59"/>
        <v>52800000</v>
      </c>
      <c r="G273" s="79">
        <f t="shared" si="59"/>
        <v>52800000</v>
      </c>
      <c r="H273" s="79">
        <f t="shared" si="59"/>
        <v>66000000</v>
      </c>
    </row>
    <row r="274" spans="2:8" ht="13.5" thickBot="1">
      <c r="B274" s="88" t="s">
        <v>61</v>
      </c>
      <c r="C274" s="89"/>
      <c r="D274" s="90">
        <f>SUM(D267:D273)</f>
        <v>266820000</v>
      </c>
      <c r="E274" s="90">
        <f>SUM(E267:E273)</f>
        <v>273502123.21522999</v>
      </c>
      <c r="F274" s="90">
        <f t="shared" ref="F274:H274" si="60">SUM(F267:F273)</f>
        <v>281082359.86250663</v>
      </c>
      <c r="G274" s="90">
        <f t="shared" si="60"/>
        <v>289155193.01956642</v>
      </c>
      <c r="H274" s="91">
        <f t="shared" si="60"/>
        <v>329468951.61290324</v>
      </c>
    </row>
    <row r="275" spans="2:8" ht="15">
      <c r="B275"/>
    </row>
    <row r="277" spans="2:8" ht="13.5" thickBot="1">
      <c r="B277" s="122" t="s">
        <v>79</v>
      </c>
      <c r="C277" s="15"/>
      <c r="D277" s="78">
        <v>25</v>
      </c>
      <c r="E277" s="78"/>
      <c r="F277" s="78"/>
      <c r="G277" s="78"/>
      <c r="H277" s="78"/>
    </row>
    <row r="278" spans="2:8" ht="15.75" thickBot="1">
      <c r="B278"/>
      <c r="C278"/>
      <c r="D278" s="163" t="s">
        <v>9</v>
      </c>
      <c r="E278" s="164" t="s">
        <v>10</v>
      </c>
      <c r="F278" s="164" t="s">
        <v>11</v>
      </c>
      <c r="G278" s="164" t="s">
        <v>12</v>
      </c>
      <c r="H278" s="166" t="s">
        <v>13</v>
      </c>
    </row>
    <row r="279" spans="2:8">
      <c r="B279" s="15" t="s">
        <v>80</v>
      </c>
      <c r="C279" s="15"/>
      <c r="D279" s="161">
        <f>D166</f>
        <v>670727458.91999984</v>
      </c>
      <c r="E279" s="161">
        <f t="shared" ref="E279:G279" si="61">E166</f>
        <v>624457974.81000006</v>
      </c>
      <c r="F279" s="161">
        <f t="shared" si="61"/>
        <v>584562273.33000004</v>
      </c>
      <c r="G279" s="161">
        <f t="shared" si="61"/>
        <v>531107972.76000023</v>
      </c>
      <c r="H279" s="161">
        <f>H166</f>
        <v>948035782.07040036</v>
      </c>
    </row>
    <row r="280" spans="2:8">
      <c r="B280" s="15" t="s">
        <v>81</v>
      </c>
      <c r="C280" s="15"/>
      <c r="D280" s="27">
        <f>D174</f>
        <v>666360000</v>
      </c>
      <c r="E280" s="27">
        <f t="shared" ref="E280:G280" si="62">E174</f>
        <v>694826100</v>
      </c>
      <c r="F280" s="27">
        <f t="shared" si="62"/>
        <v>724607045.99999988</v>
      </c>
      <c r="G280" s="27">
        <f t="shared" si="62"/>
        <v>755767452.1724999</v>
      </c>
      <c r="H280" s="27">
        <f>H174</f>
        <v>788375262.47984982</v>
      </c>
    </row>
    <row r="281" spans="2:8" ht="13.5" thickBot="1">
      <c r="B281" s="78" t="s">
        <v>82</v>
      </c>
      <c r="C281" s="78"/>
      <c r="D281" s="79">
        <f>D274</f>
        <v>266820000</v>
      </c>
      <c r="E281" s="79">
        <f t="shared" ref="E281:H281" si="63">E274</f>
        <v>273502123.21522999</v>
      </c>
      <c r="F281" s="79">
        <f t="shared" si="63"/>
        <v>281082359.86250663</v>
      </c>
      <c r="G281" s="79">
        <f t="shared" si="63"/>
        <v>289155193.01956642</v>
      </c>
      <c r="H281" s="79">
        <f t="shared" si="63"/>
        <v>329468951.61290324</v>
      </c>
    </row>
    <row r="282" spans="2:8" ht="13.5" thickBot="1">
      <c r="B282" s="163" t="s">
        <v>83</v>
      </c>
      <c r="C282" s="164"/>
      <c r="D282" s="158">
        <f>SUM(D279:D281)*($D$277/100)</f>
        <v>400976864.72999996</v>
      </c>
      <c r="E282" s="158">
        <f t="shared" ref="E282:H282" si="64">SUM(E279:E281)*($D$277/100)</f>
        <v>398196549.50630748</v>
      </c>
      <c r="F282" s="158">
        <f t="shared" si="64"/>
        <v>397562919.79812664</v>
      </c>
      <c r="G282" s="158">
        <f t="shared" si="64"/>
        <v>394007654.48801661</v>
      </c>
      <c r="H282" s="165">
        <f t="shared" si="64"/>
        <v>516469999.04078829</v>
      </c>
    </row>
    <row r="285" spans="2:8" ht="13.5" thickBot="1">
      <c r="B285" s="14" t="s">
        <v>112</v>
      </c>
    </row>
    <row r="286" spans="2:8">
      <c r="B286" s="74" t="s">
        <v>113</v>
      </c>
      <c r="C286" s="86"/>
      <c r="D286" s="15" t="s">
        <v>114</v>
      </c>
    </row>
    <row r="287" spans="2:8">
      <c r="B287" s="76" t="s">
        <v>115</v>
      </c>
      <c r="C287" s="24"/>
      <c r="D287" s="27">
        <f>C53</f>
        <v>14808000000</v>
      </c>
    </row>
    <row r="288" spans="2:8">
      <c r="B288" s="76" t="s">
        <v>116</v>
      </c>
      <c r="C288" s="24"/>
      <c r="D288" s="15">
        <v>30</v>
      </c>
    </row>
    <row r="289" spans="2:14">
      <c r="B289" s="76" t="s">
        <v>117</v>
      </c>
      <c r="C289" s="24"/>
      <c r="D289" s="27">
        <f>SUM(D287/D288)</f>
        <v>493600000</v>
      </c>
    </row>
    <row r="290" spans="2:14" ht="13.5" thickBot="1">
      <c r="B290" s="167" t="s">
        <v>118</v>
      </c>
      <c r="C290" s="149"/>
      <c r="D290" s="15">
        <v>3</v>
      </c>
    </row>
    <row r="292" spans="2:14" ht="13.5" thickBot="1">
      <c r="B292" s="14" t="s">
        <v>15</v>
      </c>
    </row>
    <row r="293" spans="2:14">
      <c r="C293" s="10" t="s">
        <v>119</v>
      </c>
      <c r="D293" s="11" t="s">
        <v>120</v>
      </c>
      <c r="E293" s="11" t="s">
        <v>121</v>
      </c>
      <c r="F293" s="11" t="s">
        <v>122</v>
      </c>
      <c r="G293" s="11" t="s">
        <v>123</v>
      </c>
      <c r="H293" s="11" t="s">
        <v>124</v>
      </c>
      <c r="I293" s="11" t="s">
        <v>125</v>
      </c>
      <c r="J293" s="11" t="s">
        <v>126</v>
      </c>
      <c r="K293" s="11" t="s">
        <v>127</v>
      </c>
      <c r="L293" s="11" t="s">
        <v>128</v>
      </c>
      <c r="M293" s="11" t="s">
        <v>129</v>
      </c>
      <c r="N293" s="12" t="s">
        <v>130</v>
      </c>
    </row>
    <row r="294" spans="2:14">
      <c r="C294" s="27" t="s">
        <v>131</v>
      </c>
      <c r="D294" s="27">
        <f>D289</f>
        <v>493600000</v>
      </c>
      <c r="E294" s="27">
        <f>D289</f>
        <v>493600000</v>
      </c>
      <c r="F294" s="27">
        <f>D289</f>
        <v>493600000</v>
      </c>
      <c r="G294" s="27"/>
      <c r="H294" s="27"/>
      <c r="I294" s="27"/>
      <c r="J294" s="27"/>
      <c r="K294" s="27"/>
      <c r="L294" s="27"/>
      <c r="M294" s="27"/>
      <c r="N294" s="27"/>
    </row>
    <row r="295" spans="2:14">
      <c r="C295" s="27"/>
      <c r="D295" s="27" t="s">
        <v>131</v>
      </c>
      <c r="E295" s="27">
        <f>D289</f>
        <v>493600000</v>
      </c>
      <c r="F295" s="27">
        <f>D289</f>
        <v>493600000</v>
      </c>
      <c r="G295" s="27">
        <f>D289</f>
        <v>493600000</v>
      </c>
      <c r="H295" s="27"/>
      <c r="I295" s="27"/>
      <c r="J295" s="27"/>
      <c r="K295" s="27"/>
      <c r="L295" s="27"/>
      <c r="M295" s="27"/>
      <c r="N295" s="27"/>
    </row>
    <row r="296" spans="2:14">
      <c r="C296" s="27"/>
      <c r="D296" s="27"/>
      <c r="E296" s="27" t="s">
        <v>131</v>
      </c>
      <c r="F296" s="27">
        <f>D289</f>
        <v>493600000</v>
      </c>
      <c r="G296" s="27">
        <f>D289</f>
        <v>493600000</v>
      </c>
      <c r="H296" s="27">
        <f>D289</f>
        <v>493600000</v>
      </c>
      <c r="I296" s="27"/>
      <c r="J296" s="27"/>
      <c r="K296" s="27"/>
      <c r="L296" s="27"/>
      <c r="M296" s="27"/>
      <c r="N296" s="27"/>
    </row>
    <row r="297" spans="2:14">
      <c r="C297" s="27"/>
      <c r="D297" s="27"/>
      <c r="E297" s="27"/>
      <c r="F297" s="27" t="s">
        <v>131</v>
      </c>
      <c r="G297" s="27">
        <f>D289</f>
        <v>493600000</v>
      </c>
      <c r="H297" s="27">
        <f>D289</f>
        <v>493600000</v>
      </c>
      <c r="I297" s="27">
        <f>D289</f>
        <v>493600000</v>
      </c>
      <c r="J297" s="27"/>
      <c r="K297" s="27"/>
      <c r="L297" s="27"/>
      <c r="M297" s="27"/>
      <c r="N297" s="27"/>
    </row>
    <row r="298" spans="2:14">
      <c r="C298" s="27"/>
      <c r="D298" s="27"/>
      <c r="E298" s="27"/>
      <c r="F298" s="27"/>
      <c r="G298" s="27" t="s">
        <v>131</v>
      </c>
      <c r="H298" s="27">
        <f>D289</f>
        <v>493600000</v>
      </c>
      <c r="I298" s="27">
        <f>D289</f>
        <v>493600000</v>
      </c>
      <c r="J298" s="27">
        <f>D289</f>
        <v>493600000</v>
      </c>
      <c r="K298" s="27"/>
      <c r="L298" s="27"/>
      <c r="M298" s="27"/>
      <c r="N298" s="27"/>
    </row>
    <row r="299" spans="2:14">
      <c r="C299" s="27"/>
      <c r="D299" s="27"/>
      <c r="E299" s="27"/>
      <c r="F299" s="27"/>
      <c r="G299" s="27"/>
      <c r="H299" s="27" t="s">
        <v>131</v>
      </c>
      <c r="I299" s="27">
        <f>D289</f>
        <v>493600000</v>
      </c>
      <c r="J299" s="27">
        <f>D289</f>
        <v>493600000</v>
      </c>
      <c r="K299" s="27">
        <f>D289</f>
        <v>493600000</v>
      </c>
      <c r="L299" s="27"/>
      <c r="M299" s="27"/>
      <c r="N299" s="27"/>
    </row>
    <row r="300" spans="2:14">
      <c r="C300" s="27"/>
      <c r="D300" s="27"/>
      <c r="E300" s="27"/>
      <c r="F300" s="27"/>
      <c r="G300" s="27"/>
      <c r="H300" s="27"/>
      <c r="I300" s="27" t="s">
        <v>131</v>
      </c>
      <c r="J300" s="27">
        <f>D289</f>
        <v>493600000</v>
      </c>
      <c r="K300" s="27">
        <f>D289</f>
        <v>493600000</v>
      </c>
      <c r="L300" s="27">
        <f>D289</f>
        <v>493600000</v>
      </c>
      <c r="M300" s="27"/>
      <c r="N300" s="27"/>
    </row>
    <row r="301" spans="2:14">
      <c r="C301" s="27"/>
      <c r="D301" s="27"/>
      <c r="E301" s="27"/>
      <c r="F301" s="27"/>
      <c r="G301" s="27"/>
      <c r="H301" s="27"/>
      <c r="I301" s="27"/>
      <c r="J301" s="27" t="s">
        <v>131</v>
      </c>
      <c r="K301" s="27">
        <f>D289</f>
        <v>493600000</v>
      </c>
      <c r="L301" s="27">
        <f>D289</f>
        <v>493600000</v>
      </c>
      <c r="M301" s="27">
        <f>D289</f>
        <v>493600000</v>
      </c>
      <c r="N301" s="27"/>
    </row>
    <row r="302" spans="2:14">
      <c r="C302" s="27"/>
      <c r="D302" s="27"/>
      <c r="E302" s="27"/>
      <c r="F302" s="27"/>
      <c r="G302" s="27"/>
      <c r="H302" s="27"/>
      <c r="I302" s="27"/>
      <c r="J302" s="27"/>
      <c r="K302" s="27" t="s">
        <v>131</v>
      </c>
      <c r="L302" s="27">
        <f>D289</f>
        <v>493600000</v>
      </c>
      <c r="M302" s="27">
        <f>D289</f>
        <v>493600000</v>
      </c>
      <c r="N302" s="27">
        <f>D289</f>
        <v>493600000</v>
      </c>
    </row>
    <row r="303" spans="2:14">
      <c r="C303" s="27"/>
      <c r="D303" s="27"/>
      <c r="E303" s="27"/>
      <c r="F303" s="27"/>
      <c r="G303" s="27"/>
      <c r="H303" s="27"/>
      <c r="I303" s="27"/>
      <c r="J303" s="27"/>
      <c r="K303" s="27"/>
      <c r="L303" s="27" t="s">
        <v>131</v>
      </c>
      <c r="M303" s="27">
        <f>D289</f>
        <v>493600000</v>
      </c>
      <c r="N303" s="27">
        <f>D289</f>
        <v>493600000</v>
      </c>
    </row>
    <row r="304" spans="2:14"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 t="s">
        <v>131</v>
      </c>
      <c r="N304" s="27">
        <f>D289</f>
        <v>493600000</v>
      </c>
    </row>
    <row r="305" spans="2:14" ht="13.5" thickBot="1"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 t="s">
        <v>131</v>
      </c>
    </row>
    <row r="306" spans="2:14" ht="13.5" thickBot="1">
      <c r="C306" s="168">
        <f>SUM(C294:C305)</f>
        <v>0</v>
      </c>
      <c r="D306" s="158">
        <f t="shared" ref="D306:N306" si="65">SUM(D294:D305)</f>
        <v>493600000</v>
      </c>
      <c r="E306" s="158">
        <f t="shared" si="65"/>
        <v>987200000</v>
      </c>
      <c r="F306" s="158">
        <f t="shared" si="65"/>
        <v>1480800000</v>
      </c>
      <c r="G306" s="158">
        <f t="shared" si="65"/>
        <v>1480800000</v>
      </c>
      <c r="H306" s="158">
        <f t="shared" si="65"/>
        <v>1480800000</v>
      </c>
      <c r="I306" s="158">
        <f t="shared" si="65"/>
        <v>1480800000</v>
      </c>
      <c r="J306" s="158">
        <f t="shared" si="65"/>
        <v>1480800000</v>
      </c>
      <c r="K306" s="158">
        <f t="shared" si="65"/>
        <v>1480800000</v>
      </c>
      <c r="L306" s="158">
        <f t="shared" si="65"/>
        <v>1480800000</v>
      </c>
      <c r="M306" s="158">
        <f t="shared" si="65"/>
        <v>1480800000</v>
      </c>
      <c r="N306" s="165">
        <f t="shared" si="65"/>
        <v>1480800000</v>
      </c>
    </row>
    <row r="307" spans="2:14" ht="13.5" thickBot="1"/>
    <row r="308" spans="2:14">
      <c r="B308" s="169" t="s">
        <v>145</v>
      </c>
      <c r="C308" s="116">
        <f>E18</f>
        <v>-1738064323.6499999</v>
      </c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</row>
    <row r="309" spans="2:14">
      <c r="B309" s="170" t="s">
        <v>144</v>
      </c>
      <c r="C309" s="116">
        <v>12</v>
      </c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</row>
    <row r="310" spans="2:14" ht="13.5" thickBot="1">
      <c r="B310" s="171" t="s">
        <v>146</v>
      </c>
      <c r="C310" s="116">
        <f>C308/C309</f>
        <v>-144838693.63749999</v>
      </c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</row>
    <row r="311" spans="2:14" ht="13.5" thickBot="1"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</row>
    <row r="312" spans="2:14">
      <c r="B312" s="74" t="s">
        <v>132</v>
      </c>
      <c r="C312" s="27">
        <f>C310</f>
        <v>-144838693.63749999</v>
      </c>
      <c r="D312" s="27">
        <f>C310</f>
        <v>-144838693.63749999</v>
      </c>
      <c r="E312" s="27">
        <f>C310</f>
        <v>-144838693.63749999</v>
      </c>
      <c r="F312" s="27">
        <f>C310</f>
        <v>-144838693.63749999</v>
      </c>
      <c r="G312" s="27">
        <f>C310</f>
        <v>-144838693.63749999</v>
      </c>
      <c r="H312" s="27">
        <f>C310</f>
        <v>-144838693.63749999</v>
      </c>
      <c r="I312" s="27">
        <f>C310</f>
        <v>-144838693.63749999</v>
      </c>
      <c r="J312" s="27">
        <f>C310</f>
        <v>-144838693.63749999</v>
      </c>
      <c r="K312" s="27">
        <f>C310</f>
        <v>-144838693.63749999</v>
      </c>
      <c r="L312" s="27">
        <f>C310</f>
        <v>-144838693.63749999</v>
      </c>
      <c r="M312" s="27">
        <f>C310</f>
        <v>-144838693.63749999</v>
      </c>
      <c r="N312" s="27">
        <f>C310</f>
        <v>-144838693.63749999</v>
      </c>
    </row>
    <row r="313" spans="2:14" ht="13.5" thickBot="1">
      <c r="B313" s="167" t="s">
        <v>133</v>
      </c>
      <c r="C313" s="57">
        <f>C306+C312</f>
        <v>-144838693.63749999</v>
      </c>
      <c r="D313" s="27">
        <f>D306+D312</f>
        <v>348761306.36250001</v>
      </c>
      <c r="E313" s="27">
        <f>E306+E312</f>
        <v>842361306.36249995</v>
      </c>
      <c r="F313" s="27">
        <f>F306+F312</f>
        <v>1335961306.3625</v>
      </c>
      <c r="G313" s="27">
        <f>G306+G312</f>
        <v>1335961306.3625</v>
      </c>
      <c r="H313" s="27">
        <f>H306+H312</f>
        <v>1335961306.3625</v>
      </c>
      <c r="I313" s="27">
        <f>I306+I312</f>
        <v>1335961306.3625</v>
      </c>
      <c r="J313" s="27">
        <f>J306+J312</f>
        <v>1335961306.3625</v>
      </c>
      <c r="K313" s="27">
        <f>K306+K312</f>
        <v>1335961306.3625</v>
      </c>
      <c r="L313" s="27">
        <f>L306+L312</f>
        <v>1335961306.3625</v>
      </c>
      <c r="M313" s="27">
        <f>M306+M312</f>
        <v>1335961306.3625</v>
      </c>
      <c r="N313" s="27">
        <f>N306+N312</f>
        <v>1335961306.3625</v>
      </c>
    </row>
    <row r="314" spans="2:14" ht="13.5" thickBot="1"/>
    <row r="315" spans="2:14" ht="13.5" thickBot="1">
      <c r="B315" s="69" t="s">
        <v>112</v>
      </c>
      <c r="C315" s="89"/>
      <c r="D315" s="57">
        <f>MIN(C313:N313)</f>
        <v>-144838693.63749999</v>
      </c>
    </row>
  </sheetData>
  <mergeCells count="31">
    <mergeCell ref="G113:I113"/>
    <mergeCell ref="J113:L113"/>
    <mergeCell ref="M113:O113"/>
    <mergeCell ref="P122:R122"/>
    <mergeCell ref="B122:C122"/>
    <mergeCell ref="D122:F122"/>
    <mergeCell ref="G122:I122"/>
    <mergeCell ref="J122:L122"/>
    <mergeCell ref="M122:O122"/>
    <mergeCell ref="D113:F113"/>
    <mergeCell ref="B57:C57"/>
    <mergeCell ref="B64:C64"/>
    <mergeCell ref="B79:C79"/>
    <mergeCell ref="B71:C71"/>
    <mergeCell ref="B87:C87"/>
    <mergeCell ref="B2:H2"/>
    <mergeCell ref="P95:R95"/>
    <mergeCell ref="P104:R104"/>
    <mergeCell ref="P113:R113"/>
    <mergeCell ref="B131:F134"/>
    <mergeCell ref="G95:I95"/>
    <mergeCell ref="D95:F95"/>
    <mergeCell ref="B95:C95"/>
    <mergeCell ref="M95:O95"/>
    <mergeCell ref="J95:L95"/>
    <mergeCell ref="B104:C104"/>
    <mergeCell ref="D104:F104"/>
    <mergeCell ref="G104:I104"/>
    <mergeCell ref="J104:L104"/>
    <mergeCell ref="M104:O104"/>
    <mergeCell ref="B113:C113"/>
  </mergeCells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32"/>
  <sheetViews>
    <sheetView tabSelected="1" workbookViewId="0">
      <selection activeCell="B1" sqref="B1:H1"/>
    </sheetView>
  </sheetViews>
  <sheetFormatPr baseColWidth="10" defaultRowHeight="12.75"/>
  <cols>
    <col min="1" max="1" width="2.140625" style="14" customWidth="1"/>
    <col min="2" max="2" width="12.85546875" style="14" customWidth="1"/>
    <col min="3" max="3" width="16.28515625" style="14" customWidth="1"/>
    <col min="4" max="4" width="14.85546875" style="14" bestFit="1" customWidth="1"/>
    <col min="5" max="5" width="14.7109375" style="14" customWidth="1"/>
    <col min="6" max="6" width="14.85546875" style="14" customWidth="1"/>
    <col min="7" max="7" width="13.85546875" style="14" bestFit="1" customWidth="1"/>
    <col min="8" max="8" width="15.7109375" style="14" bestFit="1" customWidth="1"/>
    <col min="9" max="9" width="14.5703125" style="14" bestFit="1" customWidth="1"/>
    <col min="10" max="10" width="12.7109375" style="14" bestFit="1" customWidth="1"/>
    <col min="11" max="11" width="13.5703125" style="14" customWidth="1"/>
    <col min="12" max="12" width="16.7109375" style="14" customWidth="1"/>
    <col min="13" max="14" width="12.7109375" style="14" bestFit="1" customWidth="1"/>
    <col min="15" max="15" width="15.140625" style="14" customWidth="1"/>
    <col min="16" max="16" width="13.7109375" style="14" customWidth="1"/>
    <col min="17" max="17" width="11.42578125" style="14"/>
    <col min="18" max="18" width="17" style="14" customWidth="1"/>
    <col min="19" max="16384" width="11.42578125" style="14"/>
  </cols>
  <sheetData>
    <row r="1" spans="2:9">
      <c r="B1" s="13" t="s">
        <v>148</v>
      </c>
      <c r="C1" s="13"/>
      <c r="D1" s="13"/>
      <c r="E1" s="13"/>
      <c r="F1" s="13"/>
      <c r="G1" s="13"/>
      <c r="H1" s="13"/>
    </row>
    <row r="2" spans="2:9" ht="13.5" thickBot="1"/>
    <row r="3" spans="2:9">
      <c r="B3" s="45" t="s">
        <v>1</v>
      </c>
      <c r="C3" s="185" t="s">
        <v>2</v>
      </c>
      <c r="D3" s="185" t="s">
        <v>3</v>
      </c>
      <c r="E3" s="185" t="s">
        <v>4</v>
      </c>
      <c r="F3" s="186" t="s">
        <v>18</v>
      </c>
    </row>
    <row r="4" spans="2:9">
      <c r="B4" s="46" t="s">
        <v>5</v>
      </c>
      <c r="C4" s="32">
        <v>250000</v>
      </c>
      <c r="D4" s="32">
        <v>12</v>
      </c>
      <c r="E4" s="32">
        <v>3.5</v>
      </c>
      <c r="F4" s="33">
        <v>850</v>
      </c>
    </row>
    <row r="5" spans="2:9">
      <c r="B5" s="46" t="s">
        <v>6</v>
      </c>
      <c r="C5" s="32">
        <v>300000</v>
      </c>
      <c r="D5" s="32">
        <v>12</v>
      </c>
      <c r="E5" s="32">
        <v>2.5</v>
      </c>
      <c r="F5" s="33">
        <v>850</v>
      </c>
    </row>
    <row r="6" spans="2:9">
      <c r="B6" s="46" t="s">
        <v>7</v>
      </c>
      <c r="C6" s="32">
        <v>450000</v>
      </c>
      <c r="D6" s="32">
        <v>12</v>
      </c>
      <c r="E6" s="32">
        <v>4.5</v>
      </c>
      <c r="F6" s="33">
        <v>1050</v>
      </c>
    </row>
    <row r="7" spans="2:9" ht="13.5" thickBot="1">
      <c r="B7" s="48" t="s">
        <v>8</v>
      </c>
      <c r="C7" s="34">
        <v>280000</v>
      </c>
      <c r="D7" s="34">
        <v>12</v>
      </c>
      <c r="E7" s="34">
        <v>6</v>
      </c>
      <c r="F7" s="35">
        <v>1050</v>
      </c>
    </row>
    <row r="8" spans="2:9" ht="13.5" thickBot="1">
      <c r="B8" s="58"/>
      <c r="C8" s="58"/>
      <c r="D8" s="58"/>
      <c r="E8" s="58"/>
      <c r="F8" s="58"/>
    </row>
    <row r="9" spans="2:9" ht="13.5" thickBot="1">
      <c r="D9" s="4" t="s">
        <v>86</v>
      </c>
      <c r="E9" s="123" t="s">
        <v>87</v>
      </c>
      <c r="F9" s="123" t="s">
        <v>88</v>
      </c>
      <c r="G9" s="123" t="s">
        <v>89</v>
      </c>
      <c r="H9" s="123" t="s">
        <v>90</v>
      </c>
      <c r="I9" s="124" t="s">
        <v>91</v>
      </c>
    </row>
    <row r="10" spans="2:9" ht="13.5" thickBot="1">
      <c r="B10" s="69" t="s">
        <v>92</v>
      </c>
      <c r="C10" s="70"/>
      <c r="D10" s="16"/>
      <c r="E10" s="125">
        <f>C55</f>
        <v>14808000000</v>
      </c>
      <c r="F10" s="125">
        <f t="shared" ref="F10:I10" si="0">D55</f>
        <v>15440580000</v>
      </c>
      <c r="G10" s="125">
        <f t="shared" si="0"/>
        <v>16102378799.999998</v>
      </c>
      <c r="H10" s="125">
        <f t="shared" si="0"/>
        <v>16794832270.499996</v>
      </c>
      <c r="I10" s="125">
        <f t="shared" si="0"/>
        <v>17519450277.329998</v>
      </c>
    </row>
    <row r="11" spans="2:9" ht="13.5" thickBot="1">
      <c r="B11" s="69" t="s">
        <v>93</v>
      </c>
      <c r="C11" s="70"/>
      <c r="D11" s="17"/>
      <c r="E11" s="126">
        <v>0</v>
      </c>
      <c r="F11" s="126">
        <v>0</v>
      </c>
      <c r="G11" s="126">
        <v>0</v>
      </c>
      <c r="H11" s="126">
        <v>0</v>
      </c>
      <c r="I11" s="126">
        <v>0</v>
      </c>
    </row>
    <row r="12" spans="2:9" ht="13.5" thickBot="1">
      <c r="B12" s="172" t="s">
        <v>94</v>
      </c>
      <c r="C12" s="173"/>
      <c r="D12" s="18"/>
      <c r="E12" s="127">
        <f>SUM(E10:E11)</f>
        <v>14808000000</v>
      </c>
      <c r="F12" s="127">
        <f>SUM(F10:F11)</f>
        <v>15440580000</v>
      </c>
      <c r="G12" s="127">
        <f>SUM(G10:G11)</f>
        <v>16102378799.999998</v>
      </c>
      <c r="H12" s="127">
        <f>SUM(H10:H11)</f>
        <v>16794832270.499996</v>
      </c>
      <c r="I12" s="128">
        <f>SUM(I10:I11)</f>
        <v>17519450277.329998</v>
      </c>
    </row>
    <row r="13" spans="2:9" ht="13.5" thickBot="1">
      <c r="B13" s="69" t="s">
        <v>95</v>
      </c>
      <c r="C13" s="70"/>
      <c r="D13" s="179"/>
      <c r="E13" s="180">
        <f>-D276</f>
        <v>-266820000</v>
      </c>
      <c r="F13" s="180">
        <f t="shared" ref="F13:I13" si="1">-E276</f>
        <v>-273502123.21522999</v>
      </c>
      <c r="G13" s="180">
        <f t="shared" si="1"/>
        <v>-281082359.86250663</v>
      </c>
      <c r="H13" s="180">
        <f t="shared" si="1"/>
        <v>-289155193.01956642</v>
      </c>
      <c r="I13" s="180">
        <f t="shared" si="1"/>
        <v>-329468951.61290324</v>
      </c>
    </row>
    <row r="14" spans="2:9" ht="13.5" thickBot="1">
      <c r="B14" s="69" t="s">
        <v>109</v>
      </c>
      <c r="C14" s="70"/>
      <c r="D14" s="19"/>
      <c r="E14" s="129">
        <f>-D284</f>
        <v>-400976864.72999996</v>
      </c>
      <c r="F14" s="129">
        <f t="shared" ref="F14:I14" si="2">-E284</f>
        <v>-398196549.50630748</v>
      </c>
      <c r="G14" s="129">
        <f t="shared" si="2"/>
        <v>-397562919.79812664</v>
      </c>
      <c r="H14" s="129">
        <f t="shared" si="2"/>
        <v>-394007654.48801661</v>
      </c>
      <c r="I14" s="129">
        <f t="shared" si="2"/>
        <v>-516469999.04078829</v>
      </c>
    </row>
    <row r="15" spans="2:9" ht="13.5" thickBot="1">
      <c r="B15" s="69" t="s">
        <v>110</v>
      </c>
      <c r="C15" s="70"/>
      <c r="D15" s="20"/>
      <c r="E15" s="130">
        <f>-D168</f>
        <v>-670727458.91999984</v>
      </c>
      <c r="F15" s="130">
        <f t="shared" ref="F15:I15" si="3">-E168</f>
        <v>-624457974.81000006</v>
      </c>
      <c r="G15" s="130">
        <f t="shared" si="3"/>
        <v>-584562273.33000004</v>
      </c>
      <c r="H15" s="130">
        <f t="shared" si="3"/>
        <v>-531107972.76000023</v>
      </c>
      <c r="I15" s="130">
        <f t="shared" si="3"/>
        <v>-948035782.07040036</v>
      </c>
    </row>
    <row r="16" spans="2:9" ht="13.5" thickBot="1">
      <c r="B16" s="69" t="s">
        <v>111</v>
      </c>
      <c r="C16" s="70"/>
      <c r="D16" s="20"/>
      <c r="E16" s="130">
        <f>-D176</f>
        <v>-666360000</v>
      </c>
      <c r="F16" s="130">
        <f t="shared" ref="F16:I16" si="4">-E176</f>
        <v>-694826100</v>
      </c>
      <c r="G16" s="130">
        <f t="shared" si="4"/>
        <v>-724607045.99999988</v>
      </c>
      <c r="H16" s="130">
        <f t="shared" si="4"/>
        <v>-755767452.1724999</v>
      </c>
      <c r="I16" s="130">
        <f t="shared" si="4"/>
        <v>-788375262.47984982</v>
      </c>
    </row>
    <row r="17" spans="2:9" ht="13.5" thickBot="1">
      <c r="B17" s="172" t="s">
        <v>96</v>
      </c>
      <c r="C17" s="173"/>
      <c r="D17" s="21"/>
      <c r="E17" s="131">
        <f>SUM(E14:E16)</f>
        <v>-1738064323.6499999</v>
      </c>
      <c r="F17" s="131">
        <f>SUM(F14:F16)</f>
        <v>-1717480624.3163075</v>
      </c>
      <c r="G17" s="131">
        <f>SUM(G14:G16)</f>
        <v>-1706732239.1281266</v>
      </c>
      <c r="H17" s="131">
        <f>SUM(H14:H16)</f>
        <v>-1680883079.4205167</v>
      </c>
      <c r="I17" s="132">
        <f>SUM(I14:I16)</f>
        <v>-2252881043.5910387</v>
      </c>
    </row>
    <row r="18" spans="2:9" ht="13.5" thickBot="1">
      <c r="B18" s="174" t="s">
        <v>97</v>
      </c>
      <c r="C18" s="175"/>
      <c r="D18" s="176"/>
      <c r="E18" s="177">
        <f>SUM(E12+E17)</f>
        <v>13069935676.35</v>
      </c>
      <c r="F18" s="177">
        <f>SUM(F12+F17)</f>
        <v>13723099375.683693</v>
      </c>
      <c r="G18" s="177">
        <f>SUM(G12+G17)</f>
        <v>14395646560.871872</v>
      </c>
      <c r="H18" s="177">
        <f>SUM(H12+H17)</f>
        <v>15113949191.079479</v>
      </c>
      <c r="I18" s="178">
        <f>SUM(I12+I17)</f>
        <v>15266569233.73896</v>
      </c>
    </row>
    <row r="19" spans="2:9" ht="13.5" thickBot="1">
      <c r="B19" s="69" t="s">
        <v>98</v>
      </c>
      <c r="C19" s="70"/>
      <c r="D19" s="16"/>
      <c r="E19" s="133">
        <f>-D202</f>
        <v>-197483333.33333331</v>
      </c>
      <c r="F19" s="133">
        <f>-E202</f>
        <v>-202583333.33333331</v>
      </c>
      <c r="G19" s="133">
        <f>-F202</f>
        <v>-209949999.99999997</v>
      </c>
      <c r="H19" s="133">
        <f>-G202</f>
        <v>-218449999.99999997</v>
      </c>
      <c r="I19" s="133">
        <f>-H202</f>
        <v>-232616666.66666663</v>
      </c>
    </row>
    <row r="20" spans="2:9" ht="13.5" thickBot="1">
      <c r="B20" s="69" t="s">
        <v>158</v>
      </c>
      <c r="C20" s="75"/>
      <c r="D20" s="22"/>
      <c r="E20" s="136">
        <f>-$C324</f>
        <v>-161882000</v>
      </c>
      <c r="F20" s="136">
        <f>-$C325</f>
        <v>-133279153.09197694</v>
      </c>
      <c r="G20" s="136">
        <f>-$C326</f>
        <v>-102902929.67565644</v>
      </c>
      <c r="H20" s="136">
        <f>-$C327</f>
        <v>-70643380.407524079</v>
      </c>
      <c r="I20" s="136">
        <f>-$C328</f>
        <v>-36383739.08476752</v>
      </c>
    </row>
    <row r="21" spans="2:9" ht="13.5" thickBot="1">
      <c r="B21" s="69" t="s">
        <v>99</v>
      </c>
      <c r="C21" s="75"/>
      <c r="D21" s="17"/>
      <c r="E21" s="134"/>
      <c r="F21" s="134"/>
      <c r="G21" s="134"/>
      <c r="H21" s="134"/>
      <c r="I21" s="135">
        <f>-I221</f>
        <v>-2606666666.6666665</v>
      </c>
    </row>
    <row r="22" spans="2:9" ht="13.5" thickBot="1">
      <c r="B22" s="174" t="s">
        <v>100</v>
      </c>
      <c r="C22" s="181"/>
      <c r="D22" s="182"/>
      <c r="E22" s="183">
        <f>SUM(E18:E21)</f>
        <v>12710570343.016666</v>
      </c>
      <c r="F22" s="183">
        <f>SUM(F18:F21)</f>
        <v>13387236889.258383</v>
      </c>
      <c r="G22" s="183">
        <f>SUM(G18:G21)</f>
        <v>14082793631.196215</v>
      </c>
      <c r="H22" s="183">
        <f>SUM(H18:H21)</f>
        <v>14824855810.671955</v>
      </c>
      <c r="I22" s="184">
        <f>SUM(I18:I21)</f>
        <v>12390902161.32086</v>
      </c>
    </row>
    <row r="23" spans="2:9" ht="13.5" thickBot="1">
      <c r="B23" s="69" t="s">
        <v>101</v>
      </c>
      <c r="C23" s="70"/>
      <c r="D23" s="22"/>
      <c r="E23" s="136">
        <f>-SUM(E22)*0.17</f>
        <v>-2160796958.3128333</v>
      </c>
      <c r="F23" s="136">
        <f>-SUM(F22)*0.17</f>
        <v>-2275830271.1739254</v>
      </c>
      <c r="G23" s="136">
        <f>-SUM(G22)*0.17</f>
        <v>-2394074917.3033566</v>
      </c>
      <c r="H23" s="136">
        <f>-SUM(H22)*0.17</f>
        <v>-2520225487.8142323</v>
      </c>
      <c r="I23" s="137">
        <v>0</v>
      </c>
    </row>
    <row r="24" spans="2:9" ht="13.5" thickBot="1">
      <c r="B24" s="174" t="s">
        <v>102</v>
      </c>
      <c r="C24" s="181"/>
      <c r="D24" s="182"/>
      <c r="E24" s="183">
        <f>SUM(E22:E23)</f>
        <v>10549773384.703833</v>
      </c>
      <c r="F24" s="183">
        <f>SUM(F22:F23)</f>
        <v>11111406618.084457</v>
      </c>
      <c r="G24" s="183">
        <f>SUM(G22:G23)</f>
        <v>11688718713.892859</v>
      </c>
      <c r="H24" s="183">
        <f>SUM(H22:H23)</f>
        <v>12304630322.857723</v>
      </c>
      <c r="I24" s="184">
        <f>SUM(I22:I23)</f>
        <v>12390902161.32086</v>
      </c>
    </row>
    <row r="25" spans="2:9" ht="13.5" thickBot="1">
      <c r="B25" s="69" t="s">
        <v>98</v>
      </c>
      <c r="C25" s="70"/>
      <c r="D25" s="19"/>
      <c r="E25" s="138">
        <f>-SUM(E19)</f>
        <v>197483333.33333331</v>
      </c>
      <c r="F25" s="138">
        <f>-SUM(F19)</f>
        <v>202583333.33333331</v>
      </c>
      <c r="G25" s="138">
        <f>-SUM(G19)</f>
        <v>209949999.99999997</v>
      </c>
      <c r="H25" s="138">
        <f>-SUM(H19)</f>
        <v>218449999.99999997</v>
      </c>
      <c r="I25" s="139">
        <f>-SUM(I19)</f>
        <v>232616666.66666663</v>
      </c>
    </row>
    <row r="26" spans="2:9" ht="13.5" thickBot="1">
      <c r="B26" s="69" t="s">
        <v>159</v>
      </c>
      <c r="C26" s="70"/>
      <c r="D26" s="19"/>
      <c r="E26" s="203">
        <f>-E324</f>
        <v>-461336240.45198488</v>
      </c>
      <c r="F26" s="203">
        <f>-E325</f>
        <v>-489939087.36000794</v>
      </c>
      <c r="G26" s="203">
        <f>-E326</f>
        <v>-520315310.77632844</v>
      </c>
      <c r="H26" s="203">
        <f>-E327</f>
        <v>-552574860.04446077</v>
      </c>
      <c r="I26" s="203">
        <f>-E328</f>
        <v>-586834501.3672173</v>
      </c>
    </row>
    <row r="27" spans="2:9" ht="13.5" thickBot="1">
      <c r="B27" s="69" t="s">
        <v>99</v>
      </c>
      <c r="C27" s="70"/>
      <c r="D27" s="20"/>
      <c r="E27" s="140"/>
      <c r="F27" s="141"/>
      <c r="G27" s="141"/>
      <c r="H27" s="141"/>
      <c r="I27" s="142">
        <f>-SUM(I21)</f>
        <v>2606666666.6666665</v>
      </c>
    </row>
    <row r="28" spans="2:9" ht="13.5" thickBot="1">
      <c r="B28" s="69" t="s">
        <v>103</v>
      </c>
      <c r="C28" s="70"/>
      <c r="D28" s="20"/>
      <c r="E28" s="140"/>
      <c r="F28" s="130">
        <f>-E232</f>
        <v>-90000000</v>
      </c>
      <c r="G28" s="130">
        <f t="shared" ref="G28:I28" si="5">-F232</f>
        <v>-130000000</v>
      </c>
      <c r="H28" s="130">
        <f t="shared" si="5"/>
        <v>-150000000</v>
      </c>
      <c r="I28" s="130">
        <f t="shared" si="5"/>
        <v>-250000000</v>
      </c>
    </row>
    <row r="29" spans="2:9" ht="13.5" thickBot="1">
      <c r="B29" s="69" t="s">
        <v>104</v>
      </c>
      <c r="C29" s="70"/>
      <c r="D29" s="20"/>
      <c r="E29" s="140"/>
      <c r="F29" s="130"/>
      <c r="G29" s="140"/>
      <c r="H29" s="143"/>
      <c r="I29" s="144">
        <f>I243</f>
        <v>652500000</v>
      </c>
    </row>
    <row r="30" spans="2:9" ht="13.5" thickBot="1">
      <c r="B30" s="69" t="s">
        <v>105</v>
      </c>
      <c r="C30" s="70"/>
      <c r="D30" s="5">
        <f>-D232</f>
        <v>-3730000000</v>
      </c>
      <c r="E30" s="140"/>
      <c r="F30" s="140"/>
      <c r="G30" s="140"/>
      <c r="H30" s="140"/>
      <c r="I30" s="145"/>
    </row>
    <row r="31" spans="2:9" ht="13.5" thickBot="1">
      <c r="B31" s="69" t="s">
        <v>106</v>
      </c>
      <c r="C31" s="70"/>
      <c r="D31" s="193">
        <f>-D30*(D34/100)</f>
        <v>2611000000</v>
      </c>
      <c r="E31" s="190"/>
      <c r="F31" s="190"/>
      <c r="G31" s="190"/>
      <c r="H31" s="190"/>
      <c r="I31" s="191"/>
    </row>
    <row r="32" spans="2:9" ht="13.5" thickBot="1">
      <c r="B32" s="69" t="s">
        <v>107</v>
      </c>
      <c r="C32" s="70"/>
      <c r="D32" s="6">
        <f>D317</f>
        <v>-144838693.63749999</v>
      </c>
      <c r="E32" s="146"/>
      <c r="F32" s="146"/>
      <c r="G32" s="146"/>
      <c r="H32" s="146"/>
      <c r="I32" s="147"/>
    </row>
    <row r="33" spans="2:9" ht="13.5" thickBot="1">
      <c r="B33" s="174" t="s">
        <v>108</v>
      </c>
      <c r="C33" s="175"/>
      <c r="D33" s="187">
        <f>SUM(D30:D31)</f>
        <v>-1119000000</v>
      </c>
      <c r="E33" s="188">
        <f>SUM(E24:E32)</f>
        <v>10285920477.585182</v>
      </c>
      <c r="F33" s="188">
        <f>SUM(F24:F32)</f>
        <v>10734050864.057783</v>
      </c>
      <c r="G33" s="188">
        <f>SUM(G24:G32)</f>
        <v>11248353403.116529</v>
      </c>
      <c r="H33" s="188">
        <f>SUM(H24:H32)</f>
        <v>11820505462.813263</v>
      </c>
      <c r="I33" s="189">
        <f>SUM(I24:I32)</f>
        <v>15045850993.286974</v>
      </c>
    </row>
    <row r="34" spans="2:9" ht="13.5" thickBot="1">
      <c r="B34" s="23"/>
      <c r="C34" s="24"/>
      <c r="D34" s="192">
        <v>70</v>
      </c>
      <c r="E34" s="26"/>
      <c r="F34" s="26"/>
      <c r="G34" s="26"/>
      <c r="H34" s="26"/>
      <c r="I34" s="26"/>
    </row>
    <row r="35" spans="2:9" ht="15.75" thickBot="1">
      <c r="B35" s="205" t="s">
        <v>134</v>
      </c>
      <c r="C35" s="116">
        <f>NPV(I35/100,E33:I33)+D33</f>
        <v>40677897810.415977</v>
      </c>
      <c r="D35" s="25"/>
      <c r="E35" s="205" t="s">
        <v>136</v>
      </c>
      <c r="F35" s="116">
        <f>SUM(E33)/-D33</f>
        <v>9.1920647699599485</v>
      </c>
      <c r="G35" t="s">
        <v>9</v>
      </c>
      <c r="H35" s="26"/>
      <c r="I35">
        <v>12</v>
      </c>
    </row>
    <row r="36" spans="2:9" ht="13.5" thickBot="1">
      <c r="B36" s="205" t="s">
        <v>135</v>
      </c>
      <c r="C36" s="204">
        <f>IRR(D33:I33,I35/100)</f>
        <v>9.2361941474223599</v>
      </c>
      <c r="D36" s="25"/>
      <c r="E36" s="205" t="s">
        <v>137</v>
      </c>
      <c r="F36" s="116">
        <f>SUM(E12:I12)/-SUM(E17:I17)</f>
        <v>8.8681700750642314</v>
      </c>
      <c r="G36" s="26"/>
      <c r="H36" s="26"/>
      <c r="I36" s="26"/>
    </row>
    <row r="37" spans="2:9">
      <c r="D37" s="25"/>
      <c r="E37" s="26"/>
      <c r="F37" s="26"/>
      <c r="G37" s="26"/>
      <c r="H37" s="26"/>
      <c r="I37" s="26"/>
    </row>
    <row r="38" spans="2:9">
      <c r="D38" s="25"/>
      <c r="E38" s="26"/>
      <c r="F38" s="26"/>
      <c r="G38" s="26"/>
      <c r="H38" s="26"/>
      <c r="I38" s="26"/>
    </row>
    <row r="39" spans="2:9">
      <c r="B39" s="23"/>
      <c r="C39" s="24"/>
      <c r="D39" s="25"/>
      <c r="E39" s="26"/>
      <c r="F39" s="26"/>
      <c r="G39" s="26"/>
      <c r="H39" s="26"/>
      <c r="I39" s="26"/>
    </row>
    <row r="40" spans="2:9">
      <c r="G40" s="29"/>
    </row>
    <row r="41" spans="2:9" ht="13.5" thickBot="1">
      <c r="B41" s="29" t="s">
        <v>17</v>
      </c>
      <c r="C41" s="29"/>
      <c r="D41" s="29"/>
      <c r="E41" s="29"/>
      <c r="F41" s="29"/>
      <c r="G41" s="29"/>
    </row>
    <row r="42" spans="2:9">
      <c r="B42" s="36" t="s">
        <v>0</v>
      </c>
      <c r="C42" s="37" t="s">
        <v>9</v>
      </c>
      <c r="D42" s="37" t="s">
        <v>10</v>
      </c>
      <c r="E42" s="37" t="s">
        <v>11</v>
      </c>
      <c r="F42" s="37" t="s">
        <v>12</v>
      </c>
      <c r="G42" s="38" t="s">
        <v>13</v>
      </c>
    </row>
    <row r="43" spans="2:9">
      <c r="B43" s="39" t="s">
        <v>5</v>
      </c>
      <c r="C43" s="40">
        <f>C4*D4</f>
        <v>3000000</v>
      </c>
      <c r="D43" s="40">
        <f>C43*(1+($E4/100))</f>
        <v>3104999.9999999995</v>
      </c>
      <c r="E43" s="40">
        <f>D43*(1+($E4/100))</f>
        <v>3213674.9999999991</v>
      </c>
      <c r="F43" s="40">
        <f>E43*(1+($E4/100))</f>
        <v>3326153.6249999986</v>
      </c>
      <c r="G43" s="41">
        <f>F43*(1+($E4/100))</f>
        <v>3442569.0018749982</v>
      </c>
    </row>
    <row r="44" spans="2:9">
      <c r="B44" s="39" t="s">
        <v>6</v>
      </c>
      <c r="C44" s="40">
        <f>C5*D5</f>
        <v>3600000</v>
      </c>
      <c r="D44" s="40">
        <f>C44*(1+($E5/100))</f>
        <v>3689999.9999999995</v>
      </c>
      <c r="E44" s="40">
        <f>D44*(1+($E5/100))</f>
        <v>3782249.9999999991</v>
      </c>
      <c r="F44" s="40">
        <f>E44*(1+($E5/100))</f>
        <v>3876806.2499999986</v>
      </c>
      <c r="G44" s="41">
        <f>F44*(1+($E5/100))</f>
        <v>3973726.4062499981</v>
      </c>
    </row>
    <row r="45" spans="2:9">
      <c r="B45" s="39" t="s">
        <v>7</v>
      </c>
      <c r="C45" s="40">
        <f>C6*D6</f>
        <v>5400000</v>
      </c>
      <c r="D45" s="40">
        <f>C45*(1+($E6/100))</f>
        <v>5643000</v>
      </c>
      <c r="E45" s="40">
        <f>D45*(1+($E6/100))</f>
        <v>5896935</v>
      </c>
      <c r="F45" s="40">
        <f>E45*(1+($E6/100))</f>
        <v>6162297.0749999993</v>
      </c>
      <c r="G45" s="41">
        <f>F45*(1+($E6/100))</f>
        <v>6439600.4433749989</v>
      </c>
    </row>
    <row r="46" spans="2:9">
      <c r="B46" s="39" t="s">
        <v>8</v>
      </c>
      <c r="C46" s="40">
        <f>C7*D7</f>
        <v>3360000</v>
      </c>
      <c r="D46" s="40">
        <f>C46*(1+($E7/100))</f>
        <v>3561600</v>
      </c>
      <c r="E46" s="40">
        <f>D46*(1+($E7/100))</f>
        <v>3775296</v>
      </c>
      <c r="F46" s="40">
        <f>E46*(1+($E7/100))</f>
        <v>4001813.7600000002</v>
      </c>
      <c r="G46" s="41">
        <f>F46*(1+($E7/100))</f>
        <v>4241922.5856000008</v>
      </c>
    </row>
    <row r="47" spans="2:9" ht="13.5" thickBot="1">
      <c r="B47" s="42" t="s">
        <v>14</v>
      </c>
      <c r="C47" s="43">
        <f>SUM(C43:C46)</f>
        <v>15360000</v>
      </c>
      <c r="D47" s="43">
        <f t="shared" ref="D47:F47" si="6">SUM(D43:D46)</f>
        <v>15999600</v>
      </c>
      <c r="E47" s="43">
        <f t="shared" si="6"/>
        <v>16668155.999999998</v>
      </c>
      <c r="F47" s="43">
        <f t="shared" si="6"/>
        <v>17367070.709999997</v>
      </c>
      <c r="G47" s="44">
        <f>SUM(G43:G46)</f>
        <v>18097818.437099997</v>
      </c>
    </row>
    <row r="48" spans="2:9">
      <c r="B48" s="29"/>
      <c r="C48" s="29"/>
      <c r="D48" s="29"/>
      <c r="E48" s="29"/>
      <c r="F48" s="29"/>
      <c r="G48" s="29"/>
    </row>
    <row r="49" spans="2:8" ht="13.5" thickBot="1">
      <c r="B49" s="29" t="s">
        <v>19</v>
      </c>
      <c r="C49" s="29"/>
      <c r="D49" s="29"/>
      <c r="E49" s="29"/>
      <c r="F49" s="29"/>
      <c r="G49" s="29"/>
    </row>
    <row r="50" spans="2:8">
      <c r="B50" s="45" t="s">
        <v>15</v>
      </c>
      <c r="C50" s="30" t="s">
        <v>9</v>
      </c>
      <c r="D50" s="30" t="s">
        <v>10</v>
      </c>
      <c r="E50" s="30" t="s">
        <v>11</v>
      </c>
      <c r="F50" s="30" t="s">
        <v>12</v>
      </c>
      <c r="G50" s="31" t="s">
        <v>13</v>
      </c>
    </row>
    <row r="51" spans="2:8">
      <c r="B51" s="46" t="s">
        <v>5</v>
      </c>
      <c r="C51" s="27">
        <f>C43*$F4</f>
        <v>2550000000</v>
      </c>
      <c r="D51" s="27">
        <f>D43*$F4</f>
        <v>2639249999.9999995</v>
      </c>
      <c r="E51" s="27">
        <f>E43*$F4</f>
        <v>2731623749.999999</v>
      </c>
      <c r="F51" s="27">
        <f>F43*$F4</f>
        <v>2827230581.249999</v>
      </c>
      <c r="G51" s="47">
        <f>G43*$F4</f>
        <v>2926183651.5937486</v>
      </c>
    </row>
    <row r="52" spans="2:8">
      <c r="B52" s="46" t="s">
        <v>6</v>
      </c>
      <c r="C52" s="27">
        <f>C44*$F5</f>
        <v>3060000000</v>
      </c>
      <c r="D52" s="27">
        <f>D44*$F5</f>
        <v>3136499999.9999995</v>
      </c>
      <c r="E52" s="27">
        <f>E44*$F5</f>
        <v>3214912499.999999</v>
      </c>
      <c r="F52" s="27">
        <f>F44*$F5</f>
        <v>3295285312.499999</v>
      </c>
      <c r="G52" s="47">
        <f>G44*$F5</f>
        <v>3377667445.3124986</v>
      </c>
    </row>
    <row r="53" spans="2:8">
      <c r="B53" s="46" t="s">
        <v>7</v>
      </c>
      <c r="C53" s="27">
        <f>C45*$F6</f>
        <v>5670000000</v>
      </c>
      <c r="D53" s="27">
        <f>D45*$F6</f>
        <v>5925150000</v>
      </c>
      <c r="E53" s="27">
        <f>E45*$F6</f>
        <v>6191781750</v>
      </c>
      <c r="F53" s="27">
        <f>F45*$F6</f>
        <v>6470411928.749999</v>
      </c>
      <c r="G53" s="47">
        <f>G45*$F6</f>
        <v>6761580465.5437489</v>
      </c>
    </row>
    <row r="54" spans="2:8">
      <c r="B54" s="46" t="s">
        <v>8</v>
      </c>
      <c r="C54" s="27">
        <f>C46*$F7</f>
        <v>3528000000</v>
      </c>
      <c r="D54" s="27">
        <f>D46*$F7</f>
        <v>3739680000</v>
      </c>
      <c r="E54" s="27">
        <f>E46*$F7</f>
        <v>3964060800</v>
      </c>
      <c r="F54" s="27">
        <f>F46*$F7</f>
        <v>4201904448.0000005</v>
      </c>
      <c r="G54" s="47">
        <f>G46*$F7</f>
        <v>4454018714.8800011</v>
      </c>
    </row>
    <row r="55" spans="2:8" ht="13.5" thickBot="1">
      <c r="B55" s="48" t="s">
        <v>16</v>
      </c>
      <c r="C55" s="49">
        <f>SUM(C51:C54)</f>
        <v>14808000000</v>
      </c>
      <c r="D55" s="49">
        <f t="shared" ref="D55:G55" si="7">SUM(D51:D54)</f>
        <v>15440580000</v>
      </c>
      <c r="E55" s="49">
        <f t="shared" si="7"/>
        <v>16102378799.999998</v>
      </c>
      <c r="F55" s="49">
        <f t="shared" si="7"/>
        <v>16794832270.499996</v>
      </c>
      <c r="G55" s="50">
        <f t="shared" si="7"/>
        <v>17519450277.329998</v>
      </c>
    </row>
    <row r="57" spans="2:8">
      <c r="B57" s="51" t="s">
        <v>20</v>
      </c>
    </row>
    <row r="58" spans="2:8" ht="13.5" thickBot="1"/>
    <row r="59" spans="2:8" ht="13.5" thickBot="1">
      <c r="B59" s="52" t="s">
        <v>21</v>
      </c>
      <c r="C59" s="53"/>
    </row>
    <row r="60" spans="2:8">
      <c r="B60" s="54" t="s">
        <v>26</v>
      </c>
      <c r="C60" s="54" t="s">
        <v>27</v>
      </c>
      <c r="D60" s="15" t="s">
        <v>28</v>
      </c>
      <c r="E60" s="15" t="s">
        <v>29</v>
      </c>
      <c r="F60" s="15" t="s">
        <v>30</v>
      </c>
      <c r="G60" s="15" t="s">
        <v>31</v>
      </c>
      <c r="H60" s="55" t="s">
        <v>32</v>
      </c>
    </row>
    <row r="61" spans="2:8">
      <c r="B61" s="56" t="s">
        <v>5</v>
      </c>
      <c r="C61" s="27">
        <v>3800000</v>
      </c>
      <c r="D61" s="27">
        <v>85</v>
      </c>
      <c r="E61" s="27">
        <f>C61*(D61/100)</f>
        <v>3230000</v>
      </c>
      <c r="F61" s="27">
        <f>E61-(E61*0.035)</f>
        <v>3116950</v>
      </c>
      <c r="G61" s="27">
        <f>F61-(F61*0.021)</f>
        <v>3051494.05</v>
      </c>
      <c r="H61" s="57">
        <f>G61</f>
        <v>3051494.05</v>
      </c>
    </row>
    <row r="62" spans="2:8">
      <c r="B62" s="56" t="s">
        <v>6</v>
      </c>
      <c r="C62" s="27">
        <v>3800000</v>
      </c>
      <c r="D62" s="27">
        <v>87</v>
      </c>
      <c r="E62" s="27">
        <f t="shared" ref="E62:E64" si="8">C62*(D62/100)</f>
        <v>3306000</v>
      </c>
      <c r="F62" s="27">
        <f t="shared" ref="F62:F64" si="9">E62-(E62*0.035)</f>
        <v>3190290</v>
      </c>
      <c r="G62" s="27">
        <f t="shared" ref="G62:G64" si="10">F62-(F62*0.021)</f>
        <v>3123293.91</v>
      </c>
      <c r="H62" s="57">
        <f t="shared" ref="H62:H64" si="11">G62</f>
        <v>3123293.91</v>
      </c>
    </row>
    <row r="63" spans="2:8">
      <c r="B63" s="56" t="s">
        <v>7</v>
      </c>
      <c r="C63" s="27">
        <v>3800000</v>
      </c>
      <c r="D63" s="27">
        <v>83</v>
      </c>
      <c r="E63" s="27">
        <f t="shared" si="8"/>
        <v>3154000</v>
      </c>
      <c r="F63" s="27">
        <f t="shared" si="9"/>
        <v>3043610</v>
      </c>
      <c r="G63" s="27">
        <f t="shared" si="10"/>
        <v>2979694.19</v>
      </c>
      <c r="H63" s="57">
        <f t="shared" si="11"/>
        <v>2979694.19</v>
      </c>
    </row>
    <row r="64" spans="2:8">
      <c r="B64" s="56" t="s">
        <v>8</v>
      </c>
      <c r="C64" s="27">
        <v>3800000</v>
      </c>
      <c r="D64" s="27">
        <v>89</v>
      </c>
      <c r="E64" s="27">
        <f t="shared" si="8"/>
        <v>3382000</v>
      </c>
      <c r="F64" s="27">
        <f t="shared" si="9"/>
        <v>3263630</v>
      </c>
      <c r="G64" s="27">
        <f t="shared" si="10"/>
        <v>3195093.77</v>
      </c>
      <c r="H64" s="57">
        <f t="shared" si="11"/>
        <v>3195093.77</v>
      </c>
    </row>
    <row r="65" spans="2:8" ht="13.5" thickBot="1">
      <c r="B65" s="24"/>
      <c r="C65" s="58"/>
      <c r="H65" s="59"/>
    </row>
    <row r="66" spans="2:8" ht="13.5" thickBot="1">
      <c r="B66" s="52" t="s">
        <v>22</v>
      </c>
      <c r="C66" s="53"/>
      <c r="H66" s="59"/>
    </row>
    <row r="67" spans="2:8">
      <c r="B67" s="54" t="s">
        <v>26</v>
      </c>
      <c r="C67" s="54" t="s">
        <v>27</v>
      </c>
      <c r="D67" s="15" t="s">
        <v>28</v>
      </c>
      <c r="E67" s="15" t="s">
        <v>29</v>
      </c>
      <c r="F67" s="15" t="s">
        <v>30</v>
      </c>
      <c r="G67" s="15" t="s">
        <v>31</v>
      </c>
      <c r="H67" s="55" t="s">
        <v>32</v>
      </c>
    </row>
    <row r="68" spans="2:8">
      <c r="B68" s="56" t="s">
        <v>5</v>
      </c>
      <c r="C68" s="27">
        <v>3950000</v>
      </c>
      <c r="D68" s="27">
        <v>85</v>
      </c>
      <c r="E68" s="27">
        <f>C68*(D68/100)</f>
        <v>3357500</v>
      </c>
      <c r="F68" s="27">
        <f>E68-(E68*0.035)</f>
        <v>3239987.5</v>
      </c>
      <c r="G68" s="27">
        <f>F68-(F68*0.021)</f>
        <v>3171947.7625000002</v>
      </c>
      <c r="H68" s="57">
        <f>G68</f>
        <v>3171947.7625000002</v>
      </c>
    </row>
    <row r="69" spans="2:8">
      <c r="B69" s="56" t="s">
        <v>6</v>
      </c>
      <c r="C69" s="27">
        <v>3950000</v>
      </c>
      <c r="D69" s="27">
        <v>87</v>
      </c>
      <c r="E69" s="27">
        <f t="shared" ref="E69:E71" si="12">C69*(D69/100)</f>
        <v>3436500</v>
      </c>
      <c r="F69" s="27">
        <f t="shared" ref="F69:F71" si="13">E69-(E69*0.035)</f>
        <v>3316222.5</v>
      </c>
      <c r="G69" s="27">
        <f t="shared" ref="G69:G71" si="14">F69-(F69*0.021)</f>
        <v>3246581.8275000001</v>
      </c>
      <c r="H69" s="57">
        <f t="shared" ref="H69:H71" si="15">G69</f>
        <v>3246581.8275000001</v>
      </c>
    </row>
    <row r="70" spans="2:8">
      <c r="B70" s="56" t="s">
        <v>7</v>
      </c>
      <c r="C70" s="27">
        <v>3950000</v>
      </c>
      <c r="D70" s="27">
        <v>83</v>
      </c>
      <c r="E70" s="27">
        <f t="shared" si="12"/>
        <v>3278500</v>
      </c>
      <c r="F70" s="27">
        <f t="shared" si="13"/>
        <v>3163752.5</v>
      </c>
      <c r="G70" s="27">
        <f t="shared" si="14"/>
        <v>3097313.6974999998</v>
      </c>
      <c r="H70" s="57">
        <f t="shared" si="15"/>
        <v>3097313.6974999998</v>
      </c>
    </row>
    <row r="71" spans="2:8">
      <c r="B71" s="56" t="s">
        <v>8</v>
      </c>
      <c r="C71" s="27">
        <v>3950000</v>
      </c>
      <c r="D71" s="27">
        <v>89</v>
      </c>
      <c r="E71" s="27">
        <f t="shared" si="12"/>
        <v>3515500</v>
      </c>
      <c r="F71" s="27">
        <f t="shared" si="13"/>
        <v>3392457.5</v>
      </c>
      <c r="G71" s="27">
        <f t="shared" si="14"/>
        <v>3321215.8925000001</v>
      </c>
      <c r="H71" s="57">
        <f t="shared" si="15"/>
        <v>3321215.8925000001</v>
      </c>
    </row>
    <row r="72" spans="2:8" ht="13.5" thickBot="1">
      <c r="B72" s="60"/>
      <c r="C72" s="61"/>
      <c r="D72" s="61"/>
      <c r="E72" s="61"/>
      <c r="F72" s="61"/>
      <c r="G72" s="61"/>
      <c r="H72" s="62"/>
    </row>
    <row r="73" spans="2:8" ht="13.5" thickBot="1">
      <c r="B73" s="52" t="s">
        <v>23</v>
      </c>
      <c r="C73" s="53"/>
      <c r="H73" s="59"/>
    </row>
    <row r="74" spans="2:8">
      <c r="B74" s="54" t="s">
        <v>26</v>
      </c>
      <c r="C74" s="54" t="s">
        <v>27</v>
      </c>
      <c r="D74" s="15" t="s">
        <v>28</v>
      </c>
      <c r="E74" s="15" t="s">
        <v>29</v>
      </c>
      <c r="F74" s="15" t="s">
        <v>30</v>
      </c>
      <c r="G74" s="15" t="s">
        <v>31</v>
      </c>
      <c r="H74" s="55" t="s">
        <v>32</v>
      </c>
    </row>
    <row r="75" spans="2:8">
      <c r="B75" s="56" t="s">
        <v>5</v>
      </c>
      <c r="C75" s="27">
        <v>3600000</v>
      </c>
      <c r="D75" s="27">
        <v>85</v>
      </c>
      <c r="E75" s="27">
        <f>C75*(D75/100)</f>
        <v>3060000</v>
      </c>
      <c r="F75" s="27">
        <f>E75-(E75*0.035)</f>
        <v>2952900</v>
      </c>
      <c r="G75" s="27">
        <f>F75-(F75*0.021)</f>
        <v>2890889.1</v>
      </c>
      <c r="H75" s="57">
        <f>G75</f>
        <v>2890889.1</v>
      </c>
    </row>
    <row r="76" spans="2:8">
      <c r="B76" s="56" t="s">
        <v>6</v>
      </c>
      <c r="C76" s="27">
        <v>3600000</v>
      </c>
      <c r="D76" s="27">
        <v>87</v>
      </c>
      <c r="E76" s="27">
        <f t="shared" ref="E76:E78" si="16">C76*(D76/100)</f>
        <v>3132000</v>
      </c>
      <c r="F76" s="27">
        <f t="shared" ref="F76:F78" si="17">E76-(E76*0.035)</f>
        <v>3022380</v>
      </c>
      <c r="G76" s="27">
        <f t="shared" ref="G76:G78" si="18">F76-(F76*0.021)</f>
        <v>2958910.02</v>
      </c>
      <c r="H76" s="57">
        <f t="shared" ref="H76:H78" si="19">G76</f>
        <v>2958910.02</v>
      </c>
    </row>
    <row r="77" spans="2:8">
      <c r="B77" s="56" t="s">
        <v>7</v>
      </c>
      <c r="C77" s="27">
        <v>3600000</v>
      </c>
      <c r="D77" s="27">
        <v>83</v>
      </c>
      <c r="E77" s="27">
        <f t="shared" si="16"/>
        <v>2988000</v>
      </c>
      <c r="F77" s="27">
        <f t="shared" si="17"/>
        <v>2883420</v>
      </c>
      <c r="G77" s="27">
        <f t="shared" si="18"/>
        <v>2822868.18</v>
      </c>
      <c r="H77" s="57">
        <f t="shared" si="19"/>
        <v>2822868.18</v>
      </c>
    </row>
    <row r="78" spans="2:8">
      <c r="B78" s="56" t="s">
        <v>8</v>
      </c>
      <c r="C78" s="27">
        <v>3600000</v>
      </c>
      <c r="D78" s="27">
        <v>89</v>
      </c>
      <c r="E78" s="27">
        <f t="shared" si="16"/>
        <v>3204000</v>
      </c>
      <c r="F78" s="27">
        <f t="shared" si="17"/>
        <v>3091860</v>
      </c>
      <c r="G78" s="27">
        <f t="shared" si="18"/>
        <v>3026930.94</v>
      </c>
      <c r="H78" s="57">
        <f t="shared" si="19"/>
        <v>3026930.94</v>
      </c>
    </row>
    <row r="79" spans="2:8">
      <c r="H79" s="59"/>
    </row>
    <row r="80" spans="2:8" ht="13.5" thickBot="1">
      <c r="H80" s="59"/>
    </row>
    <row r="81" spans="2:8" ht="13.5" thickBot="1">
      <c r="B81" s="52" t="s">
        <v>24</v>
      </c>
      <c r="C81" s="53"/>
      <c r="H81" s="59"/>
    </row>
    <row r="82" spans="2:8">
      <c r="B82" s="54" t="s">
        <v>26</v>
      </c>
      <c r="C82" s="54" t="s">
        <v>27</v>
      </c>
      <c r="D82" s="15" t="s">
        <v>28</v>
      </c>
      <c r="E82" s="15" t="s">
        <v>29</v>
      </c>
      <c r="F82" s="15" t="s">
        <v>30</v>
      </c>
      <c r="G82" s="15" t="s">
        <v>31</v>
      </c>
      <c r="H82" s="55" t="s">
        <v>32</v>
      </c>
    </row>
    <row r="83" spans="2:8">
      <c r="B83" s="56" t="s">
        <v>5</v>
      </c>
      <c r="C83" s="27">
        <v>3250000</v>
      </c>
      <c r="D83" s="27">
        <v>85</v>
      </c>
      <c r="E83" s="27">
        <f>C83*(D83/100)</f>
        <v>2762500</v>
      </c>
      <c r="F83" s="27">
        <f>E83-(E83*0.035)</f>
        <v>2665812.5</v>
      </c>
      <c r="G83" s="27">
        <f>F83-(F83*0.021)</f>
        <v>2609830.4375</v>
      </c>
      <c r="H83" s="57">
        <f>G83</f>
        <v>2609830.4375</v>
      </c>
    </row>
    <row r="84" spans="2:8">
      <c r="B84" s="56" t="s">
        <v>6</v>
      </c>
      <c r="C84" s="27">
        <v>3250000</v>
      </c>
      <c r="D84" s="27">
        <v>87</v>
      </c>
      <c r="E84" s="27">
        <f t="shared" ref="E84:E86" si="20">C84*(D84/100)</f>
        <v>2827500</v>
      </c>
      <c r="F84" s="27">
        <f t="shared" ref="F84:F86" si="21">E84-(E84*0.035)</f>
        <v>2728537.5</v>
      </c>
      <c r="G84" s="27">
        <f t="shared" ref="G84:G86" si="22">F84-(F84*0.021)</f>
        <v>2671238.2124999999</v>
      </c>
      <c r="H84" s="57">
        <f t="shared" ref="H84:H86" si="23">G84</f>
        <v>2671238.2124999999</v>
      </c>
    </row>
    <row r="85" spans="2:8">
      <c r="B85" s="56" t="s">
        <v>7</v>
      </c>
      <c r="C85" s="27">
        <v>3250000</v>
      </c>
      <c r="D85" s="27">
        <v>83</v>
      </c>
      <c r="E85" s="27">
        <f t="shared" si="20"/>
        <v>2697500</v>
      </c>
      <c r="F85" s="27">
        <f t="shared" si="21"/>
        <v>2603087.5</v>
      </c>
      <c r="G85" s="27">
        <f t="shared" si="22"/>
        <v>2548422.6625000001</v>
      </c>
      <c r="H85" s="57">
        <f t="shared" si="23"/>
        <v>2548422.6625000001</v>
      </c>
    </row>
    <row r="86" spans="2:8">
      <c r="B86" s="56" t="s">
        <v>8</v>
      </c>
      <c r="C86" s="27">
        <v>3250000</v>
      </c>
      <c r="D86" s="27">
        <v>89</v>
      </c>
      <c r="E86" s="27">
        <f t="shared" si="20"/>
        <v>2892500</v>
      </c>
      <c r="F86" s="27">
        <f t="shared" si="21"/>
        <v>2791262.5</v>
      </c>
      <c r="G86" s="27">
        <f t="shared" si="22"/>
        <v>2732645.9874999998</v>
      </c>
      <c r="H86" s="57">
        <f t="shared" si="23"/>
        <v>2732645.9874999998</v>
      </c>
    </row>
    <row r="87" spans="2:8">
      <c r="H87" s="59"/>
    </row>
    <row r="88" spans="2:8" ht="13.5" thickBot="1">
      <c r="H88" s="59"/>
    </row>
    <row r="89" spans="2:8" ht="13.5" thickBot="1">
      <c r="B89" s="52" t="s">
        <v>25</v>
      </c>
      <c r="C89" s="53"/>
      <c r="H89" s="59"/>
    </row>
    <row r="90" spans="2:8">
      <c r="B90" s="54" t="s">
        <v>26</v>
      </c>
      <c r="C90" s="54" t="s">
        <v>27</v>
      </c>
      <c r="D90" s="15" t="s">
        <v>28</v>
      </c>
      <c r="E90" s="15" t="s">
        <v>29</v>
      </c>
      <c r="F90" s="15" t="s">
        <v>30</v>
      </c>
      <c r="G90" s="15" t="s">
        <v>31</v>
      </c>
      <c r="H90" s="55" t="s">
        <v>32</v>
      </c>
    </row>
    <row r="91" spans="2:8">
      <c r="B91" s="56" t="s">
        <v>5</v>
      </c>
      <c r="C91" s="27">
        <v>3450000</v>
      </c>
      <c r="D91" s="27">
        <v>85</v>
      </c>
      <c r="E91" s="27">
        <f>C91*(D91/100)</f>
        <v>2932500</v>
      </c>
      <c r="F91" s="27">
        <f>E91-(E91*0.035)</f>
        <v>2829862.5</v>
      </c>
      <c r="G91" s="27">
        <f>F91-(F91*0.021)</f>
        <v>2770435.3875000002</v>
      </c>
      <c r="H91" s="57">
        <f>G91</f>
        <v>2770435.3875000002</v>
      </c>
    </row>
    <row r="92" spans="2:8">
      <c r="B92" s="56" t="s">
        <v>6</v>
      </c>
      <c r="C92" s="27">
        <v>3450000</v>
      </c>
      <c r="D92" s="27">
        <v>87</v>
      </c>
      <c r="E92" s="27">
        <f t="shared" ref="E92:E94" si="24">C92*(D92/100)</f>
        <v>3001500</v>
      </c>
      <c r="F92" s="27">
        <f t="shared" ref="F92:F94" si="25">E92-(E92*0.035)</f>
        <v>2896447.5</v>
      </c>
      <c r="G92" s="27">
        <f t="shared" ref="G92:G94" si="26">F92-(F92*0.021)</f>
        <v>2835622.1025</v>
      </c>
      <c r="H92" s="57">
        <f t="shared" ref="H92:H94" si="27">G92</f>
        <v>2835622.1025</v>
      </c>
    </row>
    <row r="93" spans="2:8">
      <c r="B93" s="56" t="s">
        <v>7</v>
      </c>
      <c r="C93" s="27">
        <v>3450000</v>
      </c>
      <c r="D93" s="27">
        <v>83</v>
      </c>
      <c r="E93" s="27">
        <f t="shared" si="24"/>
        <v>2863500</v>
      </c>
      <c r="F93" s="27">
        <f t="shared" si="25"/>
        <v>2763277.5</v>
      </c>
      <c r="G93" s="27">
        <f t="shared" si="26"/>
        <v>2705248.6724999999</v>
      </c>
      <c r="H93" s="57">
        <f t="shared" si="27"/>
        <v>2705248.6724999999</v>
      </c>
    </row>
    <row r="94" spans="2:8">
      <c r="B94" s="56" t="s">
        <v>8</v>
      </c>
      <c r="C94" s="27">
        <v>3450000</v>
      </c>
      <c r="D94" s="27">
        <v>89</v>
      </c>
      <c r="E94" s="27">
        <f t="shared" si="24"/>
        <v>3070500</v>
      </c>
      <c r="F94" s="27">
        <f t="shared" si="25"/>
        <v>2963032.5</v>
      </c>
      <c r="G94" s="27">
        <f t="shared" si="26"/>
        <v>2900808.8174999999</v>
      </c>
      <c r="H94" s="57">
        <f t="shared" si="27"/>
        <v>2900808.8174999999</v>
      </c>
    </row>
    <row r="96" spans="2:8" ht="13.5" thickBot="1"/>
    <row r="97" spans="2:18" ht="13.5" thickBot="1">
      <c r="B97" s="63" t="s">
        <v>5</v>
      </c>
      <c r="C97" s="64"/>
      <c r="D97" s="65" t="s">
        <v>9</v>
      </c>
      <c r="E97" s="65"/>
      <c r="F97" s="65"/>
      <c r="G97" s="65" t="s">
        <v>10</v>
      </c>
      <c r="H97" s="65"/>
      <c r="I97" s="65"/>
      <c r="J97" s="66" t="s">
        <v>11</v>
      </c>
      <c r="K97" s="67"/>
      <c r="L97" s="68"/>
      <c r="M97" s="66" t="s">
        <v>12</v>
      </c>
      <c r="N97" s="67"/>
      <c r="O97" s="68"/>
      <c r="P97" s="66" t="s">
        <v>13</v>
      </c>
      <c r="Q97" s="67"/>
      <c r="R97" s="68"/>
    </row>
    <row r="98" spans="2:18" ht="13.5" thickBot="1">
      <c r="B98" s="69" t="s">
        <v>26</v>
      </c>
      <c r="C98" s="70"/>
      <c r="D98" s="71" t="s">
        <v>35</v>
      </c>
      <c r="E98" s="72" t="s">
        <v>33</v>
      </c>
      <c r="F98" s="73" t="s">
        <v>34</v>
      </c>
      <c r="G98" s="72" t="s">
        <v>35</v>
      </c>
      <c r="H98" s="72" t="s">
        <v>33</v>
      </c>
      <c r="I98" s="73" t="s">
        <v>34</v>
      </c>
      <c r="J98" s="72" t="s">
        <v>35</v>
      </c>
      <c r="K98" s="72" t="s">
        <v>33</v>
      </c>
      <c r="L98" s="73" t="s">
        <v>34</v>
      </c>
      <c r="M98" s="72" t="s">
        <v>35</v>
      </c>
      <c r="N98" s="72" t="s">
        <v>33</v>
      </c>
      <c r="O98" s="73" t="s">
        <v>34</v>
      </c>
      <c r="P98" s="72" t="s">
        <v>35</v>
      </c>
      <c r="Q98" s="72" t="s">
        <v>33</v>
      </c>
      <c r="R98" s="73" t="s">
        <v>34</v>
      </c>
    </row>
    <row r="99" spans="2:18">
      <c r="B99" s="74" t="s">
        <v>21</v>
      </c>
      <c r="C99" s="75"/>
      <c r="D99" s="20">
        <v>2</v>
      </c>
      <c r="E99" s="15">
        <v>1</v>
      </c>
      <c r="F99" s="27">
        <f>$H$61*D99*E99</f>
        <v>6102988.0999999996</v>
      </c>
      <c r="G99" s="15">
        <v>2</v>
      </c>
      <c r="H99" s="15">
        <v>1</v>
      </c>
      <c r="I99" s="27">
        <f>$H$61*G99*H99</f>
        <v>6102988.0999999996</v>
      </c>
      <c r="J99" s="15">
        <v>2</v>
      </c>
      <c r="K99" s="15">
        <v>1</v>
      </c>
      <c r="L99" s="27">
        <f>$H$61*J99*K99</f>
        <v>6102988.0999999996</v>
      </c>
      <c r="M99" s="15">
        <v>2</v>
      </c>
      <c r="N99" s="15">
        <v>1</v>
      </c>
      <c r="O99" s="27">
        <f>$H$61*M99*N99</f>
        <v>6102988.0999999996</v>
      </c>
      <c r="P99" s="15">
        <v>2</v>
      </c>
      <c r="Q99" s="15">
        <v>1</v>
      </c>
      <c r="R99" s="27">
        <f>$H$61*P99*Q99</f>
        <v>6102988.0999999996</v>
      </c>
    </row>
    <row r="100" spans="2:18">
      <c r="B100" s="76" t="s">
        <v>22</v>
      </c>
      <c r="C100" s="77"/>
      <c r="D100" s="20">
        <v>2</v>
      </c>
      <c r="E100" s="15">
        <v>1</v>
      </c>
      <c r="F100" s="27">
        <f>$H$68*D100*E100</f>
        <v>6343895.5250000004</v>
      </c>
      <c r="G100" s="15">
        <v>2</v>
      </c>
      <c r="H100" s="15">
        <v>1</v>
      </c>
      <c r="I100" s="27">
        <f>$H$68*G100*H100</f>
        <v>6343895.5250000004</v>
      </c>
      <c r="J100" s="15">
        <v>2</v>
      </c>
      <c r="K100" s="15">
        <v>1</v>
      </c>
      <c r="L100" s="27">
        <f>$H$68*J100*K100</f>
        <v>6343895.5250000004</v>
      </c>
      <c r="M100" s="15">
        <v>2</v>
      </c>
      <c r="N100" s="15">
        <v>1</v>
      </c>
      <c r="O100" s="27">
        <f>$H$68*M100*N100</f>
        <v>6343895.5250000004</v>
      </c>
      <c r="P100" s="15">
        <v>2</v>
      </c>
      <c r="Q100" s="15">
        <v>1</v>
      </c>
      <c r="R100" s="27">
        <f>$H$68*P100*Q100</f>
        <v>6343895.5250000004</v>
      </c>
    </row>
    <row r="101" spans="2:18">
      <c r="B101" s="76" t="s">
        <v>23</v>
      </c>
      <c r="C101" s="77"/>
      <c r="D101" s="20">
        <v>2</v>
      </c>
      <c r="E101" s="15">
        <v>1</v>
      </c>
      <c r="F101" s="27">
        <f>$H$75*D101*E101</f>
        <v>5781778.2000000002</v>
      </c>
      <c r="G101" s="15">
        <v>2</v>
      </c>
      <c r="H101" s="15">
        <v>1</v>
      </c>
      <c r="I101" s="27">
        <f>$H$75*G101*H101</f>
        <v>5781778.2000000002</v>
      </c>
      <c r="J101" s="15">
        <v>2</v>
      </c>
      <c r="K101" s="15">
        <v>1</v>
      </c>
      <c r="L101" s="27">
        <f>$H$75*J101*K101</f>
        <v>5781778.2000000002</v>
      </c>
      <c r="M101" s="15">
        <v>2</v>
      </c>
      <c r="N101" s="15">
        <v>1</v>
      </c>
      <c r="O101" s="27">
        <f>$H$75*M101*N101</f>
        <v>5781778.2000000002</v>
      </c>
      <c r="P101" s="15">
        <v>2</v>
      </c>
      <c r="Q101" s="15">
        <v>1</v>
      </c>
      <c r="R101" s="27">
        <f>$H$75*P101*Q101</f>
        <v>5781778.2000000002</v>
      </c>
    </row>
    <row r="102" spans="2:18">
      <c r="B102" s="76" t="s">
        <v>24</v>
      </c>
      <c r="C102" s="77"/>
      <c r="D102" s="20">
        <v>2</v>
      </c>
      <c r="E102" s="15">
        <v>1</v>
      </c>
      <c r="F102" s="27">
        <f>$H$83*D102*E102</f>
        <v>5219660.875</v>
      </c>
      <c r="G102" s="15">
        <v>2</v>
      </c>
      <c r="H102" s="15">
        <v>1</v>
      </c>
      <c r="I102" s="27">
        <f>$H$83*G102*H102</f>
        <v>5219660.875</v>
      </c>
      <c r="J102" s="15">
        <v>2</v>
      </c>
      <c r="K102" s="15">
        <v>1</v>
      </c>
      <c r="L102" s="27">
        <f>$H$83*J102*K102</f>
        <v>5219660.875</v>
      </c>
      <c r="M102" s="15">
        <v>2</v>
      </c>
      <c r="N102" s="15">
        <v>1</v>
      </c>
      <c r="O102" s="27">
        <f>$H$83*M102*N102</f>
        <v>5219660.875</v>
      </c>
      <c r="P102" s="15">
        <v>2</v>
      </c>
      <c r="Q102" s="15">
        <v>1</v>
      </c>
      <c r="R102" s="27">
        <f>$H$83*P102*Q102</f>
        <v>5219660.875</v>
      </c>
    </row>
    <row r="103" spans="2:18" ht="13.5" thickBot="1">
      <c r="B103" s="76" t="s">
        <v>25</v>
      </c>
      <c r="C103" s="77"/>
      <c r="D103" s="20">
        <v>2</v>
      </c>
      <c r="E103" s="78">
        <v>1</v>
      </c>
      <c r="F103" s="79">
        <f>$H$91*D103*E103</f>
        <v>5540870.7750000004</v>
      </c>
      <c r="G103" s="78">
        <v>2</v>
      </c>
      <c r="H103" s="78">
        <v>1</v>
      </c>
      <c r="I103" s="79">
        <f>$H$91*G103*H103</f>
        <v>5540870.7750000004</v>
      </c>
      <c r="J103" s="78">
        <v>2</v>
      </c>
      <c r="K103" s="78">
        <v>1</v>
      </c>
      <c r="L103" s="79">
        <f>$H$91*J103*K103</f>
        <v>5540870.7750000004</v>
      </c>
      <c r="M103" s="78">
        <v>2</v>
      </c>
      <c r="N103" s="78">
        <v>1</v>
      </c>
      <c r="O103" s="79">
        <f>$H$91*M103*N103</f>
        <v>5540870.7750000004</v>
      </c>
      <c r="P103" s="78">
        <v>2</v>
      </c>
      <c r="Q103" s="78">
        <v>1</v>
      </c>
      <c r="R103" s="79">
        <f>$H$91*P103*Q103</f>
        <v>5540870.7750000004</v>
      </c>
    </row>
    <row r="104" spans="2:18" ht="13.5" thickBot="1">
      <c r="B104" s="69" t="s">
        <v>69</v>
      </c>
      <c r="C104" s="80"/>
      <c r="D104" s="80"/>
      <c r="E104" s="80"/>
      <c r="F104" s="81">
        <f>MIN(F99:F103)</f>
        <v>5219660.875</v>
      </c>
      <c r="G104" s="81"/>
      <c r="H104" s="81"/>
      <c r="I104" s="81">
        <f>MIN(I99:I103)</f>
        <v>5219660.875</v>
      </c>
      <c r="J104" s="81"/>
      <c r="K104" s="81"/>
      <c r="L104" s="81">
        <f>MIN(L99:L103)</f>
        <v>5219660.875</v>
      </c>
      <c r="M104" s="81"/>
      <c r="N104" s="81"/>
      <c r="O104" s="81">
        <f>MIN(O99:O103)</f>
        <v>5219660.875</v>
      </c>
      <c r="P104" s="81"/>
      <c r="Q104" s="81"/>
      <c r="R104" s="82">
        <f>MIN(R99:R103)</f>
        <v>5219660.875</v>
      </c>
    </row>
    <row r="105" spans="2:18" ht="13.5" thickBot="1"/>
    <row r="106" spans="2:18" ht="13.5" thickBot="1">
      <c r="B106" s="63" t="s">
        <v>6</v>
      </c>
      <c r="C106" s="64"/>
      <c r="D106" s="65" t="s">
        <v>9</v>
      </c>
      <c r="E106" s="65"/>
      <c r="F106" s="65"/>
      <c r="G106" s="65" t="s">
        <v>10</v>
      </c>
      <c r="H106" s="65"/>
      <c r="I106" s="65"/>
      <c r="J106" s="66" t="s">
        <v>11</v>
      </c>
      <c r="K106" s="67"/>
      <c r="L106" s="68"/>
      <c r="M106" s="66" t="s">
        <v>12</v>
      </c>
      <c r="N106" s="67"/>
      <c r="O106" s="68"/>
      <c r="P106" s="66" t="s">
        <v>13</v>
      </c>
      <c r="Q106" s="67"/>
      <c r="R106" s="68"/>
    </row>
    <row r="107" spans="2:18" ht="13.5" thickBot="1">
      <c r="B107" s="69" t="s">
        <v>26</v>
      </c>
      <c r="C107" s="70"/>
      <c r="D107" s="71" t="s">
        <v>35</v>
      </c>
      <c r="E107" s="72" t="s">
        <v>33</v>
      </c>
      <c r="F107" s="73" t="s">
        <v>34</v>
      </c>
      <c r="G107" s="72" t="s">
        <v>35</v>
      </c>
      <c r="H107" s="72" t="s">
        <v>33</v>
      </c>
      <c r="I107" s="73" t="s">
        <v>34</v>
      </c>
      <c r="J107" s="72" t="s">
        <v>35</v>
      </c>
      <c r="K107" s="72" t="s">
        <v>33</v>
      </c>
      <c r="L107" s="73" t="s">
        <v>34</v>
      </c>
      <c r="M107" s="72" t="s">
        <v>35</v>
      </c>
      <c r="N107" s="72" t="s">
        <v>33</v>
      </c>
      <c r="O107" s="73" t="s">
        <v>34</v>
      </c>
      <c r="P107" s="72" t="s">
        <v>35</v>
      </c>
      <c r="Q107" s="72" t="s">
        <v>33</v>
      </c>
      <c r="R107" s="73" t="s">
        <v>34</v>
      </c>
    </row>
    <row r="108" spans="2:18">
      <c r="B108" s="74" t="s">
        <v>21</v>
      </c>
      <c r="C108" s="75"/>
      <c r="D108" s="20">
        <v>2</v>
      </c>
      <c r="E108" s="15">
        <v>1</v>
      </c>
      <c r="F108" s="27">
        <f>$H$62*D108*E108</f>
        <v>6246587.8200000003</v>
      </c>
      <c r="G108" s="20">
        <v>2</v>
      </c>
      <c r="H108" s="15">
        <v>1</v>
      </c>
      <c r="I108" s="27">
        <f>$H$62*G108*H108</f>
        <v>6246587.8200000003</v>
      </c>
      <c r="J108" s="20">
        <v>2</v>
      </c>
      <c r="K108" s="15">
        <v>1</v>
      </c>
      <c r="L108" s="27">
        <f>$H$62*J108*K108</f>
        <v>6246587.8200000003</v>
      </c>
      <c r="M108" s="20">
        <v>2</v>
      </c>
      <c r="N108" s="15">
        <v>1</v>
      </c>
      <c r="O108" s="27">
        <f>$H$62*M108*N108</f>
        <v>6246587.8200000003</v>
      </c>
      <c r="P108" s="20">
        <v>2</v>
      </c>
      <c r="Q108" s="15">
        <v>1</v>
      </c>
      <c r="R108" s="27">
        <f>$H$62*P108*Q108</f>
        <v>6246587.8200000003</v>
      </c>
    </row>
    <row r="109" spans="2:18">
      <c r="B109" s="76" t="s">
        <v>22</v>
      </c>
      <c r="C109" s="77"/>
      <c r="D109" s="20">
        <v>2</v>
      </c>
      <c r="E109" s="15">
        <v>1</v>
      </c>
      <c r="F109" s="27">
        <f>$H$69*D109*E109</f>
        <v>6493163.6550000003</v>
      </c>
      <c r="G109" s="20">
        <v>2</v>
      </c>
      <c r="H109" s="15">
        <v>1</v>
      </c>
      <c r="I109" s="27">
        <f>$H$69*G109*H109</f>
        <v>6493163.6550000003</v>
      </c>
      <c r="J109" s="20">
        <v>2</v>
      </c>
      <c r="K109" s="15">
        <v>1</v>
      </c>
      <c r="L109" s="27">
        <f>$H$69*J109*K109</f>
        <v>6493163.6550000003</v>
      </c>
      <c r="M109" s="20">
        <v>2</v>
      </c>
      <c r="N109" s="15">
        <v>1</v>
      </c>
      <c r="O109" s="27">
        <f>$H$69*M109*N109</f>
        <v>6493163.6550000003</v>
      </c>
      <c r="P109" s="20">
        <v>2</v>
      </c>
      <c r="Q109" s="15">
        <v>1</v>
      </c>
      <c r="R109" s="27">
        <f>$H$69*P109*Q109</f>
        <v>6493163.6550000003</v>
      </c>
    </row>
    <row r="110" spans="2:18">
      <c r="B110" s="76" t="s">
        <v>23</v>
      </c>
      <c r="C110" s="77"/>
      <c r="D110" s="20">
        <v>2</v>
      </c>
      <c r="E110" s="15">
        <v>1</v>
      </c>
      <c r="F110" s="27">
        <f>$H$76*D110*E110</f>
        <v>5917820.04</v>
      </c>
      <c r="G110" s="20">
        <v>2</v>
      </c>
      <c r="H110" s="15">
        <v>1</v>
      </c>
      <c r="I110" s="27">
        <f>$H$76*G110*H110</f>
        <v>5917820.04</v>
      </c>
      <c r="J110" s="20">
        <v>2</v>
      </c>
      <c r="K110" s="15">
        <v>1</v>
      </c>
      <c r="L110" s="27">
        <f>$H$76*J110*K110</f>
        <v>5917820.04</v>
      </c>
      <c r="M110" s="20">
        <v>2</v>
      </c>
      <c r="N110" s="15">
        <v>1</v>
      </c>
      <c r="O110" s="27">
        <f>$H$76*M110*N110</f>
        <v>5917820.04</v>
      </c>
      <c r="P110" s="20">
        <v>2</v>
      </c>
      <c r="Q110" s="15">
        <v>1</v>
      </c>
      <c r="R110" s="27">
        <f>$H$76*P110*Q110</f>
        <v>5917820.04</v>
      </c>
    </row>
    <row r="111" spans="2:18">
      <c r="B111" s="76" t="s">
        <v>24</v>
      </c>
      <c r="C111" s="77"/>
      <c r="D111" s="20">
        <v>2</v>
      </c>
      <c r="E111" s="15">
        <v>1</v>
      </c>
      <c r="F111" s="27">
        <f>$H$84*D111*E111</f>
        <v>5342476.4249999998</v>
      </c>
      <c r="G111" s="20">
        <v>2</v>
      </c>
      <c r="H111" s="15">
        <v>1</v>
      </c>
      <c r="I111" s="27">
        <f>$H$84*G111*H111</f>
        <v>5342476.4249999998</v>
      </c>
      <c r="J111" s="20">
        <v>2</v>
      </c>
      <c r="K111" s="15">
        <v>1</v>
      </c>
      <c r="L111" s="27">
        <f>$H$84*J111*K111</f>
        <v>5342476.4249999998</v>
      </c>
      <c r="M111" s="20">
        <v>2</v>
      </c>
      <c r="N111" s="15">
        <v>1</v>
      </c>
      <c r="O111" s="27">
        <f>$H$84*M111*N111</f>
        <v>5342476.4249999998</v>
      </c>
      <c r="P111" s="20">
        <v>2</v>
      </c>
      <c r="Q111" s="15">
        <v>1</v>
      </c>
      <c r="R111" s="27">
        <f>$H$84*P111*Q111</f>
        <v>5342476.4249999998</v>
      </c>
    </row>
    <row r="112" spans="2:18" ht="13.5" thickBot="1">
      <c r="B112" s="76" t="s">
        <v>25</v>
      </c>
      <c r="C112" s="77"/>
      <c r="D112" s="17">
        <v>2</v>
      </c>
      <c r="E112" s="78">
        <v>1</v>
      </c>
      <c r="F112" s="79">
        <f>$H$92*D112*E112</f>
        <v>5671244.2050000001</v>
      </c>
      <c r="G112" s="17">
        <v>2</v>
      </c>
      <c r="H112" s="78">
        <v>1</v>
      </c>
      <c r="I112" s="79">
        <f>$H$92*G112*H112</f>
        <v>5671244.2050000001</v>
      </c>
      <c r="J112" s="17">
        <v>2</v>
      </c>
      <c r="K112" s="78">
        <v>1</v>
      </c>
      <c r="L112" s="79">
        <f>$H$92*J112*K112</f>
        <v>5671244.2050000001</v>
      </c>
      <c r="M112" s="17">
        <v>2</v>
      </c>
      <c r="N112" s="78">
        <v>1</v>
      </c>
      <c r="O112" s="79">
        <f>$H$92*M112*N112</f>
        <v>5671244.2050000001</v>
      </c>
      <c r="P112" s="17">
        <v>2</v>
      </c>
      <c r="Q112" s="78">
        <v>1</v>
      </c>
      <c r="R112" s="79">
        <f>$H$92*P112*Q112</f>
        <v>5671244.2050000001</v>
      </c>
    </row>
    <row r="113" spans="1:18" ht="13.5" thickBot="1">
      <c r="B113" s="69" t="s">
        <v>69</v>
      </c>
      <c r="C113" s="80"/>
      <c r="D113" s="80"/>
      <c r="E113" s="80"/>
      <c r="F113" s="81">
        <f>MIN(F108:F112)</f>
        <v>5342476.4249999998</v>
      </c>
      <c r="G113" s="81"/>
      <c r="H113" s="81"/>
      <c r="I113" s="81">
        <f>MIN(I108:I112)</f>
        <v>5342476.4249999998</v>
      </c>
      <c r="J113" s="81"/>
      <c r="K113" s="81"/>
      <c r="L113" s="81">
        <f>MIN(L108:L112)</f>
        <v>5342476.4249999998</v>
      </c>
      <c r="M113" s="81"/>
      <c r="N113" s="81"/>
      <c r="O113" s="81">
        <f>MIN(O108:O112)</f>
        <v>5342476.4249999998</v>
      </c>
      <c r="P113" s="81"/>
      <c r="Q113" s="81"/>
      <c r="R113" s="82">
        <f>MIN(R108:R112)</f>
        <v>5342476.4249999998</v>
      </c>
    </row>
    <row r="114" spans="1:18" ht="13.5" thickBot="1"/>
    <row r="115" spans="1:18" ht="13.5" thickBot="1">
      <c r="B115" s="63" t="s">
        <v>7</v>
      </c>
      <c r="C115" s="64"/>
      <c r="D115" s="65" t="s">
        <v>9</v>
      </c>
      <c r="E115" s="65"/>
      <c r="F115" s="65"/>
      <c r="G115" s="65" t="s">
        <v>10</v>
      </c>
      <c r="H115" s="65"/>
      <c r="I115" s="65"/>
      <c r="J115" s="66" t="s">
        <v>11</v>
      </c>
      <c r="K115" s="67"/>
      <c r="L115" s="68"/>
      <c r="M115" s="66" t="s">
        <v>12</v>
      </c>
      <c r="N115" s="67"/>
      <c r="O115" s="68"/>
      <c r="P115" s="66" t="s">
        <v>13</v>
      </c>
      <c r="Q115" s="67"/>
      <c r="R115" s="68"/>
    </row>
    <row r="116" spans="1:18" ht="13.5" thickBot="1">
      <c r="B116" s="69" t="s">
        <v>26</v>
      </c>
      <c r="C116" s="70"/>
      <c r="D116" s="71" t="s">
        <v>35</v>
      </c>
      <c r="E116" s="72" t="s">
        <v>33</v>
      </c>
      <c r="F116" s="73" t="s">
        <v>34</v>
      </c>
      <c r="G116" s="72" t="s">
        <v>35</v>
      </c>
      <c r="H116" s="72" t="s">
        <v>33</v>
      </c>
      <c r="I116" s="73" t="s">
        <v>34</v>
      </c>
      <c r="J116" s="72" t="s">
        <v>35</v>
      </c>
      <c r="K116" s="72" t="s">
        <v>33</v>
      </c>
      <c r="L116" s="73" t="s">
        <v>34</v>
      </c>
      <c r="M116" s="72" t="s">
        <v>35</v>
      </c>
      <c r="N116" s="72" t="s">
        <v>33</v>
      </c>
      <c r="O116" s="73" t="s">
        <v>34</v>
      </c>
      <c r="P116" s="72" t="s">
        <v>35</v>
      </c>
      <c r="Q116" s="72" t="s">
        <v>33</v>
      </c>
      <c r="R116" s="73" t="s">
        <v>34</v>
      </c>
    </row>
    <row r="117" spans="1:18">
      <c r="B117" s="74" t="s">
        <v>21</v>
      </c>
      <c r="C117" s="75"/>
      <c r="D117" s="20">
        <v>2</v>
      </c>
      <c r="E117" s="15">
        <v>1</v>
      </c>
      <c r="F117" s="27">
        <f>$H$63*D117*E117</f>
        <v>5959388.3799999999</v>
      </c>
      <c r="G117" s="20">
        <v>2</v>
      </c>
      <c r="H117" s="15">
        <f>E117+0</f>
        <v>1</v>
      </c>
      <c r="I117" s="27">
        <f>$H$63*G117*H117</f>
        <v>5959388.3799999999</v>
      </c>
      <c r="J117" s="20">
        <v>2</v>
      </c>
      <c r="K117" s="15">
        <v>1</v>
      </c>
      <c r="L117" s="27">
        <f>$H$63*J117*K117</f>
        <v>5959388.3799999999</v>
      </c>
      <c r="M117" s="20">
        <v>2</v>
      </c>
      <c r="N117" s="15">
        <v>2</v>
      </c>
      <c r="O117" s="27">
        <f>$H$63*M117*N117</f>
        <v>11918776.76</v>
      </c>
      <c r="P117" s="20">
        <v>2</v>
      </c>
      <c r="Q117" s="15">
        <v>2</v>
      </c>
      <c r="R117" s="27">
        <f>$H$63*P117*Q117</f>
        <v>11918776.76</v>
      </c>
    </row>
    <row r="118" spans="1:18">
      <c r="B118" s="76" t="s">
        <v>22</v>
      </c>
      <c r="C118" s="77"/>
      <c r="D118" s="20">
        <v>2</v>
      </c>
      <c r="E118" s="15">
        <v>1</v>
      </c>
      <c r="F118" s="27">
        <f>$H$70*D118*E118</f>
        <v>6194627.3949999996</v>
      </c>
      <c r="G118" s="20">
        <v>2</v>
      </c>
      <c r="H118" s="15">
        <f t="shared" ref="H118:H120" si="28">E118+0</f>
        <v>1</v>
      </c>
      <c r="I118" s="27">
        <f>$H$70*G118*H118</f>
        <v>6194627.3949999996</v>
      </c>
      <c r="J118" s="20">
        <v>2</v>
      </c>
      <c r="K118" s="15">
        <v>1</v>
      </c>
      <c r="L118" s="27">
        <f>$H$70*J118*K118</f>
        <v>6194627.3949999996</v>
      </c>
      <c r="M118" s="20">
        <v>2</v>
      </c>
      <c r="N118" s="15">
        <v>1</v>
      </c>
      <c r="O118" s="27">
        <f>$H$70*M118*N118</f>
        <v>6194627.3949999996</v>
      </c>
      <c r="P118" s="20">
        <v>2</v>
      </c>
      <c r="Q118" s="15">
        <v>2</v>
      </c>
      <c r="R118" s="27">
        <f>$H$70*P118*Q118</f>
        <v>12389254.789999999</v>
      </c>
    </row>
    <row r="119" spans="1:18">
      <c r="B119" s="76" t="s">
        <v>23</v>
      </c>
      <c r="C119" s="77"/>
      <c r="D119" s="20">
        <v>2</v>
      </c>
      <c r="E119" s="15">
        <v>1</v>
      </c>
      <c r="F119" s="27">
        <f>$H$77*D119*E119</f>
        <v>5645736.3600000003</v>
      </c>
      <c r="G119" s="20">
        <v>2</v>
      </c>
      <c r="H119" s="15">
        <f t="shared" si="28"/>
        <v>1</v>
      </c>
      <c r="I119" s="27">
        <f>$H$77*G119*H119</f>
        <v>5645736.3600000003</v>
      </c>
      <c r="J119" s="20">
        <v>2</v>
      </c>
      <c r="K119" s="15">
        <v>2</v>
      </c>
      <c r="L119" s="27">
        <f>$H$77*J119*K119</f>
        <v>11291472.720000001</v>
      </c>
      <c r="M119" s="20">
        <v>2</v>
      </c>
      <c r="N119" s="15">
        <v>2</v>
      </c>
      <c r="O119" s="27">
        <f>$H$77*M119*N119</f>
        <v>11291472.720000001</v>
      </c>
      <c r="P119" s="20">
        <v>2</v>
      </c>
      <c r="Q119" s="15">
        <v>2</v>
      </c>
      <c r="R119" s="27">
        <f>$H$77*P119*Q119</f>
        <v>11291472.720000001</v>
      </c>
    </row>
    <row r="120" spans="1:18">
      <c r="B120" s="76" t="s">
        <v>24</v>
      </c>
      <c r="C120" s="77"/>
      <c r="D120" s="20">
        <v>2</v>
      </c>
      <c r="E120" s="15">
        <v>2</v>
      </c>
      <c r="F120" s="27">
        <f>$H$85*D120*E120</f>
        <v>10193690.65</v>
      </c>
      <c r="G120" s="20">
        <v>2</v>
      </c>
      <c r="H120" s="15">
        <f t="shared" si="28"/>
        <v>2</v>
      </c>
      <c r="I120" s="27">
        <f>$H$85*G120*H120</f>
        <v>10193690.65</v>
      </c>
      <c r="J120" s="20">
        <v>2</v>
      </c>
      <c r="K120" s="15">
        <v>2</v>
      </c>
      <c r="L120" s="27">
        <f>$H$85*J120*K120</f>
        <v>10193690.65</v>
      </c>
      <c r="M120" s="20">
        <v>2</v>
      </c>
      <c r="N120" s="15">
        <v>2</v>
      </c>
      <c r="O120" s="27">
        <f>$H$85*M120*N120</f>
        <v>10193690.65</v>
      </c>
      <c r="P120" s="20">
        <v>2</v>
      </c>
      <c r="Q120" s="15">
        <v>2</v>
      </c>
      <c r="R120" s="27">
        <f>$H$85*P120*Q120</f>
        <v>10193690.65</v>
      </c>
    </row>
    <row r="121" spans="1:18" ht="13.5" thickBot="1">
      <c r="B121" s="76" t="s">
        <v>25</v>
      </c>
      <c r="C121" s="77"/>
      <c r="D121" s="17">
        <v>2</v>
      </c>
      <c r="E121" s="78">
        <v>1</v>
      </c>
      <c r="F121" s="79">
        <f>$H$93*D121*E121</f>
        <v>5410497.3449999997</v>
      </c>
      <c r="G121" s="17">
        <v>2</v>
      </c>
      <c r="H121" s="15">
        <f>E121+1</f>
        <v>2</v>
      </c>
      <c r="I121" s="79">
        <f>$H$93*G121*H121</f>
        <v>10820994.689999999</v>
      </c>
      <c r="J121" s="17">
        <v>2</v>
      </c>
      <c r="K121" s="15">
        <v>2</v>
      </c>
      <c r="L121" s="79">
        <f>$H$93*J121*K121</f>
        <v>10820994.689999999</v>
      </c>
      <c r="M121" s="17">
        <v>2</v>
      </c>
      <c r="N121" s="78">
        <v>2</v>
      </c>
      <c r="O121" s="79">
        <f>$H$93*M121*N121</f>
        <v>10820994.689999999</v>
      </c>
      <c r="P121" s="17">
        <v>2</v>
      </c>
      <c r="Q121" s="78">
        <v>2</v>
      </c>
      <c r="R121" s="79">
        <f>$H$93*P121*Q121</f>
        <v>10820994.689999999</v>
      </c>
    </row>
    <row r="122" spans="1:18" ht="13.5" thickBot="1">
      <c r="B122" s="69" t="s">
        <v>69</v>
      </c>
      <c r="C122" s="80"/>
      <c r="D122" s="80"/>
      <c r="E122" s="80"/>
      <c r="F122" s="81">
        <f>MIN(F117:F121)</f>
        <v>5410497.3449999997</v>
      </c>
      <c r="G122" s="81"/>
      <c r="H122" s="81"/>
      <c r="I122" s="81">
        <f>MIN(I117:I121)</f>
        <v>5645736.3600000003</v>
      </c>
      <c r="J122" s="81"/>
      <c r="K122" s="81"/>
      <c r="L122" s="81">
        <f>MIN(L117:L121)</f>
        <v>5959388.3799999999</v>
      </c>
      <c r="M122" s="81"/>
      <c r="N122" s="81"/>
      <c r="O122" s="81">
        <f>MIN(O117:O121)</f>
        <v>6194627.3949999996</v>
      </c>
      <c r="P122" s="81"/>
      <c r="Q122" s="81"/>
      <c r="R122" s="82">
        <f>MIN(R117:R121)</f>
        <v>10193690.65</v>
      </c>
    </row>
    <row r="123" spans="1:18" ht="13.5" thickBot="1"/>
    <row r="124" spans="1:18" ht="13.5" thickBot="1">
      <c r="B124" s="63" t="s">
        <v>8</v>
      </c>
      <c r="C124" s="64"/>
      <c r="D124" s="65" t="s">
        <v>9</v>
      </c>
      <c r="E124" s="65"/>
      <c r="F124" s="65"/>
      <c r="G124" s="65" t="s">
        <v>10</v>
      </c>
      <c r="H124" s="65"/>
      <c r="I124" s="65"/>
      <c r="J124" s="66" t="s">
        <v>11</v>
      </c>
      <c r="K124" s="67"/>
      <c r="L124" s="68"/>
      <c r="M124" s="66" t="s">
        <v>12</v>
      </c>
      <c r="N124" s="67"/>
      <c r="O124" s="68"/>
      <c r="P124" s="66" t="s">
        <v>13</v>
      </c>
      <c r="Q124" s="67"/>
      <c r="R124" s="68"/>
    </row>
    <row r="125" spans="1:18" ht="13.5" thickBot="1">
      <c r="B125" s="69" t="s">
        <v>26</v>
      </c>
      <c r="C125" s="70"/>
      <c r="D125" s="71" t="s">
        <v>35</v>
      </c>
      <c r="E125" s="72" t="s">
        <v>33</v>
      </c>
      <c r="F125" s="73" t="s">
        <v>34</v>
      </c>
      <c r="G125" s="72" t="s">
        <v>35</v>
      </c>
      <c r="H125" s="72" t="s">
        <v>33</v>
      </c>
      <c r="I125" s="73" t="s">
        <v>34</v>
      </c>
      <c r="J125" s="72" t="s">
        <v>35</v>
      </c>
      <c r="K125" s="72" t="s">
        <v>33</v>
      </c>
      <c r="L125" s="73" t="s">
        <v>34</v>
      </c>
      <c r="M125" s="72" t="s">
        <v>35</v>
      </c>
      <c r="N125" s="72" t="s">
        <v>33</v>
      </c>
      <c r="O125" s="73" t="s">
        <v>34</v>
      </c>
      <c r="P125" s="72" t="s">
        <v>35</v>
      </c>
      <c r="Q125" s="72" t="s">
        <v>33</v>
      </c>
      <c r="R125" s="73" t="s">
        <v>34</v>
      </c>
    </row>
    <row r="126" spans="1:18">
      <c r="B126" s="74" t="s">
        <v>21</v>
      </c>
      <c r="C126" s="75"/>
      <c r="D126" s="20">
        <v>2</v>
      </c>
      <c r="E126" s="15">
        <v>1</v>
      </c>
      <c r="F126" s="27">
        <f>$H$64*D126*E126</f>
        <v>6390187.54</v>
      </c>
      <c r="G126" s="20">
        <v>2</v>
      </c>
      <c r="H126" s="15">
        <v>1</v>
      </c>
      <c r="I126" s="27">
        <f>$H$64*G126*H126</f>
        <v>6390187.54</v>
      </c>
      <c r="J126" s="20">
        <v>2</v>
      </c>
      <c r="K126" s="15">
        <v>1</v>
      </c>
      <c r="L126" s="27">
        <f>$H$64*J126*K126</f>
        <v>6390187.54</v>
      </c>
      <c r="M126" s="20">
        <v>2</v>
      </c>
      <c r="N126" s="15">
        <v>1</v>
      </c>
      <c r="O126" s="27">
        <f>$H$64*M126*N126</f>
        <v>6390187.54</v>
      </c>
      <c r="P126" s="20">
        <v>2</v>
      </c>
      <c r="Q126" s="15">
        <v>1</v>
      </c>
      <c r="R126" s="27">
        <f>$H$64*P126*Q126</f>
        <v>6390187.54</v>
      </c>
    </row>
    <row r="127" spans="1:18">
      <c r="A127" s="83"/>
      <c r="B127" s="76" t="s">
        <v>22</v>
      </c>
      <c r="C127" s="77"/>
      <c r="D127" s="20">
        <v>2</v>
      </c>
      <c r="E127" s="15">
        <v>1</v>
      </c>
      <c r="F127" s="27">
        <f>$H$71*D127*E127</f>
        <v>6642431.7850000001</v>
      </c>
      <c r="G127" s="20">
        <v>2</v>
      </c>
      <c r="H127" s="15">
        <v>1</v>
      </c>
      <c r="I127" s="27">
        <f>$H$71*G127*H127</f>
        <v>6642431.7850000001</v>
      </c>
      <c r="J127" s="20">
        <v>2</v>
      </c>
      <c r="K127" s="15">
        <v>1</v>
      </c>
      <c r="L127" s="27">
        <f>$H$71*J127*K127</f>
        <v>6642431.7850000001</v>
      </c>
      <c r="M127" s="20">
        <v>2</v>
      </c>
      <c r="N127" s="15">
        <v>1</v>
      </c>
      <c r="O127" s="27">
        <f>$H$71*M127*N127</f>
        <v>6642431.7850000001</v>
      </c>
      <c r="P127" s="20">
        <v>2</v>
      </c>
      <c r="Q127" s="15">
        <v>1</v>
      </c>
      <c r="R127" s="27">
        <f>$H$71*P127*Q127</f>
        <v>6642431.7850000001</v>
      </c>
    </row>
    <row r="128" spans="1:18">
      <c r="B128" s="76" t="s">
        <v>23</v>
      </c>
      <c r="C128" s="77"/>
      <c r="D128" s="20">
        <v>2</v>
      </c>
      <c r="E128" s="15">
        <v>1</v>
      </c>
      <c r="F128" s="27">
        <f>$H$78*D128*E128</f>
        <v>6053861.8799999999</v>
      </c>
      <c r="G128" s="20">
        <v>2</v>
      </c>
      <c r="H128" s="15">
        <v>1</v>
      </c>
      <c r="I128" s="27">
        <f>$H$78*G128*H128</f>
        <v>6053861.8799999999</v>
      </c>
      <c r="J128" s="20">
        <v>2</v>
      </c>
      <c r="K128" s="15">
        <v>1</v>
      </c>
      <c r="L128" s="27">
        <f>$H$78*J128*K128</f>
        <v>6053861.8799999999</v>
      </c>
      <c r="M128" s="20">
        <v>2</v>
      </c>
      <c r="N128" s="15">
        <v>1</v>
      </c>
      <c r="O128" s="27">
        <f>$H$78*M128*N128</f>
        <v>6053861.8799999999</v>
      </c>
      <c r="P128" s="20">
        <v>2</v>
      </c>
      <c r="Q128" s="15">
        <v>1</v>
      </c>
      <c r="R128" s="27">
        <f>$H$78*P128*Q128</f>
        <v>6053861.8799999999</v>
      </c>
    </row>
    <row r="129" spans="2:18">
      <c r="B129" s="76" t="s">
        <v>24</v>
      </c>
      <c r="C129" s="77"/>
      <c r="D129" s="20">
        <v>2</v>
      </c>
      <c r="E129" s="15">
        <v>1</v>
      </c>
      <c r="F129" s="27">
        <f>$H$86*D129*E129</f>
        <v>5465291.9749999996</v>
      </c>
      <c r="G129" s="20">
        <v>2</v>
      </c>
      <c r="H129" s="15">
        <v>1</v>
      </c>
      <c r="I129" s="27">
        <f>$H$86*G129*H129</f>
        <v>5465291.9749999996</v>
      </c>
      <c r="J129" s="20">
        <v>2</v>
      </c>
      <c r="K129" s="15">
        <v>1</v>
      </c>
      <c r="L129" s="27">
        <f>$H$86*J129*K129</f>
        <v>5465291.9749999996</v>
      </c>
      <c r="M129" s="20">
        <v>2</v>
      </c>
      <c r="N129" s="15">
        <v>1</v>
      </c>
      <c r="O129" s="27">
        <f>$H$86*M129*N129</f>
        <v>5465291.9749999996</v>
      </c>
      <c r="P129" s="20">
        <v>2</v>
      </c>
      <c r="Q129" s="15">
        <v>1</v>
      </c>
      <c r="R129" s="27">
        <f>$H$86*P129*Q129</f>
        <v>5465291.9749999996</v>
      </c>
    </row>
    <row r="130" spans="2:18" ht="13.5" thickBot="1">
      <c r="B130" s="76" t="s">
        <v>25</v>
      </c>
      <c r="C130" s="77"/>
      <c r="D130" s="17">
        <v>2</v>
      </c>
      <c r="E130" s="78">
        <v>1</v>
      </c>
      <c r="F130" s="79">
        <f>$H$94*D130*E130</f>
        <v>5801617.6349999998</v>
      </c>
      <c r="G130" s="17">
        <v>2</v>
      </c>
      <c r="H130" s="78">
        <v>1</v>
      </c>
      <c r="I130" s="79">
        <f>$H$94*G130*H130</f>
        <v>5801617.6349999998</v>
      </c>
      <c r="J130" s="17">
        <v>2</v>
      </c>
      <c r="K130" s="78">
        <v>1</v>
      </c>
      <c r="L130" s="79">
        <f>$H$94*J130*K130</f>
        <v>5801617.6349999998</v>
      </c>
      <c r="M130" s="17">
        <v>2</v>
      </c>
      <c r="N130" s="78">
        <v>1</v>
      </c>
      <c r="O130" s="79">
        <f>$H$94*M130*N130</f>
        <v>5801617.6349999998</v>
      </c>
      <c r="P130" s="17">
        <v>2</v>
      </c>
      <c r="Q130" s="78">
        <v>1</v>
      </c>
      <c r="R130" s="79">
        <f>$H$94*P130*Q130</f>
        <v>5801617.6349999998</v>
      </c>
    </row>
    <row r="131" spans="2:18" ht="13.5" thickBot="1">
      <c r="B131" s="69" t="s">
        <v>69</v>
      </c>
      <c r="C131" s="80"/>
      <c r="D131" s="80"/>
      <c r="E131" s="80"/>
      <c r="F131" s="81">
        <f>MIN(F126:F130)</f>
        <v>5465291.9749999996</v>
      </c>
      <c r="G131" s="81"/>
      <c r="H131" s="81"/>
      <c r="I131" s="81">
        <f>MIN(I126:I130)</f>
        <v>5465291.9749999996</v>
      </c>
      <c r="J131" s="81"/>
      <c r="K131" s="81"/>
      <c r="L131" s="81">
        <f>MIN(L126:L130)</f>
        <v>5465291.9749999996</v>
      </c>
      <c r="M131" s="81"/>
      <c r="N131" s="81"/>
      <c r="O131" s="81">
        <f>MIN(O126:O130)</f>
        <v>5465291.9749999996</v>
      </c>
      <c r="P131" s="81"/>
      <c r="Q131" s="81"/>
      <c r="R131" s="82">
        <f>MIN(R126:R130)</f>
        <v>5465291.9749999996</v>
      </c>
    </row>
    <row r="133" spans="2:18">
      <c r="B133" s="84" t="s">
        <v>37</v>
      </c>
      <c r="C133" s="84"/>
      <c r="D133" s="84"/>
      <c r="E133" s="84"/>
      <c r="F133" s="84"/>
    </row>
    <row r="134" spans="2:18">
      <c r="B134" s="84"/>
      <c r="C134" s="84"/>
      <c r="D134" s="84"/>
      <c r="E134" s="84"/>
      <c r="F134" s="84"/>
    </row>
    <row r="135" spans="2:18">
      <c r="B135" s="84"/>
      <c r="C135" s="84"/>
      <c r="D135" s="84"/>
      <c r="E135" s="84"/>
      <c r="F135" s="84"/>
    </row>
    <row r="136" spans="2:18">
      <c r="B136" s="84"/>
      <c r="C136" s="84"/>
      <c r="D136" s="84"/>
      <c r="E136" s="84"/>
      <c r="F136" s="84"/>
    </row>
    <row r="137" spans="2:18">
      <c r="B137" s="85"/>
      <c r="C137" s="85"/>
      <c r="D137" s="85"/>
      <c r="E137" s="85"/>
      <c r="F137" s="85"/>
    </row>
    <row r="138" spans="2:18" ht="13.5" thickBot="1">
      <c r="B138" s="51" t="s">
        <v>36</v>
      </c>
    </row>
    <row r="139" spans="2:18">
      <c r="B139" s="74" t="s">
        <v>26</v>
      </c>
      <c r="C139" s="86"/>
      <c r="D139" s="55" t="s">
        <v>9</v>
      </c>
      <c r="E139" s="55" t="s">
        <v>10</v>
      </c>
      <c r="F139" s="55" t="s">
        <v>11</v>
      </c>
      <c r="G139" s="55" t="s">
        <v>12</v>
      </c>
      <c r="H139" s="55" t="s">
        <v>13</v>
      </c>
    </row>
    <row r="140" spans="2:18">
      <c r="B140" s="87" t="s">
        <v>5</v>
      </c>
      <c r="C140" s="61"/>
      <c r="D140" s="27">
        <f>F$104</f>
        <v>5219660.875</v>
      </c>
      <c r="E140" s="27">
        <f>$I$104</f>
        <v>5219660.875</v>
      </c>
      <c r="F140" s="27">
        <f>$L$104</f>
        <v>5219660.875</v>
      </c>
      <c r="G140" s="27">
        <f>$O$104</f>
        <v>5219660.875</v>
      </c>
      <c r="H140" s="27">
        <f>$R$104</f>
        <v>5219660.875</v>
      </c>
    </row>
    <row r="141" spans="2:18">
      <c r="B141" s="87" t="s">
        <v>6</v>
      </c>
      <c r="C141" s="61"/>
      <c r="D141" s="27">
        <f>F113</f>
        <v>5342476.4249999998</v>
      </c>
      <c r="E141" s="27">
        <f>$I$113</f>
        <v>5342476.4249999998</v>
      </c>
      <c r="F141" s="27">
        <f>$L$113</f>
        <v>5342476.4249999998</v>
      </c>
      <c r="G141" s="27">
        <f>$O$113</f>
        <v>5342476.4249999998</v>
      </c>
      <c r="H141" s="27">
        <f>$R$113</f>
        <v>5342476.4249999998</v>
      </c>
    </row>
    <row r="142" spans="2:18">
      <c r="B142" s="87" t="s">
        <v>7</v>
      </c>
      <c r="C142" s="61"/>
      <c r="D142" s="27">
        <f>F122</f>
        <v>5410497.3449999997</v>
      </c>
      <c r="E142" s="27">
        <f>$I$122</f>
        <v>5645736.3600000003</v>
      </c>
      <c r="F142" s="27">
        <f>$L$122</f>
        <v>5959388.3799999999</v>
      </c>
      <c r="G142" s="27">
        <f>$O$122</f>
        <v>6194627.3949999996</v>
      </c>
      <c r="H142" s="27">
        <f>$R$122</f>
        <v>10193690.65</v>
      </c>
    </row>
    <row r="143" spans="2:18" ht="13.5" thickBot="1">
      <c r="B143" s="87" t="s">
        <v>8</v>
      </c>
      <c r="C143" s="61"/>
      <c r="D143" s="79">
        <f>F131</f>
        <v>5465291.9749999996</v>
      </c>
      <c r="E143" s="27">
        <f>$I$131</f>
        <v>5465291.9749999996</v>
      </c>
      <c r="F143" s="27">
        <f>$L$131</f>
        <v>5465291.9749999996</v>
      </c>
      <c r="G143" s="27">
        <f>$O$131</f>
        <v>5465291.9749999996</v>
      </c>
      <c r="H143" s="27">
        <f>$R$131</f>
        <v>5465291.9749999996</v>
      </c>
    </row>
    <row r="144" spans="2:18" ht="13.5" thickBot="1">
      <c r="B144" s="88" t="s">
        <v>38</v>
      </c>
      <c r="C144" s="89"/>
      <c r="D144" s="90">
        <f>SUM(D140:D143)</f>
        <v>21437926.619999997</v>
      </c>
      <c r="E144" s="90">
        <f>SUM(E140:E143)</f>
        <v>21673165.634999998</v>
      </c>
      <c r="F144" s="90">
        <f>SUM(F140:F143)</f>
        <v>21986817.655000001</v>
      </c>
      <c r="G144" s="90">
        <f>SUM(G140:G143)</f>
        <v>22222056.670000002</v>
      </c>
      <c r="H144" s="91">
        <f>SUM(H140:H143)</f>
        <v>26221119.925000004</v>
      </c>
    </row>
    <row r="146" spans="2:10">
      <c r="B146" s="59" t="s">
        <v>40</v>
      </c>
    </row>
    <row r="147" spans="2:10">
      <c r="B147" s="59" t="s">
        <v>39</v>
      </c>
    </row>
    <row r="148" spans="2:10">
      <c r="B148" s="51" t="s">
        <v>41</v>
      </c>
    </row>
    <row r="149" spans="2:10">
      <c r="B149" s="51" t="s">
        <v>70</v>
      </c>
    </row>
    <row r="150" spans="2:10">
      <c r="B150" s="51" t="s">
        <v>71</v>
      </c>
      <c r="J150" s="83"/>
    </row>
    <row r="151" spans="2:10">
      <c r="B151" s="51"/>
    </row>
    <row r="152" spans="2:10">
      <c r="B152" s="92" t="s">
        <v>77</v>
      </c>
      <c r="C152" s="55"/>
      <c r="D152" s="55">
        <v>4</v>
      </c>
      <c r="E152" s="55">
        <v>4</v>
      </c>
      <c r="F152" s="55">
        <v>4</v>
      </c>
      <c r="G152" s="55">
        <v>4</v>
      </c>
      <c r="H152" s="55">
        <v>5</v>
      </c>
    </row>
    <row r="153" spans="2:10">
      <c r="B153" s="51"/>
    </row>
    <row r="154" spans="2:10">
      <c r="B154" s="51" t="s">
        <v>73</v>
      </c>
    </row>
    <row r="155" spans="2:10">
      <c r="B155" s="93" t="s">
        <v>26</v>
      </c>
      <c r="C155" s="17"/>
      <c r="D155" s="94" t="s">
        <v>9</v>
      </c>
      <c r="E155" s="55" t="s">
        <v>10</v>
      </c>
      <c r="F155" s="55" t="s">
        <v>11</v>
      </c>
      <c r="G155" s="55" t="s">
        <v>12</v>
      </c>
      <c r="H155" s="55" t="s">
        <v>13</v>
      </c>
    </row>
    <row r="156" spans="2:10">
      <c r="B156" s="95" t="s">
        <v>5</v>
      </c>
      <c r="C156" s="17"/>
      <c r="D156" s="27">
        <f>(D$140-C$43)*$F$4</f>
        <v>1886711743.75</v>
      </c>
      <c r="E156" s="27">
        <f>(E$140-D$43)*$F$4</f>
        <v>1797461743.7500005</v>
      </c>
      <c r="F156" s="27">
        <f>(F$140-E$43)*$F$4</f>
        <v>1705087993.7500007</v>
      </c>
      <c r="G156" s="27">
        <f>(G$140-F$43)*$F$4</f>
        <v>1609481162.5000012</v>
      </c>
      <c r="H156" s="27">
        <f>(H$140-G$43)*$F$4</f>
        <v>1510528092.1562514</v>
      </c>
    </row>
    <row r="157" spans="2:10">
      <c r="B157" s="96" t="s">
        <v>6</v>
      </c>
      <c r="C157" s="22"/>
      <c r="D157" s="27">
        <f>(D$141-C$44)*$F$5</f>
        <v>1481104961.2499998</v>
      </c>
      <c r="E157" s="27">
        <f>(E$141-D$44)*$F$5</f>
        <v>1404604961.2500002</v>
      </c>
      <c r="F157" s="27">
        <f>(F$141-E$44)*$F$5</f>
        <v>1326192461.2500007</v>
      </c>
      <c r="G157" s="27">
        <f>(G$141-F$44)*$F$5</f>
        <v>1245819648.750001</v>
      </c>
      <c r="H157" s="27">
        <f>(H$141-G$44)*$F$5</f>
        <v>1163437515.9375014</v>
      </c>
    </row>
    <row r="158" spans="2:10">
      <c r="B158" s="96" t="s">
        <v>7</v>
      </c>
      <c r="C158" s="22"/>
      <c r="D158" s="27">
        <f>(D$142-C$45)*$F$6</f>
        <v>11022212.249999726</v>
      </c>
      <c r="E158" s="27">
        <f>(E$142-D$45)*$F$6</f>
        <v>2873178.000000352</v>
      </c>
      <c r="F158" s="27">
        <f>(F$142-E$45)*$F$6</f>
        <v>65576048.999999881</v>
      </c>
      <c r="G158" s="27">
        <f>(G$142-F$45)*$F$6</f>
        <v>33946836.000000313</v>
      </c>
      <c r="H158" s="27">
        <f>(H$142-G$45)*$F$6</f>
        <v>3941794716.9562516</v>
      </c>
    </row>
    <row r="159" spans="2:10" ht="13.5" thickBot="1">
      <c r="B159" s="96" t="s">
        <v>8</v>
      </c>
      <c r="C159" s="22"/>
      <c r="D159" s="79">
        <f>(D$143-C$46)*$F$7</f>
        <v>2210556573.7499995</v>
      </c>
      <c r="E159" s="79">
        <f>(E$143-D$46)*$F$7</f>
        <v>1998876573.7499995</v>
      </c>
      <c r="F159" s="79">
        <f>(F$143-E$46)*$F$7</f>
        <v>1774495773.7499995</v>
      </c>
      <c r="G159" s="79">
        <f>(G$143-F$46)*$F$7</f>
        <v>1536652125.7499993</v>
      </c>
      <c r="H159" s="79">
        <f>(H$143-G$46)*$F$7</f>
        <v>1284537858.8699987</v>
      </c>
    </row>
    <row r="160" spans="2:10" ht="13.5" thickBot="1">
      <c r="B160" s="98" t="s">
        <v>51</v>
      </c>
      <c r="C160" s="104"/>
      <c r="D160" s="103">
        <f>SUM(D156:D159)</f>
        <v>5589395490.999999</v>
      </c>
      <c r="E160" s="81">
        <f>SUM(E156:E159)</f>
        <v>5203816456.750001</v>
      </c>
      <c r="F160" s="81">
        <f>SUM(F156:F159)</f>
        <v>4871352277.750001</v>
      </c>
      <c r="G160" s="81">
        <f>SUM(G156:G159)</f>
        <v>4425899773.0000019</v>
      </c>
      <c r="H160" s="82">
        <f>SUM(H156:H159)</f>
        <v>7900298183.9200039</v>
      </c>
    </row>
    <row r="162" spans="2:8">
      <c r="B162" s="51" t="s">
        <v>72</v>
      </c>
      <c r="D162" s="14">
        <v>12</v>
      </c>
    </row>
    <row r="163" spans="2:8">
      <c r="B163" s="93" t="s">
        <v>26</v>
      </c>
      <c r="C163" s="17"/>
      <c r="D163" s="94" t="s">
        <v>9</v>
      </c>
      <c r="E163" s="55" t="s">
        <v>10</v>
      </c>
      <c r="F163" s="55" t="s">
        <v>11</v>
      </c>
      <c r="G163" s="55" t="s">
        <v>12</v>
      </c>
      <c r="H163" s="55" t="s">
        <v>13</v>
      </c>
    </row>
    <row r="164" spans="2:8">
      <c r="B164" s="95" t="s">
        <v>5</v>
      </c>
      <c r="C164" s="17"/>
      <c r="D164" s="27">
        <f>$D156*($D$162/100)</f>
        <v>226405409.25</v>
      </c>
      <c r="E164" s="27">
        <f t="shared" ref="E164:H164" si="29">E$156*($D$162/100)</f>
        <v>215695409.25000006</v>
      </c>
      <c r="F164" s="27">
        <f t="shared" si="29"/>
        <v>204610559.25000009</v>
      </c>
      <c r="G164" s="27">
        <f t="shared" si="29"/>
        <v>193137739.50000015</v>
      </c>
      <c r="H164" s="27">
        <f t="shared" si="29"/>
        <v>181263371.05875015</v>
      </c>
    </row>
    <row r="165" spans="2:8">
      <c r="B165" s="96" t="s">
        <v>6</v>
      </c>
      <c r="C165" s="22"/>
      <c r="D165" s="27">
        <f>D$157*($D$162/100)</f>
        <v>177732595.34999996</v>
      </c>
      <c r="E165" s="27">
        <f t="shared" ref="E165:H165" si="30">E$157*($D$162/100)</f>
        <v>168552595.35000002</v>
      </c>
      <c r="F165" s="27">
        <f t="shared" si="30"/>
        <v>159143095.35000008</v>
      </c>
      <c r="G165" s="27">
        <f t="shared" si="30"/>
        <v>149498357.85000011</v>
      </c>
      <c r="H165" s="27">
        <f t="shared" si="30"/>
        <v>139612501.91250017</v>
      </c>
    </row>
    <row r="166" spans="2:8">
      <c r="B166" s="96" t="s">
        <v>7</v>
      </c>
      <c r="C166" s="22"/>
      <c r="D166" s="27">
        <f>D$158*($D$162/100)</f>
        <v>1322665.4699999671</v>
      </c>
      <c r="E166" s="27">
        <f t="shared" ref="E166:H166" si="31">E$158*($D$162/100)</f>
        <v>344781.36000004224</v>
      </c>
      <c r="F166" s="27">
        <f t="shared" si="31"/>
        <v>7869125.879999985</v>
      </c>
      <c r="G166" s="27">
        <f t="shared" si="31"/>
        <v>4073620.3200000376</v>
      </c>
      <c r="H166" s="27">
        <f t="shared" si="31"/>
        <v>473015366.03475016</v>
      </c>
    </row>
    <row r="167" spans="2:8" ht="13.5" thickBot="1">
      <c r="B167" s="96" t="s">
        <v>8</v>
      </c>
      <c r="C167" s="22"/>
      <c r="D167" s="79">
        <f>D$159*($D$162/100)</f>
        <v>265266788.84999993</v>
      </c>
      <c r="E167" s="79">
        <f t="shared" ref="E167:H167" si="32">E$159*($D$162/100)</f>
        <v>239865188.84999993</v>
      </c>
      <c r="F167" s="79">
        <f t="shared" si="32"/>
        <v>212939492.84999993</v>
      </c>
      <c r="G167" s="79">
        <f t="shared" si="32"/>
        <v>184398255.08999991</v>
      </c>
      <c r="H167" s="79">
        <f t="shared" si="32"/>
        <v>154144543.06439984</v>
      </c>
    </row>
    <row r="168" spans="2:8" ht="13.5" thickBot="1">
      <c r="B168" s="148" t="s">
        <v>51</v>
      </c>
      <c r="C168" s="104"/>
      <c r="D168" s="81">
        <f>SUM(D164:D167)</f>
        <v>670727458.91999984</v>
      </c>
      <c r="E168" s="81">
        <f t="shared" ref="E168:H168" si="33">SUM(E164:E167)</f>
        <v>624457974.81000006</v>
      </c>
      <c r="F168" s="81">
        <f t="shared" si="33"/>
        <v>584562273.33000004</v>
      </c>
      <c r="G168" s="81">
        <f t="shared" si="33"/>
        <v>531107972.76000023</v>
      </c>
      <c r="H168" s="82">
        <f t="shared" si="33"/>
        <v>948035782.07040036</v>
      </c>
    </row>
    <row r="169" spans="2:8">
      <c r="B169" s="60"/>
      <c r="C169" s="24"/>
      <c r="D169" s="61"/>
      <c r="E169" s="61"/>
      <c r="F169" s="61"/>
      <c r="G169" s="61"/>
      <c r="H169" s="61"/>
    </row>
    <row r="170" spans="2:8" ht="13.5" thickBot="1">
      <c r="B170" s="51" t="s">
        <v>42</v>
      </c>
      <c r="E170" s="14">
        <v>4.5</v>
      </c>
    </row>
    <row r="171" spans="2:8">
      <c r="B171" s="74" t="s">
        <v>26</v>
      </c>
      <c r="C171" s="86"/>
      <c r="D171" s="55" t="s">
        <v>9</v>
      </c>
      <c r="E171" s="55" t="s">
        <v>10</v>
      </c>
      <c r="F171" s="55" t="s">
        <v>11</v>
      </c>
      <c r="G171" s="55" t="s">
        <v>12</v>
      </c>
      <c r="H171" s="55" t="s">
        <v>13</v>
      </c>
    </row>
    <row r="172" spans="2:8">
      <c r="B172" s="87" t="s">
        <v>5</v>
      </c>
      <c r="C172" s="61"/>
      <c r="D172" s="27">
        <f>(C51*($E$170/100))</f>
        <v>114750000</v>
      </c>
      <c r="E172" s="27">
        <f>(D51*($E$170/100))</f>
        <v>118766249.99999997</v>
      </c>
      <c r="F172" s="27">
        <f t="shared" ref="F172:H172" si="34">(E51*($E$170/100))</f>
        <v>122923068.74999996</v>
      </c>
      <c r="G172" s="27">
        <f t="shared" si="34"/>
        <v>127225376.15624996</v>
      </c>
      <c r="H172" s="27">
        <f t="shared" si="34"/>
        <v>131678264.32171868</v>
      </c>
    </row>
    <row r="173" spans="2:8">
      <c r="B173" s="87" t="s">
        <v>6</v>
      </c>
      <c r="C173" s="61"/>
      <c r="D173" s="27">
        <f t="shared" ref="D173:H175" si="35">(C52*($E$170/100))</f>
        <v>137700000</v>
      </c>
      <c r="E173" s="27">
        <f t="shared" si="35"/>
        <v>141142499.99999997</v>
      </c>
      <c r="F173" s="27">
        <f t="shared" si="35"/>
        <v>144671062.49999994</v>
      </c>
      <c r="G173" s="27">
        <f t="shared" si="35"/>
        <v>148287839.06249994</v>
      </c>
      <c r="H173" s="27">
        <f t="shared" si="35"/>
        <v>151995035.03906244</v>
      </c>
    </row>
    <row r="174" spans="2:8">
      <c r="B174" s="87" t="s">
        <v>7</v>
      </c>
      <c r="C174" s="61"/>
      <c r="D174" s="27">
        <f t="shared" si="35"/>
        <v>255150000</v>
      </c>
      <c r="E174" s="27">
        <f t="shared" si="35"/>
        <v>266631750</v>
      </c>
      <c r="F174" s="27">
        <f t="shared" si="35"/>
        <v>278630178.75</v>
      </c>
      <c r="G174" s="27">
        <f t="shared" si="35"/>
        <v>291168536.79374993</v>
      </c>
      <c r="H174" s="27">
        <f t="shared" si="35"/>
        <v>304271120.94946867</v>
      </c>
    </row>
    <row r="175" spans="2:8" ht="13.5" thickBot="1">
      <c r="B175" s="87" t="s">
        <v>8</v>
      </c>
      <c r="C175" s="61"/>
      <c r="D175" s="27">
        <f t="shared" si="35"/>
        <v>158760000</v>
      </c>
      <c r="E175" s="27">
        <f t="shared" si="35"/>
        <v>168285600</v>
      </c>
      <c r="F175" s="27">
        <f t="shared" si="35"/>
        <v>178382736</v>
      </c>
      <c r="G175" s="27">
        <f t="shared" si="35"/>
        <v>189085700.16000003</v>
      </c>
      <c r="H175" s="27">
        <f t="shared" si="35"/>
        <v>200430842.16960004</v>
      </c>
    </row>
    <row r="176" spans="2:8" ht="13.5" thickBot="1">
      <c r="B176" s="98" t="s">
        <v>51</v>
      </c>
      <c r="C176" s="104"/>
      <c r="D176" s="81">
        <f>SUM(D172:D175)</f>
        <v>666360000</v>
      </c>
      <c r="E176" s="81">
        <f t="shared" ref="E176:H176" si="36">SUM(E172:E175)</f>
        <v>694826100</v>
      </c>
      <c r="F176" s="81">
        <f t="shared" si="36"/>
        <v>724607045.99999988</v>
      </c>
      <c r="G176" s="81">
        <f t="shared" si="36"/>
        <v>755767452.1724999</v>
      </c>
      <c r="H176" s="82">
        <f t="shared" si="36"/>
        <v>788375262.47984982</v>
      </c>
    </row>
    <row r="178" spans="2:9">
      <c r="B178" s="59" t="s">
        <v>85</v>
      </c>
      <c r="C178" s="59"/>
      <c r="H178" s="99">
        <v>15</v>
      </c>
    </row>
    <row r="179" spans="2:9" ht="13.5" thickBot="1">
      <c r="D179" s="55" t="s">
        <v>33</v>
      </c>
      <c r="E179" s="55" t="s">
        <v>44</v>
      </c>
      <c r="F179" s="55" t="s">
        <v>45</v>
      </c>
      <c r="G179" s="55" t="s">
        <v>46</v>
      </c>
      <c r="H179" s="55" t="s">
        <v>49</v>
      </c>
      <c r="I179" s="55" t="s">
        <v>47</v>
      </c>
    </row>
    <row r="180" spans="2:9">
      <c r="B180" s="100" t="s">
        <v>21</v>
      </c>
      <c r="C180" s="86"/>
      <c r="D180" s="27">
        <v>1</v>
      </c>
      <c r="E180" s="27">
        <v>150000000</v>
      </c>
      <c r="F180" s="27">
        <f>(E180*D180)</f>
        <v>150000000</v>
      </c>
      <c r="G180" s="27">
        <v>15</v>
      </c>
      <c r="H180" s="27">
        <f>(F180*($H$178/100))</f>
        <v>22500000</v>
      </c>
      <c r="I180" s="27">
        <f>(F180-H180)/G180</f>
        <v>8500000</v>
      </c>
    </row>
    <row r="181" spans="2:9">
      <c r="B181" s="101" t="s">
        <v>22</v>
      </c>
      <c r="C181" s="24"/>
      <c r="D181" s="27">
        <v>1</v>
      </c>
      <c r="E181" s="27">
        <v>250000000</v>
      </c>
      <c r="F181" s="27">
        <f t="shared" ref="F181:F185" si="37">(E181*D181)</f>
        <v>250000000</v>
      </c>
      <c r="G181" s="27">
        <v>15</v>
      </c>
      <c r="H181" s="27">
        <f t="shared" ref="H181:H185" si="38">(F181*($H$178/100))</f>
        <v>37500000</v>
      </c>
      <c r="I181" s="27">
        <f t="shared" ref="I181:I185" si="39">(F181-H181)/G181</f>
        <v>14166666.666666666</v>
      </c>
    </row>
    <row r="182" spans="2:9">
      <c r="B182" s="101" t="s">
        <v>23</v>
      </c>
      <c r="C182" s="24"/>
      <c r="D182" s="27">
        <v>1</v>
      </c>
      <c r="E182" s="27">
        <v>130000000</v>
      </c>
      <c r="F182" s="27">
        <f t="shared" si="37"/>
        <v>130000000</v>
      </c>
      <c r="G182" s="27">
        <v>15</v>
      </c>
      <c r="H182" s="27">
        <f t="shared" si="38"/>
        <v>19500000</v>
      </c>
      <c r="I182" s="27">
        <f t="shared" si="39"/>
        <v>7366666.666666667</v>
      </c>
    </row>
    <row r="183" spans="2:9">
      <c r="B183" s="101" t="s">
        <v>24</v>
      </c>
      <c r="C183" s="24"/>
      <c r="D183" s="27">
        <v>1</v>
      </c>
      <c r="E183" s="27">
        <v>180000000</v>
      </c>
      <c r="F183" s="27">
        <f t="shared" si="37"/>
        <v>180000000</v>
      </c>
      <c r="G183" s="27">
        <v>15</v>
      </c>
      <c r="H183" s="27">
        <f t="shared" si="38"/>
        <v>27000000</v>
      </c>
      <c r="I183" s="27">
        <f t="shared" si="39"/>
        <v>10200000</v>
      </c>
    </row>
    <row r="184" spans="2:9">
      <c r="B184" s="101" t="s">
        <v>25</v>
      </c>
      <c r="C184" s="24"/>
      <c r="D184" s="27">
        <v>1</v>
      </c>
      <c r="E184" s="27">
        <v>90000000</v>
      </c>
      <c r="F184" s="27">
        <f t="shared" si="37"/>
        <v>90000000</v>
      </c>
      <c r="G184" s="27">
        <v>15</v>
      </c>
      <c r="H184" s="27">
        <f t="shared" si="38"/>
        <v>13500000</v>
      </c>
      <c r="I184" s="27">
        <f t="shared" si="39"/>
        <v>5100000</v>
      </c>
    </row>
    <row r="185" spans="2:9" ht="13.5" thickBot="1">
      <c r="B185" s="107" t="s">
        <v>43</v>
      </c>
      <c r="C185" s="149"/>
      <c r="D185" s="27">
        <v>1</v>
      </c>
      <c r="E185" s="27">
        <v>350000000</v>
      </c>
      <c r="F185" s="27">
        <f t="shared" si="37"/>
        <v>350000000</v>
      </c>
      <c r="G185" s="27">
        <v>50</v>
      </c>
      <c r="H185" s="27">
        <f t="shared" si="38"/>
        <v>52500000</v>
      </c>
      <c r="I185" s="27">
        <f t="shared" si="39"/>
        <v>5950000</v>
      </c>
    </row>
    <row r="186" spans="2:9">
      <c r="B186" s="112"/>
      <c r="C186" s="24"/>
      <c r="D186" s="61"/>
      <c r="E186" s="61"/>
      <c r="F186" s="61"/>
      <c r="G186" s="61"/>
      <c r="H186" s="61"/>
      <c r="I186" s="61"/>
    </row>
    <row r="187" spans="2:9" ht="15.75" thickBot="1">
      <c r="B187" s="112" t="s">
        <v>138</v>
      </c>
      <c r="C187"/>
      <c r="D187" s="55" t="s">
        <v>9</v>
      </c>
      <c r="E187" s="55" t="s">
        <v>10</v>
      </c>
      <c r="F187" s="55" t="s">
        <v>11</v>
      </c>
      <c r="G187" s="55" t="s">
        <v>12</v>
      </c>
      <c r="H187" s="55" t="s">
        <v>13</v>
      </c>
      <c r="I187" s="152" t="s">
        <v>84</v>
      </c>
    </row>
    <row r="188" spans="2:9">
      <c r="B188" s="100" t="s">
        <v>21</v>
      </c>
      <c r="C188" s="86"/>
      <c r="D188" s="15">
        <v>4</v>
      </c>
      <c r="E188" s="15"/>
      <c r="F188" s="15"/>
      <c r="G188" s="15">
        <v>1</v>
      </c>
      <c r="H188" s="15"/>
      <c r="I188" s="15">
        <f>SUM(D188:H188)</f>
        <v>5</v>
      </c>
    </row>
    <row r="189" spans="2:9">
      <c r="B189" s="101" t="s">
        <v>22</v>
      </c>
      <c r="C189" s="24"/>
      <c r="D189" s="15">
        <v>4</v>
      </c>
      <c r="E189" s="15"/>
      <c r="F189" s="15"/>
      <c r="G189" s="15"/>
      <c r="H189" s="15">
        <v>1</v>
      </c>
      <c r="I189" s="15">
        <f t="shared" ref="I189:I192" si="40">SUM(D189:H189)</f>
        <v>5</v>
      </c>
    </row>
    <row r="190" spans="2:9">
      <c r="B190" s="101" t="s">
        <v>23</v>
      </c>
      <c r="C190" s="24"/>
      <c r="D190" s="15">
        <v>4</v>
      </c>
      <c r="E190" s="15"/>
      <c r="F190" s="15">
        <v>1</v>
      </c>
      <c r="G190" s="15"/>
      <c r="H190" s="15"/>
      <c r="I190" s="15">
        <f t="shared" si="40"/>
        <v>5</v>
      </c>
    </row>
    <row r="191" spans="2:9">
      <c r="B191" s="101" t="s">
        <v>24</v>
      </c>
      <c r="C191" s="24"/>
      <c r="D191" s="15">
        <v>5</v>
      </c>
      <c r="E191" s="15"/>
      <c r="F191" s="15"/>
      <c r="G191" s="15"/>
      <c r="H191" s="15"/>
      <c r="I191" s="15">
        <f t="shared" si="40"/>
        <v>5</v>
      </c>
    </row>
    <row r="192" spans="2:9">
      <c r="B192" s="101" t="s">
        <v>25</v>
      </c>
      <c r="C192" s="24"/>
      <c r="D192" s="15">
        <v>4</v>
      </c>
      <c r="E192" s="15">
        <v>1</v>
      </c>
      <c r="F192" s="15"/>
      <c r="G192" s="15"/>
      <c r="H192" s="15"/>
      <c r="I192" s="15">
        <f t="shared" si="40"/>
        <v>5</v>
      </c>
    </row>
    <row r="193" spans="2:9" ht="13.5" thickBot="1">
      <c r="B193" s="107" t="s">
        <v>43</v>
      </c>
      <c r="C193" s="149"/>
      <c r="D193" s="15">
        <v>1</v>
      </c>
      <c r="E193" s="15"/>
      <c r="F193" s="15"/>
      <c r="G193" s="15"/>
      <c r="H193" s="15"/>
      <c r="I193" s="15"/>
    </row>
    <row r="194" spans="2:9">
      <c r="B194" s="112"/>
      <c r="C194" s="24"/>
      <c r="D194" s="24"/>
      <c r="E194" s="24"/>
      <c r="F194" s="24"/>
      <c r="G194" s="24"/>
      <c r="H194" s="24"/>
    </row>
    <row r="195" spans="2:9" ht="13.5" thickBot="1">
      <c r="B195" s="112" t="s">
        <v>139</v>
      </c>
      <c r="C195" s="24"/>
      <c r="D195" s="55" t="s">
        <v>9</v>
      </c>
      <c r="E195" s="55" t="s">
        <v>10</v>
      </c>
      <c r="F195" s="55" t="s">
        <v>11</v>
      </c>
      <c r="G195" s="55" t="s">
        <v>12</v>
      </c>
      <c r="H195" s="55" t="s">
        <v>13</v>
      </c>
    </row>
    <row r="196" spans="2:9">
      <c r="B196" s="100" t="s">
        <v>21</v>
      </c>
      <c r="C196" s="86"/>
      <c r="D196" s="27">
        <f>D188*I180</f>
        <v>34000000</v>
      </c>
      <c r="E196" s="27"/>
      <c r="F196" s="27"/>
      <c r="G196" s="27">
        <f>G188*I180</f>
        <v>8500000</v>
      </c>
      <c r="H196" s="27"/>
    </row>
    <row r="197" spans="2:9">
      <c r="B197" s="101" t="s">
        <v>22</v>
      </c>
      <c r="C197" s="24"/>
      <c r="D197" s="27">
        <f>D189*I181</f>
        <v>56666666.666666664</v>
      </c>
      <c r="E197" s="27"/>
      <c r="F197" s="27"/>
      <c r="G197" s="27"/>
      <c r="H197" s="27">
        <f>H189*I181</f>
        <v>14166666.666666666</v>
      </c>
    </row>
    <row r="198" spans="2:9">
      <c r="B198" s="101" t="s">
        <v>23</v>
      </c>
      <c r="C198" s="24"/>
      <c r="D198" s="27">
        <f>D190*I182</f>
        <v>29466666.666666668</v>
      </c>
      <c r="E198" s="27"/>
      <c r="F198" s="27">
        <f>F190*I182</f>
        <v>7366666.666666667</v>
      </c>
      <c r="G198" s="27"/>
      <c r="H198" s="27"/>
    </row>
    <row r="199" spans="2:9">
      <c r="B199" s="101" t="s">
        <v>24</v>
      </c>
      <c r="C199" s="24"/>
      <c r="D199" s="27">
        <f>D191*I183</f>
        <v>51000000</v>
      </c>
      <c r="E199" s="27"/>
      <c r="F199" s="27"/>
      <c r="G199" s="27"/>
      <c r="H199" s="27"/>
    </row>
    <row r="200" spans="2:9">
      <c r="B200" s="101" t="s">
        <v>25</v>
      </c>
      <c r="C200" s="24"/>
      <c r="D200" s="27">
        <f>D192*I184</f>
        <v>20400000</v>
      </c>
      <c r="E200" s="27">
        <f>I184*E192</f>
        <v>5100000</v>
      </c>
      <c r="F200" s="27"/>
      <c r="G200" s="27"/>
      <c r="H200" s="27"/>
    </row>
    <row r="201" spans="2:9" ht="13.5" thickBot="1">
      <c r="B201" s="107" t="s">
        <v>43</v>
      </c>
      <c r="C201" s="149"/>
      <c r="D201" s="27">
        <f>D193*I185</f>
        <v>5950000</v>
      </c>
      <c r="E201" s="15"/>
      <c r="F201" s="15"/>
      <c r="G201" s="15"/>
      <c r="H201" s="15"/>
    </row>
    <row r="202" spans="2:9" ht="15.75" thickBot="1">
      <c r="B202" s="88" t="s">
        <v>51</v>
      </c>
      <c r="C202" s="3"/>
      <c r="D202" s="105">
        <f>SUM(D196:D201)</f>
        <v>197483333.33333331</v>
      </c>
      <c r="E202" s="150">
        <f>SUM(E196:E200)+D202</f>
        <v>202583333.33333331</v>
      </c>
      <c r="F202" s="150">
        <f>SUM(F196:F200)+E202</f>
        <v>209949999.99999997</v>
      </c>
      <c r="G202" s="150">
        <f>SUM(G196:G200)+F202</f>
        <v>218449999.99999997</v>
      </c>
      <c r="H202" s="151">
        <f>SUM(H196:H200)+G202</f>
        <v>232616666.66666663</v>
      </c>
    </row>
    <row r="203" spans="2:9" ht="15">
      <c r="B203" s="112"/>
      <c r="C203" s="2"/>
      <c r="D203" s="61"/>
      <c r="E203" s="61"/>
      <c r="F203" s="61"/>
      <c r="G203" s="61"/>
      <c r="H203" s="61"/>
    </row>
    <row r="204" spans="2:9" ht="15">
      <c r="B204" s="112"/>
      <c r="C204" s="2"/>
      <c r="D204" s="61"/>
      <c r="E204" s="61"/>
      <c r="F204" s="61"/>
      <c r="G204" s="61"/>
      <c r="H204" s="61"/>
    </row>
    <row r="205" spans="2:9" ht="15.75" thickBot="1">
      <c r="B205" s="112" t="s">
        <v>140</v>
      </c>
      <c r="C205" s="2"/>
      <c r="D205" s="55" t="s">
        <v>9</v>
      </c>
      <c r="E205" s="55" t="s">
        <v>10</v>
      </c>
      <c r="F205" s="55" t="s">
        <v>11</v>
      </c>
      <c r="G205" s="55" t="s">
        <v>12</v>
      </c>
      <c r="H205" s="55" t="s">
        <v>13</v>
      </c>
    </row>
    <row r="206" spans="2:9" ht="15">
      <c r="B206" s="100" t="s">
        <v>21</v>
      </c>
      <c r="C206" s="1"/>
      <c r="D206" s="27">
        <v>10</v>
      </c>
      <c r="E206" s="27"/>
      <c r="F206" s="27"/>
      <c r="G206" s="27">
        <v>13</v>
      </c>
      <c r="H206" s="27"/>
    </row>
    <row r="207" spans="2:9" ht="15">
      <c r="B207" s="101" t="s">
        <v>22</v>
      </c>
      <c r="C207" s="2"/>
      <c r="D207" s="27">
        <v>10</v>
      </c>
      <c r="E207" s="27"/>
      <c r="F207" s="27"/>
      <c r="G207" s="27"/>
      <c r="H207" s="27">
        <v>14</v>
      </c>
    </row>
    <row r="208" spans="2:9" ht="15">
      <c r="B208" s="101" t="s">
        <v>23</v>
      </c>
      <c r="C208" s="2"/>
      <c r="D208" s="27">
        <v>10</v>
      </c>
      <c r="E208" s="27"/>
      <c r="F208" s="27">
        <v>12</v>
      </c>
      <c r="G208" s="27"/>
      <c r="H208" s="27"/>
    </row>
    <row r="209" spans="2:15" ht="15">
      <c r="B209" s="101" t="s">
        <v>24</v>
      </c>
      <c r="C209" s="2"/>
      <c r="D209" s="27">
        <v>10</v>
      </c>
      <c r="E209" s="27"/>
      <c r="F209" s="27"/>
      <c r="G209" s="27"/>
      <c r="H209" s="27"/>
    </row>
    <row r="210" spans="2:15" ht="15">
      <c r="B210" s="101" t="s">
        <v>25</v>
      </c>
      <c r="C210" s="2"/>
      <c r="D210" s="27">
        <v>10</v>
      </c>
      <c r="E210" s="27">
        <v>11</v>
      </c>
      <c r="F210" s="27"/>
      <c r="G210" s="27"/>
      <c r="H210" s="27"/>
    </row>
    <row r="211" spans="2:15" ht="15.75" thickBot="1">
      <c r="B211" s="107" t="s">
        <v>43</v>
      </c>
      <c r="C211" s="153"/>
      <c r="D211" s="27">
        <v>40</v>
      </c>
      <c r="E211" s="15"/>
      <c r="F211" s="15"/>
      <c r="G211" s="15"/>
      <c r="H211" s="15"/>
    </row>
    <row r="212" spans="2:15" ht="15">
      <c r="B212"/>
      <c r="C212" s="2"/>
      <c r="D212" s="61"/>
      <c r="E212" s="61"/>
      <c r="F212" s="61"/>
      <c r="G212" s="61"/>
      <c r="H212" s="61"/>
    </row>
    <row r="213" spans="2:15" ht="15">
      <c r="B213"/>
      <c r="C213"/>
      <c r="D213"/>
      <c r="E213"/>
      <c r="F213"/>
    </row>
    <row r="214" spans="2:15" ht="15.75" thickBot="1">
      <c r="B214" s="112" t="s">
        <v>141</v>
      </c>
      <c r="C214" s="2"/>
      <c r="D214" s="55" t="s">
        <v>9</v>
      </c>
      <c r="E214" s="55" t="s">
        <v>10</v>
      </c>
      <c r="F214" s="55" t="s">
        <v>11</v>
      </c>
      <c r="G214" s="55" t="s">
        <v>12</v>
      </c>
      <c r="H214" s="55" t="s">
        <v>13</v>
      </c>
      <c r="J214" s="97"/>
      <c r="K214" s="97"/>
      <c r="L214" s="97"/>
      <c r="M214" s="97"/>
      <c r="N214" s="97"/>
      <c r="O214" s="97"/>
    </row>
    <row r="215" spans="2:15" ht="15">
      <c r="B215" s="100" t="s">
        <v>21</v>
      </c>
      <c r="C215" s="1"/>
      <c r="D215" s="27">
        <f>D206*I180*D188</f>
        <v>340000000</v>
      </c>
      <c r="E215" s="27">
        <f>E206*E188*I180</f>
        <v>0</v>
      </c>
      <c r="F215" s="27">
        <f>F206*I180*F188</f>
        <v>0</v>
      </c>
      <c r="G215" s="27">
        <f>G206*I180*G188</f>
        <v>110500000</v>
      </c>
      <c r="H215" s="27">
        <f>H206*H188*I180</f>
        <v>0</v>
      </c>
      <c r="J215" s="97"/>
      <c r="K215" s="97"/>
      <c r="L215" s="97"/>
      <c r="M215" s="97"/>
      <c r="N215" s="97"/>
      <c r="O215" s="97"/>
    </row>
    <row r="216" spans="2:15" ht="15">
      <c r="B216" s="101" t="s">
        <v>22</v>
      </c>
      <c r="C216" s="2"/>
      <c r="D216" s="27">
        <f>D207*I181*D189</f>
        <v>566666666.66666663</v>
      </c>
      <c r="E216" s="27">
        <f>E207*E189*I181</f>
        <v>0</v>
      </c>
      <c r="F216" s="27">
        <f>F207*I181*F189</f>
        <v>0</v>
      </c>
      <c r="G216" s="27">
        <f>G207*I181*G189</f>
        <v>0</v>
      </c>
      <c r="H216" s="27">
        <f>H207*H189*I181</f>
        <v>198333333.33333331</v>
      </c>
      <c r="J216" s="97"/>
      <c r="K216" s="97"/>
      <c r="L216" s="97"/>
      <c r="M216" s="97"/>
      <c r="N216" s="97"/>
      <c r="O216" s="97"/>
    </row>
    <row r="217" spans="2:15" ht="15">
      <c r="B217" s="101" t="s">
        <v>23</v>
      </c>
      <c r="C217" s="2"/>
      <c r="D217" s="27">
        <f>D208*I182*D190</f>
        <v>294666666.66666669</v>
      </c>
      <c r="E217" s="27">
        <f>E208*E190*I182</f>
        <v>0</v>
      </c>
      <c r="F217" s="27">
        <f>F208*I182*F190</f>
        <v>88400000</v>
      </c>
      <c r="G217" s="27">
        <f>G208*I182*G190</f>
        <v>0</v>
      </c>
      <c r="H217" s="27">
        <f>H208*H190*I182</f>
        <v>0</v>
      </c>
      <c r="J217" s="97"/>
      <c r="K217" s="97"/>
      <c r="L217" s="97"/>
      <c r="M217" s="97"/>
      <c r="N217" s="97"/>
      <c r="O217" s="97"/>
    </row>
    <row r="218" spans="2:15" ht="15">
      <c r="B218" s="101" t="s">
        <v>24</v>
      </c>
      <c r="C218" s="2"/>
      <c r="D218" s="27">
        <f>D209*I183*D191</f>
        <v>510000000</v>
      </c>
      <c r="E218" s="27">
        <f>E209*E191*I183</f>
        <v>0</v>
      </c>
      <c r="F218" s="27">
        <f>F209*I183*F191</f>
        <v>0</v>
      </c>
      <c r="G218" s="27">
        <f>G209*I183*G191</f>
        <v>0</v>
      </c>
      <c r="H218" s="27">
        <f>H209*H191*I183</f>
        <v>0</v>
      </c>
      <c r="J218" s="97"/>
      <c r="K218" s="97"/>
      <c r="L218" s="97"/>
      <c r="M218" s="97"/>
      <c r="N218" s="97"/>
      <c r="O218" s="97"/>
    </row>
    <row r="219" spans="2:15" ht="15">
      <c r="B219" s="101" t="s">
        <v>25</v>
      </c>
      <c r="C219" s="2"/>
      <c r="D219" s="27">
        <f>D210*I184*D192</f>
        <v>204000000</v>
      </c>
      <c r="E219" s="27">
        <f>E210*E192*I184</f>
        <v>56100000</v>
      </c>
      <c r="F219" s="27">
        <f>F210*I184*F192</f>
        <v>0</v>
      </c>
      <c r="G219" s="27">
        <f>G210*I184*G192</f>
        <v>0</v>
      </c>
      <c r="H219" s="27">
        <f>H210*H192*I184</f>
        <v>0</v>
      </c>
      <c r="J219" s="97"/>
      <c r="K219" s="97"/>
      <c r="L219" s="97"/>
      <c r="M219" s="97"/>
      <c r="N219" s="97"/>
      <c r="O219" s="97"/>
    </row>
    <row r="220" spans="2:15" ht="15.75" thickBot="1">
      <c r="B220" s="102" t="s">
        <v>43</v>
      </c>
      <c r="C220" s="2"/>
      <c r="D220" s="79">
        <f>D211*D193*I185</f>
        <v>238000000</v>
      </c>
      <c r="E220" s="79">
        <f>E211*E193*J185</f>
        <v>0</v>
      </c>
      <c r="F220" s="79">
        <f>F211*F193*D193</f>
        <v>0</v>
      </c>
      <c r="G220" s="79">
        <f>G211*G193*E193</f>
        <v>0</v>
      </c>
      <c r="H220" s="79">
        <f>H211*H193*F193</f>
        <v>0</v>
      </c>
      <c r="J220" s="97"/>
      <c r="K220" s="97"/>
      <c r="L220" s="97"/>
      <c r="M220" s="97"/>
      <c r="N220" s="97"/>
      <c r="O220" s="97"/>
    </row>
    <row r="221" spans="2:15" ht="15.75" thickBot="1">
      <c r="B221" s="154" t="s">
        <v>51</v>
      </c>
      <c r="C221" s="3"/>
      <c r="D221" s="155">
        <f>SUM(D215:D220)</f>
        <v>2153333333.333333</v>
      </c>
      <c r="E221" s="111">
        <f>SUM(E215:E220)</f>
        <v>56100000</v>
      </c>
      <c r="F221" s="111">
        <f>SUM(F215:F220)</f>
        <v>88400000</v>
      </c>
      <c r="G221" s="111">
        <f>SUM(G215:G220)</f>
        <v>110500000</v>
      </c>
      <c r="H221" s="156">
        <f>SUM(H215:H219)</f>
        <v>198333333.33333331</v>
      </c>
      <c r="I221" s="157">
        <f>SUM(D221:H221)</f>
        <v>2606666666.6666665</v>
      </c>
      <c r="J221" s="97"/>
      <c r="K221" s="97"/>
      <c r="L221" s="97"/>
      <c r="M221" s="97"/>
      <c r="N221" s="97"/>
      <c r="O221" s="97"/>
    </row>
    <row r="222" spans="2:15" ht="15">
      <c r="B222"/>
      <c r="C222"/>
      <c r="D222"/>
      <c r="E222"/>
      <c r="F222"/>
      <c r="I222" s="59" t="s">
        <v>52</v>
      </c>
      <c r="J222" s="97"/>
      <c r="K222" s="97"/>
      <c r="L222" s="97"/>
      <c r="M222" s="97"/>
      <c r="N222" s="97"/>
      <c r="O222" s="97"/>
    </row>
    <row r="223" spans="2:15" ht="15">
      <c r="B223"/>
      <c r="C223"/>
      <c r="D223"/>
      <c r="E223"/>
      <c r="F223"/>
      <c r="G223"/>
      <c r="H223"/>
      <c r="I223"/>
    </row>
    <row r="224" spans="2:15">
      <c r="B224" s="14" t="s">
        <v>50</v>
      </c>
    </row>
    <row r="225" spans="2:8" ht="13.5" thickBot="1">
      <c r="D225" s="108" t="s">
        <v>9</v>
      </c>
      <c r="E225" s="108" t="s">
        <v>10</v>
      </c>
      <c r="F225" s="108" t="s">
        <v>11</v>
      </c>
      <c r="G225" s="108" t="s">
        <v>12</v>
      </c>
      <c r="H225" s="108" t="s">
        <v>13</v>
      </c>
    </row>
    <row r="226" spans="2:8">
      <c r="B226" s="100" t="s">
        <v>21</v>
      </c>
      <c r="C226" s="86"/>
      <c r="D226" s="27">
        <f>E180*D188</f>
        <v>600000000</v>
      </c>
      <c r="E226" s="109">
        <f>$E$180*E188</f>
        <v>0</v>
      </c>
      <c r="F226" s="109">
        <f>$E180*F188</f>
        <v>0</v>
      </c>
      <c r="G226" s="109">
        <f>$E180*G188</f>
        <v>150000000</v>
      </c>
      <c r="H226" s="109">
        <f>$E180*H188</f>
        <v>0</v>
      </c>
    </row>
    <row r="227" spans="2:8">
      <c r="B227" s="101" t="s">
        <v>22</v>
      </c>
      <c r="C227" s="24"/>
      <c r="D227" s="27">
        <f>E181*D189</f>
        <v>1000000000</v>
      </c>
      <c r="E227" s="109">
        <f>E181*E189</f>
        <v>0</v>
      </c>
      <c r="F227" s="109">
        <f>$E181*F189</f>
        <v>0</v>
      </c>
      <c r="G227" s="109">
        <f>$E181*G189</f>
        <v>0</v>
      </c>
      <c r="H227" s="109">
        <f>$E181*H189</f>
        <v>250000000</v>
      </c>
    </row>
    <row r="228" spans="2:8">
      <c r="B228" s="101" t="s">
        <v>23</v>
      </c>
      <c r="C228" s="24"/>
      <c r="D228" s="27">
        <f>E182*D190</f>
        <v>520000000</v>
      </c>
      <c r="E228" s="109">
        <f>E182*E190</f>
        <v>0</v>
      </c>
      <c r="F228" s="109">
        <f>$E182*F190</f>
        <v>130000000</v>
      </c>
      <c r="G228" s="109">
        <f>$E182*G190</f>
        <v>0</v>
      </c>
      <c r="H228" s="109">
        <f>$E182*H190</f>
        <v>0</v>
      </c>
    </row>
    <row r="229" spans="2:8">
      <c r="B229" s="101" t="s">
        <v>24</v>
      </c>
      <c r="C229" s="24"/>
      <c r="D229" s="27">
        <f>E183*D191</f>
        <v>900000000</v>
      </c>
      <c r="E229" s="109">
        <f>E183*E191</f>
        <v>0</v>
      </c>
      <c r="F229" s="109">
        <f>$E183*F191</f>
        <v>0</v>
      </c>
      <c r="G229" s="109">
        <f>$E183*G191</f>
        <v>0</v>
      </c>
      <c r="H229" s="109">
        <f>$E183*H191</f>
        <v>0</v>
      </c>
    </row>
    <row r="230" spans="2:8">
      <c r="B230" s="101" t="s">
        <v>25</v>
      </c>
      <c r="C230" s="24"/>
      <c r="D230" s="27">
        <f>E184*D192</f>
        <v>360000000</v>
      </c>
      <c r="E230" s="109">
        <f>E184*E192</f>
        <v>90000000</v>
      </c>
      <c r="F230" s="109">
        <f>$E184*F192</f>
        <v>0</v>
      </c>
      <c r="G230" s="109">
        <f>$E184*G192</f>
        <v>0</v>
      </c>
      <c r="H230" s="109">
        <f>$E184*H192</f>
        <v>0</v>
      </c>
    </row>
    <row r="231" spans="2:8" ht="13.5" thickBot="1">
      <c r="B231" s="107" t="s">
        <v>43</v>
      </c>
      <c r="C231" s="24"/>
      <c r="D231" s="27">
        <f>E185*D193</f>
        <v>350000000</v>
      </c>
      <c r="E231" s="109">
        <f>E185*E193</f>
        <v>0</v>
      </c>
      <c r="F231" s="109">
        <f>$E185*F193</f>
        <v>0</v>
      </c>
      <c r="G231" s="109">
        <f>$E185*G193</f>
        <v>0</v>
      </c>
      <c r="H231" s="109">
        <f>$E185*H193</f>
        <v>0</v>
      </c>
    </row>
    <row r="232" spans="2:8" ht="13.5" thickBot="1">
      <c r="C232" s="110" t="s">
        <v>51</v>
      </c>
      <c r="D232" s="158">
        <f>SUM(D226:D231)</f>
        <v>3730000000</v>
      </c>
      <c r="E232" s="111">
        <f t="shared" ref="E232:H232" si="41">SUM(E226:E231)</f>
        <v>90000000</v>
      </c>
      <c r="F232" s="111">
        <f t="shared" si="41"/>
        <v>130000000</v>
      </c>
      <c r="G232" s="111">
        <f t="shared" si="41"/>
        <v>150000000</v>
      </c>
      <c r="H232" s="111">
        <f t="shared" si="41"/>
        <v>250000000</v>
      </c>
    </row>
    <row r="233" spans="2:8">
      <c r="D233" s="59" t="s">
        <v>48</v>
      </c>
    </row>
    <row r="235" spans="2:8">
      <c r="B235" s="14" t="s">
        <v>143</v>
      </c>
    </row>
    <row r="236" spans="2:8" ht="13.5" thickBot="1">
      <c r="D236" s="108" t="s">
        <v>9</v>
      </c>
      <c r="E236" s="108" t="s">
        <v>10</v>
      </c>
      <c r="F236" s="108" t="s">
        <v>11</v>
      </c>
      <c r="G236" s="108" t="s">
        <v>12</v>
      </c>
      <c r="H236" s="108" t="s">
        <v>13</v>
      </c>
    </row>
    <row r="237" spans="2:8">
      <c r="B237" s="100" t="s">
        <v>21</v>
      </c>
      <c r="C237" s="86"/>
      <c r="D237" s="27">
        <f>D226*($H$178/100)</f>
        <v>90000000</v>
      </c>
      <c r="E237" s="27">
        <f t="shared" ref="E237:H237" si="42">E226*($H$178/100)</f>
        <v>0</v>
      </c>
      <c r="F237" s="27">
        <f t="shared" si="42"/>
        <v>0</v>
      </c>
      <c r="G237" s="27">
        <f t="shared" si="42"/>
        <v>22500000</v>
      </c>
      <c r="H237" s="27">
        <f t="shared" si="42"/>
        <v>0</v>
      </c>
    </row>
    <row r="238" spans="2:8">
      <c r="B238" s="101" t="s">
        <v>22</v>
      </c>
      <c r="C238" s="24"/>
      <c r="D238" s="27">
        <f t="shared" ref="D238:H242" si="43">D227*($H$178/100)</f>
        <v>150000000</v>
      </c>
      <c r="E238" s="27">
        <f t="shared" si="43"/>
        <v>0</v>
      </c>
      <c r="F238" s="27">
        <f t="shared" si="43"/>
        <v>0</v>
      </c>
      <c r="G238" s="27">
        <f t="shared" si="43"/>
        <v>0</v>
      </c>
      <c r="H238" s="27">
        <f t="shared" si="43"/>
        <v>37500000</v>
      </c>
    </row>
    <row r="239" spans="2:8">
      <c r="B239" s="101" t="s">
        <v>23</v>
      </c>
      <c r="C239" s="24"/>
      <c r="D239" s="27">
        <f t="shared" si="43"/>
        <v>78000000</v>
      </c>
      <c r="E239" s="27">
        <f t="shared" si="43"/>
        <v>0</v>
      </c>
      <c r="F239" s="27">
        <f t="shared" si="43"/>
        <v>19500000</v>
      </c>
      <c r="G239" s="27">
        <f t="shared" si="43"/>
        <v>0</v>
      </c>
      <c r="H239" s="27">
        <f t="shared" si="43"/>
        <v>0</v>
      </c>
    </row>
    <row r="240" spans="2:8">
      <c r="B240" s="101" t="s">
        <v>24</v>
      </c>
      <c r="C240" s="24"/>
      <c r="D240" s="27">
        <f t="shared" si="43"/>
        <v>135000000</v>
      </c>
      <c r="E240" s="27">
        <f t="shared" si="43"/>
        <v>0</v>
      </c>
      <c r="F240" s="27">
        <f t="shared" si="43"/>
        <v>0</v>
      </c>
      <c r="G240" s="27">
        <f t="shared" si="43"/>
        <v>0</v>
      </c>
      <c r="H240" s="27">
        <f t="shared" si="43"/>
        <v>0</v>
      </c>
    </row>
    <row r="241" spans="2:9">
      <c r="B241" s="101" t="s">
        <v>25</v>
      </c>
      <c r="C241" s="24"/>
      <c r="D241" s="27">
        <f t="shared" si="43"/>
        <v>54000000</v>
      </c>
      <c r="E241" s="27">
        <f t="shared" si="43"/>
        <v>13500000</v>
      </c>
      <c r="F241" s="27">
        <f t="shared" si="43"/>
        <v>0</v>
      </c>
      <c r="G241" s="27">
        <f t="shared" si="43"/>
        <v>0</v>
      </c>
      <c r="H241" s="27">
        <f t="shared" si="43"/>
        <v>0</v>
      </c>
    </row>
    <row r="242" spans="2:9" ht="13.5" thickBot="1">
      <c r="B242" s="107" t="s">
        <v>43</v>
      </c>
      <c r="C242" s="24"/>
      <c r="D242" s="27">
        <f t="shared" si="43"/>
        <v>52500000</v>
      </c>
      <c r="E242" s="27">
        <f t="shared" si="43"/>
        <v>0</v>
      </c>
      <c r="F242" s="27">
        <f t="shared" si="43"/>
        <v>0</v>
      </c>
      <c r="G242" s="27">
        <f t="shared" si="43"/>
        <v>0</v>
      </c>
      <c r="H242" s="27">
        <f t="shared" si="43"/>
        <v>0</v>
      </c>
    </row>
    <row r="243" spans="2:9" ht="13.5" thickBot="1">
      <c r="C243" s="110" t="s">
        <v>51</v>
      </c>
      <c r="D243" s="111">
        <f>SUM(D237:D242)</f>
        <v>559500000</v>
      </c>
      <c r="E243" s="111">
        <f t="shared" ref="E243:H243" si="44">SUM(E237:E242)</f>
        <v>13500000</v>
      </c>
      <c r="F243" s="111">
        <f t="shared" si="44"/>
        <v>19500000</v>
      </c>
      <c r="G243" s="111">
        <f t="shared" si="44"/>
        <v>22500000</v>
      </c>
      <c r="H243" s="159">
        <f t="shared" si="44"/>
        <v>37500000</v>
      </c>
      <c r="I243" s="157">
        <f>SUM(D243:H243)</f>
        <v>652500000</v>
      </c>
    </row>
    <row r="244" spans="2:9">
      <c r="I244" s="14" t="s">
        <v>142</v>
      </c>
    </row>
    <row r="245" spans="2:9">
      <c r="C245" s="24"/>
      <c r="D245" s="61"/>
      <c r="E245" s="61"/>
      <c r="F245" s="61"/>
      <c r="G245" s="61"/>
      <c r="H245" s="61"/>
      <c r="I245" s="61"/>
    </row>
    <row r="246" spans="2:9">
      <c r="B246" s="14" t="s">
        <v>75</v>
      </c>
    </row>
    <row r="247" spans="2:9">
      <c r="B247" s="14" t="s">
        <v>76</v>
      </c>
      <c r="E247" s="14">
        <v>3</v>
      </c>
    </row>
    <row r="248" spans="2:9" ht="13.5" thickBot="1">
      <c r="B248" s="14" t="s">
        <v>74</v>
      </c>
      <c r="C248" s="14">
        <v>2</v>
      </c>
    </row>
    <row r="249" spans="2:9" ht="13.5" thickBot="1">
      <c r="B249" s="113" t="s">
        <v>78</v>
      </c>
      <c r="C249" s="114"/>
      <c r="D249" s="115" t="s">
        <v>9</v>
      </c>
      <c r="E249" s="115" t="s">
        <v>10</v>
      </c>
      <c r="F249" s="115" t="s">
        <v>11</v>
      </c>
      <c r="G249" s="115" t="s">
        <v>12</v>
      </c>
      <c r="H249" s="160" t="s">
        <v>13</v>
      </c>
      <c r="I249" s="162" t="s">
        <v>63</v>
      </c>
    </row>
    <row r="250" spans="2:9">
      <c r="B250" s="100" t="s">
        <v>53</v>
      </c>
      <c r="C250" s="75"/>
      <c r="D250" s="20">
        <f>$C$248*SUM(E99,E108,E117,E126)</f>
        <v>8</v>
      </c>
      <c r="E250" s="20">
        <f>$C$248*SUM(H99,H108,H117,H126)</f>
        <v>8</v>
      </c>
      <c r="F250" s="20">
        <f>$C$248*SUM(K99,K108,K117,K126)</f>
        <v>8</v>
      </c>
      <c r="G250" s="20">
        <f>$C$248*SUM(N99,N108,N117,N126)</f>
        <v>10</v>
      </c>
      <c r="H250" s="20">
        <f>$C$248*SUM(Q99,Q108,Q117,Q126)</f>
        <v>10</v>
      </c>
      <c r="I250" s="161">
        <v>290000</v>
      </c>
    </row>
    <row r="251" spans="2:9">
      <c r="B251" s="101" t="s">
        <v>54</v>
      </c>
      <c r="C251" s="77"/>
      <c r="D251" s="20">
        <f>$C$248*SUM(E100,E109,E118,E127)</f>
        <v>8</v>
      </c>
      <c r="E251" s="20">
        <f t="shared" ref="E251:E254" si="45">$C$248*SUM(H100,H109,H118,H127)</f>
        <v>8</v>
      </c>
      <c r="F251" s="20">
        <f t="shared" ref="F251:F254" si="46">$C$248*SUM(K100,K109,K118,K127)</f>
        <v>8</v>
      </c>
      <c r="G251" s="20">
        <f t="shared" ref="G251:G254" si="47">$C$248*SUM(N100,N109,N118,N127)</f>
        <v>8</v>
      </c>
      <c r="H251" s="20">
        <f>$C$248*SUM(Q100,Q109,Q118,Q127)</f>
        <v>10</v>
      </c>
      <c r="I251" s="27">
        <v>350000</v>
      </c>
    </row>
    <row r="252" spans="2:9">
      <c r="B252" s="101" t="s">
        <v>55</v>
      </c>
      <c r="C252" s="77"/>
      <c r="D252" s="20">
        <f>$C$248*SUM(E101,E110,E119,E128)</f>
        <v>8</v>
      </c>
      <c r="E252" s="20">
        <f t="shared" si="45"/>
        <v>8</v>
      </c>
      <c r="F252" s="20">
        <f t="shared" si="46"/>
        <v>10</v>
      </c>
      <c r="G252" s="20">
        <f t="shared" si="47"/>
        <v>10</v>
      </c>
      <c r="H252" s="20">
        <f>$C$248*SUM(Q101,Q110,Q119,Q128)</f>
        <v>10</v>
      </c>
      <c r="I252" s="27">
        <v>270000</v>
      </c>
    </row>
    <row r="253" spans="2:9">
      <c r="B253" s="101" t="s">
        <v>56</v>
      </c>
      <c r="C253" s="77"/>
      <c r="D253" s="20">
        <f>$C$248*SUM(E102,E111,E120,E129)</f>
        <v>10</v>
      </c>
      <c r="E253" s="20">
        <f t="shared" si="45"/>
        <v>10</v>
      </c>
      <c r="F253" s="20">
        <f t="shared" si="46"/>
        <v>10</v>
      </c>
      <c r="G253" s="20">
        <f t="shared" si="47"/>
        <v>10</v>
      </c>
      <c r="H253" s="20">
        <f>$C$248*SUM(Q102,Q111,Q120,Q129)</f>
        <v>10</v>
      </c>
      <c r="I253" s="27">
        <v>260000</v>
      </c>
    </row>
    <row r="254" spans="2:9">
      <c r="B254" s="101" t="s">
        <v>57</v>
      </c>
      <c r="C254" s="77"/>
      <c r="D254" s="20">
        <f>$C$248*SUM(E103,E112,E121,E130)</f>
        <v>8</v>
      </c>
      <c r="E254" s="20">
        <f t="shared" si="45"/>
        <v>10</v>
      </c>
      <c r="F254" s="20">
        <f t="shared" si="46"/>
        <v>10</v>
      </c>
      <c r="G254" s="20">
        <f t="shared" si="47"/>
        <v>10</v>
      </c>
      <c r="H254" s="20">
        <f>$C$248*SUM(Q103,Q112,Q121,Q130)</f>
        <v>10</v>
      </c>
      <c r="I254" s="27">
        <v>240000</v>
      </c>
    </row>
    <row r="255" spans="2:9">
      <c r="B255" s="101" t="s">
        <v>58</v>
      </c>
      <c r="C255" s="77"/>
      <c r="D255" s="116">
        <f>D256*$E$247</f>
        <v>24</v>
      </c>
      <c r="E255" s="116">
        <f t="shared" ref="E255:H255" si="48">E256*$E$247</f>
        <v>24</v>
      </c>
      <c r="F255" s="116">
        <f t="shared" si="48"/>
        <v>24</v>
      </c>
      <c r="G255" s="116">
        <f t="shared" si="48"/>
        <v>24</v>
      </c>
      <c r="H255" s="116">
        <f t="shared" si="48"/>
        <v>30</v>
      </c>
      <c r="I255" s="27">
        <v>190000</v>
      </c>
    </row>
    <row r="256" spans="2:9" ht="13.5" thickBot="1">
      <c r="B256" s="117" t="s">
        <v>59</v>
      </c>
      <c r="C256" s="106"/>
      <c r="D256" s="116">
        <f>$C$248*D152</f>
        <v>8</v>
      </c>
      <c r="E256" s="116">
        <f t="shared" ref="E256:H256" si="49">$C$248*E152</f>
        <v>8</v>
      </c>
      <c r="F256" s="116">
        <f t="shared" si="49"/>
        <v>8</v>
      </c>
      <c r="G256" s="116">
        <f t="shared" si="49"/>
        <v>8</v>
      </c>
      <c r="H256" s="116">
        <f t="shared" si="49"/>
        <v>10</v>
      </c>
      <c r="I256" s="27">
        <v>550000</v>
      </c>
    </row>
    <row r="257" spans="2:9">
      <c r="B257" s="58"/>
      <c r="C257" s="24"/>
      <c r="D257" s="24"/>
      <c r="E257" s="24"/>
      <c r="F257" s="24"/>
      <c r="G257" s="24"/>
      <c r="H257" s="24"/>
      <c r="I257" s="61"/>
    </row>
    <row r="258" spans="2:9">
      <c r="B258" s="112"/>
      <c r="D258" s="14">
        <v>12.5</v>
      </c>
    </row>
    <row r="259" spans="2:9" ht="13.5" thickBot="1">
      <c r="B259" s="113" t="s">
        <v>62</v>
      </c>
      <c r="C259" s="114"/>
      <c r="D259" s="115" t="s">
        <v>64</v>
      </c>
      <c r="E259" s="115" t="s">
        <v>65</v>
      </c>
      <c r="F259" s="115" t="s">
        <v>66</v>
      </c>
      <c r="G259" s="115" t="s">
        <v>67</v>
      </c>
      <c r="H259" s="115" t="s">
        <v>68</v>
      </c>
    </row>
    <row r="260" spans="2:9">
      <c r="B260" s="100" t="s">
        <v>53</v>
      </c>
      <c r="C260" s="75"/>
      <c r="D260" s="116">
        <f>I250*($D$258/100)</f>
        <v>36250</v>
      </c>
      <c r="E260" s="27">
        <f>(E$144*D260)/D$144</f>
        <v>36647.772342675831</v>
      </c>
      <c r="F260" s="27">
        <f t="shared" ref="F260:H265" si="50">(F$144*E260)/E$144</f>
        <v>37178.135466243613</v>
      </c>
      <c r="G260" s="27">
        <f t="shared" si="50"/>
        <v>37575.907808919445</v>
      </c>
      <c r="H260" s="27">
        <f t="shared" si="50"/>
        <v>44338.037634408611</v>
      </c>
    </row>
    <row r="261" spans="2:9">
      <c r="B261" s="101" t="s">
        <v>54</v>
      </c>
      <c r="C261" s="77"/>
      <c r="D261" s="116">
        <f t="shared" ref="D261:D264" si="51">I251*($D$258/100)</f>
        <v>43750</v>
      </c>
      <c r="E261" s="27">
        <f t="shared" ref="E261:F265" si="52">(E$144*D261)/D$144</f>
        <v>44230.070068746696</v>
      </c>
      <c r="F261" s="27">
        <f t="shared" si="52"/>
        <v>44870.163493742293</v>
      </c>
      <c r="G261" s="27">
        <f t="shared" si="50"/>
        <v>45350.233562488989</v>
      </c>
      <c r="H261" s="27">
        <f t="shared" si="50"/>
        <v>53511.424731182808</v>
      </c>
    </row>
    <row r="262" spans="2:9">
      <c r="B262" s="101" t="s">
        <v>55</v>
      </c>
      <c r="C262" s="77"/>
      <c r="D262" s="116">
        <f t="shared" si="51"/>
        <v>33750</v>
      </c>
      <c r="E262" s="27">
        <f t="shared" si="52"/>
        <v>34120.339767318881</v>
      </c>
      <c r="F262" s="27">
        <f t="shared" si="52"/>
        <v>34614.126123744056</v>
      </c>
      <c r="G262" s="27">
        <f t="shared" si="50"/>
        <v>34984.465891062937</v>
      </c>
      <c r="H262" s="27">
        <f t="shared" si="50"/>
        <v>41280.241935483886</v>
      </c>
    </row>
    <row r="263" spans="2:9">
      <c r="B263" s="101" t="s">
        <v>56</v>
      </c>
      <c r="C263" s="77"/>
      <c r="D263" s="116">
        <f t="shared" si="51"/>
        <v>32500</v>
      </c>
      <c r="E263" s="27">
        <f t="shared" si="52"/>
        <v>32856.623479640402</v>
      </c>
      <c r="F263" s="27">
        <f t="shared" si="52"/>
        <v>33332.121452494277</v>
      </c>
      <c r="G263" s="27">
        <f t="shared" si="50"/>
        <v>33688.744932134679</v>
      </c>
      <c r="H263" s="27">
        <f t="shared" si="50"/>
        <v>39751.34408602152</v>
      </c>
    </row>
    <row r="264" spans="2:9" ht="13.5" thickBot="1">
      <c r="B264" s="117" t="s">
        <v>57</v>
      </c>
      <c r="C264" s="106"/>
      <c r="D264" s="118">
        <f t="shared" si="51"/>
        <v>30000</v>
      </c>
      <c r="E264" s="79">
        <f t="shared" si="52"/>
        <v>30329.190904283445</v>
      </c>
      <c r="F264" s="79">
        <f t="shared" si="52"/>
        <v>30768.112109994712</v>
      </c>
      <c r="G264" s="79">
        <f t="shared" si="50"/>
        <v>31097.303014278161</v>
      </c>
      <c r="H264" s="79">
        <f t="shared" si="50"/>
        <v>36693.54838709678</v>
      </c>
    </row>
    <row r="265" spans="2:9" ht="13.5" thickBot="1">
      <c r="D265" s="119">
        <f>SUM(D260:D264)</f>
        <v>176250</v>
      </c>
      <c r="E265" s="120">
        <f t="shared" si="52"/>
        <v>178183.99656266527</v>
      </c>
      <c r="F265" s="120">
        <f t="shared" si="52"/>
        <v>180762.65864621897</v>
      </c>
      <c r="G265" s="120">
        <f t="shared" si="50"/>
        <v>182696.65520888424</v>
      </c>
      <c r="H265" s="121">
        <f t="shared" si="50"/>
        <v>215574.59677419363</v>
      </c>
    </row>
    <row r="268" spans="2:9" ht="13.5" thickBot="1">
      <c r="B268" s="112" t="s">
        <v>60</v>
      </c>
      <c r="D268" s="115" t="s">
        <v>9</v>
      </c>
      <c r="E268" s="115" t="s">
        <v>10</v>
      </c>
      <c r="F268" s="115" t="s">
        <v>11</v>
      </c>
      <c r="G268" s="115" t="s">
        <v>12</v>
      </c>
      <c r="H268" s="115" t="s">
        <v>13</v>
      </c>
    </row>
    <row r="269" spans="2:9">
      <c r="B269" s="100" t="s">
        <v>53</v>
      </c>
      <c r="C269" s="86"/>
      <c r="D269" s="27">
        <f t="shared" ref="D269:H273" si="53">D250*($I250+D260)*12</f>
        <v>31320000</v>
      </c>
      <c r="E269" s="27">
        <f t="shared" si="53"/>
        <v>31358186.14489688</v>
      </c>
      <c r="F269" s="27">
        <f t="shared" si="53"/>
        <v>31409101.004759386</v>
      </c>
      <c r="G269" s="27">
        <f t="shared" si="53"/>
        <v>39309108.937070332</v>
      </c>
      <c r="H269" s="27">
        <f t="shared" si="53"/>
        <v>40120564.516129032</v>
      </c>
    </row>
    <row r="270" spans="2:9">
      <c r="B270" s="101" t="s">
        <v>54</v>
      </c>
      <c r="C270" s="24"/>
      <c r="D270" s="27">
        <f t="shared" si="53"/>
        <v>37800000</v>
      </c>
      <c r="E270" s="27">
        <f t="shared" si="53"/>
        <v>37846086.726599678</v>
      </c>
      <c r="F270" s="27">
        <f t="shared" si="53"/>
        <v>37907535.695399262</v>
      </c>
      <c r="G270" s="27">
        <f t="shared" si="53"/>
        <v>37953622.42199894</v>
      </c>
      <c r="H270" s="27">
        <f t="shared" si="53"/>
        <v>48421370.967741936</v>
      </c>
    </row>
    <row r="271" spans="2:9">
      <c r="B271" s="101" t="s">
        <v>55</v>
      </c>
      <c r="C271" s="24"/>
      <c r="D271" s="27">
        <f t="shared" si="53"/>
        <v>29160000</v>
      </c>
      <c r="E271" s="27">
        <f t="shared" si="53"/>
        <v>29195552.617662609</v>
      </c>
      <c r="F271" s="27">
        <f t="shared" si="53"/>
        <v>36553695.134849288</v>
      </c>
      <c r="G271" s="27">
        <f t="shared" si="53"/>
        <v>36598135.906927556</v>
      </c>
      <c r="H271" s="27">
        <f t="shared" si="53"/>
        <v>37353629.032258064</v>
      </c>
    </row>
    <row r="272" spans="2:9">
      <c r="B272" s="101" t="s">
        <v>56</v>
      </c>
      <c r="C272" s="24"/>
      <c r="D272" s="27">
        <f t="shared" si="53"/>
        <v>35100000</v>
      </c>
      <c r="E272" s="27">
        <f t="shared" si="53"/>
        <v>35142794.817556843</v>
      </c>
      <c r="F272" s="27">
        <f t="shared" si="53"/>
        <v>35199854.574299313</v>
      </c>
      <c r="G272" s="27">
        <f t="shared" si="53"/>
        <v>35242649.391856164</v>
      </c>
      <c r="H272" s="27">
        <f t="shared" si="53"/>
        <v>35970161.290322587</v>
      </c>
    </row>
    <row r="273" spans="2:8">
      <c r="B273" s="101" t="s">
        <v>57</v>
      </c>
      <c r="C273" s="24"/>
      <c r="D273" s="27">
        <f t="shared" si="53"/>
        <v>25920000</v>
      </c>
      <c r="E273" s="27">
        <f t="shared" si="53"/>
        <v>32439502.908514012</v>
      </c>
      <c r="F273" s="27">
        <f t="shared" si="53"/>
        <v>32492173.453199364</v>
      </c>
      <c r="G273" s="27">
        <f t="shared" si="53"/>
        <v>32531676.36171338</v>
      </c>
      <c r="H273" s="27">
        <f t="shared" si="53"/>
        <v>33203225.806451611</v>
      </c>
    </row>
    <row r="274" spans="2:8">
      <c r="B274" s="101" t="s">
        <v>58</v>
      </c>
      <c r="C274" s="24"/>
      <c r="D274" s="27">
        <f t="shared" ref="D274:H275" si="54">D255*$I255*12</f>
        <v>54720000</v>
      </c>
      <c r="E274" s="27">
        <f t="shared" si="54"/>
        <v>54720000</v>
      </c>
      <c r="F274" s="27">
        <f t="shared" si="54"/>
        <v>54720000</v>
      </c>
      <c r="G274" s="27">
        <f t="shared" si="54"/>
        <v>54720000</v>
      </c>
      <c r="H274" s="27">
        <f t="shared" si="54"/>
        <v>68400000</v>
      </c>
    </row>
    <row r="275" spans="2:8" ht="13.5" thickBot="1">
      <c r="B275" s="101" t="s">
        <v>59</v>
      </c>
      <c r="C275" s="24"/>
      <c r="D275" s="79">
        <f t="shared" si="54"/>
        <v>52800000</v>
      </c>
      <c r="E275" s="79">
        <f t="shared" si="54"/>
        <v>52800000</v>
      </c>
      <c r="F275" s="79">
        <f t="shared" si="54"/>
        <v>52800000</v>
      </c>
      <c r="G275" s="79">
        <f t="shared" si="54"/>
        <v>52800000</v>
      </c>
      <c r="H275" s="79">
        <f t="shared" si="54"/>
        <v>66000000</v>
      </c>
    </row>
    <row r="276" spans="2:8" ht="13.5" thickBot="1">
      <c r="B276" s="88" t="s">
        <v>61</v>
      </c>
      <c r="C276" s="89"/>
      <c r="D276" s="90">
        <f>SUM(D269:D275)</f>
        <v>266820000</v>
      </c>
      <c r="E276" s="90">
        <f>SUM(E269:E275)</f>
        <v>273502123.21522999</v>
      </c>
      <c r="F276" s="90">
        <f t="shared" ref="F276:H276" si="55">SUM(F269:F275)</f>
        <v>281082359.86250663</v>
      </c>
      <c r="G276" s="90">
        <f t="shared" si="55"/>
        <v>289155193.01956642</v>
      </c>
      <c r="H276" s="91">
        <f t="shared" si="55"/>
        <v>329468951.61290324</v>
      </c>
    </row>
    <row r="277" spans="2:8" ht="15">
      <c r="B277"/>
    </row>
    <row r="279" spans="2:8" ht="13.5" thickBot="1">
      <c r="B279" s="122" t="s">
        <v>79</v>
      </c>
      <c r="C279" s="15"/>
      <c r="D279" s="78">
        <v>25</v>
      </c>
      <c r="E279" s="78"/>
      <c r="F279" s="78"/>
      <c r="G279" s="78"/>
      <c r="H279" s="78"/>
    </row>
    <row r="280" spans="2:8" ht="15.75" thickBot="1">
      <c r="B280"/>
      <c r="C280"/>
      <c r="D280" s="163" t="s">
        <v>9</v>
      </c>
      <c r="E280" s="164" t="s">
        <v>10</v>
      </c>
      <c r="F280" s="164" t="s">
        <v>11</v>
      </c>
      <c r="G280" s="164" t="s">
        <v>12</v>
      </c>
      <c r="H280" s="166" t="s">
        <v>13</v>
      </c>
    </row>
    <row r="281" spans="2:8">
      <c r="B281" s="15" t="s">
        <v>80</v>
      </c>
      <c r="C281" s="15"/>
      <c r="D281" s="161">
        <f>D168</f>
        <v>670727458.91999984</v>
      </c>
      <c r="E281" s="161">
        <f t="shared" ref="E281:G281" si="56">E168</f>
        <v>624457974.81000006</v>
      </c>
      <c r="F281" s="161">
        <f t="shared" si="56"/>
        <v>584562273.33000004</v>
      </c>
      <c r="G281" s="161">
        <f t="shared" si="56"/>
        <v>531107972.76000023</v>
      </c>
      <c r="H281" s="161">
        <f>H168</f>
        <v>948035782.07040036</v>
      </c>
    </row>
    <row r="282" spans="2:8">
      <c r="B282" s="15" t="s">
        <v>81</v>
      </c>
      <c r="C282" s="15"/>
      <c r="D282" s="27">
        <f>D176</f>
        <v>666360000</v>
      </c>
      <c r="E282" s="27">
        <f t="shared" ref="E282:G282" si="57">E176</f>
        <v>694826100</v>
      </c>
      <c r="F282" s="27">
        <f t="shared" si="57"/>
        <v>724607045.99999988</v>
      </c>
      <c r="G282" s="27">
        <f t="shared" si="57"/>
        <v>755767452.1724999</v>
      </c>
      <c r="H282" s="27">
        <f>H176</f>
        <v>788375262.47984982</v>
      </c>
    </row>
    <row r="283" spans="2:8" ht="13.5" thickBot="1">
      <c r="B283" s="78" t="s">
        <v>82</v>
      </c>
      <c r="C283" s="78"/>
      <c r="D283" s="79">
        <f>D276</f>
        <v>266820000</v>
      </c>
      <c r="E283" s="79">
        <f t="shared" ref="E283:H283" si="58">E276</f>
        <v>273502123.21522999</v>
      </c>
      <c r="F283" s="79">
        <f t="shared" si="58"/>
        <v>281082359.86250663</v>
      </c>
      <c r="G283" s="79">
        <f t="shared" si="58"/>
        <v>289155193.01956642</v>
      </c>
      <c r="H283" s="79">
        <f t="shared" si="58"/>
        <v>329468951.61290324</v>
      </c>
    </row>
    <row r="284" spans="2:8" ht="13.5" thickBot="1">
      <c r="B284" s="163" t="s">
        <v>83</v>
      </c>
      <c r="C284" s="164"/>
      <c r="D284" s="158">
        <f>SUM(D281:D283)*($D$279/100)</f>
        <v>400976864.72999996</v>
      </c>
      <c r="E284" s="158">
        <f t="shared" ref="E284:H284" si="59">SUM(E281:E283)*($D$279/100)</f>
        <v>398196549.50630748</v>
      </c>
      <c r="F284" s="158">
        <f t="shared" si="59"/>
        <v>397562919.79812664</v>
      </c>
      <c r="G284" s="158">
        <f t="shared" si="59"/>
        <v>394007654.48801661</v>
      </c>
      <c r="H284" s="165">
        <f t="shared" si="59"/>
        <v>516469999.04078829</v>
      </c>
    </row>
    <row r="287" spans="2:8" ht="13.5" thickBot="1">
      <c r="B287" s="14" t="s">
        <v>112</v>
      </c>
    </row>
    <row r="288" spans="2:8">
      <c r="B288" s="74" t="s">
        <v>113</v>
      </c>
      <c r="C288" s="86"/>
      <c r="D288" s="15" t="s">
        <v>114</v>
      </c>
    </row>
    <row r="289" spans="2:14">
      <c r="B289" s="76" t="s">
        <v>115</v>
      </c>
      <c r="C289" s="24"/>
      <c r="D289" s="27">
        <f>C55</f>
        <v>14808000000</v>
      </c>
    </row>
    <row r="290" spans="2:14">
      <c r="B290" s="76" t="s">
        <v>116</v>
      </c>
      <c r="C290" s="24"/>
      <c r="D290" s="15">
        <v>30</v>
      </c>
    </row>
    <row r="291" spans="2:14">
      <c r="B291" s="76" t="s">
        <v>117</v>
      </c>
      <c r="C291" s="24"/>
      <c r="D291" s="27">
        <f>SUM(D289/D290)</f>
        <v>493600000</v>
      </c>
    </row>
    <row r="292" spans="2:14" ht="13.5" thickBot="1">
      <c r="B292" s="167" t="s">
        <v>118</v>
      </c>
      <c r="C292" s="149"/>
      <c r="D292" s="15">
        <v>3</v>
      </c>
    </row>
    <row r="294" spans="2:14" ht="13.5" thickBot="1">
      <c r="B294" s="14" t="s">
        <v>15</v>
      </c>
    </row>
    <row r="295" spans="2:14">
      <c r="C295" s="10" t="s">
        <v>119</v>
      </c>
      <c r="D295" s="11" t="s">
        <v>120</v>
      </c>
      <c r="E295" s="11" t="s">
        <v>121</v>
      </c>
      <c r="F295" s="11" t="s">
        <v>122</v>
      </c>
      <c r="G295" s="11" t="s">
        <v>123</v>
      </c>
      <c r="H295" s="11" t="s">
        <v>124</v>
      </c>
      <c r="I295" s="11" t="s">
        <v>125</v>
      </c>
      <c r="J295" s="11" t="s">
        <v>126</v>
      </c>
      <c r="K295" s="11" t="s">
        <v>127</v>
      </c>
      <c r="L295" s="11" t="s">
        <v>128</v>
      </c>
      <c r="M295" s="11" t="s">
        <v>129</v>
      </c>
      <c r="N295" s="12" t="s">
        <v>130</v>
      </c>
    </row>
    <row r="296" spans="2:14">
      <c r="C296" s="27" t="s">
        <v>131</v>
      </c>
      <c r="D296" s="27">
        <f>D291</f>
        <v>493600000</v>
      </c>
      <c r="E296" s="27">
        <f>D291</f>
        <v>493600000</v>
      </c>
      <c r="F296" s="27">
        <f>D291</f>
        <v>493600000</v>
      </c>
      <c r="G296" s="27"/>
      <c r="H296" s="27"/>
      <c r="I296" s="27"/>
      <c r="J296" s="27"/>
      <c r="K296" s="27"/>
      <c r="L296" s="27"/>
      <c r="M296" s="27"/>
      <c r="N296" s="27"/>
    </row>
    <row r="297" spans="2:14">
      <c r="C297" s="27"/>
      <c r="D297" s="27" t="s">
        <v>131</v>
      </c>
      <c r="E297" s="27">
        <f>D291</f>
        <v>493600000</v>
      </c>
      <c r="F297" s="27">
        <f>D291</f>
        <v>493600000</v>
      </c>
      <c r="G297" s="27">
        <f>D291</f>
        <v>493600000</v>
      </c>
      <c r="H297" s="27"/>
      <c r="I297" s="27"/>
      <c r="J297" s="27"/>
      <c r="K297" s="27"/>
      <c r="L297" s="27"/>
      <c r="M297" s="27"/>
      <c r="N297" s="27"/>
    </row>
    <row r="298" spans="2:14">
      <c r="C298" s="27"/>
      <c r="D298" s="27"/>
      <c r="E298" s="27" t="s">
        <v>131</v>
      </c>
      <c r="F298" s="27">
        <f>D291</f>
        <v>493600000</v>
      </c>
      <c r="G298" s="27">
        <f>D291</f>
        <v>493600000</v>
      </c>
      <c r="H298" s="27">
        <f>D291</f>
        <v>493600000</v>
      </c>
      <c r="I298" s="27"/>
      <c r="J298" s="27"/>
      <c r="K298" s="27"/>
      <c r="L298" s="27"/>
      <c r="M298" s="27"/>
      <c r="N298" s="27"/>
    </row>
    <row r="299" spans="2:14">
      <c r="C299" s="27"/>
      <c r="D299" s="27"/>
      <c r="E299" s="27"/>
      <c r="F299" s="27" t="s">
        <v>131</v>
      </c>
      <c r="G299" s="27">
        <f>D291</f>
        <v>493600000</v>
      </c>
      <c r="H299" s="27">
        <f>D291</f>
        <v>493600000</v>
      </c>
      <c r="I299" s="27">
        <f>D291</f>
        <v>493600000</v>
      </c>
      <c r="J299" s="27"/>
      <c r="K299" s="27"/>
      <c r="L299" s="27"/>
      <c r="M299" s="27"/>
      <c r="N299" s="27"/>
    </row>
    <row r="300" spans="2:14">
      <c r="C300" s="27"/>
      <c r="D300" s="27"/>
      <c r="E300" s="27"/>
      <c r="F300" s="27"/>
      <c r="G300" s="27" t="s">
        <v>131</v>
      </c>
      <c r="H300" s="27">
        <f>D291</f>
        <v>493600000</v>
      </c>
      <c r="I300" s="27">
        <f>D291</f>
        <v>493600000</v>
      </c>
      <c r="J300" s="27">
        <f>D291</f>
        <v>493600000</v>
      </c>
      <c r="K300" s="27"/>
      <c r="L300" s="27"/>
      <c r="M300" s="27"/>
      <c r="N300" s="27"/>
    </row>
    <row r="301" spans="2:14">
      <c r="C301" s="27"/>
      <c r="D301" s="27"/>
      <c r="E301" s="27"/>
      <c r="F301" s="27"/>
      <c r="G301" s="27"/>
      <c r="H301" s="27" t="s">
        <v>131</v>
      </c>
      <c r="I301" s="27">
        <f>D291</f>
        <v>493600000</v>
      </c>
      <c r="J301" s="27">
        <f>D291</f>
        <v>493600000</v>
      </c>
      <c r="K301" s="27">
        <f>D291</f>
        <v>493600000</v>
      </c>
      <c r="L301" s="27"/>
      <c r="M301" s="27"/>
      <c r="N301" s="27"/>
    </row>
    <row r="302" spans="2:14">
      <c r="C302" s="27"/>
      <c r="D302" s="27"/>
      <c r="E302" s="27"/>
      <c r="F302" s="27"/>
      <c r="G302" s="27"/>
      <c r="H302" s="27"/>
      <c r="I302" s="27" t="s">
        <v>131</v>
      </c>
      <c r="J302" s="27">
        <f>D291</f>
        <v>493600000</v>
      </c>
      <c r="K302" s="27">
        <f>D291</f>
        <v>493600000</v>
      </c>
      <c r="L302" s="27">
        <f>D291</f>
        <v>493600000</v>
      </c>
      <c r="M302" s="27"/>
      <c r="N302" s="27"/>
    </row>
    <row r="303" spans="2:14">
      <c r="C303" s="27"/>
      <c r="D303" s="27"/>
      <c r="E303" s="27"/>
      <c r="F303" s="27"/>
      <c r="G303" s="27"/>
      <c r="H303" s="27"/>
      <c r="I303" s="27"/>
      <c r="J303" s="27" t="s">
        <v>131</v>
      </c>
      <c r="K303" s="27">
        <f>D291</f>
        <v>493600000</v>
      </c>
      <c r="L303" s="27">
        <f>D291</f>
        <v>493600000</v>
      </c>
      <c r="M303" s="27">
        <f>D291</f>
        <v>493600000</v>
      </c>
      <c r="N303" s="27"/>
    </row>
    <row r="304" spans="2:14">
      <c r="C304" s="27"/>
      <c r="D304" s="27"/>
      <c r="E304" s="27"/>
      <c r="F304" s="27"/>
      <c r="G304" s="27"/>
      <c r="H304" s="27"/>
      <c r="I304" s="27"/>
      <c r="J304" s="27"/>
      <c r="K304" s="27" t="s">
        <v>131</v>
      </c>
      <c r="L304" s="27">
        <f>D291</f>
        <v>493600000</v>
      </c>
      <c r="M304" s="27">
        <f>D291</f>
        <v>493600000</v>
      </c>
      <c r="N304" s="27">
        <f>D291</f>
        <v>493600000</v>
      </c>
    </row>
    <row r="305" spans="2:14">
      <c r="C305" s="27"/>
      <c r="D305" s="27"/>
      <c r="E305" s="27"/>
      <c r="F305" s="27"/>
      <c r="G305" s="27"/>
      <c r="H305" s="27"/>
      <c r="I305" s="27"/>
      <c r="J305" s="27"/>
      <c r="K305" s="27"/>
      <c r="L305" s="27" t="s">
        <v>131</v>
      </c>
      <c r="M305" s="27">
        <f>D291</f>
        <v>493600000</v>
      </c>
      <c r="N305" s="27">
        <f>D291</f>
        <v>493600000</v>
      </c>
    </row>
    <row r="306" spans="2:14"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 t="s">
        <v>131</v>
      </c>
      <c r="N306" s="27">
        <f>D291</f>
        <v>493600000</v>
      </c>
    </row>
    <row r="307" spans="2:14" ht="13.5" thickBot="1"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 t="s">
        <v>131</v>
      </c>
    </row>
    <row r="308" spans="2:14" ht="13.5" thickBot="1">
      <c r="C308" s="168">
        <f>SUM(C296:C307)</f>
        <v>0</v>
      </c>
      <c r="D308" s="158">
        <f t="shared" ref="D308:N308" si="60">SUM(D296:D307)</f>
        <v>493600000</v>
      </c>
      <c r="E308" s="158">
        <f t="shared" si="60"/>
        <v>987200000</v>
      </c>
      <c r="F308" s="158">
        <f t="shared" si="60"/>
        <v>1480800000</v>
      </c>
      <c r="G308" s="158">
        <f t="shared" si="60"/>
        <v>1480800000</v>
      </c>
      <c r="H308" s="158">
        <f t="shared" si="60"/>
        <v>1480800000</v>
      </c>
      <c r="I308" s="158">
        <f t="shared" si="60"/>
        <v>1480800000</v>
      </c>
      <c r="J308" s="158">
        <f t="shared" si="60"/>
        <v>1480800000</v>
      </c>
      <c r="K308" s="158">
        <f t="shared" si="60"/>
        <v>1480800000</v>
      </c>
      <c r="L308" s="158">
        <f t="shared" si="60"/>
        <v>1480800000</v>
      </c>
      <c r="M308" s="158">
        <f t="shared" si="60"/>
        <v>1480800000</v>
      </c>
      <c r="N308" s="165">
        <f t="shared" si="60"/>
        <v>1480800000</v>
      </c>
    </row>
    <row r="309" spans="2:14" ht="13.5" thickBot="1"/>
    <row r="310" spans="2:14">
      <c r="B310" s="169" t="s">
        <v>145</v>
      </c>
      <c r="C310" s="116">
        <f>E17</f>
        <v>-1738064323.6499999</v>
      </c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</row>
    <row r="311" spans="2:14">
      <c r="B311" s="170" t="s">
        <v>144</v>
      </c>
      <c r="C311" s="116">
        <v>12</v>
      </c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</row>
    <row r="312" spans="2:14" ht="13.5" thickBot="1">
      <c r="B312" s="171" t="s">
        <v>146</v>
      </c>
      <c r="C312" s="116">
        <f>C310/C311</f>
        <v>-144838693.63749999</v>
      </c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</row>
    <row r="313" spans="2:14" ht="13.5" thickBot="1"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</row>
    <row r="314" spans="2:14">
      <c r="B314" s="74" t="s">
        <v>132</v>
      </c>
      <c r="C314" s="27">
        <f>C312</f>
        <v>-144838693.63749999</v>
      </c>
      <c r="D314" s="27">
        <f>C312</f>
        <v>-144838693.63749999</v>
      </c>
      <c r="E314" s="27">
        <f>C312</f>
        <v>-144838693.63749999</v>
      </c>
      <c r="F314" s="27">
        <f>C312</f>
        <v>-144838693.63749999</v>
      </c>
      <c r="G314" s="27">
        <f>C312</f>
        <v>-144838693.63749999</v>
      </c>
      <c r="H314" s="27">
        <f>C312</f>
        <v>-144838693.63749999</v>
      </c>
      <c r="I314" s="27">
        <f>C312</f>
        <v>-144838693.63749999</v>
      </c>
      <c r="J314" s="27">
        <f>C312</f>
        <v>-144838693.63749999</v>
      </c>
      <c r="K314" s="27">
        <f>C312</f>
        <v>-144838693.63749999</v>
      </c>
      <c r="L314" s="27">
        <f>C312</f>
        <v>-144838693.63749999</v>
      </c>
      <c r="M314" s="27">
        <f>C312</f>
        <v>-144838693.63749999</v>
      </c>
      <c r="N314" s="27">
        <f>C312</f>
        <v>-144838693.63749999</v>
      </c>
    </row>
    <row r="315" spans="2:14" ht="13.5" thickBot="1">
      <c r="B315" s="167" t="s">
        <v>133</v>
      </c>
      <c r="C315" s="57">
        <f>C308+C314</f>
        <v>-144838693.63749999</v>
      </c>
      <c r="D315" s="27">
        <f>D308+D314</f>
        <v>348761306.36250001</v>
      </c>
      <c r="E315" s="27">
        <f>E308+E314</f>
        <v>842361306.36249995</v>
      </c>
      <c r="F315" s="27">
        <f>F308+F314</f>
        <v>1335961306.3625</v>
      </c>
      <c r="G315" s="27">
        <f>G308+G314</f>
        <v>1335961306.3625</v>
      </c>
      <c r="H315" s="27">
        <f>H308+H314</f>
        <v>1335961306.3625</v>
      </c>
      <c r="I315" s="27">
        <f>I308+I314</f>
        <v>1335961306.3625</v>
      </c>
      <c r="J315" s="27">
        <f>J308+J314</f>
        <v>1335961306.3625</v>
      </c>
      <c r="K315" s="27">
        <f>K308+K314</f>
        <v>1335961306.3625</v>
      </c>
      <c r="L315" s="27">
        <f>L308+L314</f>
        <v>1335961306.3625</v>
      </c>
      <c r="M315" s="27">
        <f>M308+M314</f>
        <v>1335961306.3625</v>
      </c>
      <c r="N315" s="27">
        <f>N308+N314</f>
        <v>1335961306.3625</v>
      </c>
    </row>
    <row r="316" spans="2:14" ht="13.5" thickBot="1"/>
    <row r="317" spans="2:14" ht="13.5" thickBot="1">
      <c r="B317" s="69" t="s">
        <v>112</v>
      </c>
      <c r="C317" s="89"/>
      <c r="D317" s="57">
        <f>MIN(C315:N315)</f>
        <v>-144838693.63749999</v>
      </c>
    </row>
    <row r="320" spans="2:14" ht="13.5" thickBot="1">
      <c r="B320" s="14" t="s">
        <v>149</v>
      </c>
    </row>
    <row r="321" spans="2:6">
      <c r="B321" s="194"/>
      <c r="C321" s="195">
        <v>6.2E-2</v>
      </c>
      <c r="D321" s="195" t="s">
        <v>150</v>
      </c>
      <c r="E321" s="195"/>
      <c r="F321" s="196" t="s">
        <v>151</v>
      </c>
    </row>
    <row r="322" spans="2:6">
      <c r="B322" s="199" t="s">
        <v>152</v>
      </c>
      <c r="C322" s="200" t="s">
        <v>153</v>
      </c>
      <c r="D322" s="200" t="s">
        <v>154</v>
      </c>
      <c r="E322" s="200" t="s">
        <v>155</v>
      </c>
      <c r="F322" s="201" t="s">
        <v>156</v>
      </c>
    </row>
    <row r="323" spans="2:6">
      <c r="B323" s="15">
        <v>0</v>
      </c>
      <c r="C323" s="15"/>
      <c r="D323" s="15"/>
      <c r="E323" s="15"/>
      <c r="F323" s="27">
        <f>D31</f>
        <v>2611000000</v>
      </c>
    </row>
    <row r="324" spans="2:6">
      <c r="B324" s="15">
        <v>1</v>
      </c>
      <c r="C324" s="27">
        <f>F323*$C$321</f>
        <v>161882000</v>
      </c>
      <c r="D324" s="27">
        <f>$C$332</f>
        <v>623218240.45198488</v>
      </c>
      <c r="E324" s="27">
        <f>D324-C324</f>
        <v>461336240.45198488</v>
      </c>
      <c r="F324" s="27">
        <f>F323-E324</f>
        <v>2149663759.5480151</v>
      </c>
    </row>
    <row r="325" spans="2:6">
      <c r="B325" s="15">
        <v>2</v>
      </c>
      <c r="C325" s="27">
        <f t="shared" ref="C325:C328" si="61">F324*$C$321</f>
        <v>133279153.09197694</v>
      </c>
      <c r="D325" s="27">
        <f>$C$332</f>
        <v>623218240.45198488</v>
      </c>
      <c r="E325" s="27">
        <f t="shared" ref="E325:E328" si="62">D325-C325</f>
        <v>489939087.36000794</v>
      </c>
      <c r="F325" s="27">
        <f t="shared" ref="F325:F328" si="63">F324-E325</f>
        <v>1659724672.1880071</v>
      </c>
    </row>
    <row r="326" spans="2:6">
      <c r="B326" s="15">
        <v>3</v>
      </c>
      <c r="C326" s="27">
        <f t="shared" si="61"/>
        <v>102902929.67565644</v>
      </c>
      <c r="D326" s="27">
        <f>$C$332</f>
        <v>623218240.45198488</v>
      </c>
      <c r="E326" s="27">
        <f t="shared" si="62"/>
        <v>520315310.77632844</v>
      </c>
      <c r="F326" s="27">
        <f t="shared" si="63"/>
        <v>1139409361.4116788</v>
      </c>
    </row>
    <row r="327" spans="2:6">
      <c r="B327" s="15">
        <v>4</v>
      </c>
      <c r="C327" s="27">
        <f t="shared" si="61"/>
        <v>70643380.407524079</v>
      </c>
      <c r="D327" s="27">
        <f>$C$332</f>
        <v>623218240.45198488</v>
      </c>
      <c r="E327" s="27">
        <f t="shared" si="62"/>
        <v>552574860.04446077</v>
      </c>
      <c r="F327" s="27">
        <f t="shared" si="63"/>
        <v>586834501.36721802</v>
      </c>
    </row>
    <row r="328" spans="2:6">
      <c r="B328" s="15">
        <v>5</v>
      </c>
      <c r="C328" s="27">
        <f t="shared" si="61"/>
        <v>36383739.08476752</v>
      </c>
      <c r="D328" s="27">
        <f>$C$332</f>
        <v>623218240.45198488</v>
      </c>
      <c r="E328" s="27">
        <f t="shared" si="62"/>
        <v>586834501.3672173</v>
      </c>
      <c r="F328" s="27">
        <f t="shared" si="63"/>
        <v>0</v>
      </c>
    </row>
    <row r="329" spans="2:6" ht="13.5" thickBot="1">
      <c r="B329" s="197" t="s">
        <v>61</v>
      </c>
      <c r="C329" s="202">
        <f>SUM(C324:C328)</f>
        <v>505091202.25992495</v>
      </c>
      <c r="D329" s="202">
        <f>SUM(D324:D328)</f>
        <v>3116091202.2599244</v>
      </c>
      <c r="E329" s="202">
        <f>SUM(E324:E328)</f>
        <v>2610999999.999999</v>
      </c>
      <c r="F329" s="198"/>
    </row>
    <row r="331" spans="2:6" ht="13.5" thickBot="1"/>
    <row r="332" spans="2:6" ht="13.5" thickBot="1">
      <c r="B332" s="98" t="s">
        <v>157</v>
      </c>
      <c r="C332" s="82">
        <f>(D31*C321*((1+C321)^5))/(((1+C321)^5)-1)</f>
        <v>623218240.45198488</v>
      </c>
    </row>
  </sheetData>
  <mergeCells count="31">
    <mergeCell ref="B133:F136"/>
    <mergeCell ref="B124:C124"/>
    <mergeCell ref="D124:F124"/>
    <mergeCell ref="G124:I124"/>
    <mergeCell ref="J124:L124"/>
    <mergeCell ref="M124:O124"/>
    <mergeCell ref="P124:R124"/>
    <mergeCell ref="B115:C115"/>
    <mergeCell ref="D115:F115"/>
    <mergeCell ref="G115:I115"/>
    <mergeCell ref="J115:L115"/>
    <mergeCell ref="M115:O115"/>
    <mergeCell ref="P115:R115"/>
    <mergeCell ref="B106:C106"/>
    <mergeCell ref="D106:F106"/>
    <mergeCell ref="G106:I106"/>
    <mergeCell ref="J106:L106"/>
    <mergeCell ref="M106:O106"/>
    <mergeCell ref="P106:R106"/>
    <mergeCell ref="B97:C97"/>
    <mergeCell ref="D97:F97"/>
    <mergeCell ref="G97:I97"/>
    <mergeCell ref="J97:L97"/>
    <mergeCell ref="M97:O97"/>
    <mergeCell ref="P97:R97"/>
    <mergeCell ref="B1:H1"/>
    <mergeCell ref="B59:C59"/>
    <mergeCell ref="B66:C66"/>
    <mergeCell ref="B73:C73"/>
    <mergeCell ref="B81:C81"/>
    <mergeCell ref="B89:C89"/>
  </mergeCells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FCN Puro</vt:lpstr>
      <vt:lpstr>FCN EN 70%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Usuario</cp:lastModifiedBy>
  <cp:lastPrinted>2009-07-08T20:12:47Z</cp:lastPrinted>
  <dcterms:created xsi:type="dcterms:W3CDTF">2009-07-04T22:26:30Z</dcterms:created>
  <dcterms:modified xsi:type="dcterms:W3CDTF">2009-07-08T20:17:24Z</dcterms:modified>
</cp:coreProperties>
</file>