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earning\IITM_ACSE\Capstone\ACSECapstone_wip\"/>
    </mc:Choice>
  </mc:AlternateContent>
  <xr:revisionPtr revIDLastSave="0" documentId="8_{12D5279F-B5AD-4A86-84F6-6A4F80A11710}" xr6:coauthVersionLast="47" xr6:coauthVersionMax="47" xr10:uidLastSave="{00000000-0000-0000-0000-000000000000}"/>
  <bookViews>
    <workbookView xWindow="57480" yWindow="-120" windowWidth="29040" windowHeight="15720" xr2:uid="{374E2EE5-8CBB-42A4-BB00-FF69D8D8B5B1}"/>
  </bookViews>
  <sheets>
    <sheet name="DOM-101" sheetId="1" r:id="rId1"/>
    <sheet name="DOM-112" sheetId="3" r:id="rId2"/>
    <sheet name="DOM-123" sheetId="4" r:id="rId3"/>
    <sheet name="INT-201" sheetId="2" r:id="rId4"/>
    <sheet name="INT-212" sheetId="5" r:id="rId5"/>
    <sheet name="INT-2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5" i="5"/>
  <c r="C5" i="2"/>
  <c r="C5" i="4"/>
  <c r="C5" i="3"/>
  <c r="C5" i="1"/>
  <c r="H25" i="6"/>
  <c r="I25" i="6" s="1"/>
  <c r="G25" i="6"/>
  <c r="H24" i="6"/>
  <c r="I24" i="6" s="1"/>
  <c r="G24" i="6"/>
  <c r="H23" i="6"/>
  <c r="I23" i="6" s="1"/>
  <c r="E23" i="6"/>
  <c r="G23" i="6" s="1"/>
  <c r="D23" i="6"/>
  <c r="F23" i="6" s="1"/>
  <c r="H22" i="6"/>
  <c r="I22" i="6" s="1"/>
  <c r="H21" i="6"/>
  <c r="I21" i="6" s="1"/>
  <c r="F21" i="6"/>
  <c r="E21" i="6"/>
  <c r="G21" i="6" s="1"/>
  <c r="I15" i="6"/>
  <c r="H15" i="6"/>
  <c r="F15" i="6"/>
  <c r="E15" i="6"/>
  <c r="G15" i="6" s="1"/>
  <c r="I14" i="6"/>
  <c r="H14" i="6"/>
  <c r="I13" i="6"/>
  <c r="H13" i="6"/>
  <c r="E13" i="6"/>
  <c r="G13" i="6" s="1"/>
  <c r="D13" i="6"/>
  <c r="F13" i="6" s="1"/>
  <c r="I12" i="6"/>
  <c r="H12" i="6"/>
  <c r="G12" i="6"/>
  <c r="D7" i="6"/>
  <c r="G6" i="6"/>
  <c r="D6" i="6"/>
  <c r="F5" i="6"/>
  <c r="F6" i="6" s="1"/>
  <c r="D2" i="6"/>
  <c r="C2" i="6"/>
  <c r="D12" i="6" s="1"/>
  <c r="F12" i="6" s="1"/>
  <c r="H25" i="5"/>
  <c r="I25" i="5" s="1"/>
  <c r="G25" i="5"/>
  <c r="H24" i="5"/>
  <c r="I24" i="5" s="1"/>
  <c r="G24" i="5"/>
  <c r="H23" i="5"/>
  <c r="I23" i="5" s="1"/>
  <c r="E23" i="5"/>
  <c r="G23" i="5" s="1"/>
  <c r="D23" i="5"/>
  <c r="F23" i="5" s="1"/>
  <c r="H22" i="5"/>
  <c r="I22" i="5" s="1"/>
  <c r="H21" i="5"/>
  <c r="I21" i="5" s="1"/>
  <c r="F21" i="5"/>
  <c r="I15" i="5"/>
  <c r="H15" i="5"/>
  <c r="F15" i="5"/>
  <c r="E15" i="5"/>
  <c r="G15" i="5" s="1"/>
  <c r="I14" i="5"/>
  <c r="H14" i="5"/>
  <c r="I13" i="5"/>
  <c r="H13" i="5"/>
  <c r="D13" i="5"/>
  <c r="F13" i="5" s="1"/>
  <c r="I12" i="5"/>
  <c r="H12" i="5"/>
  <c r="G12" i="5"/>
  <c r="D7" i="5"/>
  <c r="G6" i="5"/>
  <c r="D6" i="5"/>
  <c r="F5" i="5"/>
  <c r="F6" i="5" s="1"/>
  <c r="D2" i="5"/>
  <c r="C2" i="5"/>
  <c r="D12" i="5" s="1"/>
  <c r="F12" i="5" s="1"/>
  <c r="H25" i="4"/>
  <c r="I25" i="4" s="1"/>
  <c r="G25" i="4"/>
  <c r="H24" i="4"/>
  <c r="I24" i="4" s="1"/>
  <c r="G24" i="4"/>
  <c r="H23" i="4"/>
  <c r="I23" i="4" s="1"/>
  <c r="E23" i="4"/>
  <c r="G23" i="4" s="1"/>
  <c r="D23" i="4"/>
  <c r="F23" i="4" s="1"/>
  <c r="H22" i="4"/>
  <c r="I22" i="4" s="1"/>
  <c r="H21" i="4"/>
  <c r="I21" i="4" s="1"/>
  <c r="F21" i="4"/>
  <c r="E21" i="4"/>
  <c r="G21" i="4" s="1"/>
  <c r="I15" i="4"/>
  <c r="H15" i="4"/>
  <c r="G15" i="4"/>
  <c r="F15" i="4"/>
  <c r="E15" i="4"/>
  <c r="I14" i="4"/>
  <c r="H14" i="4"/>
  <c r="I13" i="4"/>
  <c r="H13" i="4"/>
  <c r="E13" i="4"/>
  <c r="G13" i="4" s="1"/>
  <c r="D13" i="4"/>
  <c r="F13" i="4" s="1"/>
  <c r="I12" i="4"/>
  <c r="H12" i="4"/>
  <c r="G12" i="4"/>
  <c r="G6" i="4"/>
  <c r="D6" i="4"/>
  <c r="D7" i="4" s="1"/>
  <c r="F5" i="4"/>
  <c r="F6" i="4" s="1"/>
  <c r="D2" i="4"/>
  <c r="C2" i="4"/>
  <c r="D12" i="4" s="1"/>
  <c r="F12" i="4" s="1"/>
  <c r="H25" i="3"/>
  <c r="I25" i="3" s="1"/>
  <c r="G25" i="3"/>
  <c r="H24" i="3"/>
  <c r="I24" i="3" s="1"/>
  <c r="G24" i="3"/>
  <c r="H23" i="3"/>
  <c r="I23" i="3" s="1"/>
  <c r="E23" i="3"/>
  <c r="G23" i="3" s="1"/>
  <c r="D23" i="3"/>
  <c r="F23" i="3" s="1"/>
  <c r="H22" i="3"/>
  <c r="I22" i="3" s="1"/>
  <c r="H21" i="3"/>
  <c r="I21" i="3" s="1"/>
  <c r="F21" i="3"/>
  <c r="E21" i="3"/>
  <c r="G21" i="3" s="1"/>
  <c r="I15" i="3"/>
  <c r="H15" i="3"/>
  <c r="F15" i="3"/>
  <c r="E15" i="3"/>
  <c r="G15" i="3" s="1"/>
  <c r="I14" i="3"/>
  <c r="H14" i="3"/>
  <c r="I13" i="3"/>
  <c r="H13" i="3"/>
  <c r="E13" i="3"/>
  <c r="G13" i="3" s="1"/>
  <c r="D13" i="3"/>
  <c r="F13" i="3" s="1"/>
  <c r="I12" i="3"/>
  <c r="H12" i="3"/>
  <c r="G12" i="3"/>
  <c r="G6" i="3"/>
  <c r="D6" i="3"/>
  <c r="D7" i="3" s="1"/>
  <c r="F5" i="3"/>
  <c r="F6" i="3" s="1"/>
  <c r="D2" i="3"/>
  <c r="C2" i="3"/>
  <c r="D12" i="3" s="1"/>
  <c r="F12" i="3" s="1"/>
  <c r="B6" i="2"/>
  <c r="G6" i="1"/>
  <c r="F5" i="2"/>
  <c r="F5" i="1"/>
  <c r="H25" i="1"/>
  <c r="I25" i="1" s="1"/>
  <c r="G25" i="1"/>
  <c r="H24" i="1"/>
  <c r="I24" i="1" s="1"/>
  <c r="G24" i="1"/>
  <c r="H23" i="1"/>
  <c r="I23" i="1" s="1"/>
  <c r="E23" i="1"/>
  <c r="G23" i="1" s="1"/>
  <c r="D23" i="1"/>
  <c r="F23" i="1" s="1"/>
  <c r="H22" i="1"/>
  <c r="I22" i="1" s="1"/>
  <c r="H21" i="1"/>
  <c r="I21" i="1" s="1"/>
  <c r="F21" i="1"/>
  <c r="E21" i="1"/>
  <c r="G21" i="1" s="1"/>
  <c r="I15" i="1"/>
  <c r="H15" i="1"/>
  <c r="F15" i="1"/>
  <c r="E15" i="1"/>
  <c r="G15" i="1" s="1"/>
  <c r="I14" i="1"/>
  <c r="H14" i="1"/>
  <c r="I13" i="1"/>
  <c r="H13" i="1"/>
  <c r="E13" i="1"/>
  <c r="G13" i="1" s="1"/>
  <c r="D13" i="1"/>
  <c r="F13" i="1" s="1"/>
  <c r="I12" i="1"/>
  <c r="H12" i="1"/>
  <c r="G12" i="1"/>
  <c r="D7" i="1"/>
  <c r="D6" i="1"/>
  <c r="F6" i="1"/>
  <c r="D2" i="1"/>
  <c r="C2" i="1"/>
  <c r="D12" i="1" s="1"/>
  <c r="F12" i="1" s="1"/>
  <c r="E15" i="2"/>
  <c r="E14" i="2"/>
  <c r="E13" i="2"/>
  <c r="G15" i="2"/>
  <c r="F15" i="2"/>
  <c r="G14" i="2"/>
  <c r="F14" i="2"/>
  <c r="G13" i="2"/>
  <c r="F13" i="2"/>
  <c r="G12" i="2"/>
  <c r="F12" i="2"/>
  <c r="G25" i="2"/>
  <c r="G24" i="2"/>
  <c r="G23" i="2"/>
  <c r="G22" i="2"/>
  <c r="G21" i="2"/>
  <c r="F25" i="2"/>
  <c r="F24" i="2"/>
  <c r="F23" i="2"/>
  <c r="F22" i="2"/>
  <c r="F21" i="2"/>
  <c r="E23" i="2"/>
  <c r="E22" i="2"/>
  <c r="E21" i="2"/>
  <c r="H25" i="2"/>
  <c r="I25" i="2" s="1"/>
  <c r="H24" i="2"/>
  <c r="I24" i="2" s="1"/>
  <c r="H23" i="2"/>
  <c r="I23" i="2" s="1"/>
  <c r="H22" i="2"/>
  <c r="I22" i="2" s="1"/>
  <c r="H21" i="2"/>
  <c r="I21" i="2" s="1"/>
  <c r="I15" i="2"/>
  <c r="H15" i="2"/>
  <c r="I14" i="2"/>
  <c r="H14" i="2"/>
  <c r="I13" i="2"/>
  <c r="H13" i="2"/>
  <c r="I12" i="2"/>
  <c r="H12" i="2"/>
  <c r="D6" i="2"/>
  <c r="D7" i="2" s="1"/>
  <c r="G6" i="2"/>
  <c r="F6" i="2"/>
  <c r="F7" i="2" s="1"/>
  <c r="D2" i="2"/>
  <c r="C2" i="2"/>
  <c r="F7" i="6" l="1"/>
  <c r="B6" i="6"/>
  <c r="D24" i="6"/>
  <c r="F24" i="6" s="1"/>
  <c r="D14" i="6"/>
  <c r="F14" i="6" s="1"/>
  <c r="D22" i="6"/>
  <c r="F22" i="6" s="1"/>
  <c r="E14" i="6"/>
  <c r="G14" i="6" s="1"/>
  <c r="E22" i="6"/>
  <c r="G22" i="6" s="1"/>
  <c r="D25" i="6"/>
  <c r="F25" i="6" s="1"/>
  <c r="F7" i="5"/>
  <c r="B6" i="5"/>
  <c r="E13" i="5"/>
  <c r="G13" i="5" s="1"/>
  <c r="E21" i="5"/>
  <c r="G21" i="5" s="1"/>
  <c r="D14" i="5"/>
  <c r="F14" i="5" s="1"/>
  <c r="D22" i="5"/>
  <c r="F22" i="5" s="1"/>
  <c r="E14" i="5"/>
  <c r="G14" i="5" s="1"/>
  <c r="E22" i="5"/>
  <c r="G22" i="5" s="1"/>
  <c r="D25" i="5"/>
  <c r="F25" i="5" s="1"/>
  <c r="D24" i="5"/>
  <c r="F24" i="5" s="1"/>
  <c r="B6" i="4"/>
  <c r="F7" i="4"/>
  <c r="D24" i="4"/>
  <c r="F24" i="4" s="1"/>
  <c r="D25" i="4"/>
  <c r="F25" i="4" s="1"/>
  <c r="D14" i="4"/>
  <c r="F14" i="4" s="1"/>
  <c r="D22" i="4"/>
  <c r="F22" i="4" s="1"/>
  <c r="E14" i="4"/>
  <c r="G14" i="4" s="1"/>
  <c r="E22" i="4"/>
  <c r="G22" i="4" s="1"/>
  <c r="B6" i="3"/>
  <c r="F7" i="3"/>
  <c r="D24" i="3"/>
  <c r="F24" i="3" s="1"/>
  <c r="D25" i="3"/>
  <c r="F25" i="3" s="1"/>
  <c r="D22" i="3"/>
  <c r="F22" i="3" s="1"/>
  <c r="E22" i="3"/>
  <c r="G22" i="3" s="1"/>
  <c r="D14" i="3"/>
  <c r="F14" i="3" s="1"/>
  <c r="E14" i="3"/>
  <c r="G14" i="3" s="1"/>
  <c r="F7" i="1"/>
  <c r="B6" i="1"/>
  <c r="D24" i="1"/>
  <c r="F24" i="1" s="1"/>
  <c r="D14" i="1"/>
  <c r="F14" i="1" s="1"/>
  <c r="D22" i="1"/>
  <c r="F22" i="1" s="1"/>
  <c r="E14" i="1"/>
  <c r="G14" i="1" s="1"/>
  <c r="E22" i="1"/>
  <c r="G22" i="1" s="1"/>
  <c r="D25" i="1"/>
  <c r="F25" i="1" s="1"/>
  <c r="D22" i="2"/>
  <c r="D23" i="2"/>
  <c r="D12" i="2"/>
  <c r="D24" i="2"/>
  <c r="D13" i="2"/>
  <c r="D25" i="2"/>
  <c r="D14" i="2"/>
</calcChain>
</file>

<file path=xl/sharedStrings.xml><?xml version="1.0" encoding="utf-8"?>
<sst xmlns="http://schemas.openxmlformats.org/spreadsheetml/2006/main" count="432" uniqueCount="47">
  <si>
    <t>Rule: Based on DIFFERENCE of (Scheduled Departure Datetime – Cancellation Datetime)</t>
  </si>
  <si>
    <t>Refund Amount</t>
  </si>
  <si>
    <t>(% of Ticket Price)</t>
  </si>
  <si>
    <t>If &gt;= 24 hours</t>
  </si>
  <si>
    <t>If &gt;= 4 hours and &lt; 24 hours</t>
  </si>
  <si>
    <t>If &gt;= 2 hour and &lt; 4 hours</t>
  </si>
  <si>
    <t>If &lt; 2 hour</t>
  </si>
  <si>
    <t>Sch Departure</t>
  </si>
  <si>
    <t>Sch Arrival</t>
  </si>
  <si>
    <t>Customer: Ticket Cancellation Refund Rules</t>
  </si>
  <si>
    <t>Rule: Based on DIFFERENCE of (Scheduled Departure Datetime – Actual Departure Datetime)</t>
  </si>
  <si>
    <t>If Actual Departure Datetime is not updated within 24 hours from Scheduled Departure Datetime</t>
  </si>
  <si>
    <t>Ticket Cost</t>
  </si>
  <si>
    <t>ETH</t>
  </si>
  <si>
    <t>To Customer</t>
  </si>
  <si>
    <t>To Flight Operator</t>
  </si>
  <si>
    <t>TIME_UNITS</t>
  </si>
  <si>
    <t>seconds</t>
  </si>
  <si>
    <t>1 minute</t>
  </si>
  <si>
    <t>1 Hour</t>
  </si>
  <si>
    <t>Pay To</t>
  </si>
  <si>
    <t>wei</t>
  </si>
  <si>
    <t>Ticket Close / Customer claim: Airline delay Refund Rules</t>
  </si>
  <si>
    <t>If &lt; 2 hours</t>
  </si>
  <si>
    <t>If &gt;= 2 hours and &lt; 10 hours</t>
  </si>
  <si>
    <t>If &gt;= 10 hours and &lt; 24 hours</t>
  </si>
  <si>
    <t>--</t>
  </si>
  <si>
    <t>n/a</t>
  </si>
  <si>
    <t>Flight data</t>
  </si>
  <si>
    <t>ConvertToEpoch</t>
  </si>
  <si>
    <t>ConvertEpochToDT</t>
  </si>
  <si>
    <t>Flight Num</t>
  </si>
  <si>
    <t>Flight Code</t>
  </si>
  <si>
    <t>Origin</t>
  </si>
  <si>
    <t>Destination</t>
  </si>
  <si>
    <t>BOM</t>
  </si>
  <si>
    <t>DEL</t>
  </si>
  <si>
    <t>NYC</t>
  </si>
  <si>
    <t>setupFlight</t>
  </si>
  <si>
    <t>Cancellation - Time Range</t>
  </si>
  <si>
    <t>Act Departure - Time Range</t>
  </si>
  <si>
    <t>From</t>
  </si>
  <si>
    <t>To</t>
  </si>
  <si>
    <t>Conversion - Range</t>
  </si>
  <si>
    <t>Duration (Hours)</t>
  </si>
  <si>
    <t>CC</t>
  </si>
  <si>
    <t>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</si>
</sst>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-409]m/d/yy\ h:mm\ AM/PM;@"/>
    <numFmt numFmtId="188" formatCode="0E+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71" fontId="0" fillId="0" borderId="1" xfId="0" applyNumberFormat="1" applyFill="1" applyBorder="1"/>
    <xf numFmtId="171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2" borderId="1" xfId="0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9" fontId="3" fillId="0" borderId="1" xfId="0" quotePrefix="1" applyNumberFormat="1" applyFont="1" applyBorder="1" applyAlignment="1">
      <alignment vertical="center" wrapText="1"/>
    </xf>
    <xf numFmtId="0" fontId="5" fillId="3" borderId="1" xfId="0" applyFont="1" applyFill="1" applyBorder="1"/>
    <xf numFmtId="0" fontId="1" fillId="9" borderId="1" xfId="0" applyFont="1" applyFill="1" applyBorder="1"/>
    <xf numFmtId="188" fontId="1" fillId="5" borderId="1" xfId="0" applyNumberFormat="1" applyFont="1" applyFill="1" applyBorder="1"/>
    <xf numFmtId="0" fontId="0" fillId="4" borderId="1" xfId="0" applyFill="1" applyBorder="1"/>
    <xf numFmtId="0" fontId="2" fillId="8" borderId="5" xfId="0" applyFont="1" applyFill="1" applyBorder="1"/>
    <xf numFmtId="0" fontId="0" fillId="4" borderId="5" xfId="0" applyFill="1" applyBorder="1"/>
    <xf numFmtId="0" fontId="5" fillId="3" borderId="2" xfId="0" applyFont="1" applyFill="1" applyBorder="1"/>
    <xf numFmtId="0" fontId="4" fillId="0" borderId="2" xfId="0" applyFont="1" applyBorder="1"/>
    <xf numFmtId="0" fontId="1" fillId="5" borderId="1" xfId="0" applyFont="1" applyFill="1" applyBorder="1"/>
    <xf numFmtId="0" fontId="2" fillId="10" borderId="1" xfId="0" applyFont="1" applyFill="1" applyBorder="1"/>
    <xf numFmtId="171" fontId="2" fillId="0" borderId="1" xfId="0" applyNumberFormat="1" applyFont="1" applyFill="1" applyBorder="1"/>
    <xf numFmtId="171" fontId="2" fillId="0" borderId="1" xfId="0" applyNumberFormat="1" applyFont="1" applyBorder="1"/>
    <xf numFmtId="0" fontId="2" fillId="11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0" borderId="1" xfId="0" quotePrefix="1" applyFont="1" applyBorder="1"/>
    <xf numFmtId="0" fontId="7" fillId="0" borderId="1" xfId="0" applyFont="1" applyBorder="1"/>
    <xf numFmtId="0" fontId="2" fillId="10" borderId="3" xfId="0" applyFont="1" applyFill="1" applyBorder="1"/>
    <xf numFmtId="0" fontId="6" fillId="10" borderId="1" xfId="0" applyFont="1" applyFill="1" applyBorder="1"/>
    <xf numFmtId="0" fontId="8" fillId="0" borderId="0" xfId="0" applyFont="1"/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311D-3C2E-4F92-87AE-1AAA11879B55}">
  <sheetPr>
    <tabColor theme="4"/>
  </sheetPr>
  <dimension ref="A1:J25"/>
  <sheetViews>
    <sheetView tabSelected="1" workbookViewId="0">
      <selection activeCell="C5" sqref="C5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101</v>
      </c>
      <c r="C5" s="35" t="str">
        <f>_xlfn.CONCAT("D",B5)</f>
        <v>D101</v>
      </c>
      <c r="D5" s="23">
        <v>45207.385416666664</v>
      </c>
      <c r="E5" s="2">
        <v>2</v>
      </c>
      <c r="F5" s="24">
        <f>D5+E5/24</f>
        <v>45207.46875</v>
      </c>
      <c r="G5" s="21">
        <v>10</v>
      </c>
      <c r="H5" s="31" t="s">
        <v>13</v>
      </c>
      <c r="I5" s="2" t="s">
        <v>35</v>
      </c>
      <c r="J5" s="2" t="s">
        <v>37</v>
      </c>
    </row>
    <row r="6" spans="1:10" ht="14.5" customHeight="1" x14ac:dyDescent="0.35">
      <c r="A6" s="25" t="s">
        <v>38</v>
      </c>
      <c r="B6" s="34" t="str">
        <f>_xlfn.CONCAT(B5,",",C5,",",D6,",",F6,",",I5,",",J5)</f>
        <v>101,D101,1696756500,1696763700,BOM,NYC</v>
      </c>
      <c r="C6" s="19" t="s">
        <v>29</v>
      </c>
      <c r="D6" s="20">
        <f>(D5-25569)*86400</f>
        <v>1696756499.9999998</v>
      </c>
      <c r="F6" s="20">
        <f>(F5-25569)*86400</f>
        <v>1696763700</v>
      </c>
      <c r="G6" s="15">
        <f>G5*1000000000000000000</f>
        <v>1E+19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10</v>
      </c>
      <c r="I12" s="14">
        <f>IFERROR($G$5*C12,"--")</f>
        <v>10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8</v>
      </c>
      <c r="I13" s="14">
        <f>IFERROR($G$5*C13,"--")</f>
        <v>8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4</v>
      </c>
      <c r="I14" s="14">
        <f>IFERROR($G$5*C14,"--")</f>
        <v>4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10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G25" si="2">IFERROR($D$5+D22/24,"--")</f>
        <v>45207.38680555555</v>
      </c>
      <c r="G22" s="5">
        <f t="shared" si="2"/>
        <v>45207.392354166666</v>
      </c>
      <c r="H22" s="14">
        <f>+$G$5*C22</f>
        <v>1</v>
      </c>
      <c r="I22" s="14">
        <f>$G$5-H22</f>
        <v>9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2"/>
        <v>45207.402076388884</v>
      </c>
      <c r="H23" s="14">
        <f>+$G$5*C23</f>
        <v>4</v>
      </c>
      <c r="I23" s="14">
        <f>$G$5-H23</f>
        <v>6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2"/>
        <v>--</v>
      </c>
      <c r="H24" s="14">
        <f>+$G$5*C24</f>
        <v>10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2"/>
        <v>--</v>
      </c>
      <c r="H25" s="14">
        <f>+$G$5*C25</f>
        <v>10</v>
      </c>
      <c r="I25" s="14">
        <f>$G$5-H25</f>
        <v>0</v>
      </c>
      <c r="J25" s="1" t="s">
        <v>13</v>
      </c>
    </row>
  </sheetData>
  <mergeCells count="8">
    <mergeCell ref="D10:E10"/>
    <mergeCell ref="F10:G10"/>
    <mergeCell ref="H10:I10"/>
    <mergeCell ref="D19:E19"/>
    <mergeCell ref="F19:G19"/>
    <mergeCell ref="H19:I19"/>
    <mergeCell ref="B10:B11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E78D-4C15-4A80-8000-7A79413C6B82}">
  <sheetPr>
    <tabColor theme="4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112</v>
      </c>
      <c r="C5" s="35" t="str">
        <f>_xlfn.CONCAT("D",B5)</f>
        <v>D112</v>
      </c>
      <c r="D5" s="23">
        <v>45207.385416666664</v>
      </c>
      <c r="E5" s="2">
        <v>2</v>
      </c>
      <c r="F5" s="24">
        <f>D5+E5/24</f>
        <v>45207.46875</v>
      </c>
      <c r="G5" s="21">
        <v>10</v>
      </c>
      <c r="H5" s="31" t="s">
        <v>13</v>
      </c>
      <c r="I5" s="2" t="s">
        <v>36</v>
      </c>
      <c r="J5" s="2" t="s">
        <v>46</v>
      </c>
    </row>
    <row r="6" spans="1:10" ht="14.5" customHeight="1" x14ac:dyDescent="0.35">
      <c r="A6" s="25" t="s">
        <v>38</v>
      </c>
      <c r="B6" s="34" t="str">
        <f>_xlfn.CONCAT(B5,",",C5,",",D6,",",F6,",",I5,",",J5)</f>
        <v>112,D112,1696756500,1696763700,DEL,KOL</v>
      </c>
      <c r="C6" s="19" t="s">
        <v>29</v>
      </c>
      <c r="D6" s="20">
        <f>(D5-25569)*86400</f>
        <v>1696756499.9999998</v>
      </c>
      <c r="F6" s="20">
        <f>(F5-25569)*86400</f>
        <v>1696763700</v>
      </c>
      <c r="G6" s="15">
        <f>G5*1000000000000000000</f>
        <v>1E+19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10</v>
      </c>
      <c r="I12" s="14">
        <f>IFERROR($G$5*C12,"--")</f>
        <v>10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8</v>
      </c>
      <c r="I13" s="14">
        <f>IFERROR($G$5*C13,"--")</f>
        <v>8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4</v>
      </c>
      <c r="I14" s="14">
        <f>IFERROR($G$5*C14,"--")</f>
        <v>4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10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G25" si="2">IFERROR($D$5+D22/24,"--")</f>
        <v>45207.38680555555</v>
      </c>
      <c r="G22" s="5">
        <f t="shared" si="2"/>
        <v>45207.392354166666</v>
      </c>
      <c r="H22" s="14">
        <f>+$G$5*C22</f>
        <v>1</v>
      </c>
      <c r="I22" s="14">
        <f>$G$5-H22</f>
        <v>9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2"/>
        <v>45207.402076388884</v>
      </c>
      <c r="H23" s="14">
        <f>+$G$5*C23</f>
        <v>4</v>
      </c>
      <c r="I23" s="14">
        <f>$G$5-H23</f>
        <v>6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2"/>
        <v>--</v>
      </c>
      <c r="H24" s="14">
        <f>+$G$5*C24</f>
        <v>10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2"/>
        <v>--</v>
      </c>
      <c r="H25" s="14">
        <f>+$G$5*C25</f>
        <v>10</v>
      </c>
      <c r="I25" s="14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D20-93D5-4347-8502-E831A2C50654}">
  <sheetPr>
    <tabColor theme="4"/>
  </sheetPr>
  <dimension ref="A1:J25"/>
  <sheetViews>
    <sheetView workbookViewId="0">
      <selection activeCell="B35" sqref="B35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123</v>
      </c>
      <c r="C5" s="35" t="str">
        <f>_xlfn.CONCAT("D",B5)</f>
        <v>D123</v>
      </c>
      <c r="D5" s="23">
        <v>45207.385416666664</v>
      </c>
      <c r="E5" s="2">
        <v>2</v>
      </c>
      <c r="F5" s="24">
        <f>D5+E5/24</f>
        <v>45207.46875</v>
      </c>
      <c r="G5" s="21">
        <v>10</v>
      </c>
      <c r="H5" s="31" t="s">
        <v>13</v>
      </c>
      <c r="I5" s="2" t="s">
        <v>46</v>
      </c>
      <c r="J5" s="2" t="s">
        <v>35</v>
      </c>
    </row>
    <row r="6" spans="1:10" ht="14.5" customHeight="1" x14ac:dyDescent="0.35">
      <c r="A6" s="25" t="s">
        <v>38</v>
      </c>
      <c r="B6" s="34" t="str">
        <f>_xlfn.CONCAT(B5,",",C5,",",D6,",",F6,",",I5,",",J5)</f>
        <v>123,D123,1696756500,1696763700,KOL,BOM</v>
      </c>
      <c r="C6" s="19" t="s">
        <v>29</v>
      </c>
      <c r="D6" s="20">
        <f>(D5-25569)*86400</f>
        <v>1696756499.9999998</v>
      </c>
      <c r="F6" s="20">
        <f>(F5-25569)*86400</f>
        <v>1696763700</v>
      </c>
      <c r="G6" s="15">
        <f>G5*1000000000000000000</f>
        <v>1E+19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10</v>
      </c>
      <c r="I12" s="14">
        <f>IFERROR($G$5*C12,"--")</f>
        <v>10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8</v>
      </c>
      <c r="I13" s="14">
        <f>IFERROR($G$5*C13,"--")</f>
        <v>8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4</v>
      </c>
      <c r="I14" s="14">
        <f>IFERROR($G$5*C14,"--")</f>
        <v>4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10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G25" si="2">IFERROR($D$5+D22/24,"--")</f>
        <v>45207.38680555555</v>
      </c>
      <c r="G22" s="5">
        <f t="shared" si="2"/>
        <v>45207.392354166666</v>
      </c>
      <c r="H22" s="14">
        <f>+$G$5*C22</f>
        <v>1</v>
      </c>
      <c r="I22" s="14">
        <f>$G$5-H22</f>
        <v>9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2"/>
        <v>45207.402076388884</v>
      </c>
      <c r="H23" s="14">
        <f>+$G$5*C23</f>
        <v>4</v>
      </c>
      <c r="I23" s="14">
        <f>$G$5-H23</f>
        <v>6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2"/>
        <v>--</v>
      </c>
      <c r="H24" s="14">
        <f>+$G$5*C24</f>
        <v>10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2"/>
        <v>--</v>
      </c>
      <c r="H25" s="14">
        <f>+$G$5*C25</f>
        <v>10</v>
      </c>
      <c r="I25" s="14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BBCE-A83F-48C3-97BC-169EF2609604}">
  <sheetPr>
    <tabColor theme="9" tint="-0.249977111117893"/>
  </sheetPr>
  <dimension ref="A1:J25"/>
  <sheetViews>
    <sheetView workbookViewId="0">
      <selection activeCell="C5" sqref="C5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201</v>
      </c>
      <c r="C5" s="35" t="str">
        <f>_xlfn.CONCAT("I",B5)</f>
        <v>I201</v>
      </c>
      <c r="D5" s="23">
        <v>45207.385416666664</v>
      </c>
      <c r="E5" s="2">
        <v>24</v>
      </c>
      <c r="F5" s="24">
        <f>D5+E5/24</f>
        <v>45208.385416666664</v>
      </c>
      <c r="G5" s="21">
        <v>25</v>
      </c>
      <c r="H5" s="31" t="s">
        <v>13</v>
      </c>
      <c r="I5" s="2" t="s">
        <v>35</v>
      </c>
      <c r="J5" s="2" t="s">
        <v>37</v>
      </c>
    </row>
    <row r="6" spans="1:10" ht="14.5" customHeight="1" x14ac:dyDescent="0.35">
      <c r="A6" s="25" t="s">
        <v>38</v>
      </c>
      <c r="B6" s="34" t="str">
        <f>_xlfn.CONCAT(B5,",",C5,",",D6,",",F6,",",I5,",",J5)</f>
        <v>201,I201,1696756500,1696842900,BOM,NYC</v>
      </c>
      <c r="C6" s="19" t="s">
        <v>29</v>
      </c>
      <c r="D6" s="20">
        <f>(D5-25569)*86400</f>
        <v>1696756499.9999998</v>
      </c>
      <c r="F6" s="20">
        <f>(F5-25569)*86400</f>
        <v>1696842899.9999998</v>
      </c>
      <c r="G6" s="15">
        <f>G5*1000000000000000000</f>
        <v>2.5E+19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25</v>
      </c>
      <c r="I12" s="14">
        <f>IFERROR($G$5*C12,"--")</f>
        <v>25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20</v>
      </c>
      <c r="I13" s="14">
        <f>IFERROR($G$5*C13,"--")</f>
        <v>20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10</v>
      </c>
      <c r="I14" s="14">
        <f>IFERROR($G$5*C14,"--")</f>
        <v>10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25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F25" si="2">IFERROR($D$5+D22/24,"--")</f>
        <v>45207.38680555555</v>
      </c>
      <c r="G22" s="5">
        <f t="shared" ref="G22:G25" si="3">IFERROR($D$5+E22/24,"--")</f>
        <v>45207.392354166666</v>
      </c>
      <c r="H22" s="14">
        <f>+$G$5*C22</f>
        <v>2.5</v>
      </c>
      <c r="I22" s="14">
        <f>$G$5-H22</f>
        <v>22.5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3"/>
        <v>45207.402076388884</v>
      </c>
      <c r="H23" s="14">
        <f>+$G$5*C23</f>
        <v>10</v>
      </c>
      <c r="I23" s="14">
        <f>$G$5-H23</f>
        <v>15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3"/>
        <v>--</v>
      </c>
      <c r="H24" s="14">
        <f>+$G$5*C24</f>
        <v>25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3"/>
        <v>--</v>
      </c>
      <c r="H25" s="14">
        <f>+$G$5*C25</f>
        <v>25</v>
      </c>
      <c r="I25" s="14">
        <f>$G$5-H25</f>
        <v>0</v>
      </c>
      <c r="J25" s="1" t="s">
        <v>13</v>
      </c>
    </row>
  </sheetData>
  <mergeCells count="8">
    <mergeCell ref="B10:B11"/>
    <mergeCell ref="F10:G10"/>
    <mergeCell ref="H10:I10"/>
    <mergeCell ref="B19:B20"/>
    <mergeCell ref="F19:G19"/>
    <mergeCell ref="H19:I19"/>
    <mergeCell ref="D10:E10"/>
    <mergeCell ref="D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2C10-3393-47A3-8611-ACA1C7653285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212</v>
      </c>
      <c r="C5" s="35" t="str">
        <f>_xlfn.CONCAT("I",B5)</f>
        <v>I212</v>
      </c>
      <c r="D5" s="23">
        <v>45207.385416666664</v>
      </c>
      <c r="E5" s="2">
        <v>24</v>
      </c>
      <c r="F5" s="24">
        <f>D5+E5/24</f>
        <v>45208.385416666664</v>
      </c>
      <c r="G5" s="21">
        <v>25</v>
      </c>
      <c r="H5" s="31" t="s">
        <v>13</v>
      </c>
      <c r="I5" s="2" t="s">
        <v>35</v>
      </c>
      <c r="J5" s="2" t="s">
        <v>37</v>
      </c>
    </row>
    <row r="6" spans="1:10" ht="14.5" customHeight="1" x14ac:dyDescent="0.35">
      <c r="A6" s="25" t="s">
        <v>38</v>
      </c>
      <c r="B6" s="34" t="str">
        <f>_xlfn.CONCAT(B5,",",C5,",",D6,",",F6,",",I5,",",J5)</f>
        <v>212,I212,1696756500,1696842900,BOM,NYC</v>
      </c>
      <c r="C6" s="19" t="s">
        <v>29</v>
      </c>
      <c r="D6" s="20">
        <f>(D5-25569)*86400</f>
        <v>1696756499.9999998</v>
      </c>
      <c r="F6" s="20">
        <f>(F5-25569)*86400</f>
        <v>1696842899.9999998</v>
      </c>
      <c r="G6" s="15">
        <f>G5*1000000000000000000</f>
        <v>2.5E+19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25</v>
      </c>
      <c r="I12" s="14">
        <f>IFERROR($G$5*C12,"--")</f>
        <v>25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20</v>
      </c>
      <c r="I13" s="14">
        <f>IFERROR($G$5*C13,"--")</f>
        <v>20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10</v>
      </c>
      <c r="I14" s="14">
        <f>IFERROR($G$5*C14,"--")</f>
        <v>10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25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G25" si="2">IFERROR($D$5+D22/24,"--")</f>
        <v>45207.38680555555</v>
      </c>
      <c r="G22" s="5">
        <f t="shared" si="2"/>
        <v>45207.392354166666</v>
      </c>
      <c r="H22" s="14">
        <f>+$G$5*C22</f>
        <v>2.5</v>
      </c>
      <c r="I22" s="14">
        <f>$G$5-H22</f>
        <v>22.5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2"/>
        <v>45207.402076388884</v>
      </c>
      <c r="H23" s="14">
        <f>+$G$5*C23</f>
        <v>10</v>
      </c>
      <c r="I23" s="14">
        <f>$G$5-H23</f>
        <v>15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2"/>
        <v>--</v>
      </c>
      <c r="H24" s="14">
        <f>+$G$5*C24</f>
        <v>25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2"/>
        <v>--</v>
      </c>
      <c r="H25" s="14">
        <f>+$G$5*C25</f>
        <v>25</v>
      </c>
      <c r="I25" s="14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9C5-868B-455E-A9AD-EB9FA351D694}">
  <sheetPr>
    <tabColor theme="9" tint="-0.249977111117893"/>
  </sheetPr>
  <dimension ref="A1:J25"/>
  <sheetViews>
    <sheetView workbookViewId="0">
      <selection activeCell="B5" sqref="B5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5" width="16.1796875" customWidth="1"/>
    <col min="6" max="6" width="17" customWidth="1"/>
    <col min="7" max="7" width="16.08984375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6">
        <v>60</v>
      </c>
      <c r="E1" s="16" t="s">
        <v>17</v>
      </c>
      <c r="F1" s="16" t="s">
        <v>18</v>
      </c>
    </row>
    <row r="2" spans="1:10" x14ac:dyDescent="0.35">
      <c r="C2" s="17">
        <f>D1</f>
        <v>60</v>
      </c>
      <c r="D2" s="18">
        <f>+D1*60</f>
        <v>3600</v>
      </c>
      <c r="E2" s="18" t="s">
        <v>17</v>
      </c>
      <c r="F2" s="18" t="s">
        <v>19</v>
      </c>
    </row>
    <row r="3" spans="1:10" ht="14.5" customHeight="1" x14ac:dyDescent="0.35">
      <c r="B3" s="13" t="s">
        <v>28</v>
      </c>
      <c r="C3" s="2"/>
      <c r="D3" s="2"/>
      <c r="E3" s="2"/>
    </row>
    <row r="4" spans="1:10" ht="14.5" customHeight="1" x14ac:dyDescent="0.35">
      <c r="B4" s="22" t="s">
        <v>31</v>
      </c>
      <c r="C4" s="22" t="s">
        <v>32</v>
      </c>
      <c r="D4" s="22" t="s">
        <v>7</v>
      </c>
      <c r="E4" s="32" t="s">
        <v>44</v>
      </c>
      <c r="F4" s="22" t="s">
        <v>8</v>
      </c>
      <c r="G4" s="33" t="s">
        <v>12</v>
      </c>
      <c r="H4" s="22" t="s">
        <v>45</v>
      </c>
      <c r="I4" s="22" t="s">
        <v>33</v>
      </c>
      <c r="J4" s="22" t="s">
        <v>34</v>
      </c>
    </row>
    <row r="5" spans="1:10" ht="14.5" customHeight="1" x14ac:dyDescent="0.35">
      <c r="B5" s="3">
        <v>223</v>
      </c>
      <c r="C5" s="35" t="str">
        <f>_xlfn.CONCAT("I",B5)</f>
        <v>I223</v>
      </c>
      <c r="D5" s="23">
        <v>45207.385416666664</v>
      </c>
      <c r="E5" s="2">
        <v>24</v>
      </c>
      <c r="F5" s="24">
        <f>D5+E5/24</f>
        <v>45208.385416666664</v>
      </c>
      <c r="G5" s="21">
        <v>25</v>
      </c>
      <c r="H5" s="31" t="s">
        <v>13</v>
      </c>
      <c r="I5" s="2" t="s">
        <v>35</v>
      </c>
      <c r="J5" s="2" t="s">
        <v>37</v>
      </c>
    </row>
    <row r="6" spans="1:10" ht="14.5" customHeight="1" x14ac:dyDescent="0.35">
      <c r="A6" s="25" t="s">
        <v>38</v>
      </c>
      <c r="B6" s="34" t="str">
        <f>_xlfn.CONCAT(B5,",",C5,",",D6,",",F6,",",I5,",",J5)</f>
        <v>223,I223,1696756500,1696842900,BOM,NYC</v>
      </c>
      <c r="C6" s="19" t="s">
        <v>29</v>
      </c>
      <c r="D6" s="20">
        <f>(D5-25569)*86400</f>
        <v>1696756499.9999998</v>
      </c>
      <c r="F6" s="20">
        <f>(F5-25569)*86400</f>
        <v>1696842899.9999998</v>
      </c>
      <c r="G6" s="15">
        <f>G5*1000000000000000000</f>
        <v>2.5E+19</v>
      </c>
      <c r="H6" s="2" t="s">
        <v>21</v>
      </c>
    </row>
    <row r="7" spans="1:10" x14ac:dyDescent="0.35">
      <c r="C7" s="13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11" t="s">
        <v>0</v>
      </c>
      <c r="C10" s="8" t="s">
        <v>1</v>
      </c>
      <c r="D10" s="28" t="s">
        <v>43</v>
      </c>
      <c r="E10" s="29"/>
      <c r="F10" s="6" t="s">
        <v>39</v>
      </c>
      <c r="G10" s="6"/>
      <c r="H10" s="6" t="s">
        <v>20</v>
      </c>
      <c r="I10" s="6"/>
    </row>
    <row r="11" spans="1:10" x14ac:dyDescent="0.35">
      <c r="B11" s="11"/>
      <c r="C11" s="8" t="s">
        <v>2</v>
      </c>
      <c r="D11" s="27" t="s">
        <v>41</v>
      </c>
      <c r="E11" s="26" t="s">
        <v>42</v>
      </c>
      <c r="F11" s="7" t="s">
        <v>41</v>
      </c>
      <c r="G11" s="7" t="s">
        <v>42</v>
      </c>
      <c r="H11" s="7" t="s">
        <v>14</v>
      </c>
      <c r="I11" s="7" t="s">
        <v>15</v>
      </c>
    </row>
    <row r="12" spans="1:10" x14ac:dyDescent="0.35">
      <c r="B12" s="10" t="s">
        <v>3</v>
      </c>
      <c r="C12" s="9">
        <v>1</v>
      </c>
      <c r="D12" s="3">
        <f>24*$C$2/$D$2</f>
        <v>0.4</v>
      </c>
      <c r="E12" s="30" t="s">
        <v>26</v>
      </c>
      <c r="F12" s="5">
        <f>IFERROR($D$5-D12/24,"--")</f>
        <v>45207.368749999994</v>
      </c>
      <c r="G12" s="5" t="str">
        <f t="shared" ref="G12:G15" si="0">IFERROR($D$5-E12/24,"--")</f>
        <v>--</v>
      </c>
      <c r="H12" s="14">
        <f>IFERROR($G$5*C12,"--")</f>
        <v>25</v>
      </c>
      <c r="I12" s="14">
        <f>IFERROR($G$5*C12,"--")</f>
        <v>25</v>
      </c>
      <c r="J12" s="1" t="s">
        <v>13</v>
      </c>
    </row>
    <row r="13" spans="1:10" x14ac:dyDescent="0.35">
      <c r="B13" s="10" t="s">
        <v>4</v>
      </c>
      <c r="C13" s="9">
        <v>0.8</v>
      </c>
      <c r="D13" s="3">
        <f>4*$C$2/$D$2</f>
        <v>6.6666666666666666E-2</v>
      </c>
      <c r="E13" s="3">
        <f>23.99*$C$2/$D$2</f>
        <v>0.39983333333333332</v>
      </c>
      <c r="F13" s="5">
        <f t="shared" ref="F13:F15" si="1">IFERROR($D$5-D13/24,"--")</f>
        <v>45207.382638888885</v>
      </c>
      <c r="G13" s="5">
        <f t="shared" si="0"/>
        <v>45207.368756944445</v>
      </c>
      <c r="H13" s="14">
        <f>IFERROR($G$5*C13,"--")</f>
        <v>20</v>
      </c>
      <c r="I13" s="14">
        <f>IFERROR($G$5*C13,"--")</f>
        <v>20</v>
      </c>
      <c r="J13" s="1" t="s">
        <v>13</v>
      </c>
    </row>
    <row r="14" spans="1:10" x14ac:dyDescent="0.35">
      <c r="B14" s="10" t="s">
        <v>5</v>
      </c>
      <c r="C14" s="9">
        <v>0.4</v>
      </c>
      <c r="D14" s="3">
        <f>2*$C$2/$D$2</f>
        <v>3.3333333333333333E-2</v>
      </c>
      <c r="E14" s="3">
        <f>3.99*$C$2/$D$2</f>
        <v>6.6500000000000004E-2</v>
      </c>
      <c r="F14" s="5">
        <f t="shared" si="1"/>
        <v>45207.384027777778</v>
      </c>
      <c r="G14" s="5">
        <f t="shared" si="0"/>
        <v>45207.382645833328</v>
      </c>
      <c r="H14" s="14">
        <f>IFERROR($G$5*C14,"--")</f>
        <v>10</v>
      </c>
      <c r="I14" s="14">
        <f>IFERROR($G$5*C14,"--")</f>
        <v>10</v>
      </c>
      <c r="J14" s="1" t="s">
        <v>13</v>
      </c>
    </row>
    <row r="15" spans="1:10" x14ac:dyDescent="0.35">
      <c r="B15" s="10" t="s">
        <v>6</v>
      </c>
      <c r="C15" s="12" t="s">
        <v>27</v>
      </c>
      <c r="D15" s="30" t="s">
        <v>26</v>
      </c>
      <c r="E15" s="3">
        <f>1*$C$2/$D$2</f>
        <v>1.6666666666666666E-2</v>
      </c>
      <c r="F15" s="5" t="str">
        <f t="shared" si="1"/>
        <v>--</v>
      </c>
      <c r="G15" s="5">
        <f t="shared" si="0"/>
        <v>45207.384722222218</v>
      </c>
      <c r="H15" s="14" t="str">
        <f>IFERROR($G$5*C15,"--")</f>
        <v>--</v>
      </c>
      <c r="I15" s="14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1" t="s">
        <v>10</v>
      </c>
      <c r="C19" s="8" t="s">
        <v>1</v>
      </c>
      <c r="D19" s="28" t="s">
        <v>43</v>
      </c>
      <c r="E19" s="29"/>
      <c r="F19" s="6" t="s">
        <v>40</v>
      </c>
      <c r="G19" s="6"/>
      <c r="H19" s="6" t="s">
        <v>20</v>
      </c>
      <c r="I19" s="6"/>
    </row>
    <row r="20" spans="2:10" x14ac:dyDescent="0.35">
      <c r="B20" s="11"/>
      <c r="C20" s="8" t="s">
        <v>2</v>
      </c>
      <c r="D20" s="27" t="s">
        <v>41</v>
      </c>
      <c r="E20" s="26" t="s">
        <v>42</v>
      </c>
      <c r="F20" s="7" t="s">
        <v>41</v>
      </c>
      <c r="G20" s="7" t="s">
        <v>42</v>
      </c>
      <c r="H20" s="7" t="s">
        <v>14</v>
      </c>
      <c r="I20" s="7" t="s">
        <v>15</v>
      </c>
    </row>
    <row r="21" spans="2:10" x14ac:dyDescent="0.35">
      <c r="B21" s="10" t="s">
        <v>23</v>
      </c>
      <c r="C21" s="9">
        <v>0</v>
      </c>
      <c r="D21" s="30" t="s">
        <v>26</v>
      </c>
      <c r="E21" s="3">
        <f>1.99*$C$2/$D$2</f>
        <v>3.3166666666666671E-2</v>
      </c>
      <c r="F21" s="5" t="str">
        <f>IFERROR($D$5+D21/24,"--")</f>
        <v>--</v>
      </c>
      <c r="G21" s="5">
        <f>IFERROR($D$5+E21/24,"--")</f>
        <v>45207.386798611107</v>
      </c>
      <c r="H21" s="14">
        <f>+$G$5*C21</f>
        <v>0</v>
      </c>
      <c r="I21" s="14">
        <f>$G$5-H21</f>
        <v>25</v>
      </c>
      <c r="J21" s="1" t="s">
        <v>13</v>
      </c>
    </row>
    <row r="22" spans="2:10" x14ac:dyDescent="0.35">
      <c r="B22" s="10" t="s">
        <v>24</v>
      </c>
      <c r="C22" s="9">
        <v>0.1</v>
      </c>
      <c r="D22" s="3">
        <f>2*$C$2/$D$2</f>
        <v>3.3333333333333333E-2</v>
      </c>
      <c r="E22" s="3">
        <f>9.99*$C$2/$D$2</f>
        <v>0.16649999999999998</v>
      </c>
      <c r="F22" s="5">
        <f t="shared" ref="F22:G25" si="2">IFERROR($D$5+D22/24,"--")</f>
        <v>45207.38680555555</v>
      </c>
      <c r="G22" s="5">
        <f t="shared" si="2"/>
        <v>45207.392354166666</v>
      </c>
      <c r="H22" s="14">
        <f>+$G$5*C22</f>
        <v>2.5</v>
      </c>
      <c r="I22" s="14">
        <f>$G$5-H22</f>
        <v>22.5</v>
      </c>
      <c r="J22" s="1" t="s">
        <v>13</v>
      </c>
    </row>
    <row r="23" spans="2:10" x14ac:dyDescent="0.35">
      <c r="B23" s="10" t="s">
        <v>25</v>
      </c>
      <c r="C23" s="9">
        <v>0.4</v>
      </c>
      <c r="D23" s="3">
        <f>10*$C$2/$D$2</f>
        <v>0.16666666666666666</v>
      </c>
      <c r="E23" s="3">
        <f>23.99*$C$2/$D$2</f>
        <v>0.39983333333333332</v>
      </c>
      <c r="F23" s="5">
        <f t="shared" si="2"/>
        <v>45207.392361111109</v>
      </c>
      <c r="G23" s="5">
        <f t="shared" si="2"/>
        <v>45207.402076388884</v>
      </c>
      <c r="H23" s="14">
        <f>+$G$5*C23</f>
        <v>10</v>
      </c>
      <c r="I23" s="14">
        <f>$G$5-H23</f>
        <v>15</v>
      </c>
      <c r="J23" s="1" t="s">
        <v>13</v>
      </c>
    </row>
    <row r="24" spans="2:10" x14ac:dyDescent="0.35">
      <c r="B24" s="10" t="s">
        <v>3</v>
      </c>
      <c r="C24" s="9">
        <v>1</v>
      </c>
      <c r="D24" s="3">
        <f>24*$C$2/$D$2</f>
        <v>0.4</v>
      </c>
      <c r="E24" s="30" t="s">
        <v>26</v>
      </c>
      <c r="F24" s="5">
        <f t="shared" si="2"/>
        <v>45207.402083333334</v>
      </c>
      <c r="G24" s="5" t="str">
        <f t="shared" si="2"/>
        <v>--</v>
      </c>
      <c r="H24" s="14">
        <f>+$G$5*C24</f>
        <v>25</v>
      </c>
      <c r="I24" s="14">
        <f>$G$5-H24</f>
        <v>0</v>
      </c>
      <c r="J24" s="1" t="s">
        <v>13</v>
      </c>
    </row>
    <row r="25" spans="2:10" ht="29" x14ac:dyDescent="0.35">
      <c r="B25" s="10" t="s">
        <v>11</v>
      </c>
      <c r="C25" s="9">
        <v>1</v>
      </c>
      <c r="D25" s="3">
        <f>24*$C$2/$D$2</f>
        <v>0.4</v>
      </c>
      <c r="E25" s="30" t="s">
        <v>26</v>
      </c>
      <c r="F25" s="5">
        <f t="shared" si="2"/>
        <v>45207.402083333334</v>
      </c>
      <c r="G25" s="5" t="str">
        <f t="shared" si="2"/>
        <v>--</v>
      </c>
      <c r="H25" s="14">
        <f>+$G$5*C25</f>
        <v>25</v>
      </c>
      <c r="I25" s="14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DOM-101</vt:lpstr>
      <vt:lpstr>DOM-112</vt:lpstr>
      <vt:lpstr>DOM-123</vt:lpstr>
      <vt:lpstr>INT-201</vt:lpstr>
      <vt:lpstr>INT-212</vt:lpstr>
      <vt:lpstr>INT-223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Ghewde</dc:creator>
  <cp:lastModifiedBy>Sachin Ghewde</cp:lastModifiedBy>
  <dcterms:created xsi:type="dcterms:W3CDTF">2023-10-07T06:52:55Z</dcterms:created>
  <dcterms:modified xsi:type="dcterms:W3CDTF">2023-10-07T12:14:19Z</dcterms:modified>
</cp:coreProperties>
</file>