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earning\IITM_ACSE\Capstone\ACSECapstone_wip\"/>
    </mc:Choice>
  </mc:AlternateContent>
  <xr:revisionPtr revIDLastSave="0" documentId="13_ncr:1_{9EEC4B96-80FD-4193-89E8-368FB533AFD1}" xr6:coauthVersionLast="47" xr6:coauthVersionMax="47" xr10:uidLastSave="{00000000-0000-0000-0000-000000000000}"/>
  <bookViews>
    <workbookView xWindow="57435" yWindow="-165" windowWidth="29130" windowHeight="15810" xr2:uid="{374E2EE5-8CBB-42A4-BB00-FF69D8D8B5B1}"/>
  </bookViews>
  <sheets>
    <sheet name="DOM-101" sheetId="1" r:id="rId1"/>
    <sheet name="DOM-112" sheetId="3" r:id="rId2"/>
    <sheet name="DOM-123" sheetId="4" r:id="rId3"/>
    <sheet name="INT-201" sheetId="2" r:id="rId4"/>
    <sheet name="INT-212" sheetId="5" r:id="rId5"/>
    <sheet name="INT-2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F21" i="6"/>
  <c r="E21" i="6"/>
  <c r="D22" i="6" s="1"/>
  <c r="F22" i="6" s="1"/>
  <c r="G15" i="6"/>
  <c r="F12" i="6"/>
  <c r="E12" i="6"/>
  <c r="D13" i="6" s="1"/>
  <c r="E25" i="5"/>
  <c r="G25" i="5" s="1"/>
  <c r="D25" i="5"/>
  <c r="F25" i="5" s="1"/>
  <c r="G24" i="5"/>
  <c r="D22" i="5"/>
  <c r="F22" i="5" s="1"/>
  <c r="G21" i="5"/>
  <c r="F21" i="5"/>
  <c r="E21" i="5"/>
  <c r="G15" i="5"/>
  <c r="F12" i="5"/>
  <c r="E12" i="5"/>
  <c r="D13" i="5" s="1"/>
  <c r="E25" i="2"/>
  <c r="G25" i="2" s="1"/>
  <c r="D25" i="2"/>
  <c r="F25" i="2" s="1"/>
  <c r="G24" i="2"/>
  <c r="D22" i="2"/>
  <c r="F22" i="2" s="1"/>
  <c r="G21" i="2"/>
  <c r="F21" i="2"/>
  <c r="E21" i="2"/>
  <c r="G15" i="2"/>
  <c r="F12" i="2"/>
  <c r="E12" i="2"/>
  <c r="G12" i="2" s="1"/>
  <c r="E25" i="4"/>
  <c r="G25" i="4" s="1"/>
  <c r="D25" i="4"/>
  <c r="F25" i="4" s="1"/>
  <c r="G24" i="4"/>
  <c r="D22" i="4"/>
  <c r="E22" i="4" s="1"/>
  <c r="G21" i="4"/>
  <c r="F21" i="4"/>
  <c r="E21" i="4"/>
  <c r="G15" i="4"/>
  <c r="F12" i="4"/>
  <c r="E12" i="4"/>
  <c r="D13" i="4" s="1"/>
  <c r="E25" i="3"/>
  <c r="G25" i="3" s="1"/>
  <c r="D25" i="3"/>
  <c r="F25" i="3" s="1"/>
  <c r="G24" i="3"/>
  <c r="D22" i="3"/>
  <c r="E22" i="3" s="1"/>
  <c r="G21" i="3"/>
  <c r="F21" i="3"/>
  <c r="E21" i="3"/>
  <c r="G15" i="3"/>
  <c r="F12" i="3"/>
  <c r="E12" i="3"/>
  <c r="D13" i="3" s="1"/>
  <c r="E25" i="1"/>
  <c r="D25" i="1"/>
  <c r="E21" i="1"/>
  <c r="G21" i="1" s="1"/>
  <c r="E12" i="1"/>
  <c r="D13" i="1" s="1"/>
  <c r="G25" i="1"/>
  <c r="F25" i="1"/>
  <c r="G24" i="1"/>
  <c r="F21" i="1"/>
  <c r="G15" i="1"/>
  <c r="F12" i="1"/>
  <c r="C2" i="3"/>
  <c r="C5" i="6"/>
  <c r="C5" i="5"/>
  <c r="C5" i="2"/>
  <c r="C5" i="4"/>
  <c r="C5" i="3"/>
  <c r="C5" i="1"/>
  <c r="H25" i="6"/>
  <c r="I25" i="6" s="1"/>
  <c r="H24" i="6"/>
  <c r="I24" i="6" s="1"/>
  <c r="H23" i="6"/>
  <c r="I23" i="6" s="1"/>
  <c r="H22" i="6"/>
  <c r="I22" i="6" s="1"/>
  <c r="H21" i="6"/>
  <c r="I21" i="6" s="1"/>
  <c r="I15" i="6"/>
  <c r="H15" i="6"/>
  <c r="I14" i="6"/>
  <c r="H14" i="6"/>
  <c r="I13" i="6"/>
  <c r="H13" i="6"/>
  <c r="I12" i="6"/>
  <c r="H12" i="6"/>
  <c r="G6" i="6"/>
  <c r="D6" i="6"/>
  <c r="D7" i="6" s="1"/>
  <c r="F5" i="6"/>
  <c r="F6" i="6" s="1"/>
  <c r="D2" i="6"/>
  <c r="C2" i="6"/>
  <c r="H25" i="5"/>
  <c r="I25" i="5" s="1"/>
  <c r="H24" i="5"/>
  <c r="I24" i="5" s="1"/>
  <c r="H23" i="5"/>
  <c r="I23" i="5" s="1"/>
  <c r="H22" i="5"/>
  <c r="I22" i="5" s="1"/>
  <c r="H21" i="5"/>
  <c r="I21" i="5" s="1"/>
  <c r="I15" i="5"/>
  <c r="H15" i="5"/>
  <c r="I14" i="5"/>
  <c r="H14" i="5"/>
  <c r="I13" i="5"/>
  <c r="H13" i="5"/>
  <c r="I12" i="5"/>
  <c r="H12" i="5"/>
  <c r="D7" i="5"/>
  <c r="G6" i="5"/>
  <c r="D6" i="5"/>
  <c r="F5" i="5"/>
  <c r="F6" i="5" s="1"/>
  <c r="D2" i="5"/>
  <c r="C2" i="5"/>
  <c r="H25" i="4"/>
  <c r="I25" i="4" s="1"/>
  <c r="H24" i="4"/>
  <c r="I24" i="4" s="1"/>
  <c r="H23" i="4"/>
  <c r="I23" i="4" s="1"/>
  <c r="H22" i="4"/>
  <c r="I22" i="4" s="1"/>
  <c r="H21" i="4"/>
  <c r="I21" i="4" s="1"/>
  <c r="I15" i="4"/>
  <c r="H15" i="4"/>
  <c r="I14" i="4"/>
  <c r="H14" i="4"/>
  <c r="I13" i="4"/>
  <c r="H13" i="4"/>
  <c r="I12" i="4"/>
  <c r="H12" i="4"/>
  <c r="G6" i="4"/>
  <c r="D6" i="4"/>
  <c r="D7" i="4" s="1"/>
  <c r="F5" i="4"/>
  <c r="F6" i="4" s="1"/>
  <c r="D2" i="4"/>
  <c r="C2" i="4"/>
  <c r="H25" i="3"/>
  <c r="I25" i="3" s="1"/>
  <c r="H24" i="3"/>
  <c r="I24" i="3" s="1"/>
  <c r="H23" i="3"/>
  <c r="I23" i="3" s="1"/>
  <c r="H22" i="3"/>
  <c r="I22" i="3" s="1"/>
  <c r="H21" i="3"/>
  <c r="I21" i="3" s="1"/>
  <c r="I15" i="3"/>
  <c r="H15" i="3"/>
  <c r="I14" i="3"/>
  <c r="H14" i="3"/>
  <c r="I13" i="3"/>
  <c r="H13" i="3"/>
  <c r="I12" i="3"/>
  <c r="H12" i="3"/>
  <c r="G6" i="3"/>
  <c r="D6" i="3"/>
  <c r="D7" i="3" s="1"/>
  <c r="F5" i="3"/>
  <c r="F6" i="3" s="1"/>
  <c r="D2" i="3"/>
  <c r="B6" i="2"/>
  <c r="G6" i="1"/>
  <c r="F5" i="2"/>
  <c r="F5" i="1"/>
  <c r="H25" i="1"/>
  <c r="I25" i="1" s="1"/>
  <c r="H24" i="1"/>
  <c r="I24" i="1" s="1"/>
  <c r="H23" i="1"/>
  <c r="I23" i="1" s="1"/>
  <c r="H22" i="1"/>
  <c r="I22" i="1" s="1"/>
  <c r="H21" i="1"/>
  <c r="I21" i="1" s="1"/>
  <c r="I15" i="1"/>
  <c r="H15" i="1"/>
  <c r="I14" i="1"/>
  <c r="H14" i="1"/>
  <c r="I13" i="1"/>
  <c r="H13" i="1"/>
  <c r="I12" i="1"/>
  <c r="H12" i="1"/>
  <c r="D7" i="1"/>
  <c r="D6" i="1"/>
  <c r="F6" i="1"/>
  <c r="D2" i="1"/>
  <c r="H25" i="2"/>
  <c r="I25" i="2" s="1"/>
  <c r="H24" i="2"/>
  <c r="I24" i="2" s="1"/>
  <c r="H23" i="2"/>
  <c r="I23" i="2" s="1"/>
  <c r="H22" i="2"/>
  <c r="I22" i="2" s="1"/>
  <c r="H21" i="2"/>
  <c r="I21" i="2" s="1"/>
  <c r="I15" i="2"/>
  <c r="H15" i="2"/>
  <c r="I14" i="2"/>
  <c r="H14" i="2"/>
  <c r="I13" i="2"/>
  <c r="H13" i="2"/>
  <c r="I12" i="2"/>
  <c r="H12" i="2"/>
  <c r="D6" i="2"/>
  <c r="D7" i="2" s="1"/>
  <c r="G6" i="2"/>
  <c r="F6" i="2"/>
  <c r="F7" i="2" s="1"/>
  <c r="D2" i="2"/>
  <c r="C2" i="2"/>
  <c r="G21" i="6" l="1"/>
  <c r="D25" i="6"/>
  <c r="F25" i="6" s="1"/>
  <c r="E25" i="6"/>
  <c r="G25" i="6" s="1"/>
  <c r="F13" i="6"/>
  <c r="E13" i="6"/>
  <c r="G12" i="6"/>
  <c r="E22" i="6"/>
  <c r="F13" i="5"/>
  <c r="E13" i="5"/>
  <c r="G12" i="5"/>
  <c r="E22" i="5"/>
  <c r="E22" i="2"/>
  <c r="D13" i="2"/>
  <c r="F13" i="4"/>
  <c r="E13" i="4"/>
  <c r="G22" i="4"/>
  <c r="D23" i="4"/>
  <c r="G12" i="4"/>
  <c r="F22" i="4"/>
  <c r="F13" i="3"/>
  <c r="E13" i="3"/>
  <c r="G22" i="3"/>
  <c r="D23" i="3"/>
  <c r="F22" i="3"/>
  <c r="G12" i="3"/>
  <c r="E13" i="1"/>
  <c r="D14" i="1" s="1"/>
  <c r="F13" i="1"/>
  <c r="D22" i="1"/>
  <c r="G12" i="1"/>
  <c r="G13" i="1"/>
  <c r="F14" i="1"/>
  <c r="F7" i="6"/>
  <c r="B6" i="6"/>
  <c r="F7" i="5"/>
  <c r="B6" i="5"/>
  <c r="B6" i="4"/>
  <c r="F7" i="4"/>
  <c r="B6" i="3"/>
  <c r="F7" i="3"/>
  <c r="F7" i="1"/>
  <c r="B6" i="1"/>
  <c r="G22" i="6" l="1"/>
  <c r="D23" i="6"/>
  <c r="D14" i="6"/>
  <c r="G13" i="6"/>
  <c r="D14" i="5"/>
  <c r="G13" i="5"/>
  <c r="D23" i="5"/>
  <c r="G22" i="5"/>
  <c r="E13" i="2"/>
  <c r="F13" i="2"/>
  <c r="D23" i="2"/>
  <c r="G22" i="2"/>
  <c r="F23" i="4"/>
  <c r="E23" i="4"/>
  <c r="D14" i="4"/>
  <c r="G13" i="4"/>
  <c r="F23" i="3"/>
  <c r="E23" i="3"/>
  <c r="D14" i="3"/>
  <c r="G13" i="3"/>
  <c r="E22" i="1"/>
  <c r="F22" i="1"/>
  <c r="E14" i="1"/>
  <c r="G14" i="1" s="1"/>
  <c r="F23" i="6" l="1"/>
  <c r="E23" i="6"/>
  <c r="F14" i="6"/>
  <c r="E14" i="6"/>
  <c r="E23" i="5"/>
  <c r="F23" i="5"/>
  <c r="F14" i="5"/>
  <c r="E14" i="5"/>
  <c r="F23" i="2"/>
  <c r="E23" i="2"/>
  <c r="G13" i="2"/>
  <c r="D14" i="2"/>
  <c r="D24" i="4"/>
  <c r="F24" i="4" s="1"/>
  <c r="G23" i="4"/>
  <c r="F14" i="4"/>
  <c r="E14" i="4"/>
  <c r="F14" i="3"/>
  <c r="E14" i="3"/>
  <c r="D24" i="3"/>
  <c r="F24" i="3" s="1"/>
  <c r="G23" i="3"/>
  <c r="D15" i="1"/>
  <c r="F15" i="1" s="1"/>
  <c r="G22" i="1"/>
  <c r="D23" i="1"/>
  <c r="D24" i="6" l="1"/>
  <c r="F24" i="6" s="1"/>
  <c r="G23" i="6"/>
  <c r="D15" i="6"/>
  <c r="F15" i="6" s="1"/>
  <c r="G14" i="6"/>
  <c r="D15" i="5"/>
  <c r="F15" i="5" s="1"/>
  <c r="G14" i="5"/>
  <c r="D24" i="5"/>
  <c r="F24" i="5" s="1"/>
  <c r="G23" i="5"/>
  <c r="D24" i="2"/>
  <c r="F24" i="2" s="1"/>
  <c r="G23" i="2"/>
  <c r="E14" i="2"/>
  <c r="F14" i="2"/>
  <c r="D15" i="4"/>
  <c r="F15" i="4" s="1"/>
  <c r="G14" i="4"/>
  <c r="D15" i="3"/>
  <c r="F15" i="3" s="1"/>
  <c r="G14" i="3"/>
  <c r="F23" i="1"/>
  <c r="E23" i="1"/>
  <c r="D15" i="2" l="1"/>
  <c r="F15" i="2" s="1"/>
  <c r="G14" i="2"/>
  <c r="G23" i="1"/>
  <c r="D24" i="1"/>
  <c r="F24" i="1" s="1"/>
</calcChain>
</file>

<file path=xl/sharedStrings.xml><?xml version="1.0" encoding="utf-8"?>
<sst xmlns="http://schemas.openxmlformats.org/spreadsheetml/2006/main" count="426" uniqueCount="51">
  <si>
    <t>Rule: Based on DIFFERENCE of (Scheduled Departure Datetime – Cancellation Datetime)</t>
  </si>
  <si>
    <t>Refund Amount</t>
  </si>
  <si>
    <t>(% of Ticket Price)</t>
  </si>
  <si>
    <t>If &gt;= 24 hours</t>
  </si>
  <si>
    <t>If &gt;= 4 hours and &lt; 24 hours</t>
  </si>
  <si>
    <t>If &gt;= 2 hour and &lt; 4 hours</t>
  </si>
  <si>
    <t>If &lt; 2 hour</t>
  </si>
  <si>
    <t>Sch Departure</t>
  </si>
  <si>
    <t>Sch Arrival</t>
  </si>
  <si>
    <t>Customer: Ticket Cancellation Refund Rules</t>
  </si>
  <si>
    <t>Rule: Based on DIFFERENCE of (Scheduled Departure Datetime – Actual Departure Datetime)</t>
  </si>
  <si>
    <t>If Actual Departure Datetime is not updated within 24 hours from Scheduled Departure Datetime</t>
  </si>
  <si>
    <t>Ticket Cost</t>
  </si>
  <si>
    <t>ETH</t>
  </si>
  <si>
    <t>To Customer</t>
  </si>
  <si>
    <t>To Flight Operator</t>
  </si>
  <si>
    <t>TIME_UNITS</t>
  </si>
  <si>
    <t>seconds</t>
  </si>
  <si>
    <t>1 minute</t>
  </si>
  <si>
    <t>1 Hour</t>
  </si>
  <si>
    <t>Pay To</t>
  </si>
  <si>
    <t>wei</t>
  </si>
  <si>
    <t>Ticket Close / Customer claim: Airline delay Refund Rules</t>
  </si>
  <si>
    <t>If &lt; 2 hours</t>
  </si>
  <si>
    <t>If &gt;= 2 hours and &lt; 10 hours</t>
  </si>
  <si>
    <t>If &gt;= 10 hours and &lt; 24 hours</t>
  </si>
  <si>
    <t>--</t>
  </si>
  <si>
    <t>n/a</t>
  </si>
  <si>
    <t>Flight data</t>
  </si>
  <si>
    <t>ConvertToEpoch</t>
  </si>
  <si>
    <t>ConvertEpochToDT</t>
  </si>
  <si>
    <t>Flight Num</t>
  </si>
  <si>
    <t>Flight Code</t>
  </si>
  <si>
    <t>Origin</t>
  </si>
  <si>
    <t>Destination</t>
  </si>
  <si>
    <t>BOM</t>
  </si>
  <si>
    <t>DEL</t>
  </si>
  <si>
    <t>NYC</t>
  </si>
  <si>
    <t>setupFlight</t>
  </si>
  <si>
    <t>Cancellation - Time Range</t>
  </si>
  <si>
    <t>Act Departure - Time Range</t>
  </si>
  <si>
    <t>From</t>
  </si>
  <si>
    <t>To</t>
  </si>
  <si>
    <t>Conversion - Range</t>
  </si>
  <si>
    <t>Duration (Hours)</t>
  </si>
  <si>
    <t>CC</t>
  </si>
  <si>
    <t>CCU</t>
  </si>
  <si>
    <t>MAA</t>
  </si>
  <si>
    <t>TYO</t>
  </si>
  <si>
    <t>SYD</t>
  </si>
  <si>
    <t>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</si>
</sst>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[$-409]m/d/yy\ h:mm\ AM/PM;@"/>
    <numFmt numFmtId="188" formatCode="0E+00"/>
    <numFmt numFmtId="189" formatCode="[$-409]m/d/yy\ h:mm:ss\ AM/PM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91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71" fontId="0" fillId="0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2" borderId="1" xfId="0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9" fontId="3" fillId="0" borderId="1" xfId="0" quotePrefix="1" applyNumberFormat="1" applyFont="1" applyBorder="1" applyAlignment="1">
      <alignment vertical="center" wrapText="1"/>
    </xf>
    <xf numFmtId="0" fontId="5" fillId="3" borderId="1" xfId="0" applyFont="1" applyFill="1" applyBorder="1"/>
    <xf numFmtId="0" fontId="1" fillId="9" borderId="1" xfId="0" applyFont="1" applyFill="1" applyBorder="1"/>
    <xf numFmtId="188" fontId="1" fillId="5" borderId="1" xfId="0" applyNumberFormat="1" applyFont="1" applyFill="1" applyBorder="1"/>
    <xf numFmtId="0" fontId="0" fillId="4" borderId="1" xfId="0" applyFill="1" applyBorder="1"/>
    <xf numFmtId="0" fontId="2" fillId="8" borderId="5" xfId="0" applyFont="1" applyFill="1" applyBorder="1"/>
    <xf numFmtId="0" fontId="0" fillId="4" borderId="5" xfId="0" applyFill="1" applyBorder="1"/>
    <xf numFmtId="0" fontId="5" fillId="3" borderId="2" xfId="0" applyFont="1" applyFill="1" applyBorder="1"/>
    <xf numFmtId="0" fontId="4" fillId="0" borderId="2" xfId="0" applyFont="1" applyBorder="1"/>
    <xf numFmtId="0" fontId="1" fillId="5" borderId="1" xfId="0" applyFont="1" applyFill="1" applyBorder="1"/>
    <xf numFmtId="0" fontId="2" fillId="10" borderId="1" xfId="0" applyFont="1" applyFill="1" applyBorder="1"/>
    <xf numFmtId="0" fontId="2" fillId="11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0" borderId="1" xfId="0" quotePrefix="1" applyFont="1" applyBorder="1"/>
    <xf numFmtId="0" fontId="7" fillId="0" borderId="1" xfId="0" applyFont="1" applyBorder="1"/>
    <xf numFmtId="0" fontId="2" fillId="10" borderId="3" xfId="0" applyFont="1" applyFill="1" applyBorder="1"/>
    <xf numFmtId="0" fontId="6" fillId="10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89" fontId="2" fillId="0" borderId="1" xfId="0" applyNumberFormat="1" applyFont="1" applyBorder="1"/>
    <xf numFmtId="18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311D-3C2E-4F92-87AE-1AAA11879B55}">
  <sheetPr>
    <tabColor theme="4"/>
  </sheetPr>
  <dimension ref="A1:J25"/>
  <sheetViews>
    <sheetView tabSelected="1"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101</v>
      </c>
      <c r="C5" s="32" t="str">
        <f>_xlfn.CONCAT("D",B5)</f>
        <v>D101</v>
      </c>
      <c r="D5" s="33">
        <v>45207.385416666664</v>
      </c>
      <c r="E5" s="2">
        <v>2</v>
      </c>
      <c r="F5" s="33">
        <f>D5+E5/24</f>
        <v>45207.46875</v>
      </c>
      <c r="G5" s="20">
        <v>10</v>
      </c>
      <c r="H5" s="28" t="s">
        <v>13</v>
      </c>
      <c r="I5" s="2" t="s">
        <v>35</v>
      </c>
      <c r="J5" s="2" t="s">
        <v>37</v>
      </c>
    </row>
    <row r="6" spans="1:10" ht="14.5" customHeight="1" x14ac:dyDescent="0.35">
      <c r="A6" s="22" t="s">
        <v>38</v>
      </c>
      <c r="B6" s="31" t="str">
        <f>_xlfn.CONCAT(B5,",",C5,",",D6,",",F6,",",I5,",",J5)</f>
        <v>101,D101,1696756500,1696763700,BOM,NYC</v>
      </c>
      <c r="C6" s="18" t="s">
        <v>29</v>
      </c>
      <c r="D6" s="19">
        <f>(D5-25569)*86400</f>
        <v>1696756499.9999998</v>
      </c>
      <c r="F6" s="19">
        <f>(F5-25569)*86400</f>
        <v>1696763700</v>
      </c>
      <c r="G6" s="14">
        <f>G5*1000000000000000000</f>
        <v>1E+19</v>
      </c>
      <c r="H6" s="2" t="s">
        <v>21</v>
      </c>
    </row>
    <row r="7" spans="1:10" x14ac:dyDescent="0.35">
      <c r="C7" s="12" t="s">
        <v>30</v>
      </c>
      <c r="D7" s="34">
        <f>(D6/86400)+DATE(1970,1,1)</f>
        <v>45207.385416666664</v>
      </c>
      <c r="F7" s="3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1696755059.9999998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45207.368749999994</v>
      </c>
      <c r="H12" s="13">
        <f>IFERROR($G$5*C12,"--")</f>
        <v>10</v>
      </c>
      <c r="I12" s="13">
        <f>IFERROR($G$5*C12,"--")</f>
        <v>10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1696755060.9999998</v>
      </c>
      <c r="E13" s="3">
        <f>+D13+(20*$C$2)-1</f>
        <v>1696756259.9999998</v>
      </c>
      <c r="F13" s="34">
        <f t="shared" ref="F13:F15" si="1">IFERROR((D13/86400)+DATE(1970,1,1),_xlfn.CONCAT("Before ==&gt;"))</f>
        <v>45207.368761574071</v>
      </c>
      <c r="G13" s="34">
        <f t="shared" si="0"/>
        <v>45207.382638888885</v>
      </c>
      <c r="H13" s="13">
        <f>IFERROR($G$5*C13,"--")</f>
        <v>8</v>
      </c>
      <c r="I13" s="13">
        <f>IFERROR($G$5*C13,"--")</f>
        <v>8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1696756260.9999998</v>
      </c>
      <c r="E14" s="3">
        <f>+D14+(2*$C$2)-1</f>
        <v>1696756379.9999998</v>
      </c>
      <c r="F14" s="34">
        <f t="shared" si="1"/>
        <v>45207.382650462961</v>
      </c>
      <c r="G14" s="34">
        <f t="shared" si="0"/>
        <v>45207.384027777778</v>
      </c>
      <c r="H14" s="13">
        <f>IFERROR($G$5*C14,"--")</f>
        <v>4</v>
      </c>
      <c r="I14" s="13">
        <f>IFERROR($G$5*C14,"--")</f>
        <v>4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1696756380.9999998</v>
      </c>
      <c r="E15" s="27" t="s">
        <v>26</v>
      </c>
      <c r="F15" s="34">
        <f t="shared" si="1"/>
        <v>45207.384039351848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1696756618.9999998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45207.386793981481</v>
      </c>
      <c r="H21" s="13">
        <f>+$G$5*C21</f>
        <v>0</v>
      </c>
      <c r="I21" s="13">
        <f>$G$5-H21</f>
        <v>10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1696756619.9999998</v>
      </c>
      <c r="E22" s="3">
        <f>+D22+(10*$C$2)-1</f>
        <v>1696757218.9999998</v>
      </c>
      <c r="F22" s="34">
        <f t="shared" si="2"/>
        <v>45207.38680555555</v>
      </c>
      <c r="G22" s="34">
        <f t="shared" si="3"/>
        <v>45207.393738425919</v>
      </c>
      <c r="H22" s="13">
        <f>+$G$5*C22</f>
        <v>1</v>
      </c>
      <c r="I22" s="13">
        <f>$G$5-H22</f>
        <v>9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1696757219.9999998</v>
      </c>
      <c r="E23" s="3">
        <f>+D23+(10*$C$2)-1</f>
        <v>1696757818.9999998</v>
      </c>
      <c r="F23" s="34">
        <f t="shared" si="2"/>
        <v>45207.393749999996</v>
      </c>
      <c r="G23" s="34">
        <f t="shared" si="3"/>
        <v>45207.400682870371</v>
      </c>
      <c r="H23" s="13">
        <f>+$G$5*C23</f>
        <v>4</v>
      </c>
      <c r="I23" s="13">
        <f>$G$5-H23</f>
        <v>6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1696757819.9999998</v>
      </c>
      <c r="E24" s="27" t="s">
        <v>26</v>
      </c>
      <c r="F24" s="34">
        <f t="shared" si="2"/>
        <v>45207.400694444441</v>
      </c>
      <c r="G24" s="34" t="str">
        <f t="shared" si="3"/>
        <v>&lt;== After</v>
      </c>
      <c r="H24" s="13">
        <f>+$G$5*C24</f>
        <v>10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1696755059.9999998</v>
      </c>
      <c r="E25" s="3">
        <f>$D$6-1</f>
        <v>1696756498.9999998</v>
      </c>
      <c r="F25" s="34">
        <f t="shared" si="2"/>
        <v>45207.368749999994</v>
      </c>
      <c r="G25" s="34">
        <f t="shared" si="3"/>
        <v>45207.385405092587</v>
      </c>
      <c r="H25" s="13">
        <f>+$G$5*C25</f>
        <v>10</v>
      </c>
      <c r="I25" s="13">
        <f>$G$5-H25</f>
        <v>0</v>
      </c>
      <c r="J25" s="1" t="s">
        <v>13</v>
      </c>
    </row>
  </sheetData>
  <mergeCells count="8">
    <mergeCell ref="D10:E10"/>
    <mergeCell ref="F10:G10"/>
    <mergeCell ref="H10:I10"/>
    <mergeCell ref="D19:E19"/>
    <mergeCell ref="F19:G19"/>
    <mergeCell ref="H19:I19"/>
    <mergeCell ref="B10:B11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E78D-4C15-4A80-8000-7A79413C6B82}">
  <sheetPr>
    <tabColor theme="4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f>+D1</f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112</v>
      </c>
      <c r="C5" s="32" t="str">
        <f>_xlfn.CONCAT("D",B5)</f>
        <v>D112</v>
      </c>
      <c r="D5" s="33">
        <v>45207.385416666664</v>
      </c>
      <c r="E5" s="2">
        <v>2</v>
      </c>
      <c r="F5" s="33">
        <f>D5+E5/24</f>
        <v>45207.46875</v>
      </c>
      <c r="G5" s="20">
        <v>10</v>
      </c>
      <c r="H5" s="28" t="s">
        <v>13</v>
      </c>
      <c r="I5" s="2" t="s">
        <v>36</v>
      </c>
      <c r="J5" s="2" t="s">
        <v>46</v>
      </c>
    </row>
    <row r="6" spans="1:10" ht="14.5" customHeight="1" x14ac:dyDescent="0.35">
      <c r="A6" s="22" t="s">
        <v>38</v>
      </c>
      <c r="B6" s="31" t="str">
        <f>_xlfn.CONCAT(B5,",",C5,",",D6,",",F6,",",I5,",",J5)</f>
        <v>112,D112,1696756500,1696763700,DEL,CCU</v>
      </c>
      <c r="C6" s="18" t="s">
        <v>29</v>
      </c>
      <c r="D6" s="19">
        <f>(D5-25569)*86400</f>
        <v>1696756499.9999998</v>
      </c>
      <c r="F6" s="19">
        <f>(F5-25569)*86400</f>
        <v>1696763700</v>
      </c>
      <c r="G6" s="14">
        <f>G5*1000000000000000000</f>
        <v>1E+19</v>
      </c>
      <c r="H6" s="2" t="s">
        <v>21</v>
      </c>
    </row>
    <row r="7" spans="1:10" x14ac:dyDescent="0.35">
      <c r="C7" s="12" t="s">
        <v>30</v>
      </c>
      <c r="D7" s="34">
        <f>(D6/86400)+DATE(1970,1,1)</f>
        <v>45207.385416666664</v>
      </c>
      <c r="F7" s="3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1696755059.9999998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45207.368749999994</v>
      </c>
      <c r="H12" s="13">
        <f>IFERROR($G$5*C12,"--")</f>
        <v>10</v>
      </c>
      <c r="I12" s="13">
        <f>IFERROR($G$5*C12,"--")</f>
        <v>10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1696755060.9999998</v>
      </c>
      <c r="E13" s="3">
        <f>+D13+(20*$C$2)-1</f>
        <v>1696756259.9999998</v>
      </c>
      <c r="F13" s="34">
        <f t="shared" ref="F13:F15" si="1">IFERROR((D13/86400)+DATE(1970,1,1),_xlfn.CONCAT("Before ==&gt;"))</f>
        <v>45207.368761574071</v>
      </c>
      <c r="G13" s="34">
        <f t="shared" si="0"/>
        <v>45207.382638888885</v>
      </c>
      <c r="H13" s="13">
        <f>IFERROR($G$5*C13,"--")</f>
        <v>8</v>
      </c>
      <c r="I13" s="13">
        <f>IFERROR($G$5*C13,"--")</f>
        <v>8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1696756260.9999998</v>
      </c>
      <c r="E14" s="3">
        <f>+D14+(2*$C$2)-1</f>
        <v>1696756379.9999998</v>
      </c>
      <c r="F14" s="34">
        <f t="shared" si="1"/>
        <v>45207.382650462961</v>
      </c>
      <c r="G14" s="34">
        <f t="shared" si="0"/>
        <v>45207.384027777778</v>
      </c>
      <c r="H14" s="13">
        <f>IFERROR($G$5*C14,"--")</f>
        <v>4</v>
      </c>
      <c r="I14" s="13">
        <f>IFERROR($G$5*C14,"--")</f>
        <v>4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1696756380.9999998</v>
      </c>
      <c r="E15" s="27" t="s">
        <v>26</v>
      </c>
      <c r="F15" s="34">
        <f t="shared" si="1"/>
        <v>45207.384039351848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1696756618.9999998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45207.386793981481</v>
      </c>
      <c r="H21" s="13">
        <f>+$G$5*C21</f>
        <v>0</v>
      </c>
      <c r="I21" s="13">
        <f>$G$5-H21</f>
        <v>10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1696756619.9999998</v>
      </c>
      <c r="E22" s="3">
        <f>+D22+(10*$C$2)-1</f>
        <v>1696757218.9999998</v>
      </c>
      <c r="F22" s="34">
        <f t="shared" si="2"/>
        <v>45207.38680555555</v>
      </c>
      <c r="G22" s="34">
        <f t="shared" si="3"/>
        <v>45207.393738425919</v>
      </c>
      <c r="H22" s="13">
        <f>+$G$5*C22</f>
        <v>1</v>
      </c>
      <c r="I22" s="13">
        <f>$G$5-H22</f>
        <v>9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1696757219.9999998</v>
      </c>
      <c r="E23" s="3">
        <f>+D23+(10*$C$2)-1</f>
        <v>1696757818.9999998</v>
      </c>
      <c r="F23" s="34">
        <f t="shared" si="2"/>
        <v>45207.393749999996</v>
      </c>
      <c r="G23" s="34">
        <f t="shared" si="3"/>
        <v>45207.400682870371</v>
      </c>
      <c r="H23" s="13">
        <f>+$G$5*C23</f>
        <v>4</v>
      </c>
      <c r="I23" s="13">
        <f>$G$5-H23</f>
        <v>6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1696757819.9999998</v>
      </c>
      <c r="E24" s="27" t="s">
        <v>26</v>
      </c>
      <c r="F24" s="34">
        <f t="shared" si="2"/>
        <v>45207.400694444441</v>
      </c>
      <c r="G24" s="34" t="str">
        <f t="shared" si="3"/>
        <v>&lt;== After</v>
      </c>
      <c r="H24" s="13">
        <f>+$G$5*C24</f>
        <v>10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1696755059.9999998</v>
      </c>
      <c r="E25" s="3">
        <f>$D$6-1</f>
        <v>1696756498.9999998</v>
      </c>
      <c r="F25" s="34">
        <f t="shared" si="2"/>
        <v>45207.368749999994</v>
      </c>
      <c r="G25" s="34">
        <f t="shared" si="3"/>
        <v>45207.385405092587</v>
      </c>
      <c r="H25" s="13">
        <f>+$G$5*C25</f>
        <v>10</v>
      </c>
      <c r="I25" s="13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D20-93D5-4347-8502-E831A2C50654}">
  <sheetPr>
    <tabColor theme="4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f>D1</f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123</v>
      </c>
      <c r="C5" s="32" t="str">
        <f>_xlfn.CONCAT("D",B5)</f>
        <v>D123</v>
      </c>
      <c r="D5" s="33">
        <v>45207.385416666664</v>
      </c>
      <c r="E5" s="2">
        <v>2</v>
      </c>
      <c r="F5" s="33">
        <f>D5+E5/24</f>
        <v>45207.46875</v>
      </c>
      <c r="G5" s="20">
        <v>10</v>
      </c>
      <c r="H5" s="28" t="s">
        <v>13</v>
      </c>
      <c r="I5" s="2" t="s">
        <v>47</v>
      </c>
      <c r="J5" s="2" t="s">
        <v>46</v>
      </c>
    </row>
    <row r="6" spans="1:10" ht="14.5" customHeight="1" x14ac:dyDescent="0.35">
      <c r="A6" s="22" t="s">
        <v>38</v>
      </c>
      <c r="B6" s="31" t="str">
        <f>_xlfn.CONCAT(B5,",",C5,",",D6,",",F6,",",I5,",",J5)</f>
        <v>123,D123,1696756500,1696763700,MAA,CCU</v>
      </c>
      <c r="C6" s="18" t="s">
        <v>29</v>
      </c>
      <c r="D6" s="19">
        <f>(D5-25569)*86400</f>
        <v>1696756499.9999998</v>
      </c>
      <c r="F6" s="19">
        <f>(F5-25569)*86400</f>
        <v>1696763700</v>
      </c>
      <c r="G6" s="14">
        <f>G5*1000000000000000000</f>
        <v>1E+19</v>
      </c>
      <c r="H6" s="2" t="s">
        <v>21</v>
      </c>
    </row>
    <row r="7" spans="1:10" x14ac:dyDescent="0.35">
      <c r="C7" s="12" t="s">
        <v>30</v>
      </c>
      <c r="D7" s="4">
        <f>(D6/86400)+DATE(1970,1,1)</f>
        <v>45207.385416666664</v>
      </c>
      <c r="F7" s="4">
        <f>(F6/86400)+DATE(1970,1,1)</f>
        <v>45207.46875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1696755059.9999998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45207.368749999994</v>
      </c>
      <c r="H12" s="13">
        <f>IFERROR($G$5*C12,"--")</f>
        <v>10</v>
      </c>
      <c r="I12" s="13">
        <f>IFERROR($G$5*C12,"--")</f>
        <v>10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1696755060.9999998</v>
      </c>
      <c r="E13" s="3">
        <f>+D13+(20*$C$2)-1</f>
        <v>1696756259.9999998</v>
      </c>
      <c r="F13" s="34">
        <f t="shared" ref="F13:F15" si="1">IFERROR((D13/86400)+DATE(1970,1,1),_xlfn.CONCAT("Before ==&gt;"))</f>
        <v>45207.368761574071</v>
      </c>
      <c r="G13" s="34">
        <f t="shared" si="0"/>
        <v>45207.382638888885</v>
      </c>
      <c r="H13" s="13">
        <f>IFERROR($G$5*C13,"--")</f>
        <v>8</v>
      </c>
      <c r="I13" s="13">
        <f>IFERROR($G$5*C13,"--")</f>
        <v>8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1696756260.9999998</v>
      </c>
      <c r="E14" s="3">
        <f>+D14+(2*$C$2)-1</f>
        <v>1696756379.9999998</v>
      </c>
      <c r="F14" s="34">
        <f t="shared" si="1"/>
        <v>45207.382650462961</v>
      </c>
      <c r="G14" s="34">
        <f t="shared" si="0"/>
        <v>45207.384027777778</v>
      </c>
      <c r="H14" s="13">
        <f>IFERROR($G$5*C14,"--")</f>
        <v>4</v>
      </c>
      <c r="I14" s="13">
        <f>IFERROR($G$5*C14,"--")</f>
        <v>4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1696756380.9999998</v>
      </c>
      <c r="E15" s="27" t="s">
        <v>26</v>
      </c>
      <c r="F15" s="34">
        <f t="shared" si="1"/>
        <v>45207.384039351848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1696756618.9999998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45207.386793981481</v>
      </c>
      <c r="H21" s="13">
        <f>+$G$5*C21</f>
        <v>0</v>
      </c>
      <c r="I21" s="13">
        <f>$G$5-H21</f>
        <v>10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1696756619.9999998</v>
      </c>
      <c r="E22" s="3">
        <f>+D22+(10*$C$2)-1</f>
        <v>1696757218.9999998</v>
      </c>
      <c r="F22" s="34">
        <f t="shared" si="2"/>
        <v>45207.38680555555</v>
      </c>
      <c r="G22" s="34">
        <f t="shared" si="3"/>
        <v>45207.393738425919</v>
      </c>
      <c r="H22" s="13">
        <f>+$G$5*C22</f>
        <v>1</v>
      </c>
      <c r="I22" s="13">
        <f>$G$5-H22</f>
        <v>9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1696757219.9999998</v>
      </c>
      <c r="E23" s="3">
        <f>+D23+(10*$C$2)-1</f>
        <v>1696757818.9999998</v>
      </c>
      <c r="F23" s="34">
        <f t="shared" si="2"/>
        <v>45207.393749999996</v>
      </c>
      <c r="G23" s="34">
        <f t="shared" si="3"/>
        <v>45207.400682870371</v>
      </c>
      <c r="H23" s="13">
        <f>+$G$5*C23</f>
        <v>4</v>
      </c>
      <c r="I23" s="13">
        <f>$G$5-H23</f>
        <v>6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1696757819.9999998</v>
      </c>
      <c r="E24" s="27" t="s">
        <v>26</v>
      </c>
      <c r="F24" s="34">
        <f t="shared" si="2"/>
        <v>45207.400694444441</v>
      </c>
      <c r="G24" s="34" t="str">
        <f t="shared" si="3"/>
        <v>&lt;== After</v>
      </c>
      <c r="H24" s="13">
        <f>+$G$5*C24</f>
        <v>10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1696755059.9999998</v>
      </c>
      <c r="E25" s="3">
        <f>$D$6-1</f>
        <v>1696756498.9999998</v>
      </c>
      <c r="F25" s="34">
        <f t="shared" si="2"/>
        <v>45207.368749999994</v>
      </c>
      <c r="G25" s="34">
        <f t="shared" si="3"/>
        <v>45207.385405092587</v>
      </c>
      <c r="H25" s="13">
        <f>+$G$5*C25</f>
        <v>10</v>
      </c>
      <c r="I25" s="13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BBCE-A83F-48C3-97BC-169EF2609604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f>D1</f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201</v>
      </c>
      <c r="C5" s="32" t="str">
        <f>_xlfn.CONCAT("I",B5)</f>
        <v>I201</v>
      </c>
      <c r="D5" s="33">
        <v>45207.385416666664</v>
      </c>
      <c r="E5" s="2">
        <v>24</v>
      </c>
      <c r="F5" s="33">
        <f>D5+E5/24</f>
        <v>45208.385416666664</v>
      </c>
      <c r="G5" s="20">
        <v>25</v>
      </c>
      <c r="H5" s="28" t="s">
        <v>13</v>
      </c>
      <c r="I5" s="2" t="s">
        <v>35</v>
      </c>
      <c r="J5" s="2" t="s">
        <v>37</v>
      </c>
    </row>
    <row r="6" spans="1:10" ht="14.5" customHeight="1" x14ac:dyDescent="0.35">
      <c r="A6" s="22" t="s">
        <v>38</v>
      </c>
      <c r="B6" s="31" t="str">
        <f>_xlfn.CONCAT(B5,",",C5,",",D6,",",F6,",",I5,",",J5)</f>
        <v>201,I201,1696756500,1696842900,BOM,NYC</v>
      </c>
      <c r="C6" s="18" t="s">
        <v>29</v>
      </c>
      <c r="D6" s="19">
        <f>(D5-25569)*86400</f>
        <v>1696756499.9999998</v>
      </c>
      <c r="F6" s="19">
        <f>(F5-25569)*86400</f>
        <v>1696842899.9999998</v>
      </c>
      <c r="G6" s="14">
        <f>G5*1000000000000000000</f>
        <v>2.5E+19</v>
      </c>
      <c r="H6" s="2" t="s">
        <v>21</v>
      </c>
    </row>
    <row r="7" spans="1:10" x14ac:dyDescent="0.35">
      <c r="C7" s="12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1696755059.9999998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45207.368749999994</v>
      </c>
      <c r="H12" s="13">
        <f>IFERROR($G$5*C12,"--")</f>
        <v>25</v>
      </c>
      <c r="I12" s="13">
        <f>IFERROR($G$5*C12,"--")</f>
        <v>25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1696755060.9999998</v>
      </c>
      <c r="E13" s="3">
        <f>+D13+(20*$C$2)-1</f>
        <v>1696756259.9999998</v>
      </c>
      <c r="F13" s="34">
        <f t="shared" ref="F13:F15" si="1">IFERROR((D13/86400)+DATE(1970,1,1),_xlfn.CONCAT("Before ==&gt;"))</f>
        <v>45207.368761574071</v>
      </c>
      <c r="G13" s="34">
        <f t="shared" si="0"/>
        <v>45207.382638888885</v>
      </c>
      <c r="H13" s="13">
        <f>IFERROR($G$5*C13,"--")</f>
        <v>20</v>
      </c>
      <c r="I13" s="13">
        <f>IFERROR($G$5*C13,"--")</f>
        <v>20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1696756260.9999998</v>
      </c>
      <c r="E14" s="3">
        <f>+D14+(2*$C$2)-1</f>
        <v>1696756379.9999998</v>
      </c>
      <c r="F14" s="34">
        <f t="shared" si="1"/>
        <v>45207.382650462961</v>
      </c>
      <c r="G14" s="34">
        <f t="shared" si="0"/>
        <v>45207.384027777778</v>
      </c>
      <c r="H14" s="13">
        <f>IFERROR($G$5*C14,"--")</f>
        <v>10</v>
      </c>
      <c r="I14" s="13">
        <f>IFERROR($G$5*C14,"--")</f>
        <v>10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1696756380.9999998</v>
      </c>
      <c r="E15" s="27" t="s">
        <v>26</v>
      </c>
      <c r="F15" s="34">
        <f t="shared" si="1"/>
        <v>45207.384039351848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1696756618.9999998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45207.386793981481</v>
      </c>
      <c r="H21" s="13">
        <f>+$G$5*C21</f>
        <v>0</v>
      </c>
      <c r="I21" s="13">
        <f>$G$5-H21</f>
        <v>25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1696756619.9999998</v>
      </c>
      <c r="E22" s="3">
        <f>+D22+(10*$C$2)-1</f>
        <v>1696757218.9999998</v>
      </c>
      <c r="F22" s="34">
        <f t="shared" si="2"/>
        <v>45207.38680555555</v>
      </c>
      <c r="G22" s="34">
        <f t="shared" si="3"/>
        <v>45207.393738425919</v>
      </c>
      <c r="H22" s="13">
        <f>+$G$5*C22</f>
        <v>2.5</v>
      </c>
      <c r="I22" s="13">
        <f>$G$5-H22</f>
        <v>22.5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1696757219.9999998</v>
      </c>
      <c r="E23" s="3">
        <f>+D23+(10*$C$2)-1</f>
        <v>1696757818.9999998</v>
      </c>
      <c r="F23" s="34">
        <f t="shared" si="2"/>
        <v>45207.393749999996</v>
      </c>
      <c r="G23" s="34">
        <f t="shared" si="3"/>
        <v>45207.400682870371</v>
      </c>
      <c r="H23" s="13">
        <f>+$G$5*C23</f>
        <v>10</v>
      </c>
      <c r="I23" s="13">
        <f>$G$5-H23</f>
        <v>15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1696757819.9999998</v>
      </c>
      <c r="E24" s="27" t="s">
        <v>26</v>
      </c>
      <c r="F24" s="34">
        <f t="shared" si="2"/>
        <v>45207.400694444441</v>
      </c>
      <c r="G24" s="34" t="str">
        <f t="shared" si="3"/>
        <v>&lt;== After</v>
      </c>
      <c r="H24" s="13">
        <f>+$G$5*C24</f>
        <v>25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1696755059.9999998</v>
      </c>
      <c r="E25" s="3">
        <f>$D$6-1</f>
        <v>1696756498.9999998</v>
      </c>
      <c r="F25" s="34">
        <f t="shared" si="2"/>
        <v>45207.368749999994</v>
      </c>
      <c r="G25" s="34">
        <f t="shared" si="3"/>
        <v>45207.385405092587</v>
      </c>
      <c r="H25" s="13">
        <f>+$G$5*C25</f>
        <v>25</v>
      </c>
      <c r="I25" s="13">
        <f>$G$5-H25</f>
        <v>0</v>
      </c>
      <c r="J25" s="1" t="s">
        <v>13</v>
      </c>
    </row>
  </sheetData>
  <mergeCells count="8">
    <mergeCell ref="B10:B11"/>
    <mergeCell ref="F10:G10"/>
    <mergeCell ref="H10:I10"/>
    <mergeCell ref="B19:B20"/>
    <mergeCell ref="F19:G19"/>
    <mergeCell ref="H19:I19"/>
    <mergeCell ref="D10:E10"/>
    <mergeCell ref="D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2C10-3393-47A3-8611-ACA1C7653285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f>D1</f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212</v>
      </c>
      <c r="C5" s="32" t="str">
        <f>_xlfn.CONCAT("I",B5)</f>
        <v>I212</v>
      </c>
      <c r="D5" s="33">
        <v>45207.385416666664</v>
      </c>
      <c r="E5" s="2">
        <v>24</v>
      </c>
      <c r="F5" s="33">
        <f>D5+E5/24</f>
        <v>45208.385416666664</v>
      </c>
      <c r="G5" s="20">
        <v>25</v>
      </c>
      <c r="H5" s="28" t="s">
        <v>13</v>
      </c>
      <c r="I5" s="2" t="s">
        <v>35</v>
      </c>
      <c r="J5" s="2" t="s">
        <v>48</v>
      </c>
    </row>
    <row r="6" spans="1:10" ht="14.5" customHeight="1" x14ac:dyDescent="0.35">
      <c r="A6" s="22" t="s">
        <v>38</v>
      </c>
      <c r="B6" s="31" t="str">
        <f>_xlfn.CONCAT(B5,",",C5,",",D6,",",F6,",",I5,",",J5)</f>
        <v>212,I212,1696756500,1696842900,BOM,TYO</v>
      </c>
      <c r="C6" s="18" t="s">
        <v>29</v>
      </c>
      <c r="D6" s="19">
        <f>(D5-25569)*86400</f>
        <v>1696756499.9999998</v>
      </c>
      <c r="F6" s="19">
        <f>(F5-25569)*86400</f>
        <v>1696842899.9999998</v>
      </c>
      <c r="G6" s="14">
        <f>G5*1000000000000000000</f>
        <v>2.5E+19</v>
      </c>
      <c r="H6" s="2" t="s">
        <v>21</v>
      </c>
    </row>
    <row r="7" spans="1:10" x14ac:dyDescent="0.35">
      <c r="C7" s="12" t="s">
        <v>30</v>
      </c>
      <c r="D7" s="4">
        <f>(D6/86400)+DATE(1970,1,1)</f>
        <v>45207.385416666664</v>
      </c>
      <c r="F7" s="4">
        <f>(F6/86400)+DATE(1970,1,1)</f>
        <v>45208.385416666664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1696755059.9999998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45207.368749999994</v>
      </c>
      <c r="H12" s="13">
        <f>IFERROR($G$5*C12,"--")</f>
        <v>25</v>
      </c>
      <c r="I12" s="13">
        <f>IFERROR($G$5*C12,"--")</f>
        <v>25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1696755060.9999998</v>
      </c>
      <c r="E13" s="3">
        <f>+D13+(20*$C$2)-1</f>
        <v>1696756259.9999998</v>
      </c>
      <c r="F13" s="34">
        <f t="shared" ref="F13:F15" si="1">IFERROR((D13/86400)+DATE(1970,1,1),_xlfn.CONCAT("Before ==&gt;"))</f>
        <v>45207.368761574071</v>
      </c>
      <c r="G13" s="34">
        <f t="shared" si="0"/>
        <v>45207.382638888885</v>
      </c>
      <c r="H13" s="13">
        <f>IFERROR($G$5*C13,"--")</f>
        <v>20</v>
      </c>
      <c r="I13" s="13">
        <f>IFERROR($G$5*C13,"--")</f>
        <v>20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1696756260.9999998</v>
      </c>
      <c r="E14" s="3">
        <f>+D14+(2*$C$2)-1</f>
        <v>1696756379.9999998</v>
      </c>
      <c r="F14" s="34">
        <f t="shared" si="1"/>
        <v>45207.382650462961</v>
      </c>
      <c r="G14" s="34">
        <f t="shared" si="0"/>
        <v>45207.384027777778</v>
      </c>
      <c r="H14" s="13">
        <f>IFERROR($G$5*C14,"--")</f>
        <v>10</v>
      </c>
      <c r="I14" s="13">
        <f>IFERROR($G$5*C14,"--")</f>
        <v>10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1696756380.9999998</v>
      </c>
      <c r="E15" s="27" t="s">
        <v>26</v>
      </c>
      <c r="F15" s="34">
        <f t="shared" si="1"/>
        <v>45207.384039351848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1696756618.9999998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45207.386793981481</v>
      </c>
      <c r="H21" s="13">
        <f>+$G$5*C21</f>
        <v>0</v>
      </c>
      <c r="I21" s="13">
        <f>$G$5-H21</f>
        <v>25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1696756619.9999998</v>
      </c>
      <c r="E22" s="3">
        <f>+D22+(10*$C$2)-1</f>
        <v>1696757218.9999998</v>
      </c>
      <c r="F22" s="34">
        <f t="shared" si="2"/>
        <v>45207.38680555555</v>
      </c>
      <c r="G22" s="34">
        <f t="shared" si="3"/>
        <v>45207.393738425919</v>
      </c>
      <c r="H22" s="13">
        <f>+$G$5*C22</f>
        <v>2.5</v>
      </c>
      <c r="I22" s="13">
        <f>$G$5-H22</f>
        <v>22.5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1696757219.9999998</v>
      </c>
      <c r="E23" s="3">
        <f>+D23+(10*$C$2)-1</f>
        <v>1696757818.9999998</v>
      </c>
      <c r="F23" s="34">
        <f t="shared" si="2"/>
        <v>45207.393749999996</v>
      </c>
      <c r="G23" s="34">
        <f t="shared" si="3"/>
        <v>45207.400682870371</v>
      </c>
      <c r="H23" s="13">
        <f>+$G$5*C23</f>
        <v>10</v>
      </c>
      <c r="I23" s="13">
        <f>$G$5-H23</f>
        <v>15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1696757819.9999998</v>
      </c>
      <c r="E24" s="27" t="s">
        <v>26</v>
      </c>
      <c r="F24" s="34">
        <f t="shared" si="2"/>
        <v>45207.400694444441</v>
      </c>
      <c r="G24" s="34" t="str">
        <f t="shared" si="3"/>
        <v>&lt;== After</v>
      </c>
      <c r="H24" s="13">
        <f>+$G$5*C24</f>
        <v>25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1696755059.9999998</v>
      </c>
      <c r="E25" s="3">
        <f>$D$6-1</f>
        <v>1696756498.9999998</v>
      </c>
      <c r="F25" s="34">
        <f t="shared" si="2"/>
        <v>45207.368749999994</v>
      </c>
      <c r="G25" s="34">
        <f t="shared" si="3"/>
        <v>45207.385405092587</v>
      </c>
      <c r="H25" s="13">
        <f>+$G$5*C25</f>
        <v>25</v>
      </c>
      <c r="I25" s="13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B9C5-868B-455E-A9AD-EB9FA351D694}">
  <sheetPr>
    <tabColor theme="9" tint="-0.249977111117893"/>
  </sheetPr>
  <dimension ref="A1:J25"/>
  <sheetViews>
    <sheetView workbookViewId="0">
      <selection activeCell="B6" sqref="B6"/>
    </sheetView>
  </sheetViews>
  <sheetFormatPr defaultRowHeight="14.5" x14ac:dyDescent="0.35"/>
  <cols>
    <col min="1" max="1" width="10.453125" customWidth="1"/>
    <col min="2" max="2" width="59.1796875" customWidth="1"/>
    <col min="3" max="3" width="16.1796875" bestFit="1" customWidth="1"/>
    <col min="4" max="4" width="17.54296875" bestFit="1" customWidth="1"/>
    <col min="5" max="5" width="16.1796875" customWidth="1"/>
    <col min="6" max="6" width="18.54296875" bestFit="1" customWidth="1"/>
    <col min="7" max="7" width="17.54296875" bestFit="1" customWidth="1"/>
    <col min="8" max="8" width="26.26953125" bestFit="1" customWidth="1"/>
    <col min="9" max="9" width="28.7265625" customWidth="1"/>
    <col min="10" max="10" width="26.26953125" bestFit="1" customWidth="1"/>
  </cols>
  <sheetData>
    <row r="1" spans="1:10" x14ac:dyDescent="0.35">
      <c r="C1" s="3" t="s">
        <v>16</v>
      </c>
      <c r="D1" s="15">
        <v>60</v>
      </c>
      <c r="E1" s="15" t="s">
        <v>17</v>
      </c>
      <c r="F1" s="15" t="s">
        <v>18</v>
      </c>
    </row>
    <row r="2" spans="1:10" x14ac:dyDescent="0.35">
      <c r="C2" s="16">
        <f>D1</f>
        <v>60</v>
      </c>
      <c r="D2" s="17">
        <f>+D1*60</f>
        <v>3600</v>
      </c>
      <c r="E2" s="17" t="s">
        <v>17</v>
      </c>
      <c r="F2" s="17" t="s">
        <v>19</v>
      </c>
    </row>
    <row r="3" spans="1:10" ht="14.5" customHeight="1" x14ac:dyDescent="0.35">
      <c r="B3" s="12" t="s">
        <v>28</v>
      </c>
      <c r="C3" s="2"/>
      <c r="D3" s="2"/>
      <c r="E3" s="2"/>
    </row>
    <row r="4" spans="1:10" ht="14.5" customHeight="1" x14ac:dyDescent="0.35">
      <c r="B4" s="21" t="s">
        <v>31</v>
      </c>
      <c r="C4" s="21" t="s">
        <v>32</v>
      </c>
      <c r="D4" s="21" t="s">
        <v>7</v>
      </c>
      <c r="E4" s="29" t="s">
        <v>44</v>
      </c>
      <c r="F4" s="21" t="s">
        <v>8</v>
      </c>
      <c r="G4" s="30" t="s">
        <v>12</v>
      </c>
      <c r="H4" s="21" t="s">
        <v>45</v>
      </c>
      <c r="I4" s="21" t="s">
        <v>33</v>
      </c>
      <c r="J4" s="21" t="s">
        <v>34</v>
      </c>
    </row>
    <row r="5" spans="1:10" ht="14.5" customHeight="1" x14ac:dyDescent="0.35">
      <c r="B5" s="3">
        <v>223</v>
      </c>
      <c r="C5" s="32" t="str">
        <f>_xlfn.CONCAT("I",B5)</f>
        <v>I223</v>
      </c>
      <c r="D5" s="33">
        <v>45207.375</v>
      </c>
      <c r="E5" s="2">
        <v>24</v>
      </c>
      <c r="F5" s="33">
        <f>D5+E5/24</f>
        <v>45208.375</v>
      </c>
      <c r="G5" s="20">
        <v>25</v>
      </c>
      <c r="H5" s="28" t="s">
        <v>13</v>
      </c>
      <c r="I5" s="2" t="s">
        <v>35</v>
      </c>
      <c r="J5" s="2" t="s">
        <v>49</v>
      </c>
    </row>
    <row r="6" spans="1:10" ht="14.5" customHeight="1" x14ac:dyDescent="0.35">
      <c r="A6" s="22" t="s">
        <v>38</v>
      </c>
      <c r="B6" s="31" t="str">
        <f>_xlfn.CONCAT(B5,",",C5,",",D6,",",F6,",",I5,",",J5)</f>
        <v>223,I223,1696755600,1696842000,BOM,SYD</v>
      </c>
      <c r="C6" s="18" t="s">
        <v>29</v>
      </c>
      <c r="D6" s="19">
        <f>(D5-25569)*86400</f>
        <v>1696755600</v>
      </c>
      <c r="F6" s="19">
        <f>(F5-25569)*86400</f>
        <v>1696842000</v>
      </c>
      <c r="G6" s="14">
        <f>G5*1000000000000000000</f>
        <v>2.5E+19</v>
      </c>
      <c r="H6" s="2" t="s">
        <v>21</v>
      </c>
    </row>
    <row r="7" spans="1:10" x14ac:dyDescent="0.35">
      <c r="C7" s="12" t="s">
        <v>30</v>
      </c>
      <c r="D7" s="4">
        <f>(D6/86400)+DATE(1970,1,1)</f>
        <v>45207.375</v>
      </c>
      <c r="F7" s="4">
        <f>(F6/86400)+DATE(1970,1,1)</f>
        <v>45208.375</v>
      </c>
    </row>
    <row r="9" spans="1:10" x14ac:dyDescent="0.35">
      <c r="B9" s="1" t="s">
        <v>9</v>
      </c>
    </row>
    <row r="10" spans="1:10" x14ac:dyDescent="0.35">
      <c r="B10" s="10" t="s">
        <v>0</v>
      </c>
      <c r="C10" s="7" t="s">
        <v>1</v>
      </c>
      <c r="D10" s="25" t="s">
        <v>43</v>
      </c>
      <c r="E10" s="26"/>
      <c r="F10" s="5" t="s">
        <v>39</v>
      </c>
      <c r="G10" s="5"/>
      <c r="H10" s="5" t="s">
        <v>20</v>
      </c>
      <c r="I10" s="5"/>
    </row>
    <row r="11" spans="1:10" x14ac:dyDescent="0.35">
      <c r="B11" s="10"/>
      <c r="C11" s="7" t="s">
        <v>2</v>
      </c>
      <c r="D11" s="24" t="s">
        <v>41</v>
      </c>
      <c r="E11" s="23" t="s">
        <v>42</v>
      </c>
      <c r="F11" s="6" t="s">
        <v>41</v>
      </c>
      <c r="G11" s="6" t="s">
        <v>50</v>
      </c>
      <c r="H11" s="6" t="s">
        <v>14</v>
      </c>
      <c r="I11" s="6" t="s">
        <v>15</v>
      </c>
    </row>
    <row r="12" spans="1:10" x14ac:dyDescent="0.35">
      <c r="B12" s="9" t="s">
        <v>3</v>
      </c>
      <c r="C12" s="8">
        <v>1</v>
      </c>
      <c r="D12" s="27" t="s">
        <v>26</v>
      </c>
      <c r="E12" s="3">
        <f>$D$6-(24*($C$2))</f>
        <v>1696754160</v>
      </c>
      <c r="F12" s="34" t="str">
        <f>IFERROR((D12/86400)+DATE(1970,1,1),_xlfn.CONCAT("Before ==&gt;"))</f>
        <v>Before ==&gt;</v>
      </c>
      <c r="G12" s="34">
        <f t="shared" ref="G12:G15" si="0">IFERROR((E12/86400)+DATE(1970,1,1),"&lt;== After")</f>
        <v>45207.358333333337</v>
      </c>
      <c r="H12" s="13">
        <f>IFERROR($G$5*C12,"--")</f>
        <v>25</v>
      </c>
      <c r="I12" s="13">
        <f>IFERROR($G$5*C12,"--")</f>
        <v>25</v>
      </c>
      <c r="J12" s="1" t="s">
        <v>13</v>
      </c>
    </row>
    <row r="13" spans="1:10" x14ac:dyDescent="0.35">
      <c r="B13" s="9" t="s">
        <v>4</v>
      </c>
      <c r="C13" s="8">
        <v>0.8</v>
      </c>
      <c r="D13" s="3">
        <f>E12+1</f>
        <v>1696754161</v>
      </c>
      <c r="E13" s="3">
        <f>+D13+(20*$C$2)-1</f>
        <v>1696755360</v>
      </c>
      <c r="F13" s="34">
        <f t="shared" ref="F13:F15" si="1">IFERROR((D13/86400)+DATE(1970,1,1),_xlfn.CONCAT("Before ==&gt;"))</f>
        <v>45207.358344907407</v>
      </c>
      <c r="G13" s="34">
        <f t="shared" si="0"/>
        <v>45207.37222222222</v>
      </c>
      <c r="H13" s="13">
        <f>IFERROR($G$5*C13,"--")</f>
        <v>20</v>
      </c>
      <c r="I13" s="13">
        <f>IFERROR($G$5*C13,"--")</f>
        <v>20</v>
      </c>
      <c r="J13" s="1" t="s">
        <v>13</v>
      </c>
    </row>
    <row r="14" spans="1:10" x14ac:dyDescent="0.35">
      <c r="B14" s="9" t="s">
        <v>5</v>
      </c>
      <c r="C14" s="8">
        <v>0.4</v>
      </c>
      <c r="D14" s="3">
        <f>E13+1</f>
        <v>1696755361</v>
      </c>
      <c r="E14" s="3">
        <f>+D14+(2*$C$2)-1</f>
        <v>1696755480</v>
      </c>
      <c r="F14" s="34">
        <f t="shared" si="1"/>
        <v>45207.372233796297</v>
      </c>
      <c r="G14" s="34">
        <f t="shared" si="0"/>
        <v>45207.373611111107</v>
      </c>
      <c r="H14" s="13">
        <f>IFERROR($G$5*C14,"--")</f>
        <v>10</v>
      </c>
      <c r="I14" s="13">
        <f>IFERROR($G$5*C14,"--")</f>
        <v>10</v>
      </c>
      <c r="J14" s="1" t="s">
        <v>13</v>
      </c>
    </row>
    <row r="15" spans="1:10" x14ac:dyDescent="0.35">
      <c r="B15" s="9" t="s">
        <v>6</v>
      </c>
      <c r="C15" s="11" t="s">
        <v>27</v>
      </c>
      <c r="D15" s="3">
        <f>E14+1</f>
        <v>1696755481</v>
      </c>
      <c r="E15" s="27" t="s">
        <v>26</v>
      </c>
      <c r="F15" s="34">
        <f t="shared" si="1"/>
        <v>45207.373622685191</v>
      </c>
      <c r="G15" s="34" t="str">
        <f>IFERROR((E15/86400)+DATE(1970,1,1),"&lt;== After")</f>
        <v>&lt;== After</v>
      </c>
      <c r="H15" s="13" t="str">
        <f>IFERROR($G$5*C15,"--")</f>
        <v>--</v>
      </c>
      <c r="I15" s="13" t="str">
        <f>IFERROR($G$5*C15,"--")</f>
        <v>--</v>
      </c>
      <c r="J15" s="1" t="s">
        <v>13</v>
      </c>
    </row>
    <row r="18" spans="2:10" x14ac:dyDescent="0.35">
      <c r="B18" s="1" t="s">
        <v>22</v>
      </c>
    </row>
    <row r="19" spans="2:10" ht="23.5" customHeight="1" x14ac:dyDescent="0.35">
      <c r="B19" s="10" t="s">
        <v>10</v>
      </c>
      <c r="C19" s="7" t="s">
        <v>1</v>
      </c>
      <c r="D19" s="25" t="s">
        <v>43</v>
      </c>
      <c r="E19" s="26"/>
      <c r="F19" s="5" t="s">
        <v>40</v>
      </c>
      <c r="G19" s="5"/>
      <c r="H19" s="5" t="s">
        <v>20</v>
      </c>
      <c r="I19" s="5"/>
    </row>
    <row r="20" spans="2:10" x14ac:dyDescent="0.35">
      <c r="B20" s="10"/>
      <c r="C20" s="7" t="s">
        <v>2</v>
      </c>
      <c r="D20" s="24" t="s">
        <v>41</v>
      </c>
      <c r="E20" s="23" t="s">
        <v>42</v>
      </c>
      <c r="F20" s="6" t="s">
        <v>41</v>
      </c>
      <c r="G20" s="6" t="s">
        <v>42</v>
      </c>
      <c r="H20" s="6" t="s">
        <v>14</v>
      </c>
      <c r="I20" s="6" t="s">
        <v>15</v>
      </c>
    </row>
    <row r="21" spans="2:10" x14ac:dyDescent="0.35">
      <c r="B21" s="9" t="s">
        <v>23</v>
      </c>
      <c r="C21" s="8">
        <v>0</v>
      </c>
      <c r="D21" s="27" t="s">
        <v>26</v>
      </c>
      <c r="E21" s="3">
        <f>$D$6+(2*($C$2))-1</f>
        <v>1696755719</v>
      </c>
      <c r="F21" s="34" t="str">
        <f t="shared" ref="F21:F25" si="2">IFERROR((D21/86400)+DATE(1970,1,1),_xlfn.CONCAT("Before ==&gt;"))</f>
        <v>Before ==&gt;</v>
      </c>
      <c r="G21" s="34">
        <f t="shared" ref="G21:G25" si="3">IFERROR((E21/86400)+DATE(1970,1,1),"&lt;== After")</f>
        <v>45207.376377314809</v>
      </c>
      <c r="H21" s="13">
        <f>+$G$5*C21</f>
        <v>0</v>
      </c>
      <c r="I21" s="13">
        <f>$G$5-H21</f>
        <v>25</v>
      </c>
      <c r="J21" s="1" t="s">
        <v>13</v>
      </c>
    </row>
    <row r="22" spans="2:10" x14ac:dyDescent="0.35">
      <c r="B22" s="9" t="s">
        <v>24</v>
      </c>
      <c r="C22" s="8">
        <v>0.1</v>
      </c>
      <c r="D22" s="3">
        <f>+E21+1</f>
        <v>1696755720</v>
      </c>
      <c r="E22" s="3">
        <f>+D22+(10*$C$2)-1</f>
        <v>1696756319</v>
      </c>
      <c r="F22" s="34">
        <f t="shared" si="2"/>
        <v>45207.376388888893</v>
      </c>
      <c r="G22" s="34">
        <f t="shared" si="3"/>
        <v>45207.383321759262</v>
      </c>
      <c r="H22" s="13">
        <f>+$G$5*C22</f>
        <v>2.5</v>
      </c>
      <c r="I22" s="13">
        <f>$G$5-H22</f>
        <v>22.5</v>
      </c>
      <c r="J22" s="1" t="s">
        <v>13</v>
      </c>
    </row>
    <row r="23" spans="2:10" x14ac:dyDescent="0.35">
      <c r="B23" s="9" t="s">
        <v>25</v>
      </c>
      <c r="C23" s="8">
        <v>0.4</v>
      </c>
      <c r="D23" s="3">
        <f>+E22+1</f>
        <v>1696756320</v>
      </c>
      <c r="E23" s="3">
        <f>+D23+(10*$C$2)-1</f>
        <v>1696756919</v>
      </c>
      <c r="F23" s="34">
        <f t="shared" si="2"/>
        <v>45207.383333333331</v>
      </c>
      <c r="G23" s="34">
        <f t="shared" si="3"/>
        <v>45207.3902662037</v>
      </c>
      <c r="H23" s="13">
        <f>+$G$5*C23</f>
        <v>10</v>
      </c>
      <c r="I23" s="13">
        <f>$G$5-H23</f>
        <v>15</v>
      </c>
      <c r="J23" s="1" t="s">
        <v>13</v>
      </c>
    </row>
    <row r="24" spans="2:10" x14ac:dyDescent="0.35">
      <c r="B24" s="9" t="s">
        <v>3</v>
      </c>
      <c r="C24" s="8">
        <v>1</v>
      </c>
      <c r="D24" s="3">
        <f>+E23+1</f>
        <v>1696756920</v>
      </c>
      <c r="E24" s="27" t="s">
        <v>26</v>
      </c>
      <c r="F24" s="34">
        <f t="shared" si="2"/>
        <v>45207.390277777777</v>
      </c>
      <c r="G24" s="34" t="str">
        <f t="shared" si="3"/>
        <v>&lt;== After</v>
      </c>
      <c r="H24" s="13">
        <f>+$G$5*C24</f>
        <v>25</v>
      </c>
      <c r="I24" s="13">
        <f>$G$5-H24</f>
        <v>0</v>
      </c>
      <c r="J24" s="1" t="s">
        <v>13</v>
      </c>
    </row>
    <row r="25" spans="2:10" ht="29" x14ac:dyDescent="0.35">
      <c r="B25" s="9" t="s">
        <v>11</v>
      </c>
      <c r="C25" s="8">
        <v>1</v>
      </c>
      <c r="D25" s="3">
        <f>$D$6-(24*($C$2))</f>
        <v>1696754160</v>
      </c>
      <c r="E25" s="3">
        <f>$D$6-1</f>
        <v>1696755599</v>
      </c>
      <c r="F25" s="34">
        <f t="shared" si="2"/>
        <v>45207.358333333337</v>
      </c>
      <c r="G25" s="34">
        <f t="shared" si="3"/>
        <v>45207.37498842593</v>
      </c>
      <c r="H25" s="13">
        <f>+$G$5*C25</f>
        <v>25</v>
      </c>
      <c r="I25" s="13">
        <f>$G$5-H25</f>
        <v>0</v>
      </c>
      <c r="J25" s="1" t="s">
        <v>13</v>
      </c>
    </row>
  </sheetData>
  <mergeCells count="8">
    <mergeCell ref="B10:B11"/>
    <mergeCell ref="D10:E10"/>
    <mergeCell ref="F10:G10"/>
    <mergeCell ref="H10:I10"/>
    <mergeCell ref="B19:B20"/>
    <mergeCell ref="D19:E19"/>
    <mergeCell ref="F19:G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DOM-101</vt:lpstr>
      <vt:lpstr>DOM-112</vt:lpstr>
      <vt:lpstr>DOM-123</vt:lpstr>
      <vt:lpstr>INT-201</vt:lpstr>
      <vt:lpstr>INT-212</vt:lpstr>
      <vt:lpstr>INT-223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Ghewde</dc:creator>
  <cp:lastModifiedBy>Sachin Ghewde</cp:lastModifiedBy>
  <dcterms:created xsi:type="dcterms:W3CDTF">2023-10-07T06:52:55Z</dcterms:created>
  <dcterms:modified xsi:type="dcterms:W3CDTF">2023-10-07T14:11:29Z</dcterms:modified>
</cp:coreProperties>
</file>