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beepath/HolisticAI/DISS_CODE/MSc_Dissertation/plots/"/>
    </mc:Choice>
  </mc:AlternateContent>
  <xr:revisionPtr revIDLastSave="0" documentId="13_ncr:1_{03AED1FD-7AC4-A54E-BC80-AB1A272F84B9}" xr6:coauthVersionLast="47" xr6:coauthVersionMax="47" xr10:uidLastSave="{00000000-0000-0000-0000-000000000000}"/>
  <bookViews>
    <workbookView xWindow="-4440" yWindow="-21020" windowWidth="30240" windowHeight="17180" xr2:uid="{DAC59FFA-D48A-F649-98CC-62A00804E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2" i="1" l="1"/>
  <c r="AS105" i="1"/>
  <c r="E133" i="1"/>
  <c r="F133" i="1"/>
  <c r="G133" i="1" s="1"/>
  <c r="F132" i="1"/>
  <c r="G132" i="1" s="1"/>
  <c r="E132" i="1"/>
  <c r="H132" i="1" s="1"/>
  <c r="F135" i="1"/>
  <c r="E135" i="1"/>
  <c r="H135" i="1" s="1"/>
  <c r="F134" i="1"/>
  <c r="G134" i="1" s="1"/>
  <c r="E134" i="1"/>
  <c r="F130" i="1"/>
  <c r="G130" i="1" s="1"/>
  <c r="E130" i="1"/>
  <c r="F129" i="1"/>
  <c r="G129" i="1" s="1"/>
  <c r="E129" i="1"/>
  <c r="H129" i="1" s="1"/>
  <c r="F128" i="1"/>
  <c r="E128" i="1"/>
  <c r="H128" i="1" s="1"/>
  <c r="F127" i="1"/>
  <c r="E127" i="1"/>
  <c r="F124" i="1"/>
  <c r="E124" i="1"/>
  <c r="H124" i="1" s="1"/>
  <c r="F123" i="1"/>
  <c r="G123" i="1" s="1"/>
  <c r="E123" i="1"/>
  <c r="H123" i="1" s="1"/>
  <c r="F122" i="1"/>
  <c r="G122" i="1" s="1"/>
  <c r="E122" i="1"/>
  <c r="H122" i="1" s="1"/>
  <c r="F121" i="1"/>
  <c r="E121" i="1"/>
  <c r="H90" i="1"/>
  <c r="F119" i="1"/>
  <c r="G119" i="1" s="1"/>
  <c r="E119" i="1"/>
  <c r="H119" i="1" s="1"/>
  <c r="F118" i="1"/>
  <c r="G118" i="1" s="1"/>
  <c r="E118" i="1"/>
  <c r="F117" i="1"/>
  <c r="G117" i="1" s="1"/>
  <c r="E117" i="1"/>
  <c r="F116" i="1"/>
  <c r="G116" i="1" s="1"/>
  <c r="E116" i="1"/>
  <c r="Q112" i="1"/>
  <c r="R112" i="1" s="1"/>
  <c r="P112" i="1"/>
  <c r="S112" i="1" s="1"/>
  <c r="Q111" i="1"/>
  <c r="R111" i="1" s="1"/>
  <c r="P111" i="1"/>
  <c r="S111" i="1" s="1"/>
  <c r="Q110" i="1"/>
  <c r="R110" i="1" s="1"/>
  <c r="P110" i="1"/>
  <c r="S110" i="1" s="1"/>
  <c r="Q109" i="1"/>
  <c r="R109" i="1" s="1"/>
  <c r="P109" i="1"/>
  <c r="S109" i="1" s="1"/>
  <c r="Q108" i="1"/>
  <c r="R108" i="1" s="1"/>
  <c r="P108" i="1"/>
  <c r="S108" i="1" s="1"/>
  <c r="Q107" i="1"/>
  <c r="R107" i="1" s="1"/>
  <c r="P107" i="1"/>
  <c r="S107" i="1" s="1"/>
  <c r="Q106" i="1"/>
  <c r="R106" i="1" s="1"/>
  <c r="P106" i="1"/>
  <c r="S106" i="1" s="1"/>
  <c r="Q105" i="1"/>
  <c r="R105" i="1" s="1"/>
  <c r="P105" i="1"/>
  <c r="S105" i="1" s="1"/>
  <c r="F113" i="1"/>
  <c r="E113" i="1"/>
  <c r="H113" i="1" s="1"/>
  <c r="F112" i="1"/>
  <c r="G112" i="1" s="1"/>
  <c r="E112" i="1"/>
  <c r="H112" i="1" s="1"/>
  <c r="F111" i="1"/>
  <c r="E111" i="1"/>
  <c r="H89" i="1"/>
  <c r="F110" i="1"/>
  <c r="E110" i="1"/>
  <c r="H110" i="1" s="1"/>
  <c r="F108" i="1"/>
  <c r="G108" i="1" s="1"/>
  <c r="E108" i="1"/>
  <c r="H108" i="1" s="1"/>
  <c r="F107" i="1"/>
  <c r="E107" i="1"/>
  <c r="H107" i="1" s="1"/>
  <c r="F106" i="1"/>
  <c r="G106" i="1" s="1"/>
  <c r="E106" i="1"/>
  <c r="H106" i="1" s="1"/>
  <c r="F105" i="1"/>
  <c r="E105" i="1"/>
  <c r="H105" i="1" s="1"/>
  <c r="Q198" i="1"/>
  <c r="R198" i="1" s="1"/>
  <c r="P198" i="1"/>
  <c r="S198" i="1" s="1"/>
  <c r="Q197" i="1"/>
  <c r="R197" i="1" s="1"/>
  <c r="P197" i="1"/>
  <c r="S197" i="1" s="1"/>
  <c r="Q196" i="1"/>
  <c r="R196" i="1" s="1"/>
  <c r="P196" i="1"/>
  <c r="S196" i="1" s="1"/>
  <c r="Q195" i="1"/>
  <c r="R195" i="1" s="1"/>
  <c r="P195" i="1"/>
  <c r="S195" i="1" s="1"/>
  <c r="Q194" i="1"/>
  <c r="R194" i="1" s="1"/>
  <c r="P194" i="1"/>
  <c r="S194" i="1" s="1"/>
  <c r="S193" i="1"/>
  <c r="Q193" i="1"/>
  <c r="R193" i="1" s="1"/>
  <c r="P193" i="1"/>
  <c r="Q192" i="1"/>
  <c r="R192" i="1" s="1"/>
  <c r="P192" i="1"/>
  <c r="S192" i="1" s="1"/>
  <c r="Q191" i="1"/>
  <c r="R191" i="1" s="1"/>
  <c r="P191" i="1"/>
  <c r="S191" i="1" s="1"/>
  <c r="Q190" i="1"/>
  <c r="R190" i="1" s="1"/>
  <c r="P190" i="1"/>
  <c r="S190" i="1" s="1"/>
  <c r="Q189" i="1"/>
  <c r="R189" i="1" s="1"/>
  <c r="P189" i="1"/>
  <c r="S189" i="1" s="1"/>
  <c r="Q188" i="1"/>
  <c r="R188" i="1" s="1"/>
  <c r="P188" i="1"/>
  <c r="S188" i="1" s="1"/>
  <c r="Q187" i="1"/>
  <c r="R187" i="1" s="1"/>
  <c r="P187" i="1"/>
  <c r="S187" i="1" s="1"/>
  <c r="Q186" i="1"/>
  <c r="R186" i="1" s="1"/>
  <c r="P186" i="1"/>
  <c r="S186" i="1" s="1"/>
  <c r="Q185" i="1"/>
  <c r="R185" i="1" s="1"/>
  <c r="P185" i="1"/>
  <c r="S185" i="1" s="1"/>
  <c r="Q184" i="1"/>
  <c r="R184" i="1" s="1"/>
  <c r="P184" i="1"/>
  <c r="S184" i="1" s="1"/>
  <c r="Q183" i="1"/>
  <c r="R183" i="1" s="1"/>
  <c r="P183" i="1"/>
  <c r="S183" i="1" s="1"/>
  <c r="S182" i="1"/>
  <c r="R182" i="1"/>
  <c r="S181" i="1"/>
  <c r="R181" i="1"/>
  <c r="S180" i="1"/>
  <c r="R180" i="1"/>
  <c r="S179" i="1"/>
  <c r="R179" i="1"/>
  <c r="S178" i="1"/>
  <c r="R178" i="1"/>
  <c r="S177" i="1"/>
  <c r="R177" i="1"/>
  <c r="S176" i="1"/>
  <c r="R176" i="1"/>
  <c r="S175" i="1"/>
  <c r="R175" i="1"/>
  <c r="Q156" i="1"/>
  <c r="R156" i="1" s="1"/>
  <c r="P156" i="1"/>
  <c r="S156" i="1" s="1"/>
  <c r="Q155" i="1"/>
  <c r="R155" i="1" s="1"/>
  <c r="P155" i="1"/>
  <c r="S155" i="1" s="1"/>
  <c r="Q154" i="1"/>
  <c r="R154" i="1" s="1"/>
  <c r="P154" i="1"/>
  <c r="S154" i="1" s="1"/>
  <c r="Q153" i="1"/>
  <c r="R153" i="1" s="1"/>
  <c r="P153" i="1"/>
  <c r="S153" i="1" s="1"/>
  <c r="Q152" i="1"/>
  <c r="R152" i="1" s="1"/>
  <c r="P152" i="1"/>
  <c r="S152" i="1" s="1"/>
  <c r="Q151" i="1"/>
  <c r="R151" i="1" s="1"/>
  <c r="P151" i="1"/>
  <c r="S151" i="1" s="1"/>
  <c r="Q150" i="1"/>
  <c r="R150" i="1" s="1"/>
  <c r="P150" i="1"/>
  <c r="S150" i="1" s="1"/>
  <c r="Q149" i="1"/>
  <c r="R149" i="1" s="1"/>
  <c r="P149" i="1"/>
  <c r="S149" i="1" s="1"/>
  <c r="S148" i="1"/>
  <c r="R148" i="1"/>
  <c r="S147" i="1"/>
  <c r="R147" i="1"/>
  <c r="S146" i="1"/>
  <c r="R146" i="1"/>
  <c r="S145" i="1"/>
  <c r="R145" i="1"/>
  <c r="S144" i="1"/>
  <c r="R144" i="1"/>
  <c r="S143" i="1"/>
  <c r="R143" i="1"/>
  <c r="S142" i="1"/>
  <c r="R142" i="1"/>
  <c r="S141" i="1"/>
  <c r="R141" i="1"/>
  <c r="F194" i="1"/>
  <c r="G194" i="1" s="1"/>
  <c r="E194" i="1"/>
  <c r="H194" i="1" s="1"/>
  <c r="F193" i="1"/>
  <c r="G193" i="1" s="1"/>
  <c r="E193" i="1"/>
  <c r="H193" i="1" s="1"/>
  <c r="F205" i="1"/>
  <c r="G205" i="1" s="1"/>
  <c r="E205" i="1"/>
  <c r="H205" i="1" s="1"/>
  <c r="F204" i="1"/>
  <c r="G204" i="1" s="1"/>
  <c r="E204" i="1"/>
  <c r="H204" i="1" s="1"/>
  <c r="F203" i="1"/>
  <c r="E203" i="1"/>
  <c r="H203" i="1" s="1"/>
  <c r="F202" i="1"/>
  <c r="E202" i="1"/>
  <c r="H202" i="1" s="1"/>
  <c r="F192" i="1"/>
  <c r="G192" i="1" s="1"/>
  <c r="E192" i="1"/>
  <c r="H192" i="1" s="1"/>
  <c r="F191" i="1"/>
  <c r="G191" i="1" s="1"/>
  <c r="E191" i="1"/>
  <c r="H191" i="1" s="1"/>
  <c r="G203" i="1"/>
  <c r="G202" i="1"/>
  <c r="F200" i="1"/>
  <c r="G200" i="1" s="1"/>
  <c r="E200" i="1"/>
  <c r="H200" i="1" s="1"/>
  <c r="F199" i="1"/>
  <c r="G199" i="1" s="1"/>
  <c r="E199" i="1"/>
  <c r="H199" i="1" s="1"/>
  <c r="F189" i="1"/>
  <c r="G189" i="1" s="1"/>
  <c r="E189" i="1"/>
  <c r="H189" i="1" s="1"/>
  <c r="F188" i="1"/>
  <c r="G188" i="1" s="1"/>
  <c r="E188" i="1"/>
  <c r="H188" i="1" s="1"/>
  <c r="F198" i="1"/>
  <c r="G198" i="1" s="1"/>
  <c r="E198" i="1"/>
  <c r="H198" i="1" s="1"/>
  <c r="F197" i="1"/>
  <c r="G197" i="1" s="1"/>
  <c r="E197" i="1"/>
  <c r="H197" i="1" s="1"/>
  <c r="F187" i="1"/>
  <c r="G187" i="1" s="1"/>
  <c r="E187" i="1"/>
  <c r="H187" i="1" s="1"/>
  <c r="F186" i="1"/>
  <c r="G186" i="1" s="1"/>
  <c r="E186" i="1"/>
  <c r="H186" i="1" s="1"/>
  <c r="G121" i="1"/>
  <c r="H121" i="1"/>
  <c r="H118" i="1"/>
  <c r="H117" i="1"/>
  <c r="H116" i="1"/>
  <c r="F158" i="1"/>
  <c r="G158" i="1" s="1"/>
  <c r="E158" i="1"/>
  <c r="H158" i="1" s="1"/>
  <c r="F157" i="1"/>
  <c r="G157" i="1" s="1"/>
  <c r="E157" i="1"/>
  <c r="H157" i="1" s="1"/>
  <c r="F169" i="1"/>
  <c r="G169" i="1" s="1"/>
  <c r="E169" i="1"/>
  <c r="H169" i="1" s="1"/>
  <c r="F168" i="1"/>
  <c r="G168" i="1" s="1"/>
  <c r="E168" i="1"/>
  <c r="H168" i="1" s="1"/>
  <c r="F171" i="1"/>
  <c r="G171" i="1" s="1"/>
  <c r="E171" i="1"/>
  <c r="H171" i="1" s="1"/>
  <c r="F170" i="1"/>
  <c r="G170" i="1" s="1"/>
  <c r="E170" i="1"/>
  <c r="H170" i="1" s="1"/>
  <c r="E160" i="1"/>
  <c r="H160" i="1" s="1"/>
  <c r="F160" i="1"/>
  <c r="G160" i="1" s="1"/>
  <c r="F159" i="1"/>
  <c r="G159" i="1" s="1"/>
  <c r="E159" i="1"/>
  <c r="H159" i="1" s="1"/>
  <c r="H183" i="1"/>
  <c r="G183" i="1"/>
  <c r="H182" i="1"/>
  <c r="G182" i="1"/>
  <c r="H181" i="1"/>
  <c r="G181" i="1"/>
  <c r="H180" i="1"/>
  <c r="G180" i="1"/>
  <c r="H178" i="1"/>
  <c r="G178" i="1"/>
  <c r="H177" i="1"/>
  <c r="G177" i="1"/>
  <c r="H176" i="1"/>
  <c r="G176" i="1"/>
  <c r="H175" i="1"/>
  <c r="G175" i="1"/>
  <c r="F164" i="1"/>
  <c r="G164" i="1" s="1"/>
  <c r="E164" i="1"/>
  <c r="H164" i="1" s="1"/>
  <c r="F163" i="1"/>
  <c r="G163" i="1" s="1"/>
  <c r="E163" i="1"/>
  <c r="H163" i="1" s="1"/>
  <c r="F153" i="1"/>
  <c r="G153" i="1" s="1"/>
  <c r="E153" i="1"/>
  <c r="H153" i="1" s="1"/>
  <c r="F152" i="1"/>
  <c r="G152" i="1" s="1"/>
  <c r="E152" i="1"/>
  <c r="H152" i="1" s="1"/>
  <c r="F166" i="1"/>
  <c r="G166" i="1" s="1"/>
  <c r="E166" i="1"/>
  <c r="H166" i="1" s="1"/>
  <c r="F165" i="1"/>
  <c r="G165" i="1" s="1"/>
  <c r="E165" i="1"/>
  <c r="H165" i="1" s="1"/>
  <c r="F155" i="1"/>
  <c r="G155" i="1" s="1"/>
  <c r="E155" i="1"/>
  <c r="H155" i="1" s="1"/>
  <c r="F154" i="1"/>
  <c r="G154" i="1" s="1"/>
  <c r="E154" i="1"/>
  <c r="H154" i="1" s="1"/>
  <c r="H149" i="1"/>
  <c r="G149" i="1"/>
  <c r="H148" i="1"/>
  <c r="G148" i="1"/>
  <c r="H147" i="1"/>
  <c r="G147" i="1"/>
  <c r="H146" i="1"/>
  <c r="G146" i="1"/>
  <c r="G142" i="1"/>
  <c r="H142" i="1"/>
  <c r="G143" i="1"/>
  <c r="H143" i="1"/>
  <c r="G144" i="1"/>
  <c r="H144" i="1"/>
  <c r="G141" i="1"/>
  <c r="H141" i="1"/>
  <c r="H133" i="1"/>
  <c r="G128" i="1"/>
  <c r="G127" i="1"/>
  <c r="H127" i="1"/>
  <c r="G135" i="1"/>
  <c r="H134" i="1"/>
  <c r="H111" i="1"/>
  <c r="H130" i="1"/>
  <c r="G124" i="1"/>
  <c r="G110" i="1"/>
  <c r="G105" i="1"/>
  <c r="G107" i="1"/>
  <c r="AU99" i="1"/>
  <c r="AI70" i="1"/>
  <c r="AN70" i="1" s="1"/>
  <c r="AT102" i="1"/>
  <c r="AS102" i="1"/>
  <c r="AI64" i="1"/>
  <c r="AK64" i="1"/>
  <c r="AS99" i="1"/>
  <c r="AR30" i="1"/>
  <c r="AR21" i="1"/>
  <c r="AR13" i="1"/>
  <c r="AR12" i="1"/>
  <c r="AQ13" i="1"/>
  <c r="AQ12" i="1"/>
  <c r="AQ4" i="1"/>
  <c r="AR4" i="1"/>
  <c r="AR3" i="1"/>
  <c r="AI73" i="1"/>
  <c r="AI69" i="1"/>
  <c r="AN69" i="1" s="1"/>
  <c r="AT96" i="1"/>
  <c r="AS96" i="1"/>
  <c r="AR96" i="1"/>
  <c r="AP96" i="1"/>
  <c r="AQ96" i="1"/>
  <c r="AO96" i="1"/>
  <c r="AN96" i="1"/>
  <c r="AQ86" i="1"/>
  <c r="AQ87" i="1"/>
  <c r="AQ78" i="1"/>
  <c r="AQ70" i="1"/>
  <c r="AQ61" i="1"/>
  <c r="AP61" i="1"/>
  <c r="AP70" i="1"/>
  <c r="AP78" i="1"/>
  <c r="AP87" i="1"/>
  <c r="AP86" i="1"/>
  <c r="AP77" i="1"/>
  <c r="AP69" i="1"/>
  <c r="AP60" i="1"/>
  <c r="AK60" i="1"/>
  <c r="AQ69" i="1"/>
  <c r="AQ60" i="1"/>
  <c r="AI61" i="1"/>
  <c r="AN61" i="1" s="1"/>
  <c r="AO87" i="1"/>
  <c r="AO86" i="1"/>
  <c r="AO85" i="1"/>
  <c r="AO78" i="1"/>
  <c r="AQ77" i="1"/>
  <c r="AO77" i="1"/>
  <c r="AO76" i="1"/>
  <c r="AO70" i="1"/>
  <c r="AO69" i="1"/>
  <c r="AO68" i="1"/>
  <c r="AO61" i="1"/>
  <c r="AO60" i="1"/>
  <c r="AO59" i="1"/>
  <c r="AI81" i="1"/>
  <c r="AK81" i="1"/>
  <c r="AK77" i="1"/>
  <c r="AK90" i="1"/>
  <c r="AK86" i="1"/>
  <c r="AI91" i="1"/>
  <c r="AN91" i="1" s="1"/>
  <c r="AI90" i="1"/>
  <c r="AI87" i="1"/>
  <c r="AN87" i="1" s="1"/>
  <c r="AI86" i="1"/>
  <c r="AI82" i="1"/>
  <c r="AN82" i="1" s="1"/>
  <c r="AI78" i="1"/>
  <c r="AN78" i="1" s="1"/>
  <c r="AI77" i="1"/>
  <c r="AK69" i="1"/>
  <c r="AI60" i="1"/>
  <c r="AN60" i="1" s="1"/>
  <c r="AU105" i="1"/>
  <c r="AT105" i="1"/>
  <c r="AR105" i="1"/>
  <c r="AQ105" i="1"/>
  <c r="AP105" i="1"/>
  <c r="AO105" i="1"/>
  <c r="AN105" i="1"/>
  <c r="AU102" i="1"/>
  <c r="AR102" i="1"/>
  <c r="AQ102" i="1"/>
  <c r="AP102" i="1"/>
  <c r="AO102" i="1"/>
  <c r="AN102" i="1"/>
  <c r="AT99" i="1"/>
  <c r="AR99" i="1"/>
  <c r="AP99" i="1"/>
  <c r="AO99" i="1"/>
  <c r="AN99" i="1"/>
  <c r="AU96" i="1"/>
  <c r="AI74" i="1"/>
  <c r="AN74" i="1" s="1"/>
  <c r="AK73" i="1"/>
  <c r="AI65" i="1"/>
  <c r="AN65" i="1" s="1"/>
  <c r="E46" i="1"/>
  <c r="E42" i="1"/>
  <c r="Q37" i="1"/>
  <c r="Q35" i="1"/>
  <c r="Q33" i="1"/>
  <c r="Q31" i="1"/>
  <c r="Q26" i="1"/>
  <c r="Q24" i="1"/>
  <c r="Q22" i="1"/>
  <c r="Q20" i="1"/>
  <c r="P15" i="1"/>
  <c r="P11" i="1"/>
  <c r="P7" i="1"/>
  <c r="P3" i="1"/>
  <c r="N7" i="1"/>
  <c r="Q3" i="1"/>
  <c r="AJ12" i="1"/>
  <c r="AL12" i="1"/>
  <c r="AJ13" i="1"/>
  <c r="AQ3" i="1"/>
  <c r="AR29" i="1"/>
  <c r="AQ30" i="1"/>
  <c r="AQ29" i="1"/>
  <c r="AP30" i="1"/>
  <c r="AP29" i="1"/>
  <c r="AP28" i="1"/>
  <c r="AQ21" i="1"/>
  <c r="AP21" i="1"/>
  <c r="AR20" i="1"/>
  <c r="AQ20" i="1"/>
  <c r="AP20" i="1"/>
  <c r="AP19" i="1"/>
  <c r="AP13" i="1"/>
  <c r="AP12" i="1"/>
  <c r="AP11" i="1"/>
  <c r="AP4" i="1"/>
  <c r="AP3" i="1"/>
  <c r="AP2" i="1"/>
  <c r="AL33" i="1"/>
  <c r="AL29" i="1"/>
  <c r="AL20" i="1"/>
  <c r="AL16" i="1"/>
  <c r="AL7" i="1"/>
  <c r="AL3" i="1"/>
  <c r="AJ34" i="1"/>
  <c r="AJ33" i="1"/>
  <c r="AJ30" i="1"/>
  <c r="AJ29" i="1"/>
  <c r="AJ25" i="1"/>
  <c r="AJ24" i="1"/>
  <c r="AJ21" i="1"/>
  <c r="AJ20" i="1"/>
  <c r="AJ17" i="1"/>
  <c r="AJ16" i="1"/>
  <c r="AJ8" i="1"/>
  <c r="AJ4" i="1"/>
  <c r="AJ7" i="1"/>
  <c r="AJ3" i="1"/>
  <c r="R35" i="1"/>
  <c r="R22" i="1"/>
  <c r="R24" i="1"/>
  <c r="R26" i="1"/>
  <c r="R31" i="1"/>
  <c r="R33" i="1"/>
  <c r="R37" i="1"/>
  <c r="R20" i="1"/>
  <c r="Q7" i="1"/>
  <c r="Q11" i="1"/>
  <c r="Q15" i="1"/>
  <c r="O3" i="1"/>
  <c r="P31" i="1"/>
  <c r="P33" i="1"/>
  <c r="P35" i="1"/>
  <c r="P37" i="1"/>
  <c r="P22" i="1"/>
  <c r="P24" i="1"/>
  <c r="P26" i="1"/>
  <c r="P20" i="1"/>
  <c r="O7" i="1"/>
  <c r="O11" i="1"/>
  <c r="O15" i="1"/>
  <c r="H31" i="1"/>
  <c r="O31" i="1" s="1"/>
  <c r="H32" i="1"/>
  <c r="H33" i="1"/>
  <c r="O33" i="1" s="1"/>
  <c r="H34" i="1"/>
  <c r="H35" i="1"/>
  <c r="O35" i="1" s="1"/>
  <c r="H36" i="1"/>
  <c r="H37" i="1"/>
  <c r="O37" i="1" s="1"/>
  <c r="H38" i="1"/>
  <c r="K31" i="1"/>
  <c r="L31" i="1"/>
  <c r="M31" i="1"/>
  <c r="N31" i="1"/>
  <c r="K33" i="1"/>
  <c r="L33" i="1"/>
  <c r="M33" i="1"/>
  <c r="N33" i="1"/>
  <c r="K35" i="1"/>
  <c r="L35" i="1"/>
  <c r="M35" i="1"/>
  <c r="N35" i="1"/>
  <c r="K37" i="1"/>
  <c r="L37" i="1"/>
  <c r="M37" i="1"/>
  <c r="N37" i="1"/>
  <c r="K24" i="1"/>
  <c r="L24" i="1"/>
  <c r="M24" i="1"/>
  <c r="N24" i="1"/>
  <c r="K26" i="1"/>
  <c r="L26" i="1"/>
  <c r="M26" i="1"/>
  <c r="N26" i="1"/>
  <c r="K22" i="1"/>
  <c r="L22" i="1"/>
  <c r="M22" i="1"/>
  <c r="N22" i="1"/>
  <c r="N20" i="1"/>
  <c r="M20" i="1"/>
  <c r="L20" i="1"/>
  <c r="K20" i="1"/>
  <c r="H21" i="1"/>
  <c r="H22" i="1"/>
  <c r="O22" i="1" s="1"/>
  <c r="H23" i="1"/>
  <c r="H24" i="1"/>
  <c r="O24" i="1" s="1"/>
  <c r="H25" i="1"/>
  <c r="H26" i="1"/>
  <c r="O26" i="1" s="1"/>
  <c r="H27" i="1"/>
  <c r="N11" i="1"/>
  <c r="N15" i="1"/>
  <c r="N3" i="1"/>
  <c r="J7" i="1"/>
  <c r="K7" i="1"/>
  <c r="L7" i="1"/>
  <c r="M7" i="1"/>
  <c r="J11" i="1"/>
  <c r="K11" i="1"/>
  <c r="L11" i="1"/>
  <c r="M11" i="1"/>
  <c r="J15" i="1"/>
  <c r="K15" i="1"/>
  <c r="L15" i="1"/>
  <c r="M15" i="1"/>
  <c r="M3" i="1"/>
  <c r="K3" i="1"/>
  <c r="L3" i="1"/>
  <c r="J3" i="1"/>
  <c r="H20" i="1"/>
  <c r="O20" i="1" s="1"/>
  <c r="G16" i="1"/>
  <c r="G15" i="1"/>
  <c r="G7" i="1"/>
  <c r="G8" i="1"/>
  <c r="G11" i="1"/>
  <c r="G12" i="1"/>
  <c r="G4" i="1"/>
  <c r="G3" i="1"/>
  <c r="F89" i="1" l="1"/>
  <c r="G89" i="1"/>
  <c r="AT60" i="1"/>
  <c r="AJ77" i="1"/>
  <c r="AR77" i="1"/>
  <c r="AR61" i="1"/>
  <c r="AJ64" i="1"/>
  <c r="AL64" i="1" s="1"/>
  <c r="AS3" i="1"/>
  <c r="AR60" i="1"/>
  <c r="AR70" i="1"/>
  <c r="AR78" i="1"/>
  <c r="AQ99" i="1"/>
  <c r="AJ73" i="1"/>
  <c r="AM73" i="1" s="1"/>
  <c r="AJ60" i="1"/>
  <c r="BE74" i="1" s="1"/>
  <c r="AM60" i="1"/>
  <c r="AJ69" i="1"/>
  <c r="AL69" i="1" s="1"/>
  <c r="AT69" i="1"/>
  <c r="AR86" i="1"/>
  <c r="AR87" i="1"/>
  <c r="AT86" i="1"/>
  <c r="AT77" i="1"/>
  <c r="AR69" i="1"/>
  <c r="AS20" i="1"/>
  <c r="AS21" i="1"/>
  <c r="AS29" i="1"/>
  <c r="AJ86" i="1"/>
  <c r="AM86" i="1" s="1"/>
  <c r="AS4" i="1"/>
  <c r="AJ90" i="1"/>
  <c r="AL90" i="1" s="1"/>
  <c r="AS30" i="1"/>
  <c r="AU3" i="1"/>
  <c r="AN86" i="1"/>
  <c r="AN90" i="1"/>
  <c r="AN73" i="1"/>
  <c r="AN64" i="1"/>
  <c r="AJ81" i="1"/>
  <c r="AM81" i="1" s="1"/>
  <c r="AN81" i="1"/>
  <c r="AL77" i="1"/>
  <c r="AN77" i="1"/>
  <c r="AU20" i="1"/>
  <c r="AS13" i="1"/>
  <c r="AK12" i="1"/>
  <c r="AU12" i="1"/>
  <c r="AS12" i="1"/>
  <c r="AU29" i="1"/>
  <c r="AK16" i="1"/>
  <c r="AK20" i="1"/>
  <c r="AK33" i="1"/>
  <c r="AK3" i="1"/>
  <c r="AM3" i="1" s="1"/>
  <c r="AK24" i="1"/>
  <c r="AK29" i="1"/>
  <c r="AK7" i="1"/>
  <c r="AS60" i="1" l="1"/>
  <c r="AS77" i="1"/>
  <c r="AV77" i="1" s="1"/>
  <c r="AT3" i="1"/>
  <c r="AW3" i="1" s="1"/>
  <c r="AS69" i="1"/>
  <c r="AV69" i="1" s="1"/>
  <c r="AL73" i="1"/>
  <c r="AS86" i="1"/>
  <c r="AV86" i="1" s="1"/>
  <c r="AT20" i="1"/>
  <c r="AV20" i="1" s="1"/>
  <c r="AU60" i="1"/>
  <c r="AV60" i="1"/>
  <c r="AL86" i="1"/>
  <c r="AL60" i="1"/>
  <c r="AM64" i="1"/>
  <c r="AM90" i="1"/>
  <c r="AT29" i="1"/>
  <c r="AW29" i="1" s="1"/>
  <c r="AM77" i="1"/>
  <c r="AM69" i="1"/>
  <c r="AL81" i="1"/>
  <c r="AT12" i="1"/>
  <c r="AV12" i="1" s="1"/>
  <c r="AN29" i="1"/>
  <c r="AM29" i="1"/>
  <c r="AM24" i="1"/>
  <c r="AN24" i="1"/>
  <c r="AN3" i="1"/>
  <c r="AM12" i="1"/>
  <c r="AN12" i="1"/>
  <c r="AM33" i="1"/>
  <c r="AN33" i="1"/>
  <c r="AM20" i="1"/>
  <c r="AN20" i="1"/>
  <c r="AN16" i="1"/>
  <c r="AM16" i="1"/>
  <c r="AM7" i="1"/>
  <c r="AN7" i="1"/>
  <c r="AU69" i="1" l="1"/>
  <c r="AU77" i="1"/>
  <c r="AW20" i="1"/>
  <c r="AU86" i="1"/>
  <c r="AV3" i="1"/>
  <c r="AV29" i="1"/>
  <c r="AW12" i="1"/>
  <c r="G111" i="1"/>
  <c r="G113" i="1"/>
</calcChain>
</file>

<file path=xl/sharedStrings.xml><?xml version="1.0" encoding="utf-8"?>
<sst xmlns="http://schemas.openxmlformats.org/spreadsheetml/2006/main" count="1283" uniqueCount="103">
  <si>
    <t>TMR</t>
  </si>
  <si>
    <t>TNMR</t>
  </si>
  <si>
    <t>FMR</t>
  </si>
  <si>
    <t>FNMR</t>
  </si>
  <si>
    <t>African</t>
  </si>
  <si>
    <t>Caucasian</t>
  </si>
  <si>
    <t>Female</t>
  </si>
  <si>
    <t>Male</t>
  </si>
  <si>
    <t>Balanced Accuracy</t>
  </si>
  <si>
    <t>Overall Accuracy</t>
  </si>
  <si>
    <t>Gender</t>
  </si>
  <si>
    <t>Race</t>
  </si>
  <si>
    <t>Asian</t>
  </si>
  <si>
    <t>Black</t>
  </si>
  <si>
    <t>Indian</t>
  </si>
  <si>
    <t>White</t>
  </si>
  <si>
    <t>senet bfw</t>
  </si>
  <si>
    <t>resnet bfw</t>
  </si>
  <si>
    <t>senet</t>
  </si>
  <si>
    <t>resnet</t>
  </si>
  <si>
    <t>TMR Ratio</t>
  </si>
  <si>
    <t>TNMR Ratio</t>
  </si>
  <si>
    <t>FMR Ratio</t>
  </si>
  <si>
    <t>FNMR Ratio</t>
  </si>
  <si>
    <t>OMR Ratio</t>
  </si>
  <si>
    <t>Model</t>
  </si>
  <si>
    <t>Data Set</t>
  </si>
  <si>
    <t>ResNet-50</t>
  </si>
  <si>
    <t>RFW</t>
  </si>
  <si>
    <t>SENet</t>
  </si>
  <si>
    <t>BFW</t>
  </si>
  <si>
    <t>AOD</t>
  </si>
  <si>
    <t>FOD</t>
  </si>
  <si>
    <t>AFOD</t>
  </si>
  <si>
    <t>FNMR Odds Ratio</t>
  </si>
  <si>
    <t>FMR Odds Ratio</t>
  </si>
  <si>
    <t>SE</t>
  </si>
  <si>
    <t>Lower Bound</t>
  </si>
  <si>
    <t>Upper Bound</t>
  </si>
  <si>
    <t>Misses</t>
  </si>
  <si>
    <t>Hits</t>
  </si>
  <si>
    <t>Miss Rate</t>
  </si>
  <si>
    <t xml:space="preserve"> Miss Odds Ratio</t>
  </si>
  <si>
    <t>False Matches</t>
  </si>
  <si>
    <t>False Non-Matches</t>
  </si>
  <si>
    <t>True Non-Matches</t>
  </si>
  <si>
    <t>True Matches</t>
  </si>
  <si>
    <t>AAOD</t>
  </si>
  <si>
    <t>Metric</t>
  </si>
  <si>
    <t>UpperBound</t>
  </si>
  <si>
    <t>LowerBound</t>
  </si>
  <si>
    <t>Odds RatioValue</t>
  </si>
  <si>
    <t>Split</t>
  </si>
  <si>
    <t>Loss</t>
  </si>
  <si>
    <t>Accuracy</t>
  </si>
  <si>
    <t>Training</t>
  </si>
  <si>
    <t>Validation</t>
  </si>
  <si>
    <t xml:space="preserve"> </t>
  </si>
  <si>
    <t>NN results</t>
  </si>
  <si>
    <t>MitigationTechnique</t>
  </si>
  <si>
    <t>ProtectedAtribute</t>
  </si>
  <si>
    <t>FMRRatio</t>
  </si>
  <si>
    <t>FNMRRatio</t>
  </si>
  <si>
    <t>OMRRatio</t>
  </si>
  <si>
    <t>EqualizedOdds</t>
  </si>
  <si>
    <t>CalibratedEqualizedOdds</t>
  </si>
  <si>
    <t>RejectOptionClassification</t>
  </si>
  <si>
    <t>RandomPerturbation</t>
  </si>
  <si>
    <t>Layer-WiseOptimizaton</t>
  </si>
  <si>
    <t>AdversarialFine-Tuning</t>
  </si>
  <si>
    <t>-</t>
  </si>
  <si>
    <t>OverallAccuracy</t>
  </si>
  <si>
    <t>ClassificationThreshold</t>
  </si>
  <si>
    <t>NN Test Accuracy Before Mitigation</t>
  </si>
  <si>
    <t>Cos Test Accuracy Before Mitigation</t>
  </si>
  <si>
    <t>Benchmarking</t>
  </si>
  <si>
    <t>Layer-WiseOptimization</t>
  </si>
  <si>
    <t>AdversarianFine-Tuning</t>
  </si>
  <si>
    <t>NN Intra Classification</t>
  </si>
  <si>
    <t>Cos Post Classification</t>
  </si>
  <si>
    <t>NN Post Classification</t>
  </si>
  <si>
    <t>NN bias</t>
  </si>
  <si>
    <t>cos bias</t>
  </si>
  <si>
    <t>NN Intra Bias</t>
  </si>
  <si>
    <t>NN Post Bias</t>
  </si>
  <si>
    <t>Cos Post Bias</t>
  </si>
  <si>
    <t>ProtectedAttribute</t>
  </si>
  <si>
    <t>Threshold</t>
  </si>
  <si>
    <t>EER</t>
  </si>
  <si>
    <t>EO</t>
  </si>
  <si>
    <t>CEO</t>
  </si>
  <si>
    <t>ROC</t>
  </si>
  <si>
    <t>Yes</t>
  </si>
  <si>
    <t>No</t>
  </si>
  <si>
    <t>SENet RFW NN</t>
  </si>
  <si>
    <t>RP</t>
  </si>
  <si>
    <t>LWO</t>
  </si>
  <si>
    <t>AFT</t>
  </si>
  <si>
    <t>Improved FMRRatio</t>
  </si>
  <si>
    <t>Improved FNMRRatio</t>
  </si>
  <si>
    <t>Improved OMRRatio</t>
  </si>
  <si>
    <t>Improved AOD</t>
  </si>
  <si>
    <t>DecreasedOverallAccuracy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</si>
</sst>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"/>
    <numFmt numFmtId="166" formatCode="0.000"/>
    <numFmt numFmtId="167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66" fontId="0" fillId="0" borderId="0" xfId="1" applyNumberFormat="1" applyFon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165" fontId="0" fillId="0" borderId="0" xfId="1" applyNumberFormat="1" applyFont="1"/>
    <xf numFmtId="0" fontId="0" fillId="2" borderId="0" xfId="0" applyFill="1"/>
    <xf numFmtId="166" fontId="3" fillId="0" borderId="0" xfId="0" applyNumberFormat="1" applyFont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3357-A123-8049-92CE-D9B0D5EF0B7D}">
  <dimension ref="A1:BT213"/>
  <sheetViews>
    <sheetView tabSelected="1" topLeftCell="A73" zoomScale="86" zoomScaleNormal="86" workbookViewId="0">
      <selection activeCell="L92" sqref="L92"/>
    </sheetView>
  </sheetViews>
  <sheetFormatPr baseColWidth="10" defaultRowHeight="16" x14ac:dyDescent="0.2"/>
  <cols>
    <col min="1" max="1" width="23" bestFit="1" customWidth="1"/>
    <col min="2" max="2" width="9.83203125" bestFit="1" customWidth="1"/>
    <col min="3" max="3" width="9.5" bestFit="1" customWidth="1"/>
    <col min="4" max="4" width="15.6640625" bestFit="1" customWidth="1"/>
    <col min="5" max="5" width="20.1640625" bestFit="1" customWidth="1"/>
    <col min="6" max="6" width="14.6640625" bestFit="1" customWidth="1"/>
    <col min="7" max="7" width="16.6640625" bestFit="1" customWidth="1"/>
    <col min="8" max="8" width="16.5" bestFit="1" customWidth="1"/>
    <col min="9" max="9" width="14.6640625" bestFit="1" customWidth="1"/>
    <col min="10" max="11" width="14.1640625" bestFit="1" customWidth="1"/>
    <col min="12" max="12" width="23" bestFit="1" customWidth="1"/>
    <col min="13" max="14" width="11.1640625" bestFit="1" customWidth="1"/>
    <col min="15" max="15" width="16.5" bestFit="1" customWidth="1"/>
    <col min="16" max="16" width="8.5" bestFit="1" customWidth="1"/>
    <col min="17" max="17" width="13.1640625" bestFit="1" customWidth="1"/>
    <col min="18" max="18" width="8.5" bestFit="1" customWidth="1"/>
    <col min="19" max="19" width="10" bestFit="1" customWidth="1"/>
    <col min="20" max="20" width="14.33203125" bestFit="1" customWidth="1"/>
    <col min="21" max="21" width="9.83203125" bestFit="1" customWidth="1"/>
    <col min="22" max="22" width="11.33203125" bestFit="1" customWidth="1"/>
    <col min="23" max="23" width="10" bestFit="1" customWidth="1"/>
    <col min="24" max="24" width="11.33203125" bestFit="1" customWidth="1"/>
    <col min="25" max="25" width="10.33203125" bestFit="1" customWidth="1"/>
    <col min="26" max="26" width="7" bestFit="1" customWidth="1"/>
    <col min="27" max="27" width="24" customWidth="1"/>
    <col min="28" max="28" width="14.33203125" bestFit="1" customWidth="1"/>
    <col min="33" max="33" width="17.1640625" bestFit="1" customWidth="1"/>
    <col min="34" max="34" width="17.33203125" bestFit="1" customWidth="1"/>
    <col min="35" max="35" width="16.83203125" bestFit="1" customWidth="1"/>
    <col min="36" max="36" width="14.83203125" bestFit="1" customWidth="1"/>
    <col min="37" max="37" width="16.33203125" bestFit="1" customWidth="1"/>
    <col min="38" max="38" width="15" bestFit="1" customWidth="1"/>
    <col min="39" max="39" width="31" bestFit="1" customWidth="1"/>
    <col min="40" max="40" width="31.1640625" bestFit="1" customWidth="1"/>
    <col min="41" max="41" width="11.1640625" bestFit="1" customWidth="1"/>
    <col min="42" max="42" width="9.83203125" bestFit="1" customWidth="1"/>
    <col min="43" max="43" width="11.1640625" bestFit="1" customWidth="1"/>
    <col min="44" max="44" width="10.1640625" bestFit="1" customWidth="1"/>
    <col min="45" max="45" width="9.33203125" bestFit="1" customWidth="1"/>
    <col min="46" max="46" width="15" bestFit="1" customWidth="1"/>
    <col min="47" max="47" width="11.83203125" bestFit="1" customWidth="1"/>
    <col min="48" max="48" width="12.33203125" bestFit="1" customWidth="1"/>
    <col min="49" max="49" width="12.6640625" bestFit="1" customWidth="1"/>
    <col min="57" max="57" width="14.83203125" bestFit="1" customWidth="1"/>
    <col min="66" max="66" width="22.83203125" bestFit="1" customWidth="1"/>
  </cols>
  <sheetData>
    <row r="1" spans="1:49" x14ac:dyDescent="0.2">
      <c r="S1" s="12" t="s">
        <v>82</v>
      </c>
    </row>
    <row r="2" spans="1:49" x14ac:dyDescent="0.2">
      <c r="B2" t="s">
        <v>0</v>
      </c>
      <c r="C2" t="s">
        <v>1</v>
      </c>
      <c r="D2" t="s">
        <v>2</v>
      </c>
      <c r="E2" t="s">
        <v>3</v>
      </c>
      <c r="F2" t="s">
        <v>9</v>
      </c>
      <c r="G2" t="s">
        <v>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31</v>
      </c>
      <c r="P2" t="s">
        <v>33</v>
      </c>
      <c r="Q2" t="s">
        <v>32</v>
      </c>
      <c r="AF2" t="s">
        <v>19</v>
      </c>
      <c r="AG2" t="s">
        <v>11</v>
      </c>
      <c r="AH2" t="s">
        <v>43</v>
      </c>
      <c r="AI2" t="s">
        <v>45</v>
      </c>
      <c r="AJ2" t="s">
        <v>2</v>
      </c>
      <c r="AK2" t="s">
        <v>35</v>
      </c>
      <c r="AL2" t="s">
        <v>36</v>
      </c>
      <c r="AM2" t="s">
        <v>37</v>
      </c>
      <c r="AN2" t="s">
        <v>38</v>
      </c>
      <c r="AP2" t="str">
        <f>AG2</f>
        <v>Race</v>
      </c>
      <c r="AQ2" t="s">
        <v>39</v>
      </c>
      <c r="AR2" t="s">
        <v>40</v>
      </c>
      <c r="AS2" t="s">
        <v>41</v>
      </c>
      <c r="AT2" t="s">
        <v>42</v>
      </c>
      <c r="AU2" t="s">
        <v>36</v>
      </c>
      <c r="AV2" t="s">
        <v>37</v>
      </c>
      <c r="AW2" t="s">
        <v>38</v>
      </c>
    </row>
    <row r="3" spans="1:49" x14ac:dyDescent="0.2">
      <c r="A3" t="s">
        <v>4</v>
      </c>
      <c r="B3" s="1">
        <v>0.97004765146357996</v>
      </c>
      <c r="C3" s="1">
        <v>0.90784044016506105</v>
      </c>
      <c r="D3" s="1">
        <v>9.2159559834938107E-2</v>
      </c>
      <c r="E3" s="1">
        <v>2.9952348536419302E-2</v>
      </c>
      <c r="F3" s="1">
        <v>0.93910366062264705</v>
      </c>
      <c r="G3" s="1">
        <f>AVERAGE(B3:C3)</f>
        <v>0.93894404581432056</v>
      </c>
      <c r="J3" s="3">
        <f>B3/B4</f>
        <v>1.0471703312663012</v>
      </c>
      <c r="K3" s="3">
        <f t="shared" ref="K3:L3" si="0">C3/C4</f>
        <v>0.91347142842245987</v>
      </c>
      <c r="L3" s="3">
        <f t="shared" si="0"/>
        <v>14.950328595445528</v>
      </c>
      <c r="M3" s="3">
        <f>E3/E4</f>
        <v>0.40669243884312473</v>
      </c>
      <c r="N3" s="6">
        <f>(1-F3)/(1-F4)</f>
        <v>1.5172477777069169</v>
      </c>
      <c r="O3" s="6">
        <f>((D3-D4)+(B3-B4))/2</f>
        <v>6.4845738192761598E-2</v>
      </c>
      <c r="P3" s="6">
        <f>(ABS(D3-D4)+ABS(E3-E4))/2</f>
        <v>6.4845738192761793E-2</v>
      </c>
      <c r="Q3" s="5">
        <f>((D3-D4)+(E3-E4))</f>
        <v>4.229887616106498E-2</v>
      </c>
      <c r="AD3" s="4"/>
      <c r="AG3" t="s">
        <v>4</v>
      </c>
      <c r="AH3">
        <v>134</v>
      </c>
      <c r="AI3">
        <v>1320</v>
      </c>
      <c r="AJ3" s="5">
        <f>AH3/(AI3+AH3)</f>
        <v>9.2159559834938107E-2</v>
      </c>
      <c r="AK3" s="6">
        <f>AJ3/AJ4</f>
        <v>14.950328595445516</v>
      </c>
      <c r="AL3">
        <f>SQRT((1/AH3)+(1/AI3)+(1/AH4)+(1/AI4))</f>
        <v>0.34643982639384674</v>
      </c>
      <c r="AM3">
        <f>EXP(LN(AK3)-1.96*AL3)</f>
        <v>7.5815011389901583</v>
      </c>
      <c r="AN3">
        <f>EXP(LN(AK3)+1.96*AL3)</f>
        <v>29.481275675382587</v>
      </c>
      <c r="AP3" t="str">
        <f>AG3</f>
        <v>African</v>
      </c>
      <c r="AQ3">
        <f>AH3+AH7</f>
        <v>178</v>
      </c>
      <c r="AR3">
        <f>AI3+AI7</f>
        <v>2745</v>
      </c>
      <c r="AS3" s="6">
        <f>AQ3/(AR3+AQ3)</f>
        <v>6.0896339377352032E-2</v>
      </c>
      <c r="AT3" s="6">
        <f>AS3/AS4</f>
        <v>1.5172477777069067</v>
      </c>
      <c r="AU3" s="6">
        <f>SQRT((1/AQ3)+(1/AR3)+(1/AQ4)+(1/AR4))</f>
        <v>0.12170131936484926</v>
      </c>
      <c r="AV3" s="6">
        <f>EXP(LN(AT3)-1.96*AU3)</f>
        <v>1.1952596416051517</v>
      </c>
      <c r="AW3" s="6">
        <f>EXP(LN(AT3)+1.96*AU3)</f>
        <v>1.9259755276812192</v>
      </c>
    </row>
    <row r="4" spans="1:49" ht="34" customHeight="1" x14ac:dyDescent="0.2">
      <c r="A4" t="s">
        <v>5</v>
      </c>
      <c r="B4" s="1">
        <v>0.92635135135135105</v>
      </c>
      <c r="C4" s="1">
        <v>0.99383561643835605</v>
      </c>
      <c r="D4" s="1">
        <v>6.1643835616438302E-3</v>
      </c>
      <c r="E4" s="1">
        <v>7.3648648648648604E-2</v>
      </c>
      <c r="F4" s="1">
        <v>0.95986394557823096</v>
      </c>
      <c r="G4" s="1">
        <f>AVERAGE(B4:C4)</f>
        <v>0.96009348389485361</v>
      </c>
      <c r="J4" s="2"/>
      <c r="K4" s="2"/>
      <c r="S4" t="s">
        <v>25</v>
      </c>
      <c r="T4" t="s">
        <v>26</v>
      </c>
      <c r="U4" s="9" t="s">
        <v>20</v>
      </c>
      <c r="V4" s="9" t="s">
        <v>21</v>
      </c>
      <c r="W4" s="9" t="s">
        <v>22</v>
      </c>
      <c r="X4" s="9" t="s">
        <v>23</v>
      </c>
      <c r="Y4" s="9" t="s">
        <v>24</v>
      </c>
      <c r="Z4" t="s">
        <v>31</v>
      </c>
      <c r="AA4" s="9" t="s">
        <v>71</v>
      </c>
      <c r="AB4" s="9"/>
      <c r="AD4" s="4"/>
      <c r="AG4" t="s">
        <v>5</v>
      </c>
      <c r="AH4">
        <v>9</v>
      </c>
      <c r="AI4">
        <v>1451</v>
      </c>
      <c r="AJ4" s="5">
        <f>AH4/(AI4+AH4)</f>
        <v>6.1643835616438354E-3</v>
      </c>
      <c r="AP4" t="str">
        <f>AG4</f>
        <v>Caucasian</v>
      </c>
      <c r="AQ4">
        <f>AH4+AH8</f>
        <v>118</v>
      </c>
      <c r="AR4">
        <f>AI4+AI8</f>
        <v>2822</v>
      </c>
      <c r="AS4" s="6">
        <f>AQ4/(AR4+AQ4)</f>
        <v>4.0136054421768708E-2</v>
      </c>
      <c r="AT4" s="6"/>
      <c r="AU4" s="6"/>
      <c r="AV4" s="6"/>
      <c r="AW4" s="6"/>
    </row>
    <row r="5" spans="1:49" x14ac:dyDescent="0.2">
      <c r="G5" s="1"/>
      <c r="J5" s="2"/>
      <c r="K5" s="2"/>
      <c r="S5" t="s">
        <v>27</v>
      </c>
      <c r="T5" s="16" t="s">
        <v>30</v>
      </c>
      <c r="U5" s="6">
        <v>0.99835643212508851</v>
      </c>
      <c r="V5" s="6">
        <v>0.99506475219864043</v>
      </c>
      <c r="W5" s="6">
        <v>1.0939272161343969</v>
      </c>
      <c r="X5" s="6">
        <v>1.0394456289978675</v>
      </c>
      <c r="Y5" s="6">
        <v>1.0754917597022953</v>
      </c>
      <c r="Z5" s="6">
        <v>1.5555266968967987E-3</v>
      </c>
      <c r="AA5" s="1">
        <v>0.95338541666666599</v>
      </c>
      <c r="AB5" s="1"/>
      <c r="AD5" s="4"/>
    </row>
    <row r="6" spans="1:49" x14ac:dyDescent="0.2">
      <c r="B6" t="s">
        <v>0</v>
      </c>
      <c r="C6" t="s">
        <v>1</v>
      </c>
      <c r="D6" t="s">
        <v>2</v>
      </c>
      <c r="E6" t="s">
        <v>3</v>
      </c>
      <c r="F6" t="s">
        <v>9</v>
      </c>
      <c r="G6" s="7" t="s">
        <v>8</v>
      </c>
      <c r="I6" t="s">
        <v>18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31</v>
      </c>
      <c r="P6" t="s">
        <v>33</v>
      </c>
      <c r="Q6" t="s">
        <v>32</v>
      </c>
      <c r="S6" t="s">
        <v>29</v>
      </c>
      <c r="T6" s="16"/>
      <c r="U6" s="6">
        <v>0.99062121823315796</v>
      </c>
      <c r="V6" s="6">
        <v>0.99977916727309368</v>
      </c>
      <c r="W6" s="6">
        <v>1.0042504363565838</v>
      </c>
      <c r="X6" s="6">
        <v>1.2313432835820906</v>
      </c>
      <c r="Y6" s="6">
        <v>1.1064049586776863</v>
      </c>
      <c r="Z6" s="6">
        <v>-4.4017243629115334E-3</v>
      </c>
      <c r="AA6" s="1">
        <v>0.95351562499999998</v>
      </c>
      <c r="AB6" s="1"/>
      <c r="AD6" s="4"/>
      <c r="AG6" t="s">
        <v>11</v>
      </c>
      <c r="AH6" t="s">
        <v>44</v>
      </c>
      <c r="AI6" t="s">
        <v>46</v>
      </c>
      <c r="AJ6" t="s">
        <v>3</v>
      </c>
      <c r="AK6" t="s">
        <v>34</v>
      </c>
      <c r="AL6" t="s">
        <v>36</v>
      </c>
      <c r="AM6" t="s">
        <v>37</v>
      </c>
      <c r="AN6" t="s">
        <v>38</v>
      </c>
    </row>
    <row r="7" spans="1:49" x14ac:dyDescent="0.2">
      <c r="A7" t="s">
        <v>4</v>
      </c>
      <c r="B7" s="1">
        <v>0.98025867937372302</v>
      </c>
      <c r="C7" s="1">
        <v>0.91953232462173295</v>
      </c>
      <c r="D7" s="1">
        <v>8.0467675378266795E-2</v>
      </c>
      <c r="E7" s="1">
        <v>1.9741320626276301E-2</v>
      </c>
      <c r="F7" s="1">
        <v>0.95005131713992397</v>
      </c>
      <c r="G7" s="1">
        <f t="shared" ref="G7:G8" si="1">AVERAGE(B7:C7)</f>
        <v>0.94989550199772799</v>
      </c>
      <c r="J7" s="3">
        <f t="shared" ref="J7" si="2">B7/B8</f>
        <v>1.0597391128364573</v>
      </c>
      <c r="K7" s="3">
        <f t="shared" ref="K7" si="3">C7/C8</f>
        <v>0.92843512721143218</v>
      </c>
      <c r="L7" s="3">
        <f t="shared" ref="L7" si="4">D7/D8</f>
        <v>8.3916290037335379</v>
      </c>
      <c r="M7" s="3">
        <f t="shared" ref="M7" si="5">E7/E8</f>
        <v>0.26321760835035068</v>
      </c>
      <c r="N7" s="6">
        <f>(1-F7)/(1-F8)</f>
        <v>1.1747930208689639</v>
      </c>
      <c r="O7" s="6">
        <f t="shared" ref="O7" si="6">((D7-D8)+(B7-B8))/2</f>
        <v>6.3068656828049685E-2</v>
      </c>
      <c r="P7" s="6">
        <f>(ABS(D7-D8)+ABS(E7-E8))/2</f>
        <v>6.3068656828050046E-2</v>
      </c>
      <c r="Q7" s="5">
        <f>((D7-D8)+(E7-E8))</f>
        <v>1.5619954908652686E-2</v>
      </c>
      <c r="S7" t="s">
        <v>27</v>
      </c>
      <c r="T7" s="16" t="s">
        <v>28</v>
      </c>
      <c r="U7" s="6">
        <v>1.0471703312663012</v>
      </c>
      <c r="V7" s="6">
        <v>0.91347142842245987</v>
      </c>
      <c r="W7" s="6">
        <v>14.950328595445528</v>
      </c>
      <c r="X7" s="6">
        <v>0.40669243884312473</v>
      </c>
      <c r="Y7" s="6">
        <v>1.5172477777069169</v>
      </c>
      <c r="Z7" s="6">
        <v>6.4845738192761598E-2</v>
      </c>
      <c r="AA7" s="1">
        <v>0.94951390073341202</v>
      </c>
      <c r="AB7" s="1"/>
      <c r="AG7" t="s">
        <v>4</v>
      </c>
      <c r="AH7">
        <v>44</v>
      </c>
      <c r="AI7">
        <v>1425</v>
      </c>
      <c r="AJ7" s="5">
        <f>AH7/(AI7+AH7)</f>
        <v>2.9952348536419333E-2</v>
      </c>
      <c r="AK7" s="6">
        <f t="shared" ref="AK7" si="7">AJ7/AJ8</f>
        <v>0.40669243884312489</v>
      </c>
      <c r="AL7">
        <f t="shared" ref="AL7:AL33" si="8">SQRT((1/AH7)+(1/AI7)+(1/AH8)+(1/AI8))</f>
        <v>0.18257254350619945</v>
      </c>
      <c r="AM7">
        <f>EXP(LN(AK7)-1.96*AL7)</f>
        <v>0.28435260529220013</v>
      </c>
      <c r="AN7">
        <f>EXP(LN(AK7)+1.96*AL7)</f>
        <v>0.58166774889298278</v>
      </c>
      <c r="AS7" s="6"/>
      <c r="AT7" s="6"/>
      <c r="AU7" s="6"/>
      <c r="AV7" s="6"/>
      <c r="AW7" s="6"/>
    </row>
    <row r="8" spans="1:49" x14ac:dyDescent="0.2">
      <c r="A8" t="s">
        <v>5</v>
      </c>
      <c r="B8" s="1">
        <v>0.92500000000000004</v>
      </c>
      <c r="C8" s="1">
        <v>0.99041095890410902</v>
      </c>
      <c r="D8" s="1">
        <v>9.5890410958904097E-3</v>
      </c>
      <c r="E8" s="1">
        <v>7.4999999999999997E-2</v>
      </c>
      <c r="F8" s="1">
        <v>0.95748299319727803</v>
      </c>
      <c r="G8" s="1">
        <f t="shared" si="1"/>
        <v>0.95770547945205453</v>
      </c>
      <c r="J8" s="2"/>
      <c r="K8" s="2"/>
      <c r="S8" t="s">
        <v>29</v>
      </c>
      <c r="T8" s="16"/>
      <c r="U8" s="6">
        <v>1.0597391128364573</v>
      </c>
      <c r="V8" s="6">
        <v>0.92843512721143218</v>
      </c>
      <c r="W8" s="6">
        <v>8.3916290037335379</v>
      </c>
      <c r="X8" s="6">
        <v>0.26321760835035068</v>
      </c>
      <c r="Y8" s="6">
        <v>1.1747930208689639</v>
      </c>
      <c r="Z8" s="6">
        <v>6.3068656828049685E-2</v>
      </c>
      <c r="AA8" s="1">
        <v>0.95377792938768502</v>
      </c>
      <c r="AB8" s="1"/>
      <c r="AG8" t="s">
        <v>5</v>
      </c>
      <c r="AH8">
        <v>109</v>
      </c>
      <c r="AI8">
        <v>1371</v>
      </c>
      <c r="AJ8" s="5">
        <f>AH8/(AI8+AH8)</f>
        <v>7.3648648648648646E-2</v>
      </c>
      <c r="AS8" s="6"/>
      <c r="AT8" s="6"/>
      <c r="AU8" s="6"/>
      <c r="AV8" s="6"/>
      <c r="AW8" s="6"/>
    </row>
    <row r="9" spans="1:49" x14ac:dyDescent="0.2">
      <c r="G9" s="1"/>
      <c r="J9" s="2"/>
      <c r="K9" s="2"/>
    </row>
    <row r="10" spans="1:49" x14ac:dyDescent="0.2">
      <c r="B10" t="s">
        <v>0</v>
      </c>
      <c r="C10" t="s">
        <v>1</v>
      </c>
      <c r="D10" t="s">
        <v>2</v>
      </c>
      <c r="E10" t="s">
        <v>3</v>
      </c>
      <c r="F10" t="s">
        <v>9</v>
      </c>
      <c r="G10" s="7" t="s">
        <v>8</v>
      </c>
      <c r="I10" t="s">
        <v>19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 t="s">
        <v>31</v>
      </c>
      <c r="P10" t="s">
        <v>33</v>
      </c>
      <c r="Q10" t="s">
        <v>32</v>
      </c>
    </row>
    <row r="11" spans="1:49" x14ac:dyDescent="0.2">
      <c r="A11" t="s">
        <v>6</v>
      </c>
      <c r="B11" s="1">
        <v>0.95842217484008496</v>
      </c>
      <c r="C11" s="1">
        <v>0.94539078156312595</v>
      </c>
      <c r="D11" s="1">
        <v>5.4609218436873698E-2</v>
      </c>
      <c r="E11" s="1">
        <v>4.1577825159914698E-2</v>
      </c>
      <c r="F11" s="1">
        <v>0.95170454545454497</v>
      </c>
      <c r="G11" s="1">
        <f t="shared" ref="G11:G12" si="9">AVERAGE(B11:C11)</f>
        <v>0.95190647820160545</v>
      </c>
      <c r="J11" s="3">
        <f t="shared" ref="J11" si="10">B11/B12</f>
        <v>0.99835643212508851</v>
      </c>
      <c r="K11" s="3">
        <f t="shared" ref="K11" si="11">C11/C12</f>
        <v>0.99506475219864043</v>
      </c>
      <c r="L11" s="3">
        <f t="shared" ref="L11" si="12">D11/D12</f>
        <v>1.0939272161343969</v>
      </c>
      <c r="M11" s="3">
        <f t="shared" ref="M11" si="13">E11/E12</f>
        <v>1.0394456289978675</v>
      </c>
      <c r="N11" s="6">
        <f t="shared" ref="N11" si="14">(1-F11)/(1-F12)</f>
        <v>1.0754917597022953</v>
      </c>
      <c r="O11" s="6">
        <f t="shared" ref="O11" si="15">((D11-D12)+(B11-B12))/2</f>
        <v>1.5555266968967987E-3</v>
      </c>
      <c r="P11" s="6">
        <f>(ABS(D11-D12)+ABS(E11-E12))/2</f>
        <v>3.1333518568116489E-3</v>
      </c>
      <c r="Q11" s="5">
        <f t="shared" ref="Q11" si="16">((D11-D12)+(E11-E12))</f>
        <v>6.2667037136232978E-3</v>
      </c>
      <c r="AF11" t="s">
        <v>18</v>
      </c>
      <c r="AG11" t="s">
        <v>11</v>
      </c>
      <c r="AH11" t="s">
        <v>43</v>
      </c>
      <c r="AI11" t="s">
        <v>45</v>
      </c>
      <c r="AJ11" t="s">
        <v>2</v>
      </c>
      <c r="AK11" t="s">
        <v>35</v>
      </c>
      <c r="AL11" t="s">
        <v>36</v>
      </c>
      <c r="AM11" t="s">
        <v>37</v>
      </c>
      <c r="AN11" t="s">
        <v>38</v>
      </c>
      <c r="AP11" t="str">
        <f>AG11</f>
        <v>Race</v>
      </c>
      <c r="AQ11" t="s">
        <v>39</v>
      </c>
      <c r="AR11" t="s">
        <v>40</v>
      </c>
      <c r="AS11" t="s">
        <v>41</v>
      </c>
      <c r="AT11" t="s">
        <v>42</v>
      </c>
      <c r="AU11" t="s">
        <v>36</v>
      </c>
      <c r="AV11" t="s">
        <v>37</v>
      </c>
      <c r="AW11" t="s">
        <v>38</v>
      </c>
    </row>
    <row r="12" spans="1:49" x14ac:dyDescent="0.2">
      <c r="A12" t="s">
        <v>7</v>
      </c>
      <c r="B12" s="1">
        <v>0.96</v>
      </c>
      <c r="C12" s="1">
        <v>0.95007966011683398</v>
      </c>
      <c r="D12" s="1">
        <v>4.9920339883165098E-2</v>
      </c>
      <c r="E12" s="1">
        <v>0.04</v>
      </c>
      <c r="F12" s="1">
        <v>0.95509453781512599</v>
      </c>
      <c r="G12" s="1">
        <f t="shared" si="9"/>
        <v>0.95503983005841697</v>
      </c>
      <c r="J12" s="2"/>
      <c r="K12" s="2"/>
      <c r="AD12">
        <f>SUM(AI12,AI13,AI16,AI17)/SUM(AH12,AH13,AH16,AH17,AI12,AI13,AI16,AI17)</f>
        <v>0.95377792938768546</v>
      </c>
      <c r="AG12" t="s">
        <v>4</v>
      </c>
      <c r="AH12">
        <v>117</v>
      </c>
      <c r="AI12">
        <v>1337</v>
      </c>
      <c r="AJ12" s="5">
        <f>AH12/(AI12+AH12)</f>
        <v>8.0467675378266851E-2</v>
      </c>
      <c r="AK12" s="6">
        <f>AJ12/AJ13</f>
        <v>8.3916290037335433</v>
      </c>
      <c r="AL12">
        <f>SQRT((1/AH12)+(1/AI12)+(1/AH13)+(1/AI13))</f>
        <v>0.28533328944258662</v>
      </c>
      <c r="AM12">
        <f>EXP(LN(AK12)-1.96*AL12)</f>
        <v>4.7969553495592017</v>
      </c>
      <c r="AN12">
        <f>EXP(LN(AK12)+1.96*AL12)</f>
        <v>14.680027685221829</v>
      </c>
      <c r="AP12" t="str">
        <f>AG12</f>
        <v>African</v>
      </c>
      <c r="AQ12">
        <f>AH12+AH16</f>
        <v>146</v>
      </c>
      <c r="AR12">
        <f>AI12+AI16</f>
        <v>2777</v>
      </c>
      <c r="AS12" s="6">
        <f>AQ12/(AR12+AQ12)</f>
        <v>4.9948682860075262E-2</v>
      </c>
      <c r="AT12" s="6">
        <f>AS12/AS13</f>
        <v>1.1747930208689703</v>
      </c>
      <c r="AU12" s="6">
        <f>SQRT((1/AQ12)+(1/AR12)+(1/AQ13)+(1/AR13))</f>
        <v>0.12475838923127047</v>
      </c>
      <c r="AV12" s="6">
        <f>EXP(LN(AT12)-1.96*AU12)</f>
        <v>0.9199513753044396</v>
      </c>
      <c r="AW12" s="6">
        <f>EXP(LN(AT12)+1.96*AU12)</f>
        <v>1.5002299892488464</v>
      </c>
    </row>
    <row r="13" spans="1:49" x14ac:dyDescent="0.2">
      <c r="G13" s="1"/>
      <c r="J13" s="2"/>
      <c r="K13" s="2"/>
      <c r="AG13" t="s">
        <v>5</v>
      </c>
      <c r="AH13">
        <v>14</v>
      </c>
      <c r="AI13">
        <v>1446</v>
      </c>
      <c r="AJ13" s="5">
        <f>AH13/(AI13+AH13)</f>
        <v>9.5890410958904115E-3</v>
      </c>
      <c r="AP13" t="str">
        <f>AG13</f>
        <v>Caucasian</v>
      </c>
      <c r="AQ13">
        <f>AH13+AH17</f>
        <v>125</v>
      </c>
      <c r="AR13">
        <f>AI13+AI17</f>
        <v>2815</v>
      </c>
      <c r="AS13" s="6">
        <f>AQ13/(AR13+AQ13)</f>
        <v>4.2517006802721087E-2</v>
      </c>
      <c r="AT13" s="6"/>
      <c r="AU13" s="6"/>
      <c r="AV13" s="6"/>
      <c r="AW13" s="6"/>
    </row>
    <row r="14" spans="1:49" x14ac:dyDescent="0.2">
      <c r="B14" t="s">
        <v>0</v>
      </c>
      <c r="C14" t="s">
        <v>1</v>
      </c>
      <c r="D14" t="s">
        <v>2</v>
      </c>
      <c r="E14" t="s">
        <v>3</v>
      </c>
      <c r="F14" t="s">
        <v>9</v>
      </c>
      <c r="G14" s="7" t="s">
        <v>8</v>
      </c>
      <c r="I14" t="s">
        <v>18</v>
      </c>
      <c r="J14" t="s">
        <v>20</v>
      </c>
      <c r="K14" t="s">
        <v>21</v>
      </c>
      <c r="L14" t="s">
        <v>22</v>
      </c>
      <c r="M14" t="s">
        <v>23</v>
      </c>
      <c r="N14" t="s">
        <v>24</v>
      </c>
      <c r="O14" t="s">
        <v>31</v>
      </c>
      <c r="P14" t="s">
        <v>33</v>
      </c>
      <c r="Q14" t="s">
        <v>32</v>
      </c>
    </row>
    <row r="15" spans="1:49" x14ac:dyDescent="0.2">
      <c r="A15" t="s">
        <v>6</v>
      </c>
      <c r="B15" s="1">
        <v>0.95202558635394396</v>
      </c>
      <c r="C15" s="1">
        <v>0.95040080160320595</v>
      </c>
      <c r="D15" s="1">
        <v>4.9599198396793498E-2</v>
      </c>
      <c r="E15" s="1">
        <v>4.7974413646055397E-2</v>
      </c>
      <c r="F15" s="1">
        <v>0.95118801652892504</v>
      </c>
      <c r="G15" s="1">
        <f>AVERAGE(B15:C15)</f>
        <v>0.95121319397857496</v>
      </c>
      <c r="J15" s="3">
        <f t="shared" ref="J15" si="17">B15/B16</f>
        <v>0.99062121823315796</v>
      </c>
      <c r="K15" s="3">
        <f t="shared" ref="K15" si="18">C15/C16</f>
        <v>0.99977916727309368</v>
      </c>
      <c r="L15" s="3">
        <f t="shared" ref="L15" si="19">D15/D16</f>
        <v>1.0042504363565838</v>
      </c>
      <c r="M15" s="3">
        <f t="shared" ref="M15" si="20">E15/E16</f>
        <v>1.2313432835820906</v>
      </c>
      <c r="N15" s="6">
        <f t="shared" ref="N15" si="21">(1-F15)/(1-F16)</f>
        <v>1.1064049586776863</v>
      </c>
      <c r="O15" s="6">
        <f t="shared" ref="O15" si="22">((D15-D16)+(B15-B16))/2</f>
        <v>-4.4017243629115334E-3</v>
      </c>
      <c r="P15" s="6">
        <f>(ABS(D15-D16)+ABS(E15-E16))/2</f>
        <v>4.6116503221052471E-3</v>
      </c>
      <c r="Q15" s="5">
        <f t="shared" ref="Q15" si="23">((D15-D16)+(E15-E16))</f>
        <v>9.2233006442104942E-3</v>
      </c>
      <c r="AG15" t="s">
        <v>11</v>
      </c>
      <c r="AH15" t="s">
        <v>44</v>
      </c>
      <c r="AI15" t="s">
        <v>46</v>
      </c>
      <c r="AJ15" t="s">
        <v>3</v>
      </c>
      <c r="AK15" t="s">
        <v>34</v>
      </c>
      <c r="AL15" t="s">
        <v>36</v>
      </c>
      <c r="AM15" t="s">
        <v>37</v>
      </c>
      <c r="AN15" t="s">
        <v>38</v>
      </c>
    </row>
    <row r="16" spans="1:49" x14ac:dyDescent="0.2">
      <c r="A16" t="s">
        <v>7</v>
      </c>
      <c r="B16" s="1">
        <v>0.96103896103896103</v>
      </c>
      <c r="C16" s="1">
        <v>0.95061072756239995</v>
      </c>
      <c r="D16" s="1">
        <v>4.9389272437599503E-2</v>
      </c>
      <c r="E16" s="1">
        <v>3.8961038961038898E-2</v>
      </c>
      <c r="F16" s="1">
        <v>0.95588235294117596</v>
      </c>
      <c r="G16" s="1">
        <f>AVERAGE(B16:C16)</f>
        <v>0.95582484430068049</v>
      </c>
      <c r="J16" s="2"/>
      <c r="K16" s="2"/>
      <c r="AG16" t="s">
        <v>4</v>
      </c>
      <c r="AH16">
        <v>29</v>
      </c>
      <c r="AI16">
        <v>1440</v>
      </c>
      <c r="AJ16" s="5">
        <f>AH16/(AI16+AH16)</f>
        <v>1.9741320626276378E-2</v>
      </c>
      <c r="AK16" s="6">
        <f t="shared" ref="AK16" si="24">AJ16/AJ17</f>
        <v>0.26321760835035174</v>
      </c>
      <c r="AL16">
        <f t="shared" si="8"/>
        <v>0.21193553799224601</v>
      </c>
      <c r="AM16">
        <f>EXP(LN(AK16)-1.96*AL16)</f>
        <v>0.17374478051213521</v>
      </c>
      <c r="AN16">
        <f>EXP(LN(AK16)+1.96*AL16)</f>
        <v>0.3987659896398445</v>
      </c>
      <c r="AS16" s="6"/>
      <c r="AT16" s="6"/>
      <c r="AU16" s="6"/>
      <c r="AV16" s="6"/>
      <c r="AW16" s="6"/>
    </row>
    <row r="17" spans="1:49" x14ac:dyDescent="0.2">
      <c r="G17" s="2"/>
      <c r="AG17" t="s">
        <v>5</v>
      </c>
      <c r="AH17">
        <v>111</v>
      </c>
      <c r="AI17">
        <v>1369</v>
      </c>
      <c r="AJ17" s="5">
        <f>AH17/(AI17+AH17)</f>
        <v>7.4999999999999997E-2</v>
      </c>
      <c r="AS17" s="6"/>
      <c r="AT17" s="6"/>
      <c r="AU17" s="6"/>
      <c r="AV17" s="6"/>
      <c r="AW17" s="6"/>
    </row>
    <row r="18" spans="1:49" x14ac:dyDescent="0.2">
      <c r="A18" t="s">
        <v>17</v>
      </c>
      <c r="S18" t="s">
        <v>17</v>
      </c>
    </row>
    <row r="19" spans="1:49" x14ac:dyDescent="0.2">
      <c r="A19" t="s">
        <v>10</v>
      </c>
      <c r="B19" t="s">
        <v>11</v>
      </c>
      <c r="C19" t="s">
        <v>0</v>
      </c>
      <c r="D19" t="s">
        <v>1</v>
      </c>
      <c r="E19" t="s">
        <v>2</v>
      </c>
      <c r="F19" t="s">
        <v>3</v>
      </c>
      <c r="G19" t="s">
        <v>9</v>
      </c>
      <c r="H19" t="s">
        <v>8</v>
      </c>
      <c r="J19" t="s">
        <v>11</v>
      </c>
      <c r="K19" t="s">
        <v>20</v>
      </c>
      <c r="L19" t="s">
        <v>21</v>
      </c>
      <c r="M19" t="s">
        <v>22</v>
      </c>
      <c r="N19" t="s">
        <v>23</v>
      </c>
      <c r="O19" t="s">
        <v>24</v>
      </c>
      <c r="P19" t="s">
        <v>31</v>
      </c>
      <c r="Q19" t="s">
        <v>33</v>
      </c>
      <c r="R19" t="s">
        <v>32</v>
      </c>
      <c r="T19" t="s">
        <v>11</v>
      </c>
      <c r="U19" t="s">
        <v>20</v>
      </c>
      <c r="V19" t="s">
        <v>21</v>
      </c>
      <c r="W19" t="s">
        <v>22</v>
      </c>
      <c r="X19" t="s">
        <v>23</v>
      </c>
      <c r="Y19" t="s">
        <v>24</v>
      </c>
      <c r="Z19" t="s">
        <v>31</v>
      </c>
      <c r="AA19" t="s">
        <v>47</v>
      </c>
      <c r="AF19" t="s">
        <v>19</v>
      </c>
      <c r="AG19" t="s">
        <v>10</v>
      </c>
      <c r="AH19" t="s">
        <v>43</v>
      </c>
      <c r="AI19" t="s">
        <v>45</v>
      </c>
      <c r="AJ19" t="s">
        <v>2</v>
      </c>
      <c r="AK19" t="s">
        <v>35</v>
      </c>
      <c r="AL19" t="s">
        <v>36</v>
      </c>
      <c r="AM19" t="s">
        <v>37</v>
      </c>
      <c r="AN19" t="s">
        <v>38</v>
      </c>
      <c r="AP19" t="str">
        <f>AG19</f>
        <v>Gender</v>
      </c>
      <c r="AQ19" t="s">
        <v>39</v>
      </c>
      <c r="AR19" t="s">
        <v>40</v>
      </c>
      <c r="AS19" t="s">
        <v>41</v>
      </c>
      <c r="AT19" t="s">
        <v>42</v>
      </c>
      <c r="AU19" t="s">
        <v>36</v>
      </c>
      <c r="AV19" t="s">
        <v>37</v>
      </c>
      <c r="AW19" t="s">
        <v>38</v>
      </c>
    </row>
    <row r="20" spans="1:49" x14ac:dyDescent="0.2">
      <c r="A20" t="s">
        <v>6</v>
      </c>
      <c r="B20" s="18" t="s">
        <v>12</v>
      </c>
      <c r="C20" s="1">
        <v>0.95202558635394396</v>
      </c>
      <c r="D20" s="1">
        <v>0.95040080160320595</v>
      </c>
      <c r="E20" s="1">
        <v>4.9599198396793498E-2</v>
      </c>
      <c r="F20" s="1">
        <v>4.7974413646055397E-2</v>
      </c>
      <c r="G20" s="1">
        <v>0.95118801652892504</v>
      </c>
      <c r="H20" s="1">
        <f>AVERAGE(C20:D20)</f>
        <v>0.95121319397857496</v>
      </c>
      <c r="J20" t="s">
        <v>12</v>
      </c>
      <c r="K20" s="5">
        <f>C20/C21</f>
        <v>0.99062121823315796</v>
      </c>
      <c r="L20" s="5">
        <f>D20/D21</f>
        <v>0.99977916727309368</v>
      </c>
      <c r="M20" s="5">
        <f>E20/E21</f>
        <v>1.0042504363565838</v>
      </c>
      <c r="N20" s="5">
        <f>F20/F21</f>
        <v>1.2313432835820906</v>
      </c>
      <c r="O20" s="5">
        <f>(1-G20)/(1-H20)</f>
        <v>1.0005160708745486</v>
      </c>
      <c r="P20" s="6">
        <f>((E20-E21)+(C20-C21))/2</f>
        <v>-4.4017243629115334E-3</v>
      </c>
      <c r="Q20" s="4">
        <f>(ABS(E20-E21)+ABS(F20-F21))/2</f>
        <v>4.6116503221052471E-3</v>
      </c>
      <c r="R20" s="6">
        <f>((E20-E21)+(F20-F21))</f>
        <v>9.2233006442104942E-3</v>
      </c>
      <c r="T20" t="s">
        <v>12</v>
      </c>
      <c r="U20" s="6">
        <v>0.99062121823315796</v>
      </c>
      <c r="V20" s="6">
        <v>0.99977916727309368</v>
      </c>
      <c r="W20" s="6">
        <v>1.0042504363565838</v>
      </c>
      <c r="X20" s="6">
        <v>1.2313432835820906</v>
      </c>
      <c r="Y20" s="6">
        <v>1.0005160708745486</v>
      </c>
      <c r="Z20" s="6">
        <v>-4.4017243629115334E-3</v>
      </c>
      <c r="AA20" s="6">
        <v>4.6116503221052471E-3</v>
      </c>
      <c r="AB20" s="6"/>
      <c r="AG20" t="s">
        <v>6</v>
      </c>
      <c r="AH20">
        <v>109</v>
      </c>
      <c r="AI20">
        <v>1887</v>
      </c>
      <c r="AJ20" s="5">
        <f>AH20/(AI20+AH20)</f>
        <v>5.4609218436873747E-2</v>
      </c>
      <c r="AK20" s="6">
        <f>AJ20/AJ21</f>
        <v>1.0939272161343965</v>
      </c>
      <c r="AL20">
        <f t="shared" si="8"/>
        <v>0.1445735902501287</v>
      </c>
      <c r="AM20">
        <f>EXP(LN(AK20)-1.96*AL20)</f>
        <v>0.82399561956773526</v>
      </c>
      <c r="AN20">
        <f>EXP(LN(AK20)+1.96*AL20)</f>
        <v>1.4522853347537481</v>
      </c>
      <c r="AP20" t="str">
        <f>AG20</f>
        <v>Female</v>
      </c>
      <c r="AQ20">
        <f>AH20+AH24</f>
        <v>187</v>
      </c>
      <c r="AR20">
        <f>AI20+AI24</f>
        <v>3685</v>
      </c>
      <c r="AS20" s="6">
        <f>AQ20/(AR20+AQ20)</f>
        <v>4.8295454545454544E-2</v>
      </c>
      <c r="AT20" s="6">
        <f>AS20/AS21</f>
        <v>1.0754917597022859</v>
      </c>
      <c r="AU20" s="6">
        <f>SQRT((1/AQ20)+(1/AR20)+(1/AQ21)+(1/AR21))</f>
        <v>0.10835990542311544</v>
      </c>
      <c r="AV20" s="6">
        <f>EXP(LN(AT20)-1.96*AU20)</f>
        <v>0.86969960656853074</v>
      </c>
      <c r="AW20" s="6">
        <f>EXP(LN(AT20)+1.96*AU20)</f>
        <v>1.3299793589091098</v>
      </c>
    </row>
    <row r="21" spans="1:49" x14ac:dyDescent="0.2">
      <c r="A21" t="s">
        <v>7</v>
      </c>
      <c r="B21" s="18"/>
      <c r="C21" s="1">
        <v>0.96103896103896103</v>
      </c>
      <c r="D21" s="1">
        <v>0.95061072756239995</v>
      </c>
      <c r="E21" s="1">
        <v>4.9389272437599503E-2</v>
      </c>
      <c r="F21" s="1">
        <v>3.8961038961038898E-2</v>
      </c>
      <c r="G21" s="1">
        <v>0.95588235294117596</v>
      </c>
      <c r="H21" s="1">
        <f t="shared" ref="H21:H27" si="25">AVERAGE(C21:D21)</f>
        <v>0.95582484430068049</v>
      </c>
      <c r="K21" s="5"/>
      <c r="L21" s="5"/>
      <c r="M21" s="5"/>
      <c r="N21" s="5"/>
      <c r="O21" s="5"/>
      <c r="P21" s="6"/>
      <c r="Q21" s="4"/>
      <c r="R21" s="6"/>
      <c r="T21" t="s">
        <v>13</v>
      </c>
      <c r="U21" s="6">
        <v>1.0250125691302163</v>
      </c>
      <c r="V21" s="6">
        <v>0.97908496732026129</v>
      </c>
      <c r="W21" s="6">
        <v>1.4266666666666659</v>
      </c>
      <c r="X21" s="6">
        <v>0.53935185185185119</v>
      </c>
      <c r="Y21" s="6">
        <v>1.0052122114668647</v>
      </c>
      <c r="Z21" s="6">
        <v>2.1831031424509414E-2</v>
      </c>
      <c r="AA21" s="6">
        <v>2.1831031424509397E-2</v>
      </c>
      <c r="AB21" s="6"/>
      <c r="AG21" t="s">
        <v>7</v>
      </c>
      <c r="AH21">
        <v>94</v>
      </c>
      <c r="AI21">
        <v>1789</v>
      </c>
      <c r="AJ21" s="5">
        <f>AH21/(AI21+AH21)</f>
        <v>4.992033988316516E-2</v>
      </c>
      <c r="AP21" t="str">
        <f>AG21</f>
        <v>Male</v>
      </c>
      <c r="AQ21">
        <f t="shared" ref="AQ21" si="26">AH21+AH25</f>
        <v>171</v>
      </c>
      <c r="AR21">
        <f>AI21+AI25</f>
        <v>3637</v>
      </c>
      <c r="AS21" s="6">
        <f>AQ21/(AR21+AQ21)</f>
        <v>4.490546218487395E-2</v>
      </c>
      <c r="AT21" s="6"/>
      <c r="AU21" s="6"/>
      <c r="AV21" s="6"/>
      <c r="AW21" s="6"/>
    </row>
    <row r="22" spans="1:49" x14ac:dyDescent="0.2">
      <c r="A22" t="s">
        <v>6</v>
      </c>
      <c r="B22" s="18" t="s">
        <v>13</v>
      </c>
      <c r="C22" s="1">
        <v>0.97222222222222199</v>
      </c>
      <c r="D22" s="1">
        <v>0.93333333333333302</v>
      </c>
      <c r="E22" s="1">
        <v>6.6666666666666596E-2</v>
      </c>
      <c r="F22" s="1">
        <v>2.77777777777777E-2</v>
      </c>
      <c r="G22" s="1">
        <v>0.95253164556962</v>
      </c>
      <c r="H22" s="1">
        <f t="shared" si="25"/>
        <v>0.9527777777777775</v>
      </c>
      <c r="J22" t="s">
        <v>13</v>
      </c>
      <c r="K22" s="5">
        <f t="shared" ref="K22" si="27">C22/C23</f>
        <v>1.0250125691302163</v>
      </c>
      <c r="L22" s="5">
        <f t="shared" ref="L22" si="28">D22/D23</f>
        <v>0.97908496732026129</v>
      </c>
      <c r="M22" s="5">
        <f t="shared" ref="M22" si="29">E22/E23</f>
        <v>1.4266666666666659</v>
      </c>
      <c r="N22" s="5">
        <f t="shared" ref="N22" si="30">F22/F23</f>
        <v>0.53935185185185119</v>
      </c>
      <c r="O22" s="5">
        <f t="shared" ref="O22" si="31">(1-G22)/(1-H22)</f>
        <v>1.0052122114668647</v>
      </c>
      <c r="P22" s="6">
        <f t="shared" ref="P22:P26" si="32">((E22-E23)+(C22-C23))/2</f>
        <v>2.1831031424509414E-2</v>
      </c>
      <c r="Q22" s="4">
        <f>(ABS(E22-E23)+ABS(F22-F23))/2</f>
        <v>2.1831031424509397E-2</v>
      </c>
      <c r="R22" s="6">
        <f t="shared" ref="R22:R37" si="33">((E22-E23)+(F22-F23))</f>
        <v>-3.7866734409192013E-3</v>
      </c>
      <c r="T22" t="s">
        <v>14</v>
      </c>
      <c r="U22" s="6">
        <v>0.98982451156364193</v>
      </c>
      <c r="V22" s="6">
        <v>1.0020317234004634</v>
      </c>
      <c r="W22" s="6">
        <v>0.97577560560986043</v>
      </c>
      <c r="X22" s="6">
        <v>1.2730422730422737</v>
      </c>
      <c r="Y22" s="6">
        <v>1.0148656946703134</v>
      </c>
      <c r="Z22" s="6">
        <v>-5.8422043671158691E-3</v>
      </c>
      <c r="AA22" s="6">
        <v>5.8422043671158483E-3</v>
      </c>
      <c r="AB22" s="6"/>
    </row>
    <row r="23" spans="1:49" x14ac:dyDescent="0.2">
      <c r="A23" t="s">
        <v>7</v>
      </c>
      <c r="B23" s="18"/>
      <c r="C23" s="1">
        <v>0.94849785407725296</v>
      </c>
      <c r="D23" s="1">
        <v>0.95327102803738295</v>
      </c>
      <c r="E23" s="1">
        <v>4.67289719626168E-2</v>
      </c>
      <c r="F23" s="1">
        <v>5.1502145922746698E-2</v>
      </c>
      <c r="G23" s="1">
        <v>0.95078299776286301</v>
      </c>
      <c r="H23" s="1">
        <f t="shared" si="25"/>
        <v>0.95088444105731795</v>
      </c>
      <c r="K23" s="5"/>
      <c r="L23" s="5"/>
      <c r="M23" s="5"/>
      <c r="N23" s="5"/>
      <c r="O23" s="5"/>
      <c r="P23" s="6"/>
      <c r="Q23" s="4"/>
      <c r="R23" s="6"/>
      <c r="T23" t="s">
        <v>15</v>
      </c>
      <c r="U23" s="6">
        <v>0.98025099168537078</v>
      </c>
      <c r="V23" s="6">
        <v>0.99876453488372041</v>
      </c>
      <c r="W23" s="6">
        <v>1.0988372093023311</v>
      </c>
      <c r="X23" s="6">
        <v>2.510799136069116</v>
      </c>
      <c r="Y23" s="6">
        <v>0.97781970697086729</v>
      </c>
      <c r="Z23" s="6">
        <v>-9.1369849701847354E-3</v>
      </c>
      <c r="AA23" s="6">
        <v>1.0357197430707201E-2</v>
      </c>
      <c r="AB23" s="6"/>
      <c r="AG23" t="s">
        <v>10</v>
      </c>
      <c r="AH23" t="s">
        <v>44</v>
      </c>
      <c r="AI23" t="s">
        <v>46</v>
      </c>
      <c r="AJ23" t="s">
        <v>3</v>
      </c>
      <c r="AK23" t="s">
        <v>34</v>
      </c>
      <c r="AL23" t="s">
        <v>36</v>
      </c>
      <c r="AM23" t="s">
        <v>37</v>
      </c>
      <c r="AN23" t="s">
        <v>38</v>
      </c>
    </row>
    <row r="24" spans="1:49" x14ac:dyDescent="0.2">
      <c r="A24" t="s">
        <v>6</v>
      </c>
      <c r="B24" s="18" t="s">
        <v>14</v>
      </c>
      <c r="C24" s="1">
        <v>0.95426195426195404</v>
      </c>
      <c r="D24" s="1">
        <v>0.924493554327808</v>
      </c>
      <c r="E24" s="1">
        <v>7.5506445672191502E-2</v>
      </c>
      <c r="F24" s="1">
        <v>4.5738045738045699E-2</v>
      </c>
      <c r="G24" s="1">
        <v>0.9384765625</v>
      </c>
      <c r="H24" s="1">
        <f t="shared" si="25"/>
        <v>0.93937775429488102</v>
      </c>
      <c r="J24" t="s">
        <v>14</v>
      </c>
      <c r="K24" s="5">
        <f>C24/C25</f>
        <v>0.98982451156364193</v>
      </c>
      <c r="L24" s="5">
        <f>D24/D25</f>
        <v>1.0020317234004634</v>
      </c>
      <c r="M24" s="5">
        <f>E24/E25</f>
        <v>0.97577560560986043</v>
      </c>
      <c r="N24" s="5">
        <f>F24/F25</f>
        <v>1.2730422730422737</v>
      </c>
      <c r="O24" s="5">
        <f>(1-G24)/(1-H24)</f>
        <v>1.0148656946703134</v>
      </c>
      <c r="P24" s="6">
        <f t="shared" si="32"/>
        <v>-5.8422043671158691E-3</v>
      </c>
      <c r="Q24" s="4">
        <f>(ABS(E24-E25)+ABS(F24-F25))/2</f>
        <v>5.8422043671158483E-3</v>
      </c>
      <c r="R24" s="6">
        <f t="shared" si="33"/>
        <v>7.9353953167101005E-3</v>
      </c>
      <c r="AG24" t="s">
        <v>6</v>
      </c>
      <c r="AH24">
        <v>78</v>
      </c>
      <c r="AI24">
        <v>1798</v>
      </c>
      <c r="AJ24" s="5">
        <f>AH24/(AI24+AH24)</f>
        <v>4.1577825159914712E-2</v>
      </c>
      <c r="AK24" s="6">
        <f t="shared" ref="AK24" si="34">AJ24/AJ25</f>
        <v>1.0394456289978677</v>
      </c>
      <c r="AL24" s="10">
        <v>0.164026903</v>
      </c>
      <c r="AM24">
        <f>EXP(LN(AK24)-1.96*AL24)</f>
        <v>0.75366658186703694</v>
      </c>
      <c r="AN24">
        <f>EXP(LN(AK24)+1.96*AL24)</f>
        <v>1.4335877981563301</v>
      </c>
      <c r="AS24" s="6"/>
      <c r="AT24" s="6"/>
      <c r="AU24" s="6"/>
      <c r="AV24" s="6"/>
      <c r="AW24" s="6"/>
    </row>
    <row r="25" spans="1:49" x14ac:dyDescent="0.2">
      <c r="A25" t="s">
        <v>7</v>
      </c>
      <c r="B25" s="18"/>
      <c r="C25" s="1">
        <v>0.96407185628742498</v>
      </c>
      <c r="D25" s="1">
        <v>0.92261904761904701</v>
      </c>
      <c r="E25" s="1">
        <v>7.73809523809523E-2</v>
      </c>
      <c r="F25" s="1">
        <v>3.59281437125748E-2</v>
      </c>
      <c r="G25" s="1">
        <v>0.94328358208955199</v>
      </c>
      <c r="H25" s="1">
        <f t="shared" si="25"/>
        <v>0.94334545195323605</v>
      </c>
      <c r="K25" s="5"/>
      <c r="L25" s="5"/>
      <c r="M25" s="5"/>
      <c r="N25" s="5"/>
      <c r="O25" s="5"/>
      <c r="P25" s="6"/>
      <c r="Q25" s="4"/>
      <c r="R25" s="6"/>
      <c r="AG25" t="s">
        <v>7</v>
      </c>
      <c r="AH25">
        <v>77</v>
      </c>
      <c r="AI25">
        <v>1848</v>
      </c>
      <c r="AJ25" s="5">
        <f>AH25/(AI25+AH25)</f>
        <v>0.04</v>
      </c>
      <c r="AS25" s="6"/>
      <c r="AT25" s="6"/>
      <c r="AU25" s="6"/>
      <c r="AV25" s="6"/>
      <c r="AW25" s="6"/>
    </row>
    <row r="26" spans="1:49" x14ac:dyDescent="0.2">
      <c r="A26" t="s">
        <v>6</v>
      </c>
      <c r="B26" s="18" t="s">
        <v>15</v>
      </c>
      <c r="C26" s="1">
        <v>0.96760259179265595</v>
      </c>
      <c r="D26" s="1">
        <v>0.98643410852713098</v>
      </c>
      <c r="E26" s="1">
        <v>1.35658914728682E-2</v>
      </c>
      <c r="F26" s="1">
        <v>3.2397408207343402E-2</v>
      </c>
      <c r="G26" s="1">
        <v>0.97752808988763995</v>
      </c>
      <c r="H26" s="1">
        <f t="shared" si="25"/>
        <v>0.97701835015989347</v>
      </c>
      <c r="J26" t="s">
        <v>15</v>
      </c>
      <c r="K26" s="5">
        <f t="shared" ref="K26" si="35">C26/C27</f>
        <v>0.98025099168537078</v>
      </c>
      <c r="L26" s="5">
        <f t="shared" ref="L26" si="36">D26/D27</f>
        <v>0.99876453488372041</v>
      </c>
      <c r="M26" s="5">
        <f t="shared" ref="M26" si="37">E26/E27</f>
        <v>1.0988372093023311</v>
      </c>
      <c r="N26" s="5">
        <f t="shared" ref="N26" si="38">F26/F27</f>
        <v>2.510799136069116</v>
      </c>
      <c r="O26" s="5">
        <f t="shared" ref="O26" si="39">(1-G26)/(1-H26)</f>
        <v>0.97781970697086729</v>
      </c>
      <c r="P26" s="6">
        <f t="shared" si="32"/>
        <v>-9.1369849701847354E-3</v>
      </c>
      <c r="Q26" s="4">
        <f>(ABS(E26-E27)+ABS(F26-F27))/2</f>
        <v>1.0357197430707201E-2</v>
      </c>
      <c r="R26" s="6">
        <f t="shared" si="33"/>
        <v>2.0714394861414402E-2</v>
      </c>
    </row>
    <row r="27" spans="1:49" x14ac:dyDescent="0.2">
      <c r="A27" t="s">
        <v>7</v>
      </c>
      <c r="B27" s="18"/>
      <c r="C27" s="1">
        <v>0.98709677419354802</v>
      </c>
      <c r="D27" s="1">
        <v>0.98765432098765404</v>
      </c>
      <c r="E27" s="1">
        <v>1.23456790123456E-2</v>
      </c>
      <c r="F27" s="1">
        <v>1.2903225806451601E-2</v>
      </c>
      <c r="G27" s="1">
        <v>0.98738170347003096</v>
      </c>
      <c r="H27" s="1">
        <f t="shared" si="25"/>
        <v>0.98737554759060098</v>
      </c>
      <c r="K27" s="5"/>
      <c r="L27" s="5"/>
      <c r="M27" s="5"/>
      <c r="N27" s="5"/>
      <c r="O27" s="5"/>
      <c r="R27" s="6"/>
    </row>
    <row r="28" spans="1:49" x14ac:dyDescent="0.2">
      <c r="H28" s="7"/>
      <c r="P28" s="6"/>
      <c r="Q28" s="4"/>
      <c r="R28" s="6"/>
      <c r="AF28" t="s">
        <v>18</v>
      </c>
      <c r="AG28" t="s">
        <v>10</v>
      </c>
      <c r="AH28" t="s">
        <v>43</v>
      </c>
      <c r="AI28" t="s">
        <v>45</v>
      </c>
      <c r="AJ28" t="s">
        <v>2</v>
      </c>
      <c r="AK28" t="s">
        <v>35</v>
      </c>
      <c r="AL28" t="s">
        <v>36</v>
      </c>
      <c r="AM28" t="s">
        <v>37</v>
      </c>
      <c r="AN28" t="s">
        <v>38</v>
      </c>
      <c r="AP28" t="str">
        <f>AG28</f>
        <v>Gender</v>
      </c>
      <c r="AQ28" t="s">
        <v>39</v>
      </c>
      <c r="AR28" t="s">
        <v>40</v>
      </c>
      <c r="AS28" t="s">
        <v>41</v>
      </c>
      <c r="AT28" t="s">
        <v>42</v>
      </c>
      <c r="AU28" t="s">
        <v>36</v>
      </c>
      <c r="AV28" t="s">
        <v>37</v>
      </c>
      <c r="AW28" t="s">
        <v>38</v>
      </c>
    </row>
    <row r="29" spans="1:49" x14ac:dyDescent="0.2">
      <c r="A29" t="s">
        <v>16</v>
      </c>
      <c r="H29" s="7"/>
      <c r="R29" s="6"/>
      <c r="AG29" t="s">
        <v>6</v>
      </c>
      <c r="AH29">
        <v>99</v>
      </c>
      <c r="AI29">
        <v>1897</v>
      </c>
      <c r="AJ29" s="5">
        <f>AH29/(AI29+AH29)</f>
        <v>4.9599198396793588E-2</v>
      </c>
      <c r="AK29" s="6">
        <f>AJ29/AJ30</f>
        <v>1.0042504363565843</v>
      </c>
      <c r="AL29">
        <f t="shared" si="8"/>
        <v>0.14811990284750509</v>
      </c>
      <c r="AM29">
        <f>EXP(LN(AK29)-1.96*AL29)</f>
        <v>0.75120733946572149</v>
      </c>
      <c r="AN29">
        <f>EXP(LN(AK29)+1.96*AL29)</f>
        <v>1.3425307314484909</v>
      </c>
      <c r="AP29" t="str">
        <f>AG29</f>
        <v>Female</v>
      </c>
      <c r="AQ29">
        <f>AH29+AH33</f>
        <v>189</v>
      </c>
      <c r="AR29">
        <f>AI29+AI33</f>
        <v>3683</v>
      </c>
      <c r="AS29" s="6">
        <f>AQ29/(AR29+AQ29)</f>
        <v>4.8811983471074377E-2</v>
      </c>
      <c r="AT29" s="6">
        <f>AS29/AS30</f>
        <v>1.1064049586776858</v>
      </c>
      <c r="AU29" s="6">
        <f>SQRT((1/AQ29)+(1/AR29)+(1/AQ30)+(1/AR30))</f>
        <v>0.10858005941482256</v>
      </c>
      <c r="AV29" s="6">
        <f>EXP(LN(AT29)-1.96*AU29)</f>
        <v>0.89431167636834985</v>
      </c>
      <c r="AW29" s="6">
        <f>EXP(LN(AT29)+1.96*AU29)</f>
        <v>1.3687978866132742</v>
      </c>
    </row>
    <row r="30" spans="1:49" x14ac:dyDescent="0.2">
      <c r="A30" t="s">
        <v>10</v>
      </c>
      <c r="B30" t="s">
        <v>11</v>
      </c>
      <c r="C30" t="s">
        <v>0</v>
      </c>
      <c r="D30" t="s">
        <v>1</v>
      </c>
      <c r="E30" t="s">
        <v>2</v>
      </c>
      <c r="F30" t="s">
        <v>3</v>
      </c>
      <c r="G30" t="s">
        <v>9</v>
      </c>
      <c r="H30" s="7" t="s">
        <v>8</v>
      </c>
      <c r="J30" t="s">
        <v>11</v>
      </c>
      <c r="K30" t="s">
        <v>20</v>
      </c>
      <c r="L30" t="s">
        <v>21</v>
      </c>
      <c r="M30" t="s">
        <v>22</v>
      </c>
      <c r="N30" t="s">
        <v>23</v>
      </c>
      <c r="O30" t="s">
        <v>24</v>
      </c>
      <c r="P30" t="s">
        <v>31</v>
      </c>
      <c r="Q30" t="s">
        <v>33</v>
      </c>
      <c r="R30" t="s">
        <v>32</v>
      </c>
      <c r="S30" t="s">
        <v>16</v>
      </c>
      <c r="T30" t="s">
        <v>11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31</v>
      </c>
      <c r="AA30" t="s">
        <v>47</v>
      </c>
      <c r="AG30" t="s">
        <v>7</v>
      </c>
      <c r="AH30">
        <v>93</v>
      </c>
      <c r="AI30">
        <v>1790</v>
      </c>
      <c r="AJ30" s="5">
        <f>AH30/(AI30+AH30)</f>
        <v>4.9389272437599573E-2</v>
      </c>
      <c r="AP30" t="str">
        <f>AG30</f>
        <v>Male</v>
      </c>
      <c r="AQ30">
        <f>AH30+AH34</f>
        <v>168</v>
      </c>
      <c r="AR30">
        <f>AI30+AI34</f>
        <v>3640</v>
      </c>
      <c r="AS30" s="6">
        <f>AQ30/(AR30+AQ30)</f>
        <v>4.4117647058823532E-2</v>
      </c>
      <c r="AT30" s="6"/>
      <c r="AU30" s="6"/>
      <c r="AV30" s="6"/>
      <c r="AW30" s="6"/>
    </row>
    <row r="31" spans="1:49" x14ac:dyDescent="0.2">
      <c r="A31" t="s">
        <v>6</v>
      </c>
      <c r="B31" s="18" t="s">
        <v>12</v>
      </c>
      <c r="C31" s="1">
        <v>0.92456896551724099</v>
      </c>
      <c r="D31" s="1">
        <v>0.947483588621444</v>
      </c>
      <c r="E31" s="1">
        <v>5.2516411378555797E-2</v>
      </c>
      <c r="F31" s="1">
        <v>7.5431034482758605E-2</v>
      </c>
      <c r="G31" s="1">
        <v>0.93593919652551505</v>
      </c>
      <c r="H31" s="1">
        <f>AVERAGE(C31:D31)</f>
        <v>0.93602627706934249</v>
      </c>
      <c r="J31" t="s">
        <v>12</v>
      </c>
      <c r="K31" s="5">
        <f>C31/C32</f>
        <v>0.97188166311300694</v>
      </c>
      <c r="L31" s="5">
        <f>D31/D32</f>
        <v>1.0035987897698671</v>
      </c>
      <c r="M31" s="5">
        <f>E31/E32</f>
        <v>0.93923581888571039</v>
      </c>
      <c r="N31" s="5">
        <f>F31/F32</f>
        <v>1.5494791666666663</v>
      </c>
      <c r="O31" s="5">
        <f>(1-G31)/(1-H31)</f>
        <v>1.0013611923745915</v>
      </c>
      <c r="P31" s="6">
        <f>((E31-E32)+(C31-C32))/2</f>
        <v>-1.5073530008337912E-2</v>
      </c>
      <c r="Q31" s="4">
        <f>(ABS(E31-E32)+ABS(F31-F32))/2</f>
        <v>1.5073530008338155E-2</v>
      </c>
      <c r="R31" s="6">
        <f t="shared" si="33"/>
        <v>2.3351925784540699E-2</v>
      </c>
      <c r="T31" t="s">
        <v>12</v>
      </c>
      <c r="U31" s="6">
        <v>0.97188166311300694</v>
      </c>
      <c r="V31" s="6">
        <v>1.0035987897698671</v>
      </c>
      <c r="W31" s="6">
        <v>0.93923581888571039</v>
      </c>
      <c r="X31" s="6">
        <v>1.5494791666666663</v>
      </c>
      <c r="Y31" s="6">
        <v>1.0013611923745915</v>
      </c>
      <c r="Z31" s="6">
        <v>-1.5073530008337912E-2</v>
      </c>
      <c r="AA31" s="6">
        <v>1.5073530008338155E-2</v>
      </c>
      <c r="AB31" s="6"/>
    </row>
    <row r="32" spans="1:49" x14ac:dyDescent="0.2">
      <c r="A32" t="s">
        <v>7</v>
      </c>
      <c r="B32" s="18"/>
      <c r="C32" s="1">
        <v>0.95131845841784901</v>
      </c>
      <c r="D32" s="1">
        <v>0.94408602150537602</v>
      </c>
      <c r="E32" s="1">
        <v>5.5913978494623602E-2</v>
      </c>
      <c r="F32" s="1">
        <v>4.8681541582150101E-2</v>
      </c>
      <c r="G32" s="1">
        <v>0.94780793319415402</v>
      </c>
      <c r="H32" s="1">
        <f t="shared" ref="H32:H38" si="40">AVERAGE(C32:D32)</f>
        <v>0.94770223996161251</v>
      </c>
      <c r="K32" s="5"/>
      <c r="L32" s="5"/>
      <c r="M32" s="5"/>
      <c r="N32" s="5"/>
      <c r="O32" s="5"/>
      <c r="P32" s="6"/>
      <c r="Q32" s="4"/>
      <c r="R32" s="6"/>
      <c r="T32" t="s">
        <v>13</v>
      </c>
      <c r="U32" s="6">
        <v>1.0249464606123748</v>
      </c>
      <c r="V32" s="6">
        <v>0.98038971807628505</v>
      </c>
      <c r="W32" s="6">
        <v>1.3032051282051285</v>
      </c>
      <c r="X32" s="6">
        <v>0.519509476031215</v>
      </c>
      <c r="Y32" s="6">
        <v>1.006464599543226</v>
      </c>
      <c r="Z32" s="6">
        <v>2.1067100325102398E-2</v>
      </c>
      <c r="AA32" s="6">
        <v>2.1067100325102398E-2</v>
      </c>
      <c r="AB32" s="6"/>
      <c r="AG32" t="s">
        <v>10</v>
      </c>
      <c r="AH32" t="s">
        <v>44</v>
      </c>
      <c r="AI32" t="s">
        <v>46</v>
      </c>
      <c r="AJ32" t="s">
        <v>3</v>
      </c>
      <c r="AK32" t="s">
        <v>34</v>
      </c>
      <c r="AL32" t="s">
        <v>36</v>
      </c>
      <c r="AM32" t="s">
        <v>37</v>
      </c>
      <c r="AN32" t="s">
        <v>38</v>
      </c>
    </row>
    <row r="33" spans="1:59" x14ac:dyDescent="0.2">
      <c r="A33" t="s">
        <v>6</v>
      </c>
      <c r="B33" s="18" t="s">
        <v>13</v>
      </c>
      <c r="C33" s="1">
        <v>0.97435897435897401</v>
      </c>
      <c r="D33" s="1">
        <v>0.92083333333333295</v>
      </c>
      <c r="E33" s="1">
        <v>7.9166666666666594E-2</v>
      </c>
      <c r="F33" s="1">
        <v>2.5641025641025599E-2</v>
      </c>
      <c r="G33" s="1">
        <v>0.94725738396624404</v>
      </c>
      <c r="H33" s="1">
        <f t="shared" si="40"/>
        <v>0.94759615384615348</v>
      </c>
      <c r="J33" t="s">
        <v>13</v>
      </c>
      <c r="K33" s="5">
        <f t="shared" ref="K33" si="41">C33/C34</f>
        <v>1.0249464606123748</v>
      </c>
      <c r="L33" s="5">
        <f t="shared" ref="L33" si="42">D33/D34</f>
        <v>0.98038971807628505</v>
      </c>
      <c r="M33" s="5">
        <f t="shared" ref="M33" si="43">E33/E34</f>
        <v>1.3032051282051285</v>
      </c>
      <c r="N33" s="5">
        <f t="shared" ref="N33" si="44">F33/F34</f>
        <v>0.519509476031215</v>
      </c>
      <c r="O33" s="5">
        <f t="shared" ref="O33" si="45">(1-G33)/(1-H33)</f>
        <v>1.006464599543226</v>
      </c>
      <c r="P33" s="6">
        <f t="shared" ref="P33:P37" si="46">((E33-E34)+(C33-C34))/2</f>
        <v>2.1067100325102398E-2</v>
      </c>
      <c r="Q33" s="4">
        <f>(ABS(E33-E34)+ABS(F33-F34))/2</f>
        <v>2.1067100325102398E-2</v>
      </c>
      <c r="R33" s="6">
        <f t="shared" si="33"/>
        <v>-5.2961944196752084E-3</v>
      </c>
      <c r="T33" t="s">
        <v>14</v>
      </c>
      <c r="U33" s="6">
        <v>0.98274602249497622</v>
      </c>
      <c r="V33" s="6">
        <v>1.0194078481371298</v>
      </c>
      <c r="W33" s="6">
        <v>0.74769797421731055</v>
      </c>
      <c r="X33" s="6">
        <v>1.3585826629304882</v>
      </c>
      <c r="Y33" s="6">
        <v>0.99531266793295514</v>
      </c>
      <c r="Z33" s="6">
        <v>-1.7241726003760085E-2</v>
      </c>
      <c r="AA33" s="6">
        <v>1.7241726003759946E-2</v>
      </c>
      <c r="AB33" s="6"/>
      <c r="AG33" t="s">
        <v>6</v>
      </c>
      <c r="AH33">
        <v>90</v>
      </c>
      <c r="AI33">
        <v>1786</v>
      </c>
      <c r="AJ33" s="5">
        <f>AH33/(AI33+AH33)</f>
        <v>4.7974413646055439E-2</v>
      </c>
      <c r="AK33" s="6">
        <f t="shared" ref="AK33" si="47">AJ33/AJ34</f>
        <v>1.2313432835820897</v>
      </c>
      <c r="AL33">
        <f t="shared" si="8"/>
        <v>0.15982770535585716</v>
      </c>
      <c r="AM33">
        <f>EXP(LN(AK33)-1.96*AL33)</f>
        <v>0.90018351710676459</v>
      </c>
      <c r="AN33">
        <f>EXP(LN(AK33)+1.96*AL33)</f>
        <v>1.6843301984642935</v>
      </c>
      <c r="AS33" s="6"/>
      <c r="AT33" s="6"/>
      <c r="AU33" s="6"/>
      <c r="AV33" s="6"/>
      <c r="AW33" s="6"/>
    </row>
    <row r="34" spans="1:59" x14ac:dyDescent="0.2">
      <c r="A34" t="s">
        <v>7</v>
      </c>
      <c r="B34" s="18"/>
      <c r="C34" s="1">
        <v>0.950643776824034</v>
      </c>
      <c r="D34" s="1">
        <v>0.93925233644859796</v>
      </c>
      <c r="E34" s="1">
        <v>6.07476635514018E-2</v>
      </c>
      <c r="F34" s="1">
        <v>4.9356223175965601E-2</v>
      </c>
      <c r="G34" s="1">
        <v>0.94519015659955197</v>
      </c>
      <c r="H34" s="1">
        <f t="shared" si="40"/>
        <v>0.94494805663631598</v>
      </c>
      <c r="K34" s="5"/>
      <c r="L34" s="5"/>
      <c r="M34" s="5"/>
      <c r="N34" s="5"/>
      <c r="O34" s="5"/>
      <c r="P34" s="6"/>
      <c r="Q34" s="4"/>
      <c r="R34" s="6"/>
      <c r="T34" t="s">
        <v>15</v>
      </c>
      <c r="U34" s="6">
        <v>0.98248661846182705</v>
      </c>
      <c r="V34" s="6">
        <v>0.99472997147415732</v>
      </c>
      <c r="W34" s="6">
        <v>1.5069767441860418</v>
      </c>
      <c r="X34" s="6">
        <v>2.6112311015118794</v>
      </c>
      <c r="Y34" s="6">
        <v>0.98438079421989599</v>
      </c>
      <c r="Z34" s="6">
        <v>-6.0546277411421051E-3</v>
      </c>
      <c r="AA34" s="6">
        <v>1.12704378665127E-2</v>
      </c>
      <c r="AB34" s="6"/>
      <c r="AG34" t="s">
        <v>7</v>
      </c>
      <c r="AH34">
        <v>75</v>
      </c>
      <c r="AI34">
        <v>1850</v>
      </c>
      <c r="AJ34" s="5">
        <f>AH34/(AI34+AH34)</f>
        <v>3.896103896103896E-2</v>
      </c>
      <c r="AS34" s="6"/>
      <c r="AT34" s="6"/>
      <c r="AU34" s="6"/>
      <c r="AV34" s="6"/>
      <c r="AW34" s="6"/>
    </row>
    <row r="35" spans="1:59" x14ac:dyDescent="0.2">
      <c r="A35" t="s">
        <v>6</v>
      </c>
      <c r="B35" s="18" t="s">
        <v>14</v>
      </c>
      <c r="C35" s="1">
        <v>0.93762993762993696</v>
      </c>
      <c r="D35" s="1">
        <v>0.94659300184161999</v>
      </c>
      <c r="E35" s="1">
        <v>5.34069981583793E-2</v>
      </c>
      <c r="F35" s="1">
        <v>6.2370062370062297E-2</v>
      </c>
      <c r="G35" s="1">
        <v>0.9423828125</v>
      </c>
      <c r="H35" s="1">
        <f t="shared" si="40"/>
        <v>0.94211146973577842</v>
      </c>
      <c r="J35" t="s">
        <v>14</v>
      </c>
      <c r="K35" s="5">
        <f>C35/C36</f>
        <v>0.98274602249497622</v>
      </c>
      <c r="L35" s="5">
        <f>D35/D36</f>
        <v>1.0194078481371298</v>
      </c>
      <c r="M35" s="5">
        <f>E35/E36</f>
        <v>0.74769797421731055</v>
      </c>
      <c r="N35" s="5">
        <f>F35/F36</f>
        <v>1.3585826629304882</v>
      </c>
      <c r="O35" s="5">
        <f>(1-G35)/(1-H35)</f>
        <v>0.99531266793295514</v>
      </c>
      <c r="P35" s="6">
        <f t="shared" si="46"/>
        <v>-1.7241726003760085E-2</v>
      </c>
      <c r="Q35" s="4">
        <f>(ABS(E35-E36)+ABS(F35-F36))/2</f>
        <v>1.7241726003759946E-2</v>
      </c>
      <c r="R35" s="6">
        <f t="shared" si="33"/>
        <v>-1.5596945328643017E-3</v>
      </c>
      <c r="BB35" t="s">
        <v>25</v>
      </c>
      <c r="BC35" t="s">
        <v>26</v>
      </c>
      <c r="BD35" t="s">
        <v>48</v>
      </c>
      <c r="BE35" t="s">
        <v>49</v>
      </c>
      <c r="BF35" t="s">
        <v>50</v>
      </c>
      <c r="BG35" t="s">
        <v>51</v>
      </c>
    </row>
    <row r="36" spans="1:59" x14ac:dyDescent="0.2">
      <c r="A36" t="s">
        <v>7</v>
      </c>
      <c r="B36" s="18"/>
      <c r="C36" s="1">
        <v>0.95409181636726503</v>
      </c>
      <c r="D36" s="1">
        <v>0.92857142857142805</v>
      </c>
      <c r="E36" s="1">
        <v>7.1428571428571397E-2</v>
      </c>
      <c r="F36" s="1">
        <v>4.5908183632734502E-2</v>
      </c>
      <c r="G36" s="1">
        <v>0.94129353233830804</v>
      </c>
      <c r="H36" s="1">
        <f t="shared" si="40"/>
        <v>0.94133162246934654</v>
      </c>
      <c r="K36" s="5"/>
      <c r="L36" s="5"/>
      <c r="M36" s="5"/>
      <c r="N36" s="5"/>
      <c r="O36" s="5"/>
      <c r="P36" s="6"/>
      <c r="Q36" s="4"/>
      <c r="R36" s="6"/>
      <c r="AG36" s="12" t="s">
        <v>82</v>
      </c>
      <c r="BB36" s="18" t="s">
        <v>27</v>
      </c>
      <c r="BC36" s="18" t="s">
        <v>30</v>
      </c>
      <c r="BD36" t="s">
        <v>22</v>
      </c>
      <c r="BE36" s="6">
        <v>0.82399561956773526</v>
      </c>
      <c r="BF36" s="6">
        <v>1.4522853347537481</v>
      </c>
      <c r="BG36" s="6">
        <v>1.0939272161343965</v>
      </c>
    </row>
    <row r="37" spans="1:59" x14ac:dyDescent="0.2">
      <c r="A37" t="s">
        <v>6</v>
      </c>
      <c r="B37" s="18" t="s">
        <v>15</v>
      </c>
      <c r="C37" s="1">
        <v>0.97192224622030199</v>
      </c>
      <c r="D37" s="1">
        <v>0.98449612403100695</v>
      </c>
      <c r="E37" s="1">
        <v>1.5503875968992199E-2</v>
      </c>
      <c r="F37" s="1">
        <v>2.8077753779697599E-2</v>
      </c>
      <c r="G37" s="1">
        <v>0.97854954034729302</v>
      </c>
      <c r="H37" s="1">
        <f t="shared" si="40"/>
        <v>0.97820918512565447</v>
      </c>
      <c r="J37" t="s">
        <v>15</v>
      </c>
      <c r="K37" s="5">
        <f t="shared" ref="K37" si="48">C37/C38</f>
        <v>0.98248661846182705</v>
      </c>
      <c r="L37" s="5">
        <f t="shared" ref="L37" si="49">D37/D38</f>
        <v>0.99472997147415732</v>
      </c>
      <c r="M37" s="5">
        <f t="shared" ref="M37" si="50">E37/E38</f>
        <v>1.5069767441860418</v>
      </c>
      <c r="N37" s="5">
        <f t="shared" ref="N37" si="51">F37/F38</f>
        <v>2.6112311015118794</v>
      </c>
      <c r="O37" s="5">
        <f t="shared" ref="O37" si="52">(1-G37)/(1-H37)</f>
        <v>0.98438079421989599</v>
      </c>
      <c r="P37" s="6">
        <f t="shared" si="46"/>
        <v>-6.0546277411421051E-3</v>
      </c>
      <c r="Q37" s="4">
        <f>(ABS(E37-E38)+ABS(F37-F38))/2</f>
        <v>1.12704378665127E-2</v>
      </c>
      <c r="R37" s="6">
        <f t="shared" si="33"/>
        <v>2.2540875733025399E-2</v>
      </c>
      <c r="AG37" t="s">
        <v>25</v>
      </c>
      <c r="AH37" t="s">
        <v>26</v>
      </c>
      <c r="AI37" t="s">
        <v>48</v>
      </c>
      <c r="AJ37" t="s">
        <v>49</v>
      </c>
      <c r="AK37" t="s">
        <v>50</v>
      </c>
      <c r="AL37" t="s">
        <v>51</v>
      </c>
      <c r="BB37" s="18"/>
      <c r="BC37" s="18"/>
      <c r="BD37" t="s">
        <v>23</v>
      </c>
      <c r="BE37" s="6">
        <v>0.75366658186703694</v>
      </c>
      <c r="BF37" s="6">
        <v>1.4335877981563301</v>
      </c>
      <c r="BG37" s="6">
        <v>1.0394456289978677</v>
      </c>
    </row>
    <row r="38" spans="1:59" x14ac:dyDescent="0.2">
      <c r="A38" t="s">
        <v>7</v>
      </c>
      <c r="B38" s="18"/>
      <c r="C38" s="1">
        <v>0.989247311827957</v>
      </c>
      <c r="D38" s="1">
        <v>0.98971193415637804</v>
      </c>
      <c r="E38" s="1">
        <v>1.0288065843621399E-2</v>
      </c>
      <c r="F38" s="1">
        <v>1.0752688172042999E-2</v>
      </c>
      <c r="G38" s="1">
        <v>0.98948475289169202</v>
      </c>
      <c r="H38" s="1">
        <f t="shared" si="40"/>
        <v>0.98947962299216752</v>
      </c>
      <c r="K38" s="5"/>
      <c r="L38" s="5"/>
      <c r="M38" s="5"/>
      <c r="N38" s="5"/>
      <c r="O38" s="5"/>
      <c r="R38" s="6"/>
      <c r="AG38" s="18" t="s">
        <v>27</v>
      </c>
      <c r="AH38" s="18" t="s">
        <v>28</v>
      </c>
      <c r="AI38" t="s">
        <v>22</v>
      </c>
      <c r="AJ38" s="6">
        <v>4.7969553495592017</v>
      </c>
      <c r="AK38" s="6">
        <v>14.680027685221829</v>
      </c>
      <c r="AL38" s="6">
        <v>14.950328595445516</v>
      </c>
      <c r="BB38" s="18"/>
      <c r="BC38" s="18"/>
      <c r="BD38" t="s">
        <v>24</v>
      </c>
      <c r="BE38" s="6">
        <v>0.86969960656853074</v>
      </c>
      <c r="BF38" s="6">
        <v>1.3299793589091098</v>
      </c>
      <c r="BG38" s="6">
        <v>1.075</v>
      </c>
    </row>
    <row r="39" spans="1:59" x14ac:dyDescent="0.2">
      <c r="P39" s="6"/>
      <c r="Q39" s="4"/>
      <c r="R39" s="6"/>
      <c r="AG39" s="18"/>
      <c r="AH39" s="18"/>
      <c r="AI39" t="s">
        <v>23</v>
      </c>
      <c r="AJ39" s="6">
        <v>0.28435260529220013</v>
      </c>
      <c r="AK39" s="6">
        <v>0.58166774889298278</v>
      </c>
      <c r="AL39" s="6">
        <v>0.40669243884312489</v>
      </c>
      <c r="BB39" s="18" t="s">
        <v>29</v>
      </c>
      <c r="BC39" s="18"/>
      <c r="BD39" t="s">
        <v>22</v>
      </c>
      <c r="BE39" s="6">
        <v>0.75120733946572149</v>
      </c>
      <c r="BF39" s="6">
        <v>1.3425307314484909</v>
      </c>
      <c r="BG39" s="6">
        <v>1.0042504363565843</v>
      </c>
    </row>
    <row r="40" spans="1:59" x14ac:dyDescent="0.2">
      <c r="A40" t="s">
        <v>25</v>
      </c>
      <c r="B40" t="s">
        <v>26</v>
      </c>
      <c r="C40" t="s">
        <v>52</v>
      </c>
      <c r="D40" t="s">
        <v>53</v>
      </c>
      <c r="E40" t="s">
        <v>54</v>
      </c>
      <c r="R40" s="6"/>
      <c r="AG40" s="18"/>
      <c r="AH40" s="18"/>
      <c r="AI40" t="s">
        <v>24</v>
      </c>
      <c r="AJ40" s="6">
        <v>1.1952596416051517</v>
      </c>
      <c r="AK40" s="6">
        <v>1.9259755276812192</v>
      </c>
      <c r="AL40" s="6">
        <v>1.5169999999999999</v>
      </c>
      <c r="BB40" s="18"/>
      <c r="BC40" s="18"/>
      <c r="BD40" t="s">
        <v>23</v>
      </c>
      <c r="BE40" s="6">
        <v>0.90018351710676459</v>
      </c>
      <c r="BF40" s="6">
        <v>1.6843301984642935</v>
      </c>
      <c r="BG40" s="6">
        <v>1.2313432835820897</v>
      </c>
    </row>
    <row r="41" spans="1:59" x14ac:dyDescent="0.2">
      <c r="A41" s="18" t="s">
        <v>27</v>
      </c>
      <c r="B41" s="18" t="s">
        <v>30</v>
      </c>
      <c r="C41" t="s">
        <v>55</v>
      </c>
      <c r="D41" s="11">
        <v>7.14751547464812E-4</v>
      </c>
      <c r="E41" s="5">
        <v>1</v>
      </c>
      <c r="AG41" s="18" t="s">
        <v>29</v>
      </c>
      <c r="AH41" s="18"/>
      <c r="AI41" t="s">
        <v>22</v>
      </c>
      <c r="AJ41" s="6">
        <v>4.7969553495592017</v>
      </c>
      <c r="AK41" s="6">
        <v>14.680027685221829</v>
      </c>
      <c r="AL41" s="6">
        <v>8.3916290037335433</v>
      </c>
      <c r="BB41" s="18"/>
      <c r="BC41" s="18"/>
      <c r="BD41" t="s">
        <v>24</v>
      </c>
      <c r="BE41" s="6">
        <v>0.89431167636834985</v>
      </c>
      <c r="BF41" s="6">
        <v>1.3687978866132742</v>
      </c>
      <c r="BG41" s="6">
        <v>1.1060000000000001</v>
      </c>
    </row>
    <row r="42" spans="1:59" x14ac:dyDescent="0.2">
      <c r="A42" s="18"/>
      <c r="B42" s="18"/>
      <c r="C42" t="s">
        <v>56</v>
      </c>
      <c r="D42" s="5">
        <v>0.127611710798616</v>
      </c>
      <c r="E42" s="5">
        <f>95.4666666666666/100</f>
        <v>0.954666666666666</v>
      </c>
      <c r="Q42" s="4"/>
      <c r="AG42" s="18"/>
      <c r="AH42" s="18"/>
      <c r="AI42" t="s">
        <v>23</v>
      </c>
      <c r="AJ42" s="6">
        <v>0.17374478051213521</v>
      </c>
      <c r="AK42" s="6">
        <v>0.3987659896398445</v>
      </c>
      <c r="AL42" s="6">
        <v>0.26321760835035174</v>
      </c>
      <c r="BB42" s="18" t="s">
        <v>27</v>
      </c>
      <c r="BC42" s="18" t="s">
        <v>28</v>
      </c>
      <c r="BD42" t="s">
        <v>22</v>
      </c>
      <c r="BE42" s="6">
        <v>4.7969553495592017</v>
      </c>
      <c r="BF42" s="6">
        <v>14.680027685221829</v>
      </c>
      <c r="BG42" s="6">
        <v>14.950328595445516</v>
      </c>
    </row>
    <row r="43" spans="1:59" x14ac:dyDescent="0.2">
      <c r="A43" s="18"/>
      <c r="B43" s="18" t="s">
        <v>28</v>
      </c>
      <c r="C43" t="s">
        <v>55</v>
      </c>
      <c r="D43" s="11">
        <v>2.5164874702712598E-3</v>
      </c>
      <c r="E43" s="11">
        <v>1</v>
      </c>
      <c r="G43" s="8"/>
      <c r="H43" s="8"/>
      <c r="Q43" s="4"/>
      <c r="AG43" s="18"/>
      <c r="AH43" s="18"/>
      <c r="AI43" t="s">
        <v>24</v>
      </c>
      <c r="AJ43" s="6">
        <v>0.9199513753044396</v>
      </c>
      <c r="AK43" s="6">
        <v>1.5002299892488464</v>
      </c>
      <c r="AL43" s="6">
        <v>1.175</v>
      </c>
      <c r="BB43" s="18"/>
      <c r="BC43" s="18"/>
      <c r="BD43" t="s">
        <v>23</v>
      </c>
      <c r="BE43" s="6">
        <v>0.28435260529220013</v>
      </c>
      <c r="BF43" s="6">
        <v>0.58166774889298278</v>
      </c>
      <c r="BG43" s="6">
        <v>0.40669243884312489</v>
      </c>
    </row>
    <row r="44" spans="1:59" x14ac:dyDescent="0.2">
      <c r="A44" s="18"/>
      <c r="B44" s="18"/>
      <c r="C44" t="s">
        <v>56</v>
      </c>
      <c r="D44" s="5">
        <v>0.25086034725352002</v>
      </c>
      <c r="E44" s="5">
        <v>0.897073170731707</v>
      </c>
      <c r="G44" s="8"/>
      <c r="H44" s="8"/>
      <c r="AG44" s="18" t="s">
        <v>27</v>
      </c>
      <c r="AH44" s="18" t="s">
        <v>30</v>
      </c>
      <c r="AI44" t="s">
        <v>22</v>
      </c>
      <c r="AJ44" s="6">
        <v>0.82399561956773526</v>
      </c>
      <c r="AK44" s="6">
        <v>1.4522853347537481</v>
      </c>
      <c r="AL44" s="6">
        <v>1.0939272161343965</v>
      </c>
      <c r="BB44" s="18"/>
      <c r="BC44" s="18"/>
      <c r="BD44" t="s">
        <v>24</v>
      </c>
      <c r="BE44" s="6">
        <v>1.1952596416051517</v>
      </c>
      <c r="BF44" s="6">
        <v>1.9259755276812192</v>
      </c>
      <c r="BG44" s="6">
        <v>1.5169999999999999</v>
      </c>
    </row>
    <row r="45" spans="1:59" x14ac:dyDescent="0.2">
      <c r="A45" s="18" t="s">
        <v>29</v>
      </c>
      <c r="B45" s="18" t="s">
        <v>30</v>
      </c>
      <c r="C45" t="s">
        <v>55</v>
      </c>
      <c r="D45" s="5">
        <v>7.1023230098227197E-4</v>
      </c>
      <c r="E45" s="5">
        <v>1</v>
      </c>
      <c r="AG45" s="18"/>
      <c r="AH45" s="18"/>
      <c r="AI45" t="s">
        <v>23</v>
      </c>
      <c r="AJ45" s="6">
        <v>0.75366658186703694</v>
      </c>
      <c r="AK45" s="6">
        <v>1.4335877981563301</v>
      </c>
      <c r="AL45" s="6">
        <v>1.0394456289978677</v>
      </c>
      <c r="BB45" s="18" t="s">
        <v>29</v>
      </c>
      <c r="BC45" s="18"/>
      <c r="BD45" t="s">
        <v>22</v>
      </c>
      <c r="BE45" s="6">
        <v>4.7969553495592017</v>
      </c>
      <c r="BF45" s="6">
        <v>14.680027685221829</v>
      </c>
      <c r="BG45" s="6">
        <v>8.3916290037335433</v>
      </c>
    </row>
    <row r="46" spans="1:59" x14ac:dyDescent="0.2">
      <c r="A46" s="18"/>
      <c r="B46" s="18"/>
      <c r="C46" t="s">
        <v>56</v>
      </c>
      <c r="D46" s="5">
        <v>0.122485541560066</v>
      </c>
      <c r="E46" s="5">
        <f>95.9583333333333/100</f>
        <v>0.95958333333333301</v>
      </c>
      <c r="AG46" s="18"/>
      <c r="AH46" s="18"/>
      <c r="AI46" t="s">
        <v>24</v>
      </c>
      <c r="AJ46" s="6">
        <v>0.86969960656853074</v>
      </c>
      <c r="AK46" s="6">
        <v>1.3299793589091098</v>
      </c>
      <c r="AL46" s="6">
        <v>1.075</v>
      </c>
      <c r="BB46" s="18"/>
      <c r="BC46" s="18"/>
      <c r="BD46" t="s">
        <v>23</v>
      </c>
      <c r="BE46" s="6">
        <v>0.17374478051213521</v>
      </c>
      <c r="BF46" s="6">
        <v>0.3987659896398445</v>
      </c>
      <c r="BG46" s="6">
        <v>0.26321760835035174</v>
      </c>
    </row>
    <row r="47" spans="1:59" x14ac:dyDescent="0.2">
      <c r="A47" s="18"/>
      <c r="B47" s="18" t="s">
        <v>28</v>
      </c>
      <c r="C47" t="s">
        <v>55</v>
      </c>
      <c r="D47" s="5">
        <v>2.0380306046462902E-3</v>
      </c>
      <c r="E47" s="5">
        <v>1</v>
      </c>
      <c r="AG47" s="18" t="s">
        <v>29</v>
      </c>
      <c r="AH47" s="18"/>
      <c r="AI47" t="s">
        <v>22</v>
      </c>
      <c r="AJ47" s="6">
        <v>0.75120733946572149</v>
      </c>
      <c r="AK47" s="6">
        <v>1.3425307314484909</v>
      </c>
      <c r="AL47" s="6">
        <v>1.0042504363565843</v>
      </c>
      <c r="BB47" s="18"/>
      <c r="BC47" s="18"/>
      <c r="BD47" t="s">
        <v>24</v>
      </c>
      <c r="BE47" s="6">
        <v>0.9199513753044396</v>
      </c>
      <c r="BF47" s="6">
        <v>1.5002299892488464</v>
      </c>
      <c r="BG47" s="6">
        <v>1.175</v>
      </c>
    </row>
    <row r="48" spans="1:59" x14ac:dyDescent="0.2">
      <c r="A48" s="18"/>
      <c r="B48" s="18"/>
      <c r="C48" t="s">
        <v>56</v>
      </c>
      <c r="D48" s="5">
        <v>0.15802724259655601</v>
      </c>
      <c r="E48" s="5">
        <v>0.94073170731707301</v>
      </c>
      <c r="AG48" s="18"/>
      <c r="AH48" s="18"/>
      <c r="AI48" t="s">
        <v>23</v>
      </c>
      <c r="AJ48" s="6">
        <v>0.90018351710676459</v>
      </c>
      <c r="AK48" s="6">
        <v>1.6843301984642935</v>
      </c>
      <c r="AL48" s="6">
        <v>1.2313432835820897</v>
      </c>
    </row>
    <row r="49" spans="1:58" x14ac:dyDescent="0.2">
      <c r="AG49" s="18"/>
      <c r="AH49" s="18"/>
      <c r="AI49" t="s">
        <v>24</v>
      </c>
      <c r="AJ49" s="6">
        <v>0.89431167636834985</v>
      </c>
      <c r="AK49" s="6">
        <v>1.3687978866132742</v>
      </c>
      <c r="AL49" s="6">
        <v>1.1060000000000001</v>
      </c>
    </row>
    <row r="55" spans="1:58" x14ac:dyDescent="0.2">
      <c r="F55" t="s">
        <v>0</v>
      </c>
      <c r="G55" t="s">
        <v>1</v>
      </c>
      <c r="H55" t="s">
        <v>2</v>
      </c>
      <c r="I55" t="s">
        <v>3</v>
      </c>
      <c r="J55" t="s">
        <v>9</v>
      </c>
      <c r="BE55" t="s">
        <v>57</v>
      </c>
    </row>
    <row r="56" spans="1:58" x14ac:dyDescent="0.2">
      <c r="E56" t="s">
        <v>4</v>
      </c>
      <c r="F56" s="1">
        <v>0.97004765146357996</v>
      </c>
      <c r="G56" s="1">
        <v>0.90784044016506105</v>
      </c>
      <c r="H56" s="1">
        <v>9.2159559834938107E-2</v>
      </c>
      <c r="I56" s="1">
        <v>2.9952348536419302E-2</v>
      </c>
      <c r="J56" s="1">
        <v>0.93910366062264705</v>
      </c>
      <c r="BF56" t="s">
        <v>57</v>
      </c>
    </row>
    <row r="57" spans="1:58" x14ac:dyDescent="0.2">
      <c r="A57" t="s">
        <v>75</v>
      </c>
      <c r="E57" t="s">
        <v>5</v>
      </c>
      <c r="F57" s="1">
        <v>0.92635135135135105</v>
      </c>
      <c r="G57" s="1">
        <v>0.99383561643835605</v>
      </c>
      <c r="H57" s="1">
        <v>6.1643835616438302E-3</v>
      </c>
      <c r="I57" s="1">
        <v>7.3648648648648604E-2</v>
      </c>
      <c r="J57" s="1">
        <v>0.95986394557823096</v>
      </c>
      <c r="AF57" s="12" t="s">
        <v>58</v>
      </c>
    </row>
    <row r="59" spans="1:58" x14ac:dyDescent="0.2">
      <c r="A59" s="12" t="s">
        <v>85</v>
      </c>
      <c r="AE59" t="s">
        <v>19</v>
      </c>
      <c r="AF59" t="s">
        <v>11</v>
      </c>
      <c r="AG59" t="s">
        <v>43</v>
      </c>
      <c r="AH59" t="s">
        <v>45</v>
      </c>
      <c r="AI59" t="s">
        <v>2</v>
      </c>
      <c r="AJ59" t="s">
        <v>35</v>
      </c>
      <c r="AK59" t="s">
        <v>36</v>
      </c>
      <c r="AL59" t="s">
        <v>37</v>
      </c>
      <c r="AM59" t="s">
        <v>38</v>
      </c>
      <c r="AN59" s="15" t="s">
        <v>1</v>
      </c>
      <c r="AO59" t="str">
        <f>AF59</f>
        <v>Race</v>
      </c>
      <c r="AP59" t="s">
        <v>39</v>
      </c>
      <c r="AQ59" t="s">
        <v>40</v>
      </c>
      <c r="AR59" t="s">
        <v>41</v>
      </c>
      <c r="AS59" t="s">
        <v>42</v>
      </c>
      <c r="AT59" t="s">
        <v>36</v>
      </c>
      <c r="AU59" t="s">
        <v>37</v>
      </c>
      <c r="AV59" t="s">
        <v>38</v>
      </c>
      <c r="AZ59" s="12" t="s">
        <v>81</v>
      </c>
    </row>
    <row r="60" spans="1:58" x14ac:dyDescent="0.2">
      <c r="A60" t="s">
        <v>59</v>
      </c>
      <c r="B60" t="s">
        <v>25</v>
      </c>
      <c r="C60" t="s">
        <v>26</v>
      </c>
      <c r="D60" t="s">
        <v>60</v>
      </c>
      <c r="E60" t="s">
        <v>61</v>
      </c>
      <c r="F60" t="s">
        <v>62</v>
      </c>
      <c r="G60" t="s">
        <v>63</v>
      </c>
      <c r="H60" t="s">
        <v>31</v>
      </c>
      <c r="I60" t="s">
        <v>47</v>
      </c>
      <c r="J60" t="s">
        <v>71</v>
      </c>
      <c r="AF60" t="s">
        <v>4</v>
      </c>
      <c r="AG60">
        <v>144</v>
      </c>
      <c r="AH60">
        <v>1232</v>
      </c>
      <c r="AI60" s="5">
        <f>AG60/(AH60+AG60)</f>
        <v>0.10465116279069768</v>
      </c>
      <c r="AJ60" s="6">
        <f>AI60/AI61</f>
        <v>1.0135506317524263</v>
      </c>
      <c r="AK60" s="5">
        <f>SQRT((1/AG60)+(1/AH61)+(1/AG61)+(1/AH60))</f>
        <v>0.12859536079444775</v>
      </c>
      <c r="AL60" s="6">
        <f>EXP(LN(AJ60)-1.96*AK60)</f>
        <v>0.7877399437880801</v>
      </c>
      <c r="AM60" s="6">
        <f>EXP(LN(AJ60)+1.96*AK60)</f>
        <v>1.3040913961855733</v>
      </c>
      <c r="AN60" s="5">
        <f>1-AI60</f>
        <v>0.89534883720930236</v>
      </c>
      <c r="AO60" t="str">
        <f>AF60</f>
        <v>African</v>
      </c>
      <c r="AP60">
        <f>AG60+AG64</f>
        <v>252</v>
      </c>
      <c r="AQ60">
        <f>AH60+AH64</f>
        <v>2513</v>
      </c>
      <c r="AR60" s="5">
        <f>AP60/(AQ60+AP60)</f>
        <v>9.1139240506329114E-2</v>
      </c>
      <c r="AS60" s="6">
        <f>AR60/AR61</f>
        <v>1.0041305796135911</v>
      </c>
      <c r="AT60" s="6">
        <f>SQRT((1/AP60)+(1/AQ60)+(1/AP61)+(1/AQ61))</f>
        <v>9.5864373006142797E-2</v>
      </c>
      <c r="AU60" s="6">
        <f>EXP(LN(AS60)-1.96*AT60)</f>
        <v>0.83212542451522276</v>
      </c>
      <c r="AV60" s="6">
        <f>EXP(LN(AS60)+1.96*AT60)</f>
        <v>1.2116901986290423</v>
      </c>
    </row>
    <row r="61" spans="1:58" x14ac:dyDescent="0.2">
      <c r="A61" s="18" t="s">
        <v>64</v>
      </c>
      <c r="B61" s="18" t="s">
        <v>27</v>
      </c>
      <c r="C61" t="s">
        <v>30</v>
      </c>
      <c r="D61" t="s">
        <v>10</v>
      </c>
      <c r="E61" t="s">
        <v>70</v>
      </c>
      <c r="F61" t="s">
        <v>70</v>
      </c>
      <c r="G61" t="s">
        <v>70</v>
      </c>
      <c r="H61">
        <v>0</v>
      </c>
      <c r="I61">
        <v>0</v>
      </c>
      <c r="J61">
        <v>1</v>
      </c>
      <c r="AF61" t="s">
        <v>5</v>
      </c>
      <c r="AG61">
        <v>127</v>
      </c>
      <c r="AH61">
        <v>1103</v>
      </c>
      <c r="AI61" s="5">
        <f>AG61/(AH61+AG61)</f>
        <v>0.10325203252032521</v>
      </c>
      <c r="AN61" s="5">
        <f>1-AI61</f>
        <v>0.89674796747967478</v>
      </c>
      <c r="AO61" t="str">
        <f>AF61</f>
        <v>Caucasian</v>
      </c>
      <c r="AP61">
        <f>AG61+AG65</f>
        <v>228</v>
      </c>
      <c r="AQ61">
        <f>AH61+AH65</f>
        <v>2284</v>
      </c>
      <c r="AR61" s="5">
        <f>AP61/(AQ61+AP61)</f>
        <v>9.0764331210191077E-2</v>
      </c>
      <c r="AS61" s="6"/>
      <c r="AT61" s="6"/>
      <c r="AU61" s="6"/>
      <c r="AV61" s="6"/>
    </row>
    <row r="62" spans="1:58" x14ac:dyDescent="0.2">
      <c r="A62" s="18"/>
      <c r="B62" s="18"/>
      <c r="C62" t="s">
        <v>28</v>
      </c>
      <c r="D62" t="s">
        <v>11</v>
      </c>
      <c r="E62" t="s">
        <v>70</v>
      </c>
      <c r="F62" t="s">
        <v>70</v>
      </c>
      <c r="G62" t="s">
        <v>70</v>
      </c>
      <c r="H62">
        <v>0</v>
      </c>
      <c r="I62">
        <v>0</v>
      </c>
      <c r="J62">
        <v>1</v>
      </c>
    </row>
    <row r="63" spans="1:58" x14ac:dyDescent="0.2">
      <c r="A63" s="18"/>
      <c r="B63" s="18" t="s">
        <v>29</v>
      </c>
      <c r="C63" t="s">
        <v>30</v>
      </c>
      <c r="D63" t="s">
        <v>10</v>
      </c>
      <c r="E63" t="s">
        <v>70</v>
      </c>
      <c r="F63" t="s">
        <v>70</v>
      </c>
      <c r="G63" t="s">
        <v>70</v>
      </c>
      <c r="H63">
        <v>0</v>
      </c>
      <c r="I63">
        <v>0</v>
      </c>
      <c r="J63">
        <v>1</v>
      </c>
      <c r="AF63" t="s">
        <v>11</v>
      </c>
      <c r="AG63" t="s">
        <v>44</v>
      </c>
      <c r="AH63" t="s">
        <v>46</v>
      </c>
      <c r="AI63" t="s">
        <v>3</v>
      </c>
      <c r="AJ63" t="s">
        <v>34</v>
      </c>
      <c r="AK63" t="s">
        <v>36</v>
      </c>
      <c r="AL63" t="s">
        <v>37</v>
      </c>
      <c r="AM63" t="s">
        <v>38</v>
      </c>
      <c r="AN63" t="s">
        <v>0</v>
      </c>
    </row>
    <row r="64" spans="1:58" x14ac:dyDescent="0.2">
      <c r="A64" s="18"/>
      <c r="B64" s="18"/>
      <c r="C64" t="s">
        <v>28</v>
      </c>
      <c r="D64" t="s">
        <v>11</v>
      </c>
      <c r="E64" t="s">
        <v>70</v>
      </c>
      <c r="F64" t="s">
        <v>70</v>
      </c>
      <c r="G64" t="s">
        <v>70</v>
      </c>
      <c r="H64">
        <v>0</v>
      </c>
      <c r="I64">
        <v>0</v>
      </c>
      <c r="J64">
        <v>1</v>
      </c>
      <c r="AF64" t="s">
        <v>4</v>
      </c>
      <c r="AG64">
        <v>108</v>
      </c>
      <c r="AH64">
        <v>1281</v>
      </c>
      <c r="AI64" s="5">
        <f>AG64/(AH64+AG64)</f>
        <v>7.775377969762419E-2</v>
      </c>
      <c r="AJ64" s="6">
        <f>AI64/AI65</f>
        <v>0.98693411457776448</v>
      </c>
      <c r="AK64" s="5">
        <f>SQRT((1/AG64)+(1/AH64)+(1/AG65)+(1/AH65))</f>
        <v>0.14417915776552445</v>
      </c>
      <c r="AL64" s="6">
        <f>EXP(LN(AJ64)-1.96*AK64)</f>
        <v>0.7439784986644562</v>
      </c>
      <c r="AM64" s="6">
        <f>EXP(LN(AJ64)+1.96*AK64)</f>
        <v>1.3092299686965818</v>
      </c>
      <c r="AN64" s="5">
        <f>1-AI64</f>
        <v>0.9222462203023758</v>
      </c>
      <c r="AR64" s="6"/>
      <c r="AS64" s="6"/>
      <c r="AT64" s="6"/>
      <c r="AU64" s="6"/>
      <c r="AV64" s="6"/>
    </row>
    <row r="65" spans="1:57" x14ac:dyDescent="0.2">
      <c r="A65" s="18" t="s">
        <v>65</v>
      </c>
      <c r="B65" s="18" t="s">
        <v>27</v>
      </c>
      <c r="C65" t="s">
        <v>30</v>
      </c>
      <c r="D65" t="s">
        <v>10</v>
      </c>
      <c r="E65" s="6">
        <v>0.15564684490538</v>
      </c>
      <c r="F65" s="6">
        <v>1.1223160804791801</v>
      </c>
      <c r="G65" s="6">
        <v>0.63600000000000001</v>
      </c>
      <c r="H65">
        <v>-3.8800000000000001E-2</v>
      </c>
      <c r="I65">
        <v>7.7700000000000005E-2</v>
      </c>
      <c r="J65" s="1">
        <v>0.93450520833333295</v>
      </c>
      <c r="AF65" t="s">
        <v>5</v>
      </c>
      <c r="AG65">
        <v>101</v>
      </c>
      <c r="AH65">
        <v>1181</v>
      </c>
      <c r="AI65" s="5">
        <f>AG65/(AH65+AG65)</f>
        <v>7.8783151326053041E-2</v>
      </c>
      <c r="AN65" s="5">
        <f>1-AI65</f>
        <v>0.92121684867394693</v>
      </c>
      <c r="AR65" s="6"/>
      <c r="AS65" s="6"/>
      <c r="AT65" s="6"/>
      <c r="AU65" s="6"/>
      <c r="AV65" s="6"/>
    </row>
    <row r="66" spans="1:57" x14ac:dyDescent="0.2">
      <c r="A66" s="18"/>
      <c r="B66" s="18"/>
      <c r="C66" t="s">
        <v>28</v>
      </c>
      <c r="D66" t="s">
        <v>11</v>
      </c>
      <c r="E66" s="6">
        <v>9.3877584215748405E-2</v>
      </c>
      <c r="F66" s="6">
        <v>0.81070485409001003</v>
      </c>
      <c r="G66">
        <v>0.54700000000000004</v>
      </c>
      <c r="H66">
        <v>-3.4799999999999998E-2</v>
      </c>
      <c r="I66">
        <v>0.14649999999999999</v>
      </c>
      <c r="J66" s="1">
        <v>0.87619372442019094</v>
      </c>
    </row>
    <row r="67" spans="1:57" x14ac:dyDescent="0.2">
      <c r="A67" s="18"/>
      <c r="B67" s="18" t="s">
        <v>29</v>
      </c>
      <c r="C67" t="s">
        <v>30</v>
      </c>
      <c r="D67" t="s">
        <v>10</v>
      </c>
      <c r="E67" s="6">
        <v>0.373498879546455</v>
      </c>
      <c r="F67" s="6">
        <v>1.3741376941047101</v>
      </c>
      <c r="G67" s="6">
        <v>0.63200000000000001</v>
      </c>
      <c r="H67" s="5">
        <v>-4.2799999999999998E-2</v>
      </c>
      <c r="I67" s="5">
        <v>8.5699999999999998E-2</v>
      </c>
      <c r="J67" s="1">
        <v>0.93763020833333299</v>
      </c>
      <c r="AZ67" t="s">
        <v>25</v>
      </c>
      <c r="BA67" t="s">
        <v>26</v>
      </c>
      <c r="BB67" t="s">
        <v>48</v>
      </c>
      <c r="BC67" t="s">
        <v>49</v>
      </c>
      <c r="BD67" t="s">
        <v>50</v>
      </c>
      <c r="BE67" t="s">
        <v>51</v>
      </c>
    </row>
    <row r="68" spans="1:57" x14ac:dyDescent="0.2">
      <c r="A68" s="18"/>
      <c r="B68" s="18"/>
      <c r="C68" t="s">
        <v>28</v>
      </c>
      <c r="D68" t="s">
        <v>11</v>
      </c>
      <c r="E68" s="6">
        <v>0.48867916862553901</v>
      </c>
      <c r="F68" s="6">
        <v>0.37806909060928301</v>
      </c>
      <c r="G68">
        <v>0.45400000000000001</v>
      </c>
      <c r="H68">
        <v>-1.7299999999999999E-2</v>
      </c>
      <c r="I68">
        <v>0.13619999999999999</v>
      </c>
      <c r="J68" s="1">
        <v>0.91200545702591995</v>
      </c>
      <c r="AE68" t="s">
        <v>18</v>
      </c>
      <c r="AF68" t="s">
        <v>11</v>
      </c>
      <c r="AG68" t="s">
        <v>43</v>
      </c>
      <c r="AH68" t="s">
        <v>45</v>
      </c>
      <c r="AI68" t="s">
        <v>2</v>
      </c>
      <c r="AJ68" t="s">
        <v>35</v>
      </c>
      <c r="AK68" t="s">
        <v>36</v>
      </c>
      <c r="AL68" t="s">
        <v>37</v>
      </c>
      <c r="AM68" t="s">
        <v>38</v>
      </c>
      <c r="AN68" t="s">
        <v>1</v>
      </c>
      <c r="AO68" t="str">
        <f>AF68</f>
        <v>Race</v>
      </c>
      <c r="AP68" t="s">
        <v>39</v>
      </c>
      <c r="AQ68" t="s">
        <v>40</v>
      </c>
      <c r="AR68" t="s">
        <v>41</v>
      </c>
      <c r="AS68" t="s">
        <v>42</v>
      </c>
      <c r="AT68" t="s">
        <v>36</v>
      </c>
      <c r="AU68" t="s">
        <v>37</v>
      </c>
      <c r="AV68" t="s">
        <v>38</v>
      </c>
      <c r="AZ68" s="18" t="s">
        <v>27</v>
      </c>
      <c r="BA68" s="18" t="s">
        <v>30</v>
      </c>
      <c r="BB68" t="s">
        <v>22</v>
      </c>
      <c r="BC68" s="6">
        <v>0.74877385465358504</v>
      </c>
      <c r="BD68" s="6">
        <v>1.3401285696667951</v>
      </c>
      <c r="BE68" s="6">
        <v>1.002</v>
      </c>
    </row>
    <row r="69" spans="1:57" x14ac:dyDescent="0.2">
      <c r="A69" s="18" t="s">
        <v>66</v>
      </c>
      <c r="B69" s="18" t="s">
        <v>27</v>
      </c>
      <c r="C69" t="s">
        <v>30</v>
      </c>
      <c r="D69" t="s">
        <v>10</v>
      </c>
      <c r="E69" s="6">
        <v>1.26975057685968</v>
      </c>
      <c r="F69" s="6">
        <v>1.1784562932913201</v>
      </c>
      <c r="G69">
        <v>1.2010000000000001</v>
      </c>
      <c r="H69">
        <v>-3.0000000000000001E-3</v>
      </c>
      <c r="I69">
        <v>1.66E-2</v>
      </c>
      <c r="J69" s="1">
        <v>0.95455729166666603</v>
      </c>
      <c r="AF69" t="s">
        <v>4</v>
      </c>
      <c r="AG69">
        <v>142</v>
      </c>
      <c r="AH69">
        <v>1234</v>
      </c>
      <c r="AI69" s="5">
        <f>AG69/(AH69+AG69)</f>
        <v>0.10319767441860465</v>
      </c>
      <c r="AJ69" s="6">
        <f>AI69/AI70</f>
        <v>1.1862910236905022</v>
      </c>
      <c r="AK69" s="5">
        <f>SQRT((1/AG69)+(1/AH69)+(1/AG70)+(1/AH70))</f>
        <v>0.13449495393976152</v>
      </c>
      <c r="AL69" s="6">
        <f>EXP(LN(AJ69)-1.96*AK69)</f>
        <v>0.91139539146555737</v>
      </c>
      <c r="AM69" s="6">
        <f>EXP(LN(AJ69)+1.96*AK69)</f>
        <v>1.5441008436806898</v>
      </c>
      <c r="AN69" s="5">
        <f>1-AI69</f>
        <v>0.89680232558139539</v>
      </c>
      <c r="AO69" t="str">
        <f>AF69</f>
        <v>African</v>
      </c>
      <c r="AP69">
        <f>AG69+AG73</f>
        <v>197</v>
      </c>
      <c r="AQ69">
        <f>AH69+AH73</f>
        <v>2568</v>
      </c>
      <c r="AR69" s="6">
        <f>AP69/(AQ69+AP69)</f>
        <v>7.1247739602169985E-2</v>
      </c>
      <c r="AS69" s="6">
        <f>AR69/AR70</f>
        <v>1.2875850495010863</v>
      </c>
      <c r="AT69" s="6">
        <f>SQRT((1/AP69)+(1/AQ69)+(1/AP70)+(1/AQ70))</f>
        <v>0.11437308397100357</v>
      </c>
      <c r="AU69" s="6">
        <f>EXP(LN(AS69)-1.96*AT69)</f>
        <v>1.0290099893786711</v>
      </c>
      <c r="AV69" s="6">
        <f>EXP(LN(AS69)+1.96*AT69)</f>
        <v>1.6111362152079405</v>
      </c>
      <c r="AZ69" s="18"/>
      <c r="BA69" s="18"/>
      <c r="BB69" t="s">
        <v>23</v>
      </c>
      <c r="BC69" s="6">
        <v>0.79196097265155896</v>
      </c>
      <c r="BD69" s="6">
        <v>1.7327425154681166</v>
      </c>
      <c r="BE69" s="6">
        <v>1.171</v>
      </c>
    </row>
    <row r="70" spans="1:57" x14ac:dyDescent="0.2">
      <c r="A70" s="18"/>
      <c r="B70" s="18"/>
      <c r="C70" t="s">
        <v>28</v>
      </c>
      <c r="D70" t="s">
        <v>11</v>
      </c>
      <c r="E70" s="6">
        <v>5.4314888010540097</v>
      </c>
      <c r="F70" s="6">
        <v>0.486529128637335</v>
      </c>
      <c r="G70">
        <v>0.88200000000000001</v>
      </c>
      <c r="H70">
        <v>5.1700000000000003E-2</v>
      </c>
      <c r="I70">
        <v>0.10340000000000001</v>
      </c>
      <c r="J70" s="1">
        <v>0.94116643929058597</v>
      </c>
      <c r="AF70" t="s">
        <v>5</v>
      </c>
      <c r="AG70">
        <v>107</v>
      </c>
      <c r="AH70">
        <v>1123</v>
      </c>
      <c r="AI70" s="5">
        <f>AG70/(AH70+AG70)</f>
        <v>8.6991869918699186E-2</v>
      </c>
      <c r="AN70" s="5">
        <f>1-AI70</f>
        <v>0.91300813008130077</v>
      </c>
      <c r="AO70" t="str">
        <f>AF70</f>
        <v>Caucasian</v>
      </c>
      <c r="AP70">
        <f>AG70+AG74</f>
        <v>139</v>
      </c>
      <c r="AQ70">
        <f>AH70+AH74</f>
        <v>2373</v>
      </c>
      <c r="AR70" s="6">
        <f>AP70/(AQ70+AP70)</f>
        <v>5.53343949044586E-2</v>
      </c>
      <c r="AS70" s="6"/>
      <c r="AT70" s="6"/>
      <c r="AU70" s="6"/>
      <c r="AV70" s="6"/>
      <c r="AZ70" s="18"/>
      <c r="BA70" s="18"/>
      <c r="BB70" t="s">
        <v>24</v>
      </c>
      <c r="BC70" s="6">
        <v>0.83861189289683036</v>
      </c>
      <c r="BD70" s="6">
        <v>1.3363322657665735</v>
      </c>
      <c r="BE70" s="6">
        <v>1.0589999999999999</v>
      </c>
    </row>
    <row r="71" spans="1:57" x14ac:dyDescent="0.2">
      <c r="A71" s="18"/>
      <c r="B71" s="18" t="s">
        <v>29</v>
      </c>
      <c r="C71" t="s">
        <v>30</v>
      </c>
      <c r="D71" t="s">
        <v>10</v>
      </c>
      <c r="E71" s="6">
        <v>1.2749121645704899</v>
      </c>
      <c r="F71" s="6">
        <v>1.1867552812722499</v>
      </c>
      <c r="G71">
        <v>1.2110000000000001</v>
      </c>
      <c r="H71">
        <v>-2.3999999999999998E-3</v>
      </c>
      <c r="I71">
        <v>1.6500000000000001E-2</v>
      </c>
      <c r="J71" s="1">
        <v>0.95664062500000002</v>
      </c>
      <c r="AZ71" s="18" t="s">
        <v>29</v>
      </c>
      <c r="BA71" s="18"/>
      <c r="BB71" t="s">
        <v>22</v>
      </c>
      <c r="BC71" s="6">
        <v>0.72224846731601244</v>
      </c>
      <c r="BD71" s="6">
        <v>1.4305098893451278</v>
      </c>
      <c r="BE71" s="6">
        <v>1.016</v>
      </c>
    </row>
    <row r="72" spans="1:57" x14ac:dyDescent="0.2">
      <c r="A72" s="18"/>
      <c r="B72" s="18"/>
      <c r="C72" t="s">
        <v>28</v>
      </c>
      <c r="D72" t="s">
        <v>11</v>
      </c>
      <c r="E72" s="6" t="s">
        <v>70</v>
      </c>
      <c r="F72" s="6">
        <v>0.56605188584731903</v>
      </c>
      <c r="G72">
        <v>0.60399999999999998</v>
      </c>
      <c r="H72">
        <v>5.6599999999999998E-2</v>
      </c>
      <c r="I72">
        <v>0.1133</v>
      </c>
      <c r="J72" s="1">
        <v>0.90433151432469305</v>
      </c>
      <c r="AF72" t="s">
        <v>11</v>
      </c>
      <c r="AG72" t="s">
        <v>44</v>
      </c>
      <c r="AH72" t="s">
        <v>46</v>
      </c>
      <c r="AI72" t="s">
        <v>3</v>
      </c>
      <c r="AJ72" t="s">
        <v>34</v>
      </c>
      <c r="AK72" t="s">
        <v>36</v>
      </c>
      <c r="AL72" t="s">
        <v>37</v>
      </c>
      <c r="AM72" t="s">
        <v>38</v>
      </c>
      <c r="AN72" t="s">
        <v>0</v>
      </c>
      <c r="AZ72" s="18"/>
      <c r="BA72" s="18"/>
      <c r="BB72" t="s">
        <v>23</v>
      </c>
      <c r="BC72" s="6">
        <v>0.72284536555968404</v>
      </c>
      <c r="BD72" s="6">
        <v>1.4892914971507982</v>
      </c>
      <c r="BE72" s="6">
        <v>1.038</v>
      </c>
    </row>
    <row r="73" spans="1:57" x14ac:dyDescent="0.2">
      <c r="A73" s="12" t="s">
        <v>84</v>
      </c>
      <c r="AF73" t="s">
        <v>4</v>
      </c>
      <c r="AG73">
        <v>55</v>
      </c>
      <c r="AH73">
        <v>1334</v>
      </c>
      <c r="AI73" s="5">
        <f>AG73/(AH73+AG73)</f>
        <v>3.9596832253419728E-2</v>
      </c>
      <c r="AJ73" s="6">
        <f>AI73/AI74</f>
        <v>1.5863480921526278</v>
      </c>
      <c r="AK73" s="5">
        <f>SQRT((1/AG73)+(1/AH73)+(1/AG74)+(1/AH74))</f>
        <v>0.22579070700368623</v>
      </c>
      <c r="AL73" s="6">
        <f>EXP(LN(AJ73)-1.96*AK73)</f>
        <v>1.0190642369224725</v>
      </c>
      <c r="AM73" s="6">
        <f>EXP(LN(AJ73)+1.96*AK73)</f>
        <v>2.4694226117442786</v>
      </c>
      <c r="AN73" s="5">
        <f>1-AI73</f>
        <v>0.9604031677465803</v>
      </c>
      <c r="AR73" s="6"/>
      <c r="AS73" s="6"/>
      <c r="AT73" s="6"/>
      <c r="AU73" s="6"/>
      <c r="AV73" s="6"/>
      <c r="AZ73" s="18"/>
      <c r="BA73" s="18"/>
      <c r="BB73" t="s">
        <v>24</v>
      </c>
      <c r="BC73" s="6">
        <v>0.80073249318793116</v>
      </c>
      <c r="BD73" s="6">
        <v>1.3156745677627903</v>
      </c>
      <c r="BE73" s="6">
        <v>1.026</v>
      </c>
    </row>
    <row r="74" spans="1:57" x14ac:dyDescent="0.2">
      <c r="A74" t="s">
        <v>59</v>
      </c>
      <c r="B74" t="s">
        <v>25</v>
      </c>
      <c r="C74" t="s">
        <v>26</v>
      </c>
      <c r="D74" t="s">
        <v>60</v>
      </c>
      <c r="E74" t="s">
        <v>61</v>
      </c>
      <c r="F74" t="s">
        <v>62</v>
      </c>
      <c r="G74" t="s">
        <v>63</v>
      </c>
      <c r="H74" t="s">
        <v>31</v>
      </c>
      <c r="I74" t="s">
        <v>47</v>
      </c>
      <c r="J74" t="s">
        <v>71</v>
      </c>
      <c r="AF74" t="s">
        <v>5</v>
      </c>
      <c r="AG74">
        <v>32</v>
      </c>
      <c r="AH74">
        <v>1250</v>
      </c>
      <c r="AI74" s="5">
        <f>AG74/(AH74+AG74)</f>
        <v>2.4960998439937598E-2</v>
      </c>
      <c r="AN74" s="5">
        <f>1-AI74</f>
        <v>0.9750390015600624</v>
      </c>
      <c r="AR74" s="6"/>
      <c r="AS74" s="6"/>
      <c r="AT74" s="6"/>
      <c r="AU74" s="6"/>
      <c r="AV74" s="6"/>
      <c r="AZ74" s="18" t="s">
        <v>27</v>
      </c>
      <c r="BA74" s="18" t="s">
        <v>28</v>
      </c>
      <c r="BB74" t="s">
        <v>22</v>
      </c>
      <c r="BC74" s="6">
        <v>0.7877399437880801</v>
      </c>
      <c r="BD74" s="6">
        <v>1.3040913961855733</v>
      </c>
      <c r="BE74" s="6">
        <f>AJ60</f>
        <v>1.0135506317524263</v>
      </c>
    </row>
    <row r="75" spans="1:57" x14ac:dyDescent="0.2">
      <c r="A75" s="18" t="s">
        <v>64</v>
      </c>
      <c r="B75" s="18" t="s">
        <v>27</v>
      </c>
      <c r="C75" t="s">
        <v>30</v>
      </c>
      <c r="D75" t="s">
        <v>10</v>
      </c>
      <c r="E75" t="s">
        <v>70</v>
      </c>
      <c r="F75" t="s">
        <v>70</v>
      </c>
      <c r="G75" t="s">
        <v>70</v>
      </c>
      <c r="H75">
        <v>0</v>
      </c>
      <c r="I75">
        <v>0</v>
      </c>
      <c r="J75">
        <v>1</v>
      </c>
      <c r="AZ75" s="18"/>
      <c r="BA75" s="18"/>
      <c r="BB75" t="s">
        <v>23</v>
      </c>
      <c r="BC75" s="6">
        <v>0.7439784986644562</v>
      </c>
      <c r="BD75" s="6">
        <v>1.3092299686965818</v>
      </c>
      <c r="BE75" s="6">
        <v>0.98699999999999999</v>
      </c>
    </row>
    <row r="76" spans="1:57" x14ac:dyDescent="0.2">
      <c r="A76" s="18"/>
      <c r="B76" s="18"/>
      <c r="C76" t="s">
        <v>28</v>
      </c>
      <c r="D76" t="s">
        <v>11</v>
      </c>
      <c r="E76" t="s">
        <v>70</v>
      </c>
      <c r="F76" t="s">
        <v>70</v>
      </c>
      <c r="G76" t="s">
        <v>70</v>
      </c>
      <c r="H76">
        <v>0</v>
      </c>
      <c r="I76">
        <v>0</v>
      </c>
      <c r="J76">
        <v>1</v>
      </c>
      <c r="AE76" t="s">
        <v>19</v>
      </c>
      <c r="AF76" t="s">
        <v>10</v>
      </c>
      <c r="AG76" t="s">
        <v>43</v>
      </c>
      <c r="AH76" t="s">
        <v>45</v>
      </c>
      <c r="AI76" t="s">
        <v>2</v>
      </c>
      <c r="AJ76" t="s">
        <v>35</v>
      </c>
      <c r="AK76" t="s">
        <v>36</v>
      </c>
      <c r="AL76" t="s">
        <v>37</v>
      </c>
      <c r="AM76" t="s">
        <v>38</v>
      </c>
      <c r="AN76" t="s">
        <v>1</v>
      </c>
      <c r="AO76" t="str">
        <f>AF76</f>
        <v>Gender</v>
      </c>
      <c r="AP76" t="s">
        <v>39</v>
      </c>
      <c r="AQ76" t="s">
        <v>40</v>
      </c>
      <c r="AR76" t="s">
        <v>41</v>
      </c>
      <c r="AS76" t="s">
        <v>42</v>
      </c>
      <c r="AT76" t="s">
        <v>36</v>
      </c>
      <c r="AU76" t="s">
        <v>37</v>
      </c>
      <c r="AV76" t="s">
        <v>38</v>
      </c>
      <c r="AZ76" s="18"/>
      <c r="BA76" s="18"/>
      <c r="BB76" t="s">
        <v>24</v>
      </c>
      <c r="BC76" s="6">
        <v>0.83212542451522276</v>
      </c>
      <c r="BD76" s="6">
        <v>1.2116901986290423</v>
      </c>
      <c r="BE76" s="13">
        <v>1.004</v>
      </c>
    </row>
    <row r="77" spans="1:57" x14ac:dyDescent="0.2">
      <c r="A77" s="18"/>
      <c r="B77" s="18" t="s">
        <v>29</v>
      </c>
      <c r="C77" t="s">
        <v>30</v>
      </c>
      <c r="D77" t="s">
        <v>10</v>
      </c>
      <c r="E77" t="s">
        <v>70</v>
      </c>
      <c r="F77" t="s">
        <v>70</v>
      </c>
      <c r="G77" t="s">
        <v>70</v>
      </c>
      <c r="H77">
        <v>0</v>
      </c>
      <c r="I77">
        <v>0</v>
      </c>
      <c r="J77">
        <v>1</v>
      </c>
      <c r="AF77" t="s">
        <v>6</v>
      </c>
      <c r="AG77">
        <v>96</v>
      </c>
      <c r="AH77">
        <v>1643</v>
      </c>
      <c r="AI77" s="5">
        <f>AG77/(AH77+AG77)</f>
        <v>5.5204140310523286E-2</v>
      </c>
      <c r="AJ77" s="6">
        <f>AI77/AI78</f>
        <v>1.0017251293847038</v>
      </c>
      <c r="AK77" s="5">
        <f>SQRT((1/AG77)+(1/AH77)+(1/AG78)+(1/AH78))</f>
        <v>0.14849077235434713</v>
      </c>
      <c r="AL77" s="6">
        <f>EXP(LN(AJ77)-1.96*AK77)</f>
        <v>0.74877385465358504</v>
      </c>
      <c r="AM77" s="6">
        <f>EXP(LN(AJ77)+1.96*AK77)</f>
        <v>1.3401285696667951</v>
      </c>
      <c r="AN77" s="5">
        <f>1-AI77</f>
        <v>0.94479585968947677</v>
      </c>
      <c r="AO77" t="str">
        <f>AF77</f>
        <v>Female</v>
      </c>
      <c r="AP77">
        <f>AG77+AG81</f>
        <v>152</v>
      </c>
      <c r="AQ77">
        <f>AH77+AH81</f>
        <v>3299</v>
      </c>
      <c r="AR77" s="6">
        <f>AP77/(AQ77+AP77)</f>
        <v>4.4045204288612E-2</v>
      </c>
      <c r="AS77" s="6">
        <f>AR77/AR78</f>
        <v>1.0586142502978204</v>
      </c>
      <c r="AT77" s="6">
        <f>SQRT((1/AP77)+(1/AQ77)+(1/AP78)+(1/AQ78))</f>
        <v>0.11886122668710666</v>
      </c>
      <c r="AU77" s="6">
        <f>EXP(LN(AS77)-1.96*AT77)</f>
        <v>0.83861189289683036</v>
      </c>
      <c r="AV77" s="6">
        <f>EXP(LN(AS77)+1.96*AT77)</f>
        <v>1.3363322657665735</v>
      </c>
      <c r="AZ77" s="18" t="s">
        <v>29</v>
      </c>
      <c r="BA77" s="18"/>
      <c r="BB77" t="s">
        <v>22</v>
      </c>
      <c r="BC77" s="6">
        <v>0.91139539146555737</v>
      </c>
      <c r="BD77" s="6">
        <v>1.5441008436806898</v>
      </c>
      <c r="BE77" s="6">
        <v>1.1859999999999999</v>
      </c>
    </row>
    <row r="78" spans="1:57" x14ac:dyDescent="0.2">
      <c r="A78" s="18"/>
      <c r="B78" s="18"/>
      <c r="C78" t="s">
        <v>28</v>
      </c>
      <c r="D78" t="s">
        <v>11</v>
      </c>
      <c r="E78" t="s">
        <v>70</v>
      </c>
      <c r="F78" t="s">
        <v>70</v>
      </c>
      <c r="G78" t="s">
        <v>70</v>
      </c>
      <c r="H78">
        <v>0</v>
      </c>
      <c r="I78">
        <v>0</v>
      </c>
      <c r="J78">
        <v>1</v>
      </c>
      <c r="AF78" t="s">
        <v>7</v>
      </c>
      <c r="AG78">
        <v>96</v>
      </c>
      <c r="AH78">
        <v>1646</v>
      </c>
      <c r="AI78" s="5">
        <f>AG78/(AH78+AG78)</f>
        <v>5.5109070034443167E-2</v>
      </c>
      <c r="AN78" s="5">
        <f>1-AI78</f>
        <v>0.94489092996555679</v>
      </c>
      <c r="AO78" t="str">
        <f>AF78</f>
        <v>Male</v>
      </c>
      <c r="AP78">
        <f>AG78+AG82</f>
        <v>144</v>
      </c>
      <c r="AQ78">
        <f>AH78+AH82</f>
        <v>3317</v>
      </c>
      <c r="AR78" s="6">
        <f>AP78/(AQ78+AP78)</f>
        <v>4.1606472117885006E-2</v>
      </c>
      <c r="AS78" s="6"/>
      <c r="AT78" s="6"/>
      <c r="AU78" s="6"/>
      <c r="AV78" s="6"/>
      <c r="AZ78" s="18"/>
      <c r="BA78" s="18"/>
      <c r="BB78" t="s">
        <v>23</v>
      </c>
      <c r="BC78" s="6">
        <v>1.0190642369224725</v>
      </c>
      <c r="BD78" s="6">
        <v>2.4694226117442786</v>
      </c>
      <c r="BE78" s="6">
        <v>1.5860000000000001</v>
      </c>
    </row>
    <row r="79" spans="1:57" x14ac:dyDescent="0.2">
      <c r="A79" s="18" t="s">
        <v>65</v>
      </c>
      <c r="B79" s="18" t="s">
        <v>27</v>
      </c>
      <c r="C79" t="s">
        <v>30</v>
      </c>
      <c r="D79" t="s">
        <v>10</v>
      </c>
      <c r="E79" s="6">
        <v>2.7028248587570598</v>
      </c>
      <c r="F79" s="6">
        <v>0.63949843260188</v>
      </c>
      <c r="G79">
        <v>1.276</v>
      </c>
      <c r="H79">
        <v>3.2899999999999999E-2</v>
      </c>
      <c r="I79">
        <v>6.5699999999999995E-2</v>
      </c>
      <c r="J79" s="1">
        <v>0.953125</v>
      </c>
      <c r="AZ79" s="18"/>
      <c r="BA79" s="18"/>
      <c r="BB79" t="s">
        <v>24</v>
      </c>
      <c r="BC79" s="6">
        <v>1.0290099893786711</v>
      </c>
      <c r="BD79" s="6">
        <v>1.6111362152079405</v>
      </c>
      <c r="BE79" s="6">
        <v>1.288</v>
      </c>
    </row>
    <row r="80" spans="1:57" x14ac:dyDescent="0.2">
      <c r="A80" s="18"/>
      <c r="B80" s="18"/>
      <c r="C80" t="s">
        <v>28</v>
      </c>
      <c r="D80" t="s">
        <v>11</v>
      </c>
      <c r="E80" s="6">
        <v>0.75117370892018698</v>
      </c>
      <c r="F80" s="6">
        <v>1.0750273822562899</v>
      </c>
      <c r="G80">
        <v>0.875</v>
      </c>
      <c r="H80">
        <v>-2.0199999999999999E-2</v>
      </c>
      <c r="I80">
        <v>4.0500000000000001E-2</v>
      </c>
      <c r="J80" s="1">
        <v>0.90289608177171998</v>
      </c>
      <c r="AF80" t="s">
        <v>10</v>
      </c>
      <c r="AG80" t="s">
        <v>44</v>
      </c>
      <c r="AH80" t="s">
        <v>46</v>
      </c>
      <c r="AI80" t="s">
        <v>3</v>
      </c>
      <c r="AJ80" t="s">
        <v>34</v>
      </c>
      <c r="AK80" t="s">
        <v>36</v>
      </c>
      <c r="AL80" t="s">
        <v>37</v>
      </c>
      <c r="AM80" t="s">
        <v>38</v>
      </c>
      <c r="AN80" t="s">
        <v>0</v>
      </c>
    </row>
    <row r="81" spans="1:72" x14ac:dyDescent="0.2">
      <c r="A81" s="18"/>
      <c r="B81" s="18" t="s">
        <v>29</v>
      </c>
      <c r="C81" t="s">
        <v>30</v>
      </c>
      <c r="D81" t="s">
        <v>10</v>
      </c>
      <c r="E81" s="6">
        <v>0.85053929121725702</v>
      </c>
      <c r="F81" s="6">
        <v>1.0049261083743799</v>
      </c>
      <c r="G81" s="6">
        <v>0.91900000000000004</v>
      </c>
      <c r="H81" s="5">
        <v>-4.5999999999999999E-3</v>
      </c>
      <c r="I81" s="5">
        <v>9.1999999999999998E-3</v>
      </c>
      <c r="J81" s="1">
        <v>0.95052083333333304</v>
      </c>
      <c r="AF81" t="s">
        <v>6</v>
      </c>
      <c r="AG81">
        <v>56</v>
      </c>
      <c r="AH81">
        <v>1656</v>
      </c>
      <c r="AI81" s="5">
        <f>AG81/(AH81+AG81)</f>
        <v>3.2710280373831772E-2</v>
      </c>
      <c r="AJ81" s="6">
        <f>AI81/AI82</f>
        <v>1.1714369158878504</v>
      </c>
      <c r="AK81" s="5">
        <f>SQRT((1/AG81)+(1/AH81)+(1/AG82)+(1/AH82))</f>
        <v>0.19973178257417484</v>
      </c>
      <c r="AL81" s="6">
        <f>EXP(LN(AJ81)-1.96*AK81)</f>
        <v>0.79196097265155896</v>
      </c>
      <c r="AM81" s="6">
        <f>EXP(LN(AJ81)+1.96*AK81)</f>
        <v>1.7327425154681166</v>
      </c>
      <c r="AN81" s="5">
        <f>1-AI81</f>
        <v>0.96728971962616828</v>
      </c>
      <c r="AR81" s="6"/>
      <c r="AS81" s="6"/>
      <c r="AT81" s="6"/>
      <c r="AU81" s="6"/>
      <c r="AV81" s="6"/>
    </row>
    <row r="82" spans="1:72" x14ac:dyDescent="0.2">
      <c r="A82" s="18"/>
      <c r="B82" s="18"/>
      <c r="C82" t="s">
        <v>28</v>
      </c>
      <c r="D82" t="s">
        <v>11</v>
      </c>
      <c r="E82" s="6">
        <v>0.45070422535211202</v>
      </c>
      <c r="F82" s="6">
        <v>4.54819277108433</v>
      </c>
      <c r="G82">
        <v>0.82299999999999995</v>
      </c>
      <c r="H82">
        <v>-6.6400000000000001E-2</v>
      </c>
      <c r="I82">
        <v>0.1328</v>
      </c>
      <c r="J82" s="1">
        <v>0.92844974446337303</v>
      </c>
      <c r="AF82" t="s">
        <v>7</v>
      </c>
      <c r="AG82">
        <v>48</v>
      </c>
      <c r="AH82">
        <v>1671</v>
      </c>
      <c r="AI82" s="5">
        <f>AG82/(AH82+AG82)</f>
        <v>2.7923211169284468E-2</v>
      </c>
      <c r="AN82" s="5">
        <f>1-AI82</f>
        <v>0.97207678883071558</v>
      </c>
      <c r="AR82" s="6"/>
      <c r="AS82" s="6"/>
      <c r="AT82" s="6"/>
      <c r="AU82" s="6"/>
      <c r="AV82" s="6"/>
    </row>
    <row r="83" spans="1:72" x14ac:dyDescent="0.2">
      <c r="A83" s="18" t="s">
        <v>66</v>
      </c>
      <c r="B83" s="18" t="s">
        <v>27</v>
      </c>
      <c r="C83" t="s">
        <v>30</v>
      </c>
      <c r="D83" t="s">
        <v>10</v>
      </c>
      <c r="E83" s="6">
        <v>2.77212806026365</v>
      </c>
      <c r="F83" s="6">
        <v>1.4515599343185499</v>
      </c>
      <c r="G83">
        <v>1.7869999999999999</v>
      </c>
      <c r="H83">
        <v>4.4999999999999997E-3</v>
      </c>
      <c r="I83">
        <v>4.8800000000000003E-2</v>
      </c>
      <c r="J83" s="1">
        <v>0.95703125</v>
      </c>
    </row>
    <row r="84" spans="1:72" x14ac:dyDescent="0.2">
      <c r="A84" s="18"/>
      <c r="B84" s="18"/>
      <c r="C84" t="s">
        <v>28</v>
      </c>
      <c r="D84" t="s">
        <v>11</v>
      </c>
      <c r="E84" s="6">
        <v>0.57947686116700203</v>
      </c>
      <c r="F84" s="6">
        <v>1.10456110154905</v>
      </c>
      <c r="G84">
        <v>0.84099999999999997</v>
      </c>
      <c r="H84">
        <v>-2.7799999999999998E-2</v>
      </c>
      <c r="I84">
        <v>5.57E-2</v>
      </c>
      <c r="J84" s="1">
        <v>0.90800681431005104</v>
      </c>
    </row>
    <row r="85" spans="1:72" x14ac:dyDescent="0.2">
      <c r="A85" s="18"/>
      <c r="B85" s="18" t="s">
        <v>29</v>
      </c>
      <c r="C85" t="s">
        <v>30</v>
      </c>
      <c r="D85" t="s">
        <v>10</v>
      </c>
      <c r="E85" s="6">
        <v>0.77966101694915202</v>
      </c>
      <c r="F85" s="6">
        <v>1.0962830273175099</v>
      </c>
      <c r="G85">
        <v>0.96699999999999997</v>
      </c>
      <c r="H85">
        <v>-7.4000000000000003E-3</v>
      </c>
      <c r="I85">
        <v>1.4800000000000001E-2</v>
      </c>
      <c r="J85" s="1">
        <v>0.95182291666666596</v>
      </c>
      <c r="AE85" t="s">
        <v>18</v>
      </c>
      <c r="AF85" t="s">
        <v>10</v>
      </c>
      <c r="AG85" t="s">
        <v>43</v>
      </c>
      <c r="AH85" t="s">
        <v>45</v>
      </c>
      <c r="AI85" t="s">
        <v>2</v>
      </c>
      <c r="AJ85" t="s">
        <v>35</v>
      </c>
      <c r="AK85" t="s">
        <v>36</v>
      </c>
      <c r="AL85" t="s">
        <v>37</v>
      </c>
      <c r="AM85" t="s">
        <v>38</v>
      </c>
      <c r="AN85" t="s">
        <v>1</v>
      </c>
      <c r="AO85" t="str">
        <f>AF85</f>
        <v>Gender</v>
      </c>
      <c r="AP85" t="s">
        <v>39</v>
      </c>
      <c r="AQ85" t="s">
        <v>40</v>
      </c>
      <c r="AR85" t="s">
        <v>41</v>
      </c>
      <c r="AS85" t="s">
        <v>42</v>
      </c>
      <c r="AT85" t="s">
        <v>36</v>
      </c>
      <c r="AU85" t="s">
        <v>37</v>
      </c>
      <c r="AV85" t="s">
        <v>38</v>
      </c>
    </row>
    <row r="86" spans="1:72" x14ac:dyDescent="0.2">
      <c r="A86" s="18"/>
      <c r="B86" s="18"/>
      <c r="C86" t="s">
        <v>28</v>
      </c>
      <c r="D86" t="s">
        <v>11</v>
      </c>
      <c r="E86" s="6">
        <v>1.12676056338028</v>
      </c>
      <c r="F86" s="6">
        <v>0.90963855421686701</v>
      </c>
      <c r="G86">
        <v>0.996</v>
      </c>
      <c r="H86">
        <v>7.6E-3</v>
      </c>
      <c r="I86">
        <v>1.5100000000000001E-2</v>
      </c>
      <c r="J86" s="1">
        <v>0.92844974446337303</v>
      </c>
      <c r="AF86" t="s">
        <v>6</v>
      </c>
      <c r="AG86">
        <v>69</v>
      </c>
      <c r="AH86">
        <v>1670</v>
      </c>
      <c r="AI86" s="5">
        <f>AG86/(AH86+AG86)</f>
        <v>3.9677975848188614E-2</v>
      </c>
      <c r="AJ86" s="6">
        <f>AI86/AI87</f>
        <v>1.0164563812874201</v>
      </c>
      <c r="AK86" s="5">
        <f>SQRT((1/AG86)+(1/AH86)+(1/AG87)+(1/AH87))</f>
        <v>0.17434107357835291</v>
      </c>
      <c r="AL86" s="6">
        <f>EXP(LN(AJ86)-1.96*AK86)</f>
        <v>0.72224846731601244</v>
      </c>
      <c r="AM86" s="6">
        <f>EXP(LN(AJ86)+1.96*AK86)</f>
        <v>1.4305098893451278</v>
      </c>
      <c r="AN86" s="5">
        <f>1-AI86</f>
        <v>0.96032202415181134</v>
      </c>
      <c r="AO86" t="str">
        <f>AF86</f>
        <v>Female</v>
      </c>
      <c r="AP86">
        <f>AG86+AG90</f>
        <v>131</v>
      </c>
      <c r="AQ86">
        <f>AH86+AH90</f>
        <v>3320</v>
      </c>
      <c r="AR86" s="6">
        <f>AP86/(AQ86+AP86)</f>
        <v>3.7960011590843237E-2</v>
      </c>
      <c r="AS86" s="6">
        <f>AR86/AR87</f>
        <v>1.0264031259055346</v>
      </c>
      <c r="AT86" s="6">
        <f>SQRT((1/AP86)+(1/AQ86)+(1/AP87)+(1/AQ87))</f>
        <v>0.12667802733125011</v>
      </c>
      <c r="AU86" s="6">
        <f>EXP(LN(AS86)-1.96*AT86)</f>
        <v>0.80073249318793116</v>
      </c>
      <c r="AV86" s="6">
        <f>EXP(LN(AS86)+1.96*AT86)</f>
        <v>1.3156745677627903</v>
      </c>
    </row>
    <row r="87" spans="1:72" x14ac:dyDescent="0.2">
      <c r="A87" s="12" t="s">
        <v>83</v>
      </c>
      <c r="AF87" t="s">
        <v>7</v>
      </c>
      <c r="AG87">
        <v>68</v>
      </c>
      <c r="AH87">
        <v>1674</v>
      </c>
      <c r="AI87" s="5">
        <f>AG87/(AH87+AG87)</f>
        <v>3.9035591274397242E-2</v>
      </c>
      <c r="AN87" s="5">
        <f>1-AI87</f>
        <v>0.96096440872560274</v>
      </c>
      <c r="AO87" t="str">
        <f>AF87</f>
        <v>Male</v>
      </c>
      <c r="AP87">
        <f>AG87+AG91</f>
        <v>128</v>
      </c>
      <c r="AQ87">
        <f>AH87+AH91</f>
        <v>3333</v>
      </c>
      <c r="AR87" s="6">
        <f>AP87/(AQ87+AP87)</f>
        <v>3.6983530771453339E-2</v>
      </c>
      <c r="AS87" s="6"/>
      <c r="AT87" s="6"/>
      <c r="AU87" s="6"/>
      <c r="AV87" s="6"/>
      <c r="BN87" t="s">
        <v>94</v>
      </c>
    </row>
    <row r="88" spans="1:72" x14ac:dyDescent="0.2">
      <c r="A88" t="s">
        <v>59</v>
      </c>
      <c r="B88" t="s">
        <v>25</v>
      </c>
      <c r="C88" t="s">
        <v>26</v>
      </c>
      <c r="D88" t="s">
        <v>60</v>
      </c>
      <c r="E88" t="s">
        <v>72</v>
      </c>
      <c r="F88" t="s">
        <v>61</v>
      </c>
      <c r="G88" t="s">
        <v>62</v>
      </c>
      <c r="H88" t="s">
        <v>63</v>
      </c>
      <c r="I88" t="s">
        <v>31</v>
      </c>
      <c r="J88" t="s">
        <v>71</v>
      </c>
      <c r="BO88" t="s">
        <v>89</v>
      </c>
      <c r="BP88" t="s">
        <v>90</v>
      </c>
      <c r="BQ88" t="s">
        <v>91</v>
      </c>
      <c r="BR88" t="s">
        <v>95</v>
      </c>
      <c r="BS88" t="s">
        <v>96</v>
      </c>
      <c r="BT88" t="s">
        <v>97</v>
      </c>
    </row>
    <row r="89" spans="1:72" x14ac:dyDescent="0.2">
      <c r="A89" s="18" t="s">
        <v>67</v>
      </c>
      <c r="B89" s="18" t="s">
        <v>27</v>
      </c>
      <c r="C89" t="s">
        <v>30</v>
      </c>
      <c r="D89" t="s">
        <v>10</v>
      </c>
      <c r="E89" s="6">
        <v>0.75800000000000001</v>
      </c>
      <c r="F89" s="3">
        <f>G105/G106</f>
        <v>3.1186440677965881</v>
      </c>
      <c r="G89" s="3">
        <f>H105/H106</f>
        <v>1.187639946260636</v>
      </c>
      <c r="H89" s="6">
        <f>(1-I105)/(1-I106)</f>
        <v>1.3614035087719132</v>
      </c>
      <c r="I89">
        <v>6.9999999999999999E-4</v>
      </c>
      <c r="J89" s="1">
        <v>0.96354166666666596</v>
      </c>
      <c r="AF89" t="s">
        <v>10</v>
      </c>
      <c r="AG89" t="s">
        <v>44</v>
      </c>
      <c r="AH89" t="s">
        <v>46</v>
      </c>
      <c r="AI89" t="s">
        <v>3</v>
      </c>
      <c r="AJ89" t="s">
        <v>34</v>
      </c>
      <c r="AK89" t="s">
        <v>36</v>
      </c>
      <c r="AL89" t="s">
        <v>37</v>
      </c>
      <c r="AM89" t="s">
        <v>38</v>
      </c>
      <c r="AN89" t="s">
        <v>0</v>
      </c>
      <c r="BN89" t="s">
        <v>98</v>
      </c>
      <c r="BO89" t="s">
        <v>92</v>
      </c>
      <c r="BP89" t="s">
        <v>93</v>
      </c>
      <c r="BQ89" t="s">
        <v>93</v>
      </c>
      <c r="BR89" t="s">
        <v>93</v>
      </c>
      <c r="BS89" t="s">
        <v>93</v>
      </c>
      <c r="BT89" t="s">
        <v>93</v>
      </c>
    </row>
    <row r="90" spans="1:72" x14ac:dyDescent="0.2">
      <c r="A90" s="18"/>
      <c r="B90" s="18"/>
      <c r="C90" t="s">
        <v>28</v>
      </c>
      <c r="D90" t="s">
        <v>11</v>
      </c>
      <c r="E90" s="6">
        <v>0.4</v>
      </c>
      <c r="F90" s="6">
        <v>0.60093896713615003</v>
      </c>
      <c r="G90" s="6">
        <v>0.98544176706827302</v>
      </c>
      <c r="H90" s="6">
        <f>(1-I110)/(1-I111)</f>
        <v>0.75487012987013125</v>
      </c>
      <c r="I90" s="6">
        <v>-2.75E-2</v>
      </c>
      <c r="J90" s="1">
        <v>0.90630323679727398</v>
      </c>
      <c r="AF90" t="s">
        <v>6</v>
      </c>
      <c r="AG90">
        <v>62</v>
      </c>
      <c r="AH90">
        <v>1650</v>
      </c>
      <c r="AI90" s="5">
        <f>AG90/(AH90+AG90)</f>
        <v>3.6214953271028034E-2</v>
      </c>
      <c r="AJ90" s="6">
        <f>AI90/AI91</f>
        <v>1.0375584112149532</v>
      </c>
      <c r="AK90" s="5">
        <f>SQRT((1/AG90)+(1/AH90)+(1/AG91)+(1/AH91))</f>
        <v>0.18440317862082334</v>
      </c>
      <c r="AL90" s="6">
        <f>EXP(LN(AJ90)-1.96*AK90)</f>
        <v>0.72284536555968404</v>
      </c>
      <c r="AM90" s="6">
        <f>EXP(LN(AJ90)+1.96*AK90)</f>
        <v>1.4892914971507982</v>
      </c>
      <c r="AN90" s="5">
        <f>1-AI90</f>
        <v>0.96378504672897192</v>
      </c>
      <c r="BN90" t="s">
        <v>99</v>
      </c>
      <c r="BO90" t="s">
        <v>92</v>
      </c>
      <c r="BP90" t="s">
        <v>93</v>
      </c>
      <c r="BQ90" t="s">
        <v>92</v>
      </c>
      <c r="BR90" t="s">
        <v>93</v>
      </c>
      <c r="BS90" t="s">
        <v>93</v>
      </c>
      <c r="BT90" t="s">
        <v>93</v>
      </c>
    </row>
    <row r="91" spans="1:72" x14ac:dyDescent="0.2">
      <c r="A91" s="18"/>
      <c r="B91" s="18" t="s">
        <v>29</v>
      </c>
      <c r="C91" t="s">
        <v>30</v>
      </c>
      <c r="D91" t="s">
        <v>10</v>
      </c>
      <c r="E91" s="6">
        <v>0.61</v>
      </c>
      <c r="F91" s="6">
        <v>0.75603492552645002</v>
      </c>
      <c r="G91" s="6">
        <v>1.3064039408866901</v>
      </c>
      <c r="H91" s="6">
        <v>1.0209999999999999</v>
      </c>
      <c r="I91" s="6">
        <v>-1.4800000000000001E-2</v>
      </c>
      <c r="J91" s="1">
        <v>0.9453125</v>
      </c>
      <c r="AF91" t="s">
        <v>7</v>
      </c>
      <c r="AG91">
        <v>60</v>
      </c>
      <c r="AH91">
        <v>1659</v>
      </c>
      <c r="AI91" s="5">
        <f>AG91/(AH91+AG91)</f>
        <v>3.4904013961605584E-2</v>
      </c>
      <c r="AN91" s="5">
        <f>1-AI91</f>
        <v>0.96509598603839442</v>
      </c>
      <c r="BN91" t="s">
        <v>100</v>
      </c>
      <c r="BO91" t="s">
        <v>92</v>
      </c>
      <c r="BP91" t="s">
        <v>92</v>
      </c>
      <c r="BQ91" t="s">
        <v>92</v>
      </c>
      <c r="BR91" t="s">
        <v>92</v>
      </c>
      <c r="BS91" t="s">
        <v>92</v>
      </c>
      <c r="BT91" t="s">
        <v>93</v>
      </c>
    </row>
    <row r="92" spans="1:72" x14ac:dyDescent="0.2">
      <c r="A92" s="18"/>
      <c r="B92" s="18"/>
      <c r="C92" t="s">
        <v>28</v>
      </c>
      <c r="D92" t="s">
        <v>11</v>
      </c>
      <c r="E92" s="6">
        <v>0.68200000000000005</v>
      </c>
      <c r="F92" s="5">
        <v>0.58326429163214499</v>
      </c>
      <c r="G92" s="5">
        <v>2.9108433734939698</v>
      </c>
      <c r="H92">
        <v>1.1120000000000001</v>
      </c>
      <c r="I92">
        <v>-5.9299999999999999E-2</v>
      </c>
      <c r="J92" s="1">
        <v>0.91652470187393498</v>
      </c>
      <c r="BN92" t="s">
        <v>101</v>
      </c>
      <c r="BO92" t="s">
        <v>92</v>
      </c>
      <c r="BP92" t="s">
        <v>93</v>
      </c>
      <c r="BQ92" t="s">
        <v>93</v>
      </c>
      <c r="BR92" t="s">
        <v>93</v>
      </c>
      <c r="BS92" t="s">
        <v>93</v>
      </c>
      <c r="BT92" t="s">
        <v>93</v>
      </c>
    </row>
    <row r="93" spans="1:72" x14ac:dyDescent="0.2">
      <c r="A93" s="18" t="s">
        <v>68</v>
      </c>
      <c r="B93" s="18" t="s">
        <v>27</v>
      </c>
      <c r="C93" t="s">
        <v>30</v>
      </c>
      <c r="D93" t="s">
        <v>10</v>
      </c>
      <c r="E93" s="6">
        <v>0.79</v>
      </c>
      <c r="F93" s="6">
        <v>2.0790960451977401</v>
      </c>
      <c r="G93" s="6">
        <v>1.56321839080459</v>
      </c>
      <c r="H93" s="6">
        <v>1.702</v>
      </c>
      <c r="I93" s="6">
        <v>-3.5999999999999999E-3</v>
      </c>
      <c r="J93" s="1">
        <v>0.95833333333333304</v>
      </c>
      <c r="BN93" t="s">
        <v>102</v>
      </c>
      <c r="BO93" t="s">
        <v>92</v>
      </c>
      <c r="BP93" t="s">
        <v>93</v>
      </c>
      <c r="BQ93" t="s">
        <v>93</v>
      </c>
      <c r="BR93" t="s">
        <v>93</v>
      </c>
      <c r="BS93" t="s">
        <v>93</v>
      </c>
      <c r="BT93" t="s">
        <v>93</v>
      </c>
    </row>
    <row r="94" spans="1:72" x14ac:dyDescent="0.2">
      <c r="A94" s="18"/>
      <c r="B94" s="18"/>
      <c r="C94" t="s">
        <v>28</v>
      </c>
      <c r="D94" t="s">
        <v>11</v>
      </c>
      <c r="E94" s="6">
        <v>0.56799999999999995</v>
      </c>
      <c r="F94" s="6">
        <v>0.99154929577464701</v>
      </c>
      <c r="G94" s="6">
        <v>1.03958691910499</v>
      </c>
      <c r="H94" s="6">
        <v>1.0189999999999999</v>
      </c>
      <c r="I94" s="6">
        <v>-2.2000000000000001E-3</v>
      </c>
      <c r="J94" s="1">
        <v>0.91311754684838098</v>
      </c>
    </row>
    <row r="95" spans="1:72" ht="17" customHeight="1" x14ac:dyDescent="0.2">
      <c r="A95" s="18"/>
      <c r="B95" s="18" t="s">
        <v>29</v>
      </c>
      <c r="C95" t="s">
        <v>30</v>
      </c>
      <c r="D95" t="s">
        <v>10</v>
      </c>
      <c r="E95" s="6">
        <v>0.72199999999999998</v>
      </c>
      <c r="F95" s="6">
        <v>0.77966101694915202</v>
      </c>
      <c r="G95" s="6">
        <v>1.27899686520376</v>
      </c>
      <c r="H95" s="6">
        <v>1.075</v>
      </c>
      <c r="I95" s="6">
        <v>-1.23E-2</v>
      </c>
      <c r="J95" s="1">
        <v>0.94921875</v>
      </c>
      <c r="AF95" t="s">
        <v>0</v>
      </c>
      <c r="AG95" t="s">
        <v>1</v>
      </c>
      <c r="AH95" t="s">
        <v>2</v>
      </c>
      <c r="AI95" t="s">
        <v>3</v>
      </c>
      <c r="AJ95" t="s">
        <v>9</v>
      </c>
      <c r="AM95" t="s">
        <v>19</v>
      </c>
      <c r="AN95" t="s">
        <v>20</v>
      </c>
      <c r="AO95" t="s">
        <v>21</v>
      </c>
      <c r="AP95" t="s">
        <v>22</v>
      </c>
      <c r="AQ95" t="s">
        <v>23</v>
      </c>
      <c r="AR95" t="s">
        <v>24</v>
      </c>
      <c r="AS95" t="s">
        <v>31</v>
      </c>
      <c r="AT95" t="s">
        <v>33</v>
      </c>
      <c r="AU95" t="s">
        <v>32</v>
      </c>
      <c r="AW95" t="s">
        <v>25</v>
      </c>
      <c r="AX95" t="s">
        <v>26</v>
      </c>
      <c r="AY95" s="9" t="s">
        <v>20</v>
      </c>
      <c r="AZ95" s="9" t="s">
        <v>21</v>
      </c>
      <c r="BA95" s="9" t="s">
        <v>22</v>
      </c>
      <c r="BB95" s="9" t="s">
        <v>23</v>
      </c>
      <c r="BC95" s="9" t="s">
        <v>24</v>
      </c>
      <c r="BD95" t="s">
        <v>31</v>
      </c>
      <c r="BE95" s="9" t="s">
        <v>47</v>
      </c>
    </row>
    <row r="96" spans="1:72" ht="18" customHeight="1" x14ac:dyDescent="0.2">
      <c r="A96" s="18"/>
      <c r="B96" s="18"/>
      <c r="C96" t="s">
        <v>28</v>
      </c>
      <c r="D96" t="s">
        <v>11</v>
      </c>
      <c r="E96" s="6">
        <v>0.748</v>
      </c>
      <c r="F96" s="6">
        <v>0.50704225352112597</v>
      </c>
      <c r="G96" s="6">
        <v>2.4690189328743499</v>
      </c>
      <c r="H96" s="6">
        <v>1.103</v>
      </c>
      <c r="I96" s="6">
        <v>-6.4899999999999999E-2</v>
      </c>
      <c r="J96" s="1">
        <v>0.91311754684838098</v>
      </c>
      <c r="AD96" s="14"/>
      <c r="AE96" t="s">
        <v>4</v>
      </c>
      <c r="AF96" s="1">
        <v>0.92224622030237602</v>
      </c>
      <c r="AG96" s="1">
        <v>0.89529999999999998</v>
      </c>
      <c r="AH96" s="1">
        <v>0.1047</v>
      </c>
      <c r="AI96" s="1">
        <v>7.7799999999999994E-2</v>
      </c>
      <c r="AJ96" s="1">
        <v>0.90886075949366996</v>
      </c>
      <c r="AN96" s="3">
        <f>AF96/AF97</f>
        <v>1.0011357146139557</v>
      </c>
      <c r="AO96" s="3">
        <f>AG96/AG97</f>
        <v>0.99843871975019505</v>
      </c>
      <c r="AP96" s="3">
        <f>AH96/AH97</f>
        <v>1.0135527589545015</v>
      </c>
      <c r="AQ96" s="3">
        <f>AI96/AI97</f>
        <v>0.98730964467005078</v>
      </c>
      <c r="AR96" s="6">
        <f>(1-AJ96)/(1-AJ97)</f>
        <v>1.0041305796135909</v>
      </c>
      <c r="AS96" s="6">
        <f>((AH96-AH97)+(AF96-AF97))/2</f>
        <v>1.2231101511879991E-3</v>
      </c>
      <c r="AT96" s="6">
        <f>(ABS(AH96-AH97)+ABS(AI96-AI97))/2</f>
        <v>1.1999999999999997E-3</v>
      </c>
      <c r="AU96" s="5">
        <f>((AH96-AH97)+(AI96-AI97))</f>
        <v>3.9999999999999758E-4</v>
      </c>
      <c r="AW96" t="s">
        <v>27</v>
      </c>
      <c r="AX96" s="18" t="s">
        <v>28</v>
      </c>
      <c r="AY96" s="3">
        <v>1.0011357146139557</v>
      </c>
      <c r="AZ96" s="3">
        <v>0.99843871975019505</v>
      </c>
      <c r="BA96" s="3">
        <v>1.0135527589545015</v>
      </c>
      <c r="BB96" s="3">
        <v>1.0642954856361149</v>
      </c>
      <c r="BC96" s="6">
        <v>1.0041305796135909</v>
      </c>
      <c r="BD96" s="6">
        <v>1.2231101511879991E-3</v>
      </c>
      <c r="BE96" s="6">
        <v>1.1999999999999997E-3</v>
      </c>
    </row>
    <row r="97" spans="1:57" x14ac:dyDescent="0.2">
      <c r="A97" s="18" t="s">
        <v>69</v>
      </c>
      <c r="B97" s="18" t="s">
        <v>27</v>
      </c>
      <c r="C97" t="s">
        <v>30</v>
      </c>
      <c r="D97" t="s">
        <v>10</v>
      </c>
      <c r="E97" s="6">
        <v>0.34799999999999998</v>
      </c>
      <c r="F97" s="6">
        <v>1.35382998291945</v>
      </c>
      <c r="G97" s="6">
        <v>1.0049261083743799</v>
      </c>
      <c r="H97" s="6">
        <v>1.232</v>
      </c>
      <c r="I97" s="6">
        <v>4.1099999999999998E-2</v>
      </c>
      <c r="J97" s="1">
        <v>0.81901041666666596</v>
      </c>
      <c r="AD97" s="14"/>
      <c r="AE97" t="s">
        <v>5</v>
      </c>
      <c r="AF97" s="1">
        <v>0.92120000000000002</v>
      </c>
      <c r="AG97" s="1">
        <v>0.89670000000000005</v>
      </c>
      <c r="AH97" s="1">
        <v>0.1033</v>
      </c>
      <c r="AI97" s="1">
        <v>7.8799999999999995E-2</v>
      </c>
      <c r="AJ97" s="1">
        <v>0.90923566878980799</v>
      </c>
      <c r="AN97" s="2"/>
      <c r="AO97" s="2"/>
      <c r="AW97" t="s">
        <v>29</v>
      </c>
      <c r="AX97" s="18"/>
      <c r="AY97" s="3">
        <v>0.98498948884089277</v>
      </c>
      <c r="AZ97" s="3">
        <v>0.98225009836608757</v>
      </c>
      <c r="BA97" s="3">
        <v>1.0017251293847038</v>
      </c>
      <c r="BB97" s="3">
        <v>1.5863480921526278</v>
      </c>
      <c r="BC97" s="6">
        <v>1.2875850495010772</v>
      </c>
      <c r="BD97" s="6">
        <v>7.8208309325895203E-4</v>
      </c>
      <c r="BE97" s="6">
        <v>1.5419500780031205E-2</v>
      </c>
    </row>
    <row r="98" spans="1:57" x14ac:dyDescent="0.2">
      <c r="A98" s="18"/>
      <c r="B98" s="18"/>
      <c r="C98" t="s">
        <v>28</v>
      </c>
      <c r="D98" t="s">
        <v>11</v>
      </c>
      <c r="E98" s="6">
        <v>0.64800000000000002</v>
      </c>
      <c r="F98" s="6">
        <v>1.1538028169014001</v>
      </c>
      <c r="G98" s="6">
        <v>0.81599929128277804</v>
      </c>
      <c r="H98" s="6">
        <v>0.90600000000000003</v>
      </c>
      <c r="I98" s="6">
        <v>5.6500000000000002E-2</v>
      </c>
      <c r="J98" s="1">
        <v>0.68313458262350901</v>
      </c>
      <c r="AM98" t="s">
        <v>18</v>
      </c>
      <c r="AN98" t="s">
        <v>20</v>
      </c>
      <c r="AO98" t="s">
        <v>21</v>
      </c>
      <c r="AP98" t="s">
        <v>22</v>
      </c>
      <c r="AQ98" t="s">
        <v>23</v>
      </c>
      <c r="AR98" t="s">
        <v>24</v>
      </c>
      <c r="AS98" t="s">
        <v>31</v>
      </c>
      <c r="AT98" t="s">
        <v>33</v>
      </c>
      <c r="AU98" t="s">
        <v>32</v>
      </c>
      <c r="AW98" t="s">
        <v>27</v>
      </c>
      <c r="AX98" s="18" t="s">
        <v>30</v>
      </c>
      <c r="AY98" s="3">
        <v>0.99507542072853572</v>
      </c>
      <c r="AZ98" s="3">
        <v>0.99989938492045483</v>
      </c>
      <c r="BA98" s="3">
        <v>1.0939272161343969</v>
      </c>
      <c r="BB98" s="3">
        <v>1.1714369158878504</v>
      </c>
      <c r="BC98" s="6">
        <v>1.0586142502978202</v>
      </c>
      <c r="BD98" s="6">
        <v>-2.3435346022736524E-3</v>
      </c>
      <c r="BE98" s="6">
        <v>2.44353460227365E-3</v>
      </c>
    </row>
    <row r="99" spans="1:57" x14ac:dyDescent="0.2">
      <c r="A99" s="18"/>
      <c r="B99" s="18" t="s">
        <v>29</v>
      </c>
      <c r="C99" t="s">
        <v>30</v>
      </c>
      <c r="D99" t="s">
        <v>10</v>
      </c>
      <c r="E99" s="6">
        <v>0.25800000000000001</v>
      </c>
      <c r="F99" s="6">
        <v>1.62429378531073</v>
      </c>
      <c r="G99" s="6">
        <v>1.33990147783251</v>
      </c>
      <c r="H99" s="6">
        <v>1.5580000000000001</v>
      </c>
      <c r="I99" s="6">
        <v>4.9299999999999997E-2</v>
      </c>
      <c r="J99" s="1">
        <v>0.875</v>
      </c>
      <c r="AF99" t="s">
        <v>0</v>
      </c>
      <c r="AG99" t="s">
        <v>1</v>
      </c>
      <c r="AH99" t="s">
        <v>2</v>
      </c>
      <c r="AI99" t="s">
        <v>3</v>
      </c>
      <c r="AJ99" t="s">
        <v>9</v>
      </c>
      <c r="AN99" s="3">
        <f>AF100/AF101</f>
        <v>0.98498948884089277</v>
      </c>
      <c r="AO99" s="3">
        <f>AG100/AG101</f>
        <v>0.98225009836608757</v>
      </c>
      <c r="AP99" s="3">
        <f>AH100/AH101</f>
        <v>1.1862068965517243</v>
      </c>
      <c r="AQ99" s="3">
        <f>AI100/AI101</f>
        <v>1.5864750000000001</v>
      </c>
      <c r="AR99" s="6">
        <f>(1-AJ100)/(1-AJ101)</f>
        <v>1.2875850495010772</v>
      </c>
      <c r="AS99" s="6">
        <f>((AH100-AH101)+(AF100-AF101))/2</f>
        <v>7.8208309325895203E-4</v>
      </c>
      <c r="AT99" s="6">
        <f>(ABS(AH100-AH101)+ABS(AI100-AI101))/2</f>
        <v>1.5419500780031205E-2</v>
      </c>
      <c r="AU99" s="5">
        <f>((AH100-AH101)+(AI100-AI101))</f>
        <v>3.0839001560062411E-2</v>
      </c>
      <c r="AW99" t="s">
        <v>29</v>
      </c>
      <c r="AX99" s="18"/>
      <c r="AY99" s="3">
        <v>0.99864164878065265</v>
      </c>
      <c r="AZ99" s="3">
        <v>0.99933152095128752</v>
      </c>
      <c r="BA99" s="3">
        <v>1.0164563812874201</v>
      </c>
      <c r="BB99" s="3">
        <v>1.0375584112149532</v>
      </c>
      <c r="BC99" s="6">
        <v>1.0264031259055355</v>
      </c>
      <c r="BD99" s="6">
        <v>-3.342773678155081E-4</v>
      </c>
      <c r="BE99" s="6">
        <v>9.7666194160691069E-4</v>
      </c>
    </row>
    <row r="100" spans="1:57" x14ac:dyDescent="0.2">
      <c r="A100" s="18"/>
      <c r="B100" s="18"/>
      <c r="C100" t="s">
        <v>28</v>
      </c>
      <c r="D100" t="s">
        <v>11</v>
      </c>
      <c r="E100" s="6">
        <v>0.51800000000000002</v>
      </c>
      <c r="F100" s="6">
        <v>0.63098591549295702</v>
      </c>
      <c r="G100" s="6">
        <v>0.77969018932874301</v>
      </c>
      <c r="H100" s="6">
        <v>0.69299999999999995</v>
      </c>
      <c r="I100" s="6">
        <v>-2.7900000000000001E-2</v>
      </c>
      <c r="J100" s="1">
        <v>0.84667802385008495</v>
      </c>
      <c r="AD100" s="14"/>
      <c r="AE100" t="s">
        <v>4</v>
      </c>
      <c r="AF100" s="1">
        <v>0.9604031677465803</v>
      </c>
      <c r="AG100" s="1">
        <v>0.89680232558139539</v>
      </c>
      <c r="AH100" s="1">
        <v>0.1032</v>
      </c>
      <c r="AI100" s="1">
        <v>3.9600000000000003E-2</v>
      </c>
      <c r="AJ100" s="1">
        <v>0.92875226039782999</v>
      </c>
      <c r="AN100" s="2"/>
      <c r="AO100" s="2"/>
    </row>
    <row r="101" spans="1:57" x14ac:dyDescent="0.2">
      <c r="K101" s="1"/>
      <c r="AD101" s="14"/>
      <c r="AE101" t="s">
        <v>5</v>
      </c>
      <c r="AF101" s="1">
        <v>0.9750390015600624</v>
      </c>
      <c r="AG101" s="1">
        <v>0.91300813008130077</v>
      </c>
      <c r="AH101" s="1">
        <v>8.6999999999999994E-2</v>
      </c>
      <c r="AI101" s="1">
        <v>2.4960998439937598E-2</v>
      </c>
      <c r="AJ101" s="1">
        <v>0.94466560509554098</v>
      </c>
      <c r="AM101" t="s">
        <v>19</v>
      </c>
      <c r="AN101" t="s">
        <v>20</v>
      </c>
      <c r="AO101" t="s">
        <v>21</v>
      </c>
      <c r="AP101" t="s">
        <v>22</v>
      </c>
      <c r="AQ101" t="s">
        <v>23</v>
      </c>
      <c r="AR101" t="s">
        <v>24</v>
      </c>
      <c r="AS101" t="s">
        <v>31</v>
      </c>
      <c r="AT101" t="s">
        <v>33</v>
      </c>
      <c r="AU101" t="s">
        <v>32</v>
      </c>
    </row>
    <row r="102" spans="1:57" x14ac:dyDescent="0.2">
      <c r="K102" s="1"/>
      <c r="AN102" s="3">
        <f>AF104/AF105</f>
        <v>0.99507542072853572</v>
      </c>
      <c r="AO102" s="3">
        <f>AG104/AG105</f>
        <v>0.99989938492045483</v>
      </c>
      <c r="AP102" s="3">
        <f>AH104/AH105</f>
        <v>1.0018148820326678</v>
      </c>
      <c r="AQ102" s="3">
        <f>AI104/AI105</f>
        <v>1.1714369158878504</v>
      </c>
      <c r="AR102" s="6">
        <f>(1-AJ104)/(1-AJ105)</f>
        <v>1.0586142502978202</v>
      </c>
      <c r="AS102" s="6">
        <f>((AH104-AH105)+(AF104-AF105))/2</f>
        <v>-2.3435346022736524E-3</v>
      </c>
      <c r="AT102" s="6">
        <f>(ABS(AH104-AH105)+ABS(AI104-AI105))/2</f>
        <v>2.44353460227365E-3</v>
      </c>
      <c r="AU102" s="5">
        <f>((AH104-AH105)+(AI104-AI105))</f>
        <v>4.8870692045473001E-3</v>
      </c>
    </row>
    <row r="103" spans="1:57" x14ac:dyDescent="0.2">
      <c r="A103" s="12" t="s">
        <v>78</v>
      </c>
      <c r="AF103" t="s">
        <v>0</v>
      </c>
      <c r="AG103" t="s">
        <v>1</v>
      </c>
      <c r="AH103" t="s">
        <v>2</v>
      </c>
      <c r="AI103" t="s">
        <v>3</v>
      </c>
      <c r="AJ103" t="s">
        <v>9</v>
      </c>
      <c r="AN103" s="2"/>
      <c r="AO103" s="2"/>
    </row>
    <row r="104" spans="1:57" x14ac:dyDescent="0.2">
      <c r="A104" t="s">
        <v>59</v>
      </c>
      <c r="B104" t="s">
        <v>25</v>
      </c>
      <c r="C104" t="s">
        <v>26</v>
      </c>
      <c r="D104" t="s">
        <v>10</v>
      </c>
      <c r="E104" t="s">
        <v>0</v>
      </c>
      <c r="F104" t="s">
        <v>1</v>
      </c>
      <c r="G104" t="s">
        <v>2</v>
      </c>
      <c r="H104" t="s">
        <v>3</v>
      </c>
      <c r="I104" t="s">
        <v>9</v>
      </c>
      <c r="L104" t="s">
        <v>59</v>
      </c>
      <c r="M104" t="s">
        <v>25</v>
      </c>
      <c r="N104" t="s">
        <v>26</v>
      </c>
      <c r="O104" t="s">
        <v>86</v>
      </c>
      <c r="P104" t="s">
        <v>0</v>
      </c>
      <c r="Q104" t="s">
        <v>1</v>
      </c>
      <c r="R104" t="s">
        <v>2</v>
      </c>
      <c r="S104" t="s">
        <v>3</v>
      </c>
      <c r="T104" t="s">
        <v>71</v>
      </c>
      <c r="AD104" s="14"/>
      <c r="AE104" t="s">
        <v>6</v>
      </c>
      <c r="AF104" s="1">
        <v>0.96728971962616828</v>
      </c>
      <c r="AG104" s="1">
        <v>0.94479585968947677</v>
      </c>
      <c r="AH104" s="1">
        <v>5.5199999999999999E-2</v>
      </c>
      <c r="AI104" s="1">
        <v>3.2710280373831772E-2</v>
      </c>
      <c r="AJ104" s="1">
        <v>0.95595479571138797</v>
      </c>
      <c r="AM104" t="s">
        <v>18</v>
      </c>
      <c r="AN104" t="s">
        <v>20</v>
      </c>
      <c r="AO104" t="s">
        <v>21</v>
      </c>
      <c r="AP104" t="s">
        <v>22</v>
      </c>
      <c r="AQ104" t="s">
        <v>23</v>
      </c>
      <c r="AR104" t="s">
        <v>24</v>
      </c>
      <c r="AS104" t="s">
        <v>31</v>
      </c>
      <c r="AT104" t="s">
        <v>33</v>
      </c>
      <c r="AU104" t="s">
        <v>32</v>
      </c>
    </row>
    <row r="105" spans="1:57" x14ac:dyDescent="0.2">
      <c r="A105" s="18" t="s">
        <v>67</v>
      </c>
      <c r="B105" s="18" t="s">
        <v>27</v>
      </c>
      <c r="C105" s="18" t="s">
        <v>30</v>
      </c>
      <c r="D105" t="s">
        <v>6</v>
      </c>
      <c r="E105" s="1">
        <f>190/(190+13)</f>
        <v>0.93596059113300489</v>
      </c>
      <c r="F105" s="1">
        <f>174/(174+3)</f>
        <v>0.98305084745762716</v>
      </c>
      <c r="G105" s="1">
        <f>1-F105</f>
        <v>1.6949152542372836E-2</v>
      </c>
      <c r="H105" s="1">
        <f>1-E105</f>
        <v>6.4039408866995107E-2</v>
      </c>
      <c r="I105" s="1">
        <v>0.95789473684210502</v>
      </c>
      <c r="L105" s="18" t="s">
        <v>67</v>
      </c>
      <c r="M105" s="18" t="s">
        <v>27</v>
      </c>
      <c r="N105" s="18" t="s">
        <v>30</v>
      </c>
      <c r="O105" t="s">
        <v>6</v>
      </c>
      <c r="P105" s="1">
        <f>190/(190+13)</f>
        <v>0.93596059113300489</v>
      </c>
      <c r="Q105" s="1">
        <f>174/(174+3)</f>
        <v>0.98305084745762716</v>
      </c>
      <c r="R105" s="1">
        <f>1-Q105</f>
        <v>1.6949152542372836E-2</v>
      </c>
      <c r="S105" s="1">
        <f>1-P105</f>
        <v>6.4039408866995107E-2</v>
      </c>
      <c r="T105" s="1">
        <v>0.95789473684210502</v>
      </c>
      <c r="U105" s="5"/>
      <c r="AD105" s="14"/>
      <c r="AE105" t="s">
        <v>7</v>
      </c>
      <c r="AF105" s="1">
        <v>0.97207678883071558</v>
      </c>
      <c r="AG105" s="1">
        <v>0.94489092996555679</v>
      </c>
      <c r="AH105" s="1">
        <v>5.5100000000000003E-2</v>
      </c>
      <c r="AI105" s="1">
        <v>2.7923211169284468E-2</v>
      </c>
      <c r="AJ105" s="1">
        <v>0.95839352788211496</v>
      </c>
      <c r="AN105" s="3">
        <f>AF108/AF109</f>
        <v>0.99864164878065276</v>
      </c>
      <c r="AO105" s="3">
        <f>AG108/AG109</f>
        <v>0.99933152095128752</v>
      </c>
      <c r="AP105" s="3">
        <f>AH108/AH109</f>
        <v>1.0164563812874201</v>
      </c>
      <c r="AQ105" s="3">
        <f>AI108/AI109</f>
        <v>1.0375584112149532</v>
      </c>
      <c r="AR105" s="6">
        <f>(1-AJ108)/(1-AJ109)</f>
        <v>1.0264031259055355</v>
      </c>
      <c r="AS105" s="6">
        <f>((AH108-AH109)+(AF108-AF109))/2</f>
        <v>-3.342773678155081E-4</v>
      </c>
      <c r="AT105" s="6">
        <f>(ABS(AH108-AH109)+ABS(AI108-AI109))/2</f>
        <v>9.7666194160691069E-4</v>
      </c>
      <c r="AU105" s="5">
        <f>((AH108-AH109)+(AI108-AI109))</f>
        <v>1.9533238832138214E-3</v>
      </c>
    </row>
    <row r="106" spans="1:57" x14ac:dyDescent="0.2">
      <c r="A106" s="18"/>
      <c r="B106" s="18"/>
      <c r="C106" s="18"/>
      <c r="D106" t="s">
        <v>7</v>
      </c>
      <c r="E106" s="1">
        <f>193/(193+11)</f>
        <v>0.94607843137254899</v>
      </c>
      <c r="F106" s="1">
        <f>183/184</f>
        <v>0.99456521739130432</v>
      </c>
      <c r="G106" s="1">
        <f>1-F106</f>
        <v>5.4347826086956763E-3</v>
      </c>
      <c r="H106" s="1">
        <f>1-E106</f>
        <v>5.3921568627451011E-2</v>
      </c>
      <c r="I106" s="1">
        <v>0.96907216494845305</v>
      </c>
      <c r="L106" s="18"/>
      <c r="M106" s="18"/>
      <c r="N106" s="18"/>
      <c r="O106" t="s">
        <v>7</v>
      </c>
      <c r="P106" s="1">
        <f>193/(193+11)</f>
        <v>0.94607843137254899</v>
      </c>
      <c r="Q106" s="1">
        <f>183/184</f>
        <v>0.99456521739130432</v>
      </c>
      <c r="R106" s="1">
        <f>1-Q106</f>
        <v>5.4347826086956763E-3</v>
      </c>
      <c r="S106" s="1">
        <f>1-P106</f>
        <v>5.3921568627451011E-2</v>
      </c>
      <c r="T106" s="1">
        <v>0.96907216494845305</v>
      </c>
    </row>
    <row r="107" spans="1:57" x14ac:dyDescent="0.2">
      <c r="A107" s="18"/>
      <c r="B107" s="18" t="s">
        <v>29</v>
      </c>
      <c r="C107" s="18"/>
      <c r="D107" t="s">
        <v>6</v>
      </c>
      <c r="E107" s="1">
        <f>190/(190+13)</f>
        <v>0.93596059113300489</v>
      </c>
      <c r="F107" s="1">
        <f>169/(169+8)</f>
        <v>0.95480225988700562</v>
      </c>
      <c r="G107" s="1">
        <f>1-F107</f>
        <v>4.5197740112994378E-2</v>
      </c>
      <c r="H107" s="1">
        <f>1-E107</f>
        <v>6.4039408866995107E-2</v>
      </c>
      <c r="I107" s="1">
        <v>0.94473684210526299</v>
      </c>
      <c r="L107" s="18"/>
      <c r="M107" s="18" t="s">
        <v>29</v>
      </c>
      <c r="N107" s="18"/>
      <c r="O107" t="s">
        <v>6</v>
      </c>
      <c r="P107" s="1">
        <f>190/(190+13)</f>
        <v>0.93596059113300489</v>
      </c>
      <c r="Q107" s="1">
        <f>169/(169+8)</f>
        <v>0.95480225988700562</v>
      </c>
      <c r="R107" s="1">
        <f>1-Q107</f>
        <v>4.5197740112994378E-2</v>
      </c>
      <c r="S107" s="1">
        <f>1-P107</f>
        <v>6.4039408866995107E-2</v>
      </c>
      <c r="T107" s="1">
        <v>0.94473684210526299</v>
      </c>
      <c r="AF107" t="s">
        <v>0</v>
      </c>
      <c r="AG107" t="s">
        <v>1</v>
      </c>
      <c r="AH107" t="s">
        <v>2</v>
      </c>
      <c r="AI107" t="s">
        <v>3</v>
      </c>
      <c r="AJ107" t="s">
        <v>9</v>
      </c>
    </row>
    <row r="108" spans="1:57" x14ac:dyDescent="0.2">
      <c r="A108" s="18"/>
      <c r="B108" s="18"/>
      <c r="C108" s="18"/>
      <c r="D108" t="s">
        <v>7</v>
      </c>
      <c r="E108" s="1">
        <f>194/204</f>
        <v>0.9509803921568627</v>
      </c>
      <c r="F108" s="1">
        <f>173/184</f>
        <v>0.94021739130434778</v>
      </c>
      <c r="G108" s="1">
        <f>1-F108</f>
        <v>5.9782608695652217E-2</v>
      </c>
      <c r="H108" s="1">
        <f>1-E108</f>
        <v>4.9019607843137303E-2</v>
      </c>
      <c r="I108" s="1">
        <v>0.94587628865979301</v>
      </c>
      <c r="L108" s="18"/>
      <c r="M108" s="18"/>
      <c r="N108" s="18"/>
      <c r="O108" t="s">
        <v>7</v>
      </c>
      <c r="P108" s="1">
        <f>194/204</f>
        <v>0.9509803921568627</v>
      </c>
      <c r="Q108" s="1">
        <f>173/184</f>
        <v>0.94021739130434778</v>
      </c>
      <c r="R108" s="1">
        <f>1-Q108</f>
        <v>5.9782608695652217E-2</v>
      </c>
      <c r="S108" s="1">
        <f>1-P108</f>
        <v>4.9019607843137303E-2</v>
      </c>
      <c r="T108" s="1">
        <v>0.94587628865979301</v>
      </c>
      <c r="AD108" s="14"/>
      <c r="AE108" t="s">
        <v>6</v>
      </c>
      <c r="AF108" s="1">
        <v>0.96378504672897203</v>
      </c>
      <c r="AG108" s="1">
        <v>0.96032202415181134</v>
      </c>
      <c r="AH108" s="1">
        <v>3.9677975848188614E-2</v>
      </c>
      <c r="AI108" s="1">
        <v>3.6214953271028034E-2</v>
      </c>
      <c r="AJ108" s="1">
        <v>0.96203998840915605</v>
      </c>
    </row>
    <row r="109" spans="1:57" x14ac:dyDescent="0.2">
      <c r="A109" t="s">
        <v>59</v>
      </c>
      <c r="B109" t="s">
        <v>25</v>
      </c>
      <c r="C109" t="s">
        <v>26</v>
      </c>
      <c r="D109" t="s">
        <v>11</v>
      </c>
      <c r="E109" t="s">
        <v>0</v>
      </c>
      <c r="F109" t="s">
        <v>1</v>
      </c>
      <c r="G109" t="s">
        <v>2</v>
      </c>
      <c r="H109" t="s">
        <v>3</v>
      </c>
      <c r="I109" t="s">
        <v>9</v>
      </c>
      <c r="L109" s="18"/>
      <c r="M109" s="18" t="s">
        <v>27</v>
      </c>
      <c r="N109" s="18" t="s">
        <v>28</v>
      </c>
      <c r="O109" t="s">
        <v>4</v>
      </c>
      <c r="P109" s="1">
        <f>153/166</f>
        <v>0.92168674698795183</v>
      </c>
      <c r="Q109" s="1">
        <f>130/142</f>
        <v>0.91549295774647887</v>
      </c>
      <c r="R109" s="1">
        <f>1-Q109</f>
        <v>8.4507042253521125E-2</v>
      </c>
      <c r="S109" s="1">
        <f>1-P109</f>
        <v>7.8313253012048167E-2</v>
      </c>
      <c r="T109" s="1">
        <v>0.918831168831168</v>
      </c>
      <c r="AD109" s="14"/>
      <c r="AE109" t="s">
        <v>7</v>
      </c>
      <c r="AF109" s="1">
        <v>0.96509598603839442</v>
      </c>
      <c r="AG109" s="1">
        <v>0.96096440872560274</v>
      </c>
      <c r="AH109" s="1">
        <v>3.9035591274397242E-2</v>
      </c>
      <c r="AI109" s="1">
        <v>3.4904013961605584E-2</v>
      </c>
      <c r="AJ109" s="1">
        <v>0.963016469228546</v>
      </c>
      <c r="AN109" s="2"/>
      <c r="AO109" s="2"/>
    </row>
    <row r="110" spans="1:57" x14ac:dyDescent="0.2">
      <c r="A110" s="18" t="s">
        <v>67</v>
      </c>
      <c r="B110" s="18" t="s">
        <v>27</v>
      </c>
      <c r="C110" s="18" t="s">
        <v>28</v>
      </c>
      <c r="D110" t="s">
        <v>4</v>
      </c>
      <c r="E110" s="1">
        <f>153/166</f>
        <v>0.92168674698795183</v>
      </c>
      <c r="F110" s="1">
        <f>130/142</f>
        <v>0.91549295774647887</v>
      </c>
      <c r="G110" s="1">
        <f>1-F110</f>
        <v>8.4507042253521125E-2</v>
      </c>
      <c r="H110" s="1">
        <f>1-E110</f>
        <v>7.8313253012048167E-2</v>
      </c>
      <c r="I110" s="1">
        <v>0.918831168831168</v>
      </c>
      <c r="L110" s="18"/>
      <c r="M110" s="18"/>
      <c r="N110" s="18"/>
      <c r="O110" t="s">
        <v>5</v>
      </c>
      <c r="P110" s="1">
        <f>139/(139+12)</f>
        <v>0.92052980132450335</v>
      </c>
      <c r="Q110" s="1">
        <f>110/128</f>
        <v>0.859375</v>
      </c>
      <c r="R110" s="1">
        <f t="shared" ref="R110:R112" si="53">1-Q110</f>
        <v>0.140625</v>
      </c>
      <c r="S110" s="1">
        <f t="shared" ref="S110:S112" si="54">1-P110</f>
        <v>7.9470198675496651E-2</v>
      </c>
      <c r="T110" s="1">
        <v>0.89247311827956899</v>
      </c>
    </row>
    <row r="111" spans="1:57" x14ac:dyDescent="0.2">
      <c r="A111" s="18"/>
      <c r="B111" s="18"/>
      <c r="C111" s="18"/>
      <c r="D111" t="s">
        <v>5</v>
      </c>
      <c r="E111" s="1">
        <f>139/(139+12)</f>
        <v>0.92052980132450335</v>
      </c>
      <c r="F111" s="1">
        <f>110/128</f>
        <v>0.859375</v>
      </c>
      <c r="G111" s="1">
        <f t="shared" ref="G111:G113" si="55">1-F111</f>
        <v>0.140625</v>
      </c>
      <c r="H111" s="1">
        <f t="shared" ref="H111:H113" si="56">1-E111</f>
        <v>7.9470198675496651E-2</v>
      </c>
      <c r="I111" s="1">
        <v>0.89247311827956899</v>
      </c>
      <c r="L111" s="18"/>
      <c r="M111" s="18" t="s">
        <v>29</v>
      </c>
      <c r="N111" s="18"/>
      <c r="O111" t="s">
        <v>4</v>
      </c>
      <c r="P111" s="1">
        <f>150/166</f>
        <v>0.90361445783132532</v>
      </c>
      <c r="Q111" s="1">
        <f>131/142</f>
        <v>0.92253521126760563</v>
      </c>
      <c r="R111" s="1">
        <f t="shared" si="53"/>
        <v>7.7464788732394374E-2</v>
      </c>
      <c r="S111" s="1">
        <f t="shared" si="54"/>
        <v>9.6385542168674676E-2</v>
      </c>
      <c r="T111" s="1">
        <v>0.912337662337662</v>
      </c>
    </row>
    <row r="112" spans="1:57" x14ac:dyDescent="0.2">
      <c r="A112" s="18"/>
      <c r="B112" s="18" t="s">
        <v>29</v>
      </c>
      <c r="C112" s="18"/>
      <c r="D112" t="s">
        <v>4</v>
      </c>
      <c r="E112" s="1">
        <f>150/166</f>
        <v>0.90361445783132532</v>
      </c>
      <c r="F112" s="1">
        <f>131/142</f>
        <v>0.92253521126760563</v>
      </c>
      <c r="G112" s="1">
        <f t="shared" si="55"/>
        <v>7.7464788732394374E-2</v>
      </c>
      <c r="H112" s="1">
        <f t="shared" si="56"/>
        <v>9.6385542168674676E-2</v>
      </c>
      <c r="I112" s="1">
        <v>0.912337662337662</v>
      </c>
      <c r="L112" s="18"/>
      <c r="M112" s="18"/>
      <c r="N112" s="18"/>
      <c r="O112" t="s">
        <v>5</v>
      </c>
      <c r="P112" s="1">
        <f>146/151</f>
        <v>0.9668874172185431</v>
      </c>
      <c r="Q112" s="1">
        <f>111/(111+17)</f>
        <v>0.8671875</v>
      </c>
      <c r="R112" s="1">
        <f t="shared" si="53"/>
        <v>0.1328125</v>
      </c>
      <c r="S112" s="1">
        <f t="shared" si="54"/>
        <v>3.3112582781456901E-2</v>
      </c>
      <c r="T112" s="1">
        <v>0.92114695340501795</v>
      </c>
    </row>
    <row r="113" spans="1:40" x14ac:dyDescent="0.2">
      <c r="A113" s="18"/>
      <c r="B113" s="18"/>
      <c r="C113" s="18"/>
      <c r="D113" t="s">
        <v>5</v>
      </c>
      <c r="E113" s="1">
        <f>146/151</f>
        <v>0.9668874172185431</v>
      </c>
      <c r="F113" s="1">
        <f>111/(111+17)</f>
        <v>0.8671875</v>
      </c>
      <c r="G113" s="1">
        <f t="shared" si="55"/>
        <v>0.1328125</v>
      </c>
      <c r="H113" s="1">
        <f t="shared" si="56"/>
        <v>3.3112582781456901E-2</v>
      </c>
      <c r="I113" s="1">
        <v>0.92114695340501795</v>
      </c>
      <c r="L113" s="18" t="s">
        <v>76</v>
      </c>
      <c r="M113" s="18" t="s">
        <v>27</v>
      </c>
      <c r="N113" s="18" t="s">
        <v>30</v>
      </c>
      <c r="O113" t="s">
        <v>6</v>
      </c>
      <c r="P113" s="1">
        <v>0.93103448275862066</v>
      </c>
      <c r="Q113" s="1">
        <v>0.96610169491525422</v>
      </c>
      <c r="R113" s="1">
        <v>3.3898305084745783E-2</v>
      </c>
      <c r="S113" s="1">
        <v>6.8965517241379337E-2</v>
      </c>
      <c r="T113" s="1">
        <v>0.94736842105263097</v>
      </c>
    </row>
    <row r="114" spans="1:40" x14ac:dyDescent="0.2">
      <c r="L114" s="18"/>
      <c r="M114" s="18"/>
      <c r="N114" s="18"/>
      <c r="O114" t="s">
        <v>7</v>
      </c>
      <c r="P114" s="1">
        <v>0.95588235294117652</v>
      </c>
      <c r="Q114" s="1">
        <v>0.98369565217391308</v>
      </c>
      <c r="R114" s="1">
        <v>1.6304347826086918E-2</v>
      </c>
      <c r="S114" s="1">
        <v>4.4117647058823484E-2</v>
      </c>
      <c r="T114" s="1">
        <v>0.96907216494845305</v>
      </c>
    </row>
    <row r="115" spans="1:40" x14ac:dyDescent="0.2">
      <c r="A115" t="s">
        <v>59</v>
      </c>
      <c r="B115" t="s">
        <v>25</v>
      </c>
      <c r="C115" t="s">
        <v>26</v>
      </c>
      <c r="D115" t="s">
        <v>10</v>
      </c>
      <c r="E115" t="s">
        <v>0</v>
      </c>
      <c r="F115" t="s">
        <v>1</v>
      </c>
      <c r="G115" t="s">
        <v>2</v>
      </c>
      <c r="H115" t="s">
        <v>3</v>
      </c>
      <c r="I115" t="s">
        <v>9</v>
      </c>
      <c r="L115" s="18"/>
      <c r="M115" s="18" t="s">
        <v>29</v>
      </c>
      <c r="N115" s="18"/>
      <c r="O115" t="s">
        <v>6</v>
      </c>
      <c r="P115" s="1">
        <v>0.93103448275862066</v>
      </c>
      <c r="Q115" s="1">
        <v>0.96610169491525422</v>
      </c>
      <c r="R115" s="1">
        <v>3.3898305084745783E-2</v>
      </c>
      <c r="S115" s="1">
        <v>6.8965517241379337E-2</v>
      </c>
      <c r="T115" s="1">
        <v>0.94736842105263097</v>
      </c>
    </row>
    <row r="116" spans="1:40" x14ac:dyDescent="0.2">
      <c r="A116" s="18" t="s">
        <v>76</v>
      </c>
      <c r="B116" s="18" t="s">
        <v>27</v>
      </c>
      <c r="C116" s="18" t="s">
        <v>30</v>
      </c>
      <c r="D116" t="s">
        <v>6</v>
      </c>
      <c r="E116" s="1">
        <f>189/(189+14)</f>
        <v>0.93103448275862066</v>
      </c>
      <c r="F116" s="1">
        <f>171/177</f>
        <v>0.96610169491525422</v>
      </c>
      <c r="G116" s="1">
        <f>1-F116</f>
        <v>3.3898305084745783E-2</v>
      </c>
      <c r="H116" s="1">
        <f>1-E116</f>
        <v>6.8965517241379337E-2</v>
      </c>
      <c r="I116" s="1">
        <v>0.94736842105263097</v>
      </c>
      <c r="L116" s="18"/>
      <c r="M116" s="18"/>
      <c r="N116" s="18"/>
      <c r="O116" t="s">
        <v>7</v>
      </c>
      <c r="P116" s="1">
        <v>0.94607843137254899</v>
      </c>
      <c r="Q116" s="1">
        <v>0.95652173913043481</v>
      </c>
      <c r="R116" s="1">
        <v>4.3478260869565188E-2</v>
      </c>
      <c r="S116" s="1">
        <v>5.3921568627451011E-2</v>
      </c>
      <c r="T116" s="1">
        <v>0.95103092783505105</v>
      </c>
    </row>
    <row r="117" spans="1:40" x14ac:dyDescent="0.2">
      <c r="A117" s="18"/>
      <c r="B117" s="18"/>
      <c r="C117" s="18"/>
      <c r="D117" t="s">
        <v>7</v>
      </c>
      <c r="E117" s="1">
        <f>195/204</f>
        <v>0.95588235294117652</v>
      </c>
      <c r="F117" s="1">
        <f>181/184</f>
        <v>0.98369565217391308</v>
      </c>
      <c r="G117" s="1">
        <f t="shared" ref="G117:G119" si="57">1-F117</f>
        <v>1.6304347826086918E-2</v>
      </c>
      <c r="H117" s="1">
        <f t="shared" ref="H117:H119" si="58">1-E117</f>
        <v>4.4117647058823484E-2</v>
      </c>
      <c r="I117" s="1">
        <v>0.96907216494845305</v>
      </c>
      <c r="L117" s="18"/>
      <c r="M117" s="18" t="s">
        <v>27</v>
      </c>
      <c r="N117" s="18" t="s">
        <v>28</v>
      </c>
      <c r="O117" t="s">
        <v>4</v>
      </c>
      <c r="P117" s="1">
        <v>0.90361445783132532</v>
      </c>
      <c r="Q117" s="1">
        <v>0.92253521126760563</v>
      </c>
      <c r="R117" s="1">
        <v>7.7464788732394374E-2</v>
      </c>
      <c r="S117" s="1">
        <v>9.6385542168674676E-2</v>
      </c>
      <c r="T117" s="1">
        <v>0.912337662337662</v>
      </c>
      <c r="AK117" t="s">
        <v>25</v>
      </c>
      <c r="AL117" t="s">
        <v>26</v>
      </c>
      <c r="AM117" t="s">
        <v>73</v>
      </c>
      <c r="AN117" t="s">
        <v>74</v>
      </c>
    </row>
    <row r="118" spans="1:40" x14ac:dyDescent="0.2">
      <c r="A118" s="18"/>
      <c r="B118" s="18" t="s">
        <v>29</v>
      </c>
      <c r="C118" s="18"/>
      <c r="D118" t="s">
        <v>6</v>
      </c>
      <c r="E118" s="1">
        <f>189/(189+14)</f>
        <v>0.93103448275862066</v>
      </c>
      <c r="F118" s="1">
        <f>171/177</f>
        <v>0.96610169491525422</v>
      </c>
      <c r="G118" s="1">
        <f t="shared" si="57"/>
        <v>3.3898305084745783E-2</v>
      </c>
      <c r="H118" s="1">
        <f t="shared" si="58"/>
        <v>6.8965517241379337E-2</v>
      </c>
      <c r="I118" s="1">
        <v>0.94736842105263097</v>
      </c>
      <c r="L118" s="18"/>
      <c r="M118" s="18"/>
      <c r="N118" s="18"/>
      <c r="O118" t="s">
        <v>5</v>
      </c>
      <c r="P118" s="1">
        <v>0.9072847682119205</v>
      </c>
      <c r="Q118" s="1">
        <v>0.921875</v>
      </c>
      <c r="R118" s="1">
        <v>7.8125E-2</v>
      </c>
      <c r="S118" s="1">
        <v>9.27152317880795E-2</v>
      </c>
      <c r="T118" s="1">
        <v>0.91397849462365499</v>
      </c>
      <c r="AK118" t="s">
        <v>19</v>
      </c>
      <c r="AL118" s="18" t="s">
        <v>28</v>
      </c>
      <c r="AM118" s="1">
        <v>0.90903922683342797</v>
      </c>
      <c r="AN118" s="1">
        <v>0.94951390073341202</v>
      </c>
    </row>
    <row r="119" spans="1:40" x14ac:dyDescent="0.2">
      <c r="A119" s="18"/>
      <c r="B119" s="18"/>
      <c r="C119" s="18"/>
      <c r="D119" t="s">
        <v>7</v>
      </c>
      <c r="E119" s="1">
        <f>193/204</f>
        <v>0.94607843137254899</v>
      </c>
      <c r="F119" s="1">
        <f>176/184</f>
        <v>0.95652173913043481</v>
      </c>
      <c r="G119" s="1">
        <f t="shared" si="57"/>
        <v>4.3478260869565188E-2</v>
      </c>
      <c r="H119" s="1">
        <f t="shared" si="58"/>
        <v>5.3921568627451011E-2</v>
      </c>
      <c r="I119" s="1">
        <v>0.95103092783505105</v>
      </c>
      <c r="L119" s="18"/>
      <c r="M119" s="18" t="s">
        <v>29</v>
      </c>
      <c r="N119" s="18"/>
      <c r="O119" t="s">
        <v>4</v>
      </c>
      <c r="P119" s="1">
        <v>0.88554216867469882</v>
      </c>
      <c r="Q119" s="1">
        <v>0.93661971830985913</v>
      </c>
      <c r="R119" s="1">
        <v>6.3380281690140872E-2</v>
      </c>
      <c r="S119" s="1">
        <v>0.11445783132530118</v>
      </c>
      <c r="T119" s="1">
        <v>0.90909090909090895</v>
      </c>
      <c r="AK119" t="s">
        <v>18</v>
      </c>
      <c r="AL119" s="18"/>
      <c r="AM119" s="1">
        <v>0.93632745878339896</v>
      </c>
      <c r="AN119" s="1">
        <v>0.95377792938768502</v>
      </c>
    </row>
    <row r="120" spans="1:40" x14ac:dyDescent="0.2">
      <c r="A120" t="s">
        <v>59</v>
      </c>
      <c r="B120" t="s">
        <v>25</v>
      </c>
      <c r="C120" t="s">
        <v>26</v>
      </c>
      <c r="D120" t="s">
        <v>11</v>
      </c>
      <c r="E120" t="s">
        <v>0</v>
      </c>
      <c r="F120" t="s">
        <v>1</v>
      </c>
      <c r="G120" t="s">
        <v>2</v>
      </c>
      <c r="H120" t="s">
        <v>3</v>
      </c>
      <c r="I120" t="s">
        <v>9</v>
      </c>
      <c r="L120" s="18"/>
      <c r="M120" s="18"/>
      <c r="N120" s="18"/>
      <c r="O120" t="s">
        <v>5</v>
      </c>
      <c r="P120" s="1">
        <v>0.95364238410596025</v>
      </c>
      <c r="Q120" s="1">
        <v>0.875</v>
      </c>
      <c r="R120" s="1">
        <v>0.125</v>
      </c>
      <c r="S120" s="1">
        <v>4.635761589403975E-2</v>
      </c>
      <c r="T120" s="1">
        <v>0.91756272401433603</v>
      </c>
      <c r="AK120" t="s">
        <v>19</v>
      </c>
      <c r="AL120" s="18" t="s">
        <v>30</v>
      </c>
      <c r="AM120" s="1">
        <v>0.95717592592592504</v>
      </c>
      <c r="AN120" s="1">
        <v>0.95338541666666599</v>
      </c>
    </row>
    <row r="121" spans="1:40" x14ac:dyDescent="0.2">
      <c r="A121" s="18" t="s">
        <v>76</v>
      </c>
      <c r="B121" s="18" t="s">
        <v>27</v>
      </c>
      <c r="C121" s="18" t="s">
        <v>28</v>
      </c>
      <c r="D121" t="s">
        <v>4</v>
      </c>
      <c r="E121" s="1">
        <f>150/166</f>
        <v>0.90361445783132532</v>
      </c>
      <c r="F121" s="1">
        <f>131/142</f>
        <v>0.92253521126760563</v>
      </c>
      <c r="G121" s="1">
        <f>1-F121</f>
        <v>7.7464788732394374E-2</v>
      </c>
      <c r="H121" s="1">
        <f>1-E121</f>
        <v>9.6385542168674676E-2</v>
      </c>
      <c r="I121" s="1">
        <v>0.912337662337662</v>
      </c>
      <c r="L121" s="18" t="s">
        <v>69</v>
      </c>
      <c r="M121" s="18" t="s">
        <v>27</v>
      </c>
      <c r="N121" s="18" t="s">
        <v>30</v>
      </c>
      <c r="O121" t="s">
        <v>6</v>
      </c>
      <c r="P121" s="1">
        <v>0.90147783251231528</v>
      </c>
      <c r="Q121" s="1">
        <v>0.68361581920903958</v>
      </c>
      <c r="R121" s="1">
        <v>0.31638418079096042</v>
      </c>
      <c r="S121" s="1">
        <v>9.852216748768472E-2</v>
      </c>
      <c r="T121" s="1">
        <v>0.8</v>
      </c>
      <c r="AK121" t="s">
        <v>18</v>
      </c>
      <c r="AL121" s="18"/>
      <c r="AM121" s="1">
        <v>0.96252893518518501</v>
      </c>
      <c r="AN121" s="1">
        <v>0.95351562499999998</v>
      </c>
    </row>
    <row r="122" spans="1:40" x14ac:dyDescent="0.2">
      <c r="A122" s="18"/>
      <c r="B122" s="18"/>
      <c r="C122" s="18"/>
      <c r="D122" t="s">
        <v>5</v>
      </c>
      <c r="E122" s="1">
        <f>137/151</f>
        <v>0.9072847682119205</v>
      </c>
      <c r="F122" s="1">
        <f>118/128</f>
        <v>0.921875</v>
      </c>
      <c r="G122" s="1">
        <f t="shared" ref="G122:G124" si="59">1-F122</f>
        <v>7.8125E-2</v>
      </c>
      <c r="H122" s="1">
        <f t="shared" ref="H122:H124" si="60">1-E122</f>
        <v>9.27152317880795E-2</v>
      </c>
      <c r="I122" s="1">
        <v>0.91397849462365499</v>
      </c>
      <c r="L122" s="18"/>
      <c r="M122" s="18"/>
      <c r="N122" s="18"/>
      <c r="O122" t="s">
        <v>7</v>
      </c>
      <c r="P122" s="1">
        <v>0.90196078431372551</v>
      </c>
      <c r="Q122" s="1">
        <v>0.76630434782608692</v>
      </c>
      <c r="R122" s="1">
        <v>0.23369565217391308</v>
      </c>
      <c r="S122" s="1">
        <v>9.8039215686274495E-2</v>
      </c>
      <c r="T122" s="1">
        <v>0.83762886597938102</v>
      </c>
      <c r="AK122" s="1"/>
    </row>
    <row r="123" spans="1:40" x14ac:dyDescent="0.2">
      <c r="A123" s="18"/>
      <c r="B123" s="18" t="s">
        <v>29</v>
      </c>
      <c r="C123" s="18"/>
      <c r="D123" t="s">
        <v>4</v>
      </c>
      <c r="E123" s="1">
        <f>147/(147+19)</f>
        <v>0.88554216867469882</v>
      </c>
      <c r="F123" s="1">
        <f>133/142</f>
        <v>0.93661971830985913</v>
      </c>
      <c r="G123" s="1">
        <f t="shared" si="59"/>
        <v>6.3380281690140872E-2</v>
      </c>
      <c r="H123" s="1">
        <f t="shared" si="60"/>
        <v>0.11445783132530118</v>
      </c>
      <c r="I123" s="1">
        <v>0.90909090909090895</v>
      </c>
      <c r="L123" s="18"/>
      <c r="M123" s="18" t="s">
        <v>29</v>
      </c>
      <c r="N123" s="18"/>
      <c r="O123" t="s">
        <v>6</v>
      </c>
      <c r="P123" s="1">
        <v>0.96059113300492616</v>
      </c>
      <c r="Q123" s="1">
        <v>0.71751412429378536</v>
      </c>
      <c r="R123" s="1">
        <v>0.28248587570621464</v>
      </c>
      <c r="S123" s="1">
        <v>3.9408866995073843E-2</v>
      </c>
      <c r="T123" s="1">
        <v>0.84736842105263099</v>
      </c>
      <c r="AK123" s="1"/>
    </row>
    <row r="124" spans="1:40" x14ac:dyDescent="0.2">
      <c r="A124" s="18"/>
      <c r="B124" s="18"/>
      <c r="C124" s="18"/>
      <c r="D124" t="s">
        <v>5</v>
      </c>
      <c r="E124" s="1">
        <f>144/151</f>
        <v>0.95364238410596025</v>
      </c>
      <c r="F124" s="1">
        <f>112/128</f>
        <v>0.875</v>
      </c>
      <c r="G124" s="1">
        <f t="shared" si="59"/>
        <v>0.125</v>
      </c>
      <c r="H124" s="1">
        <f t="shared" si="60"/>
        <v>4.635761589403975E-2</v>
      </c>
      <c r="I124" s="1">
        <v>0.91756272401433603</v>
      </c>
      <c r="L124" s="18"/>
      <c r="M124" s="18"/>
      <c r="N124" s="18"/>
      <c r="O124" t="s">
        <v>7</v>
      </c>
      <c r="P124" s="1">
        <v>0.97058823529411764</v>
      </c>
      <c r="Q124" s="1">
        <v>0.82608695652173914</v>
      </c>
      <c r="R124" s="1">
        <v>0.17391304347826086</v>
      </c>
      <c r="S124" s="1">
        <v>2.9411764705882359E-2</v>
      </c>
      <c r="T124" s="1">
        <v>0.902061855670103</v>
      </c>
      <c r="AK124" s="1"/>
    </row>
    <row r="125" spans="1:40" x14ac:dyDescent="0.2">
      <c r="L125" s="18"/>
      <c r="M125" s="18" t="s">
        <v>27</v>
      </c>
      <c r="N125" s="18" t="s">
        <v>28</v>
      </c>
      <c r="O125" t="s">
        <v>4</v>
      </c>
      <c r="P125" s="1">
        <v>0.63253012048192769</v>
      </c>
      <c r="Q125" s="1">
        <v>0.77464788732394363</v>
      </c>
      <c r="R125" s="1">
        <v>0.22535211267605637</v>
      </c>
      <c r="S125" s="1">
        <v>0.36746987951807231</v>
      </c>
      <c r="T125" s="1">
        <v>0.69805194805194803</v>
      </c>
    </row>
    <row r="126" spans="1:40" x14ac:dyDescent="0.2">
      <c r="A126" t="s">
        <v>59</v>
      </c>
      <c r="B126" t="s">
        <v>25</v>
      </c>
      <c r="C126" t="s">
        <v>26</v>
      </c>
      <c r="D126" t="s">
        <v>10</v>
      </c>
      <c r="E126" t="s">
        <v>0</v>
      </c>
      <c r="F126" t="s">
        <v>1</v>
      </c>
      <c r="G126" t="s">
        <v>2</v>
      </c>
      <c r="H126" t="s">
        <v>3</v>
      </c>
      <c r="I126" t="s">
        <v>9</v>
      </c>
      <c r="L126" s="18"/>
      <c r="M126" s="18"/>
      <c r="N126" s="18"/>
      <c r="O126" t="s">
        <v>5</v>
      </c>
      <c r="P126" s="1">
        <v>0.54966887417218546</v>
      </c>
      <c r="Q126" s="1">
        <v>0.8046875</v>
      </c>
      <c r="R126" s="1">
        <v>0.1953125</v>
      </c>
      <c r="S126" s="1">
        <v>0.45033112582781454</v>
      </c>
      <c r="T126" s="1">
        <v>0.66666666666666596</v>
      </c>
      <c r="AK126" s="1"/>
    </row>
    <row r="127" spans="1:40" x14ac:dyDescent="0.2">
      <c r="A127" s="18" t="s">
        <v>77</v>
      </c>
      <c r="B127" s="18" t="s">
        <v>27</v>
      </c>
      <c r="C127" s="18" t="s">
        <v>30</v>
      </c>
      <c r="D127" t="s">
        <v>6</v>
      </c>
      <c r="E127" s="1">
        <f>183/203</f>
        <v>0.90147783251231528</v>
      </c>
      <c r="F127" s="1">
        <f>121/(121+56)</f>
        <v>0.68361581920903958</v>
      </c>
      <c r="G127" s="1">
        <f>1-F127</f>
        <v>0.31638418079096042</v>
      </c>
      <c r="H127" s="1">
        <f>1-E127</f>
        <v>9.852216748768472E-2</v>
      </c>
      <c r="I127" s="1">
        <v>0.8</v>
      </c>
      <c r="L127" s="18"/>
      <c r="M127" s="18" t="s">
        <v>29</v>
      </c>
      <c r="N127" s="18"/>
      <c r="O127" t="s">
        <v>4</v>
      </c>
      <c r="P127" s="1">
        <v>0.89156626506024095</v>
      </c>
      <c r="Q127" s="1">
        <v>0.852112676056338</v>
      </c>
      <c r="R127" s="1">
        <v>0.147887323943662</v>
      </c>
      <c r="S127" s="1">
        <v>0.10843373493975905</v>
      </c>
      <c r="T127" s="1">
        <v>0.87337662337662303</v>
      </c>
      <c r="AK127" s="1"/>
    </row>
    <row r="128" spans="1:40" x14ac:dyDescent="0.2">
      <c r="A128" s="18"/>
      <c r="B128" s="18"/>
      <c r="C128" s="18"/>
      <c r="D128" t="s">
        <v>7</v>
      </c>
      <c r="E128" s="1">
        <f>184/204</f>
        <v>0.90196078431372551</v>
      </c>
      <c r="F128" s="1">
        <f>141/(141+43)</f>
        <v>0.76630434782608692</v>
      </c>
      <c r="G128" s="1">
        <f t="shared" ref="G128" si="61">1-F128</f>
        <v>0.23369565217391308</v>
      </c>
      <c r="H128" s="1">
        <f t="shared" ref="H128" si="62">1-E128</f>
        <v>9.8039215686274495E-2</v>
      </c>
      <c r="I128" s="1">
        <v>0.83762886597938102</v>
      </c>
      <c r="L128" s="18"/>
      <c r="M128" s="18"/>
      <c r="N128" s="18"/>
      <c r="O128" t="s">
        <v>5</v>
      </c>
      <c r="P128" s="1">
        <v>0.86092715231788075</v>
      </c>
      <c r="Q128" s="1">
        <v>0.765625</v>
      </c>
      <c r="R128" s="1">
        <v>0.234375</v>
      </c>
      <c r="S128" s="1">
        <v>0.13907284768211925</v>
      </c>
      <c r="T128" s="1">
        <v>0.81720430107526798</v>
      </c>
      <c r="AK128" s="1"/>
    </row>
    <row r="129" spans="1:37" x14ac:dyDescent="0.2">
      <c r="A129" s="18"/>
      <c r="B129" s="18" t="s">
        <v>29</v>
      </c>
      <c r="C129" s="18"/>
      <c r="D129" t="s">
        <v>6</v>
      </c>
      <c r="E129" s="1">
        <f>195/(195+8)</f>
        <v>0.96059113300492616</v>
      </c>
      <c r="F129" s="1">
        <f>127/177</f>
        <v>0.71751412429378536</v>
      </c>
      <c r="G129" s="1">
        <f>1-F129</f>
        <v>0.28248587570621464</v>
      </c>
      <c r="H129" s="1">
        <f>1-E129</f>
        <v>3.9408866995073843E-2</v>
      </c>
      <c r="I129" s="1">
        <v>0.84736842105263099</v>
      </c>
    </row>
    <row r="130" spans="1:37" x14ac:dyDescent="0.2">
      <c r="A130" s="18"/>
      <c r="B130" s="18"/>
      <c r="C130" s="18"/>
      <c r="D130" t="s">
        <v>7</v>
      </c>
      <c r="E130" s="1">
        <f>198/(198+6)</f>
        <v>0.97058823529411764</v>
      </c>
      <c r="F130" s="1">
        <f>152/184</f>
        <v>0.82608695652173914</v>
      </c>
      <c r="G130" s="1">
        <f>1-F130</f>
        <v>0.17391304347826086</v>
      </c>
      <c r="H130" s="1">
        <f>1-E130</f>
        <v>2.9411764705882359E-2</v>
      </c>
      <c r="I130" s="1">
        <v>0.902061855670103</v>
      </c>
      <c r="AK130" s="1"/>
    </row>
    <row r="131" spans="1:37" x14ac:dyDescent="0.2">
      <c r="A131" t="s">
        <v>59</v>
      </c>
      <c r="B131" t="s">
        <v>25</v>
      </c>
      <c r="C131" t="s">
        <v>26</v>
      </c>
      <c r="D131" t="s">
        <v>11</v>
      </c>
      <c r="E131" t="s">
        <v>0</v>
      </c>
      <c r="F131" t="s">
        <v>1</v>
      </c>
      <c r="G131" t="s">
        <v>2</v>
      </c>
      <c r="H131" t="s">
        <v>3</v>
      </c>
      <c r="I131" t="s">
        <v>9</v>
      </c>
      <c r="AK131" s="1"/>
    </row>
    <row r="132" spans="1:37" x14ac:dyDescent="0.2">
      <c r="A132" s="18" t="s">
        <v>77</v>
      </c>
      <c r="B132" s="18" t="s">
        <v>27</v>
      </c>
      <c r="C132" s="18" t="s">
        <v>28</v>
      </c>
      <c r="D132" t="s">
        <v>4</v>
      </c>
      <c r="E132" s="1">
        <f>105/166</f>
        <v>0.63253012048192769</v>
      </c>
      <c r="F132" s="1">
        <f>110/142</f>
        <v>0.77464788732394363</v>
      </c>
      <c r="G132" s="1">
        <f t="shared" ref="G132:G135" si="63">1-F132</f>
        <v>0.22535211267605637</v>
      </c>
      <c r="H132" s="1">
        <f t="shared" ref="H132:H135" si="64">1-E132</f>
        <v>0.36746987951807231</v>
      </c>
      <c r="I132" s="1">
        <v>0.69805194805194803</v>
      </c>
    </row>
    <row r="133" spans="1:37" x14ac:dyDescent="0.2">
      <c r="A133" s="18"/>
      <c r="B133" s="18"/>
      <c r="C133" s="18"/>
      <c r="D133" t="s">
        <v>5</v>
      </c>
      <c r="E133" s="1">
        <f>83/(83+68)</f>
        <v>0.54966887417218546</v>
      </c>
      <c r="F133" s="1">
        <f>103/128</f>
        <v>0.8046875</v>
      </c>
      <c r="G133" s="1">
        <f t="shared" si="63"/>
        <v>0.1953125</v>
      </c>
      <c r="H133" s="1">
        <f t="shared" si="64"/>
        <v>0.45033112582781454</v>
      </c>
      <c r="I133" s="1">
        <v>0.66666666666666596</v>
      </c>
    </row>
    <row r="134" spans="1:37" x14ac:dyDescent="0.2">
      <c r="A134" s="18"/>
      <c r="B134" s="18" t="s">
        <v>29</v>
      </c>
      <c r="C134" s="18"/>
      <c r="D134" t="s">
        <v>4</v>
      </c>
      <c r="E134" s="1">
        <f>148/(148+18)</f>
        <v>0.89156626506024095</v>
      </c>
      <c r="F134" s="1">
        <f>121/142</f>
        <v>0.852112676056338</v>
      </c>
      <c r="G134" s="1">
        <f t="shared" si="63"/>
        <v>0.147887323943662</v>
      </c>
      <c r="H134" s="1">
        <f t="shared" si="64"/>
        <v>0.10843373493975905</v>
      </c>
      <c r="I134" s="1">
        <v>0.87337662337662303</v>
      </c>
    </row>
    <row r="135" spans="1:37" x14ac:dyDescent="0.2">
      <c r="A135" s="18"/>
      <c r="B135" s="18"/>
      <c r="C135" s="18"/>
      <c r="D135" t="s">
        <v>5</v>
      </c>
      <c r="E135" s="1">
        <f>130/151</f>
        <v>0.86092715231788075</v>
      </c>
      <c r="F135" s="1">
        <f>98/128</f>
        <v>0.765625</v>
      </c>
      <c r="G135" s="1">
        <f t="shared" si="63"/>
        <v>0.234375</v>
      </c>
      <c r="H135" s="1">
        <f t="shared" si="64"/>
        <v>0.13907284768211925</v>
      </c>
      <c r="I135" s="1">
        <v>0.81720430107526798</v>
      </c>
    </row>
    <row r="139" spans="1:37" x14ac:dyDescent="0.2">
      <c r="A139" s="12" t="s">
        <v>79</v>
      </c>
    </row>
    <row r="140" spans="1:37" x14ac:dyDescent="0.2">
      <c r="A140" t="s">
        <v>59</v>
      </c>
      <c r="B140" t="s">
        <v>25</v>
      </c>
      <c r="C140" t="s">
        <v>26</v>
      </c>
      <c r="D140" t="s">
        <v>10</v>
      </c>
      <c r="E140" t="s">
        <v>0</v>
      </c>
      <c r="F140" t="s">
        <v>1</v>
      </c>
      <c r="G140" t="s">
        <v>2</v>
      </c>
      <c r="H140" t="s">
        <v>3</v>
      </c>
      <c r="I140" t="s">
        <v>9</v>
      </c>
      <c r="L140" t="s">
        <v>59</v>
      </c>
      <c r="M140" t="s">
        <v>25</v>
      </c>
      <c r="N140" t="s">
        <v>26</v>
      </c>
      <c r="O140" t="s">
        <v>86</v>
      </c>
      <c r="P140" t="s">
        <v>0</v>
      </c>
      <c r="Q140" t="s">
        <v>1</v>
      </c>
      <c r="R140" t="s">
        <v>2</v>
      </c>
      <c r="S140" t="s">
        <v>3</v>
      </c>
      <c r="T140" t="s">
        <v>71</v>
      </c>
    </row>
    <row r="141" spans="1:37" x14ac:dyDescent="0.2">
      <c r="A141" s="18" t="s">
        <v>64</v>
      </c>
      <c r="B141" s="18" t="s">
        <v>27</v>
      </c>
      <c r="C141" s="18" t="s">
        <v>30</v>
      </c>
      <c r="D141" t="s">
        <v>6</v>
      </c>
      <c r="E141" s="1">
        <v>1</v>
      </c>
      <c r="F141" s="1">
        <v>1</v>
      </c>
      <c r="G141" s="1">
        <f>1-F141</f>
        <v>0</v>
      </c>
      <c r="H141" s="1">
        <f>1-E141</f>
        <v>0</v>
      </c>
      <c r="I141" s="1">
        <v>1</v>
      </c>
      <c r="L141" s="18" t="s">
        <v>64</v>
      </c>
      <c r="M141" s="18" t="s">
        <v>27</v>
      </c>
      <c r="N141" s="18" t="s">
        <v>30</v>
      </c>
      <c r="O141" t="s">
        <v>6</v>
      </c>
      <c r="P141" s="1">
        <v>1</v>
      </c>
      <c r="Q141" s="1">
        <v>1</v>
      </c>
      <c r="R141" s="1">
        <f>1-Q141</f>
        <v>0</v>
      </c>
      <c r="S141" s="1">
        <f>1-P141</f>
        <v>0</v>
      </c>
      <c r="T141" s="1">
        <v>1</v>
      </c>
    </row>
    <row r="142" spans="1:37" x14ac:dyDescent="0.2">
      <c r="A142" s="18"/>
      <c r="B142" s="18"/>
      <c r="C142" s="18"/>
      <c r="D142" t="s">
        <v>7</v>
      </c>
      <c r="E142" s="1">
        <v>1</v>
      </c>
      <c r="F142" s="1">
        <v>1</v>
      </c>
      <c r="G142" s="1">
        <f t="shared" ref="G142:G144" si="65">1-F142</f>
        <v>0</v>
      </c>
      <c r="H142" s="1">
        <f t="shared" ref="H142:H144" si="66">1-E142</f>
        <v>0</v>
      </c>
      <c r="I142" s="1">
        <v>1</v>
      </c>
      <c r="L142" s="18"/>
      <c r="M142" s="18"/>
      <c r="N142" s="18"/>
      <c r="O142" t="s">
        <v>7</v>
      </c>
      <c r="P142" s="1">
        <v>1</v>
      </c>
      <c r="Q142" s="1">
        <v>1</v>
      </c>
      <c r="R142" s="1">
        <f t="shared" ref="R142:R144" si="67">1-Q142</f>
        <v>0</v>
      </c>
      <c r="S142" s="1">
        <f t="shared" ref="S142:S144" si="68">1-P142</f>
        <v>0</v>
      </c>
      <c r="T142" s="1">
        <v>1</v>
      </c>
    </row>
    <row r="143" spans="1:37" x14ac:dyDescent="0.2">
      <c r="A143" s="18"/>
      <c r="B143" s="18" t="s">
        <v>29</v>
      </c>
      <c r="C143" s="18"/>
      <c r="D143" t="s">
        <v>6</v>
      </c>
      <c r="E143" s="1">
        <v>1</v>
      </c>
      <c r="F143" s="1">
        <v>1</v>
      </c>
      <c r="G143" s="1">
        <f t="shared" si="65"/>
        <v>0</v>
      </c>
      <c r="H143" s="1">
        <f t="shared" si="66"/>
        <v>0</v>
      </c>
      <c r="I143" s="1">
        <v>1</v>
      </c>
      <c r="L143" s="18"/>
      <c r="M143" s="18" t="s">
        <v>29</v>
      </c>
      <c r="N143" s="18"/>
      <c r="O143" t="s">
        <v>6</v>
      </c>
      <c r="P143" s="1">
        <v>1</v>
      </c>
      <c r="Q143" s="1">
        <v>1</v>
      </c>
      <c r="R143" s="1">
        <f t="shared" si="67"/>
        <v>0</v>
      </c>
      <c r="S143" s="1">
        <f t="shared" si="68"/>
        <v>0</v>
      </c>
      <c r="T143" s="1">
        <v>1</v>
      </c>
    </row>
    <row r="144" spans="1:37" x14ac:dyDescent="0.2">
      <c r="A144" s="18"/>
      <c r="B144" s="18"/>
      <c r="C144" s="18"/>
      <c r="D144" t="s">
        <v>7</v>
      </c>
      <c r="E144" s="1">
        <v>1</v>
      </c>
      <c r="F144" s="1">
        <v>1</v>
      </c>
      <c r="G144" s="1">
        <f t="shared" si="65"/>
        <v>0</v>
      </c>
      <c r="H144" s="1">
        <f t="shared" si="66"/>
        <v>0</v>
      </c>
      <c r="I144" s="1">
        <v>1</v>
      </c>
      <c r="L144" s="18"/>
      <c r="M144" s="18"/>
      <c r="N144" s="18"/>
      <c r="O144" t="s">
        <v>7</v>
      </c>
      <c r="P144" s="1">
        <v>1</v>
      </c>
      <c r="Q144" s="1">
        <v>1</v>
      </c>
      <c r="R144" s="1">
        <f t="shared" si="67"/>
        <v>0</v>
      </c>
      <c r="S144" s="1">
        <f t="shared" si="68"/>
        <v>0</v>
      </c>
      <c r="T144" s="1">
        <v>1</v>
      </c>
    </row>
    <row r="145" spans="1:20" x14ac:dyDescent="0.2">
      <c r="A145" t="s">
        <v>59</v>
      </c>
      <c r="B145" t="s">
        <v>25</v>
      </c>
      <c r="C145" t="s">
        <v>26</v>
      </c>
      <c r="D145" t="s">
        <v>11</v>
      </c>
      <c r="E145" t="s">
        <v>0</v>
      </c>
      <c r="F145" t="s">
        <v>1</v>
      </c>
      <c r="G145" t="s">
        <v>2</v>
      </c>
      <c r="H145" t="s">
        <v>3</v>
      </c>
      <c r="I145" t="s">
        <v>9</v>
      </c>
      <c r="L145" s="18"/>
      <c r="M145" s="18" t="s">
        <v>27</v>
      </c>
      <c r="N145" s="18" t="s">
        <v>28</v>
      </c>
      <c r="O145" t="s">
        <v>4</v>
      </c>
      <c r="P145" s="1">
        <v>1</v>
      </c>
      <c r="Q145" s="1">
        <v>1</v>
      </c>
      <c r="R145" s="1">
        <f>1-Q145</f>
        <v>0</v>
      </c>
      <c r="S145" s="1">
        <f>1-P145</f>
        <v>0</v>
      </c>
      <c r="T145" s="1">
        <v>1</v>
      </c>
    </row>
    <row r="146" spans="1:20" x14ac:dyDescent="0.2">
      <c r="A146" s="18" t="s">
        <v>64</v>
      </c>
      <c r="B146" s="18" t="s">
        <v>27</v>
      </c>
      <c r="C146" s="18" t="s">
        <v>28</v>
      </c>
      <c r="D146" t="s">
        <v>4</v>
      </c>
      <c r="E146" s="1">
        <v>1</v>
      </c>
      <c r="F146" s="1">
        <v>1</v>
      </c>
      <c r="G146" s="1">
        <f>1-F146</f>
        <v>0</v>
      </c>
      <c r="H146" s="1">
        <f>1-E146</f>
        <v>0</v>
      </c>
      <c r="I146" s="1">
        <v>1</v>
      </c>
      <c r="L146" s="18"/>
      <c r="M146" s="18"/>
      <c r="N146" s="18"/>
      <c r="O146" t="s">
        <v>5</v>
      </c>
      <c r="P146" s="1">
        <v>1</v>
      </c>
      <c r="Q146" s="1">
        <v>1</v>
      </c>
      <c r="R146" s="1">
        <f t="shared" ref="R146:R148" si="69">1-Q146</f>
        <v>0</v>
      </c>
      <c r="S146" s="1">
        <f t="shared" ref="S146:S148" si="70">1-P146</f>
        <v>0</v>
      </c>
      <c r="T146" s="1">
        <v>1</v>
      </c>
    </row>
    <row r="147" spans="1:20" x14ac:dyDescent="0.2">
      <c r="A147" s="18"/>
      <c r="B147" s="18"/>
      <c r="C147" s="18"/>
      <c r="D147" t="s">
        <v>5</v>
      </c>
      <c r="E147" s="1">
        <v>1</v>
      </c>
      <c r="F147" s="1">
        <v>1</v>
      </c>
      <c r="G147" s="1">
        <f t="shared" ref="G147:G149" si="71">1-F147</f>
        <v>0</v>
      </c>
      <c r="H147" s="1">
        <f t="shared" ref="H147:H149" si="72">1-E147</f>
        <v>0</v>
      </c>
      <c r="I147" s="1">
        <v>1</v>
      </c>
      <c r="L147" s="18"/>
      <c r="M147" s="18" t="s">
        <v>29</v>
      </c>
      <c r="N147" s="18"/>
      <c r="O147" t="s">
        <v>4</v>
      </c>
      <c r="P147" s="1">
        <v>1</v>
      </c>
      <c r="Q147" s="1">
        <v>1</v>
      </c>
      <c r="R147" s="1">
        <f t="shared" si="69"/>
        <v>0</v>
      </c>
      <c r="S147" s="1">
        <f t="shared" si="70"/>
        <v>0</v>
      </c>
      <c r="T147" s="1">
        <v>1</v>
      </c>
    </row>
    <row r="148" spans="1:20" x14ac:dyDescent="0.2">
      <c r="A148" s="18"/>
      <c r="B148" s="18" t="s">
        <v>29</v>
      </c>
      <c r="C148" s="18"/>
      <c r="D148" t="s">
        <v>4</v>
      </c>
      <c r="E148" s="1">
        <v>1</v>
      </c>
      <c r="F148" s="1">
        <v>1</v>
      </c>
      <c r="G148" s="1">
        <f t="shared" si="71"/>
        <v>0</v>
      </c>
      <c r="H148" s="1">
        <f t="shared" si="72"/>
        <v>0</v>
      </c>
      <c r="I148" s="1">
        <v>1</v>
      </c>
      <c r="L148" s="18"/>
      <c r="M148" s="18"/>
      <c r="N148" s="18"/>
      <c r="O148" t="s">
        <v>5</v>
      </c>
      <c r="P148" s="1">
        <v>1</v>
      </c>
      <c r="Q148" s="1">
        <v>1</v>
      </c>
      <c r="R148" s="1">
        <f t="shared" si="69"/>
        <v>0</v>
      </c>
      <c r="S148" s="1">
        <f t="shared" si="70"/>
        <v>0</v>
      </c>
      <c r="T148" s="1">
        <v>1</v>
      </c>
    </row>
    <row r="149" spans="1:20" x14ac:dyDescent="0.2">
      <c r="A149" s="18"/>
      <c r="B149" s="18"/>
      <c r="C149" s="18"/>
      <c r="D149" t="s">
        <v>5</v>
      </c>
      <c r="E149" s="1">
        <v>1</v>
      </c>
      <c r="F149" s="1">
        <v>1</v>
      </c>
      <c r="G149" s="1">
        <f t="shared" si="71"/>
        <v>0</v>
      </c>
      <c r="H149" s="1">
        <f t="shared" si="72"/>
        <v>0</v>
      </c>
      <c r="I149" s="1">
        <v>1</v>
      </c>
      <c r="L149" s="18" t="s">
        <v>65</v>
      </c>
      <c r="M149" s="18" t="s">
        <v>27</v>
      </c>
      <c r="N149" s="18" t="s">
        <v>30</v>
      </c>
      <c r="O149" t="s">
        <v>6</v>
      </c>
      <c r="P149" s="1">
        <f>1744/(1744+171)</f>
        <v>0.91070496083550911</v>
      </c>
      <c r="Q149" s="1">
        <f>1892/(1892+24)</f>
        <v>0.98747390396659707</v>
      </c>
      <c r="R149" s="1">
        <f>1-Q149</f>
        <v>1.2526096033402934E-2</v>
      </c>
      <c r="S149" s="1">
        <f>1-P149</f>
        <v>8.9295039164490886E-2</v>
      </c>
      <c r="T149" s="1">
        <v>0.94909945184025002</v>
      </c>
    </row>
    <row r="150" spans="1:20" x14ac:dyDescent="0.2">
      <c r="L150" s="18"/>
      <c r="M150" s="18"/>
      <c r="N150" s="18"/>
      <c r="O150" t="s">
        <v>7</v>
      </c>
      <c r="P150" s="1">
        <f>1770/(1770+153)</f>
        <v>0.9204368174726989</v>
      </c>
      <c r="Q150" s="1">
        <f>1771/(1771+155)</f>
        <v>0.91952232606438211</v>
      </c>
      <c r="R150" s="1">
        <f t="shared" ref="R150:R152" si="73">1-Q150</f>
        <v>8.0477673935617888E-2</v>
      </c>
      <c r="S150" s="1">
        <f t="shared" ref="S150:S152" si="74">1-P150</f>
        <v>7.9563182527301102E-2</v>
      </c>
      <c r="T150" s="1">
        <v>0.919979215380618</v>
      </c>
    </row>
    <row r="151" spans="1:20" x14ac:dyDescent="0.2">
      <c r="A151" t="s">
        <v>59</v>
      </c>
      <c r="B151" t="s">
        <v>25</v>
      </c>
      <c r="C151" t="s">
        <v>26</v>
      </c>
      <c r="D151" t="s">
        <v>10</v>
      </c>
      <c r="E151" t="s">
        <v>0</v>
      </c>
      <c r="F151" t="s">
        <v>1</v>
      </c>
      <c r="G151" t="s">
        <v>2</v>
      </c>
      <c r="H151" t="s">
        <v>3</v>
      </c>
      <c r="I151" t="s">
        <v>9</v>
      </c>
      <c r="L151" s="18"/>
      <c r="M151" s="18" t="s">
        <v>29</v>
      </c>
      <c r="N151" s="18"/>
      <c r="O151" t="s">
        <v>6</v>
      </c>
      <c r="P151" s="1">
        <f>1811/(1811+104)</f>
        <v>0.94569190600522191</v>
      </c>
      <c r="Q151" s="1">
        <f>1835/(1835+81)</f>
        <v>0.95772442588726514</v>
      </c>
      <c r="R151" s="1">
        <f t="shared" si="73"/>
        <v>4.2275574112734859E-2</v>
      </c>
      <c r="S151" s="1">
        <f t="shared" si="74"/>
        <v>5.4308093994778095E-2</v>
      </c>
      <c r="T151" s="1">
        <v>0.95170973636126299</v>
      </c>
    </row>
    <row r="152" spans="1:20" x14ac:dyDescent="0.2">
      <c r="A152" s="18" t="s">
        <v>65</v>
      </c>
      <c r="B152" s="18" t="s">
        <v>27</v>
      </c>
      <c r="C152" s="18" t="s">
        <v>30</v>
      </c>
      <c r="D152" t="s">
        <v>6</v>
      </c>
      <c r="E152" s="1">
        <f>1744/(1744+171)</f>
        <v>0.91070496083550911</v>
      </c>
      <c r="F152" s="1">
        <f>1892/(1892+24)</f>
        <v>0.98747390396659707</v>
      </c>
      <c r="G152" s="1">
        <f>1-F152</f>
        <v>1.2526096033402934E-2</v>
      </c>
      <c r="H152" s="1">
        <f>1-E152</f>
        <v>8.9295039164490886E-2</v>
      </c>
      <c r="I152" s="1">
        <v>0.94909945184025002</v>
      </c>
      <c r="L152" s="18"/>
      <c r="M152" s="18"/>
      <c r="N152" s="18"/>
      <c r="O152" t="s">
        <v>7</v>
      </c>
      <c r="P152" s="1">
        <f>1847/(1847+76)</f>
        <v>0.96047841913676546</v>
      </c>
      <c r="Q152" s="1">
        <f>1708/(1708+218)</f>
        <v>0.88681204569055039</v>
      </c>
      <c r="R152" s="1">
        <f t="shared" si="73"/>
        <v>0.11318795430944961</v>
      </c>
      <c r="S152" s="1">
        <f t="shared" si="74"/>
        <v>3.952158086323454E-2</v>
      </c>
      <c r="T152" s="1">
        <v>0.92361652377240799</v>
      </c>
    </row>
    <row r="153" spans="1:20" x14ac:dyDescent="0.2">
      <c r="A153" s="18"/>
      <c r="B153" s="18"/>
      <c r="C153" s="18"/>
      <c r="D153" t="s">
        <v>7</v>
      </c>
      <c r="E153" s="1">
        <f>1770/(1770+153)</f>
        <v>0.9204368174726989</v>
      </c>
      <c r="F153" s="1">
        <f>1771/(1771+155)</f>
        <v>0.91952232606438211</v>
      </c>
      <c r="G153" s="1">
        <f t="shared" ref="G153:G155" si="75">1-F153</f>
        <v>8.0477673935617888E-2</v>
      </c>
      <c r="H153" s="1">
        <f t="shared" ref="H153:H155" si="76">1-E153</f>
        <v>7.9563182527301102E-2</v>
      </c>
      <c r="I153" s="1">
        <v>0.919979215380618</v>
      </c>
      <c r="L153" s="18"/>
      <c r="M153" s="18" t="s">
        <v>27</v>
      </c>
      <c r="N153" s="18" t="s">
        <v>28</v>
      </c>
      <c r="O153" t="s">
        <v>4</v>
      </c>
      <c r="P153" s="1">
        <f>1299/(1299+256)</f>
        <v>0.83536977491961417</v>
      </c>
      <c r="Q153" s="1">
        <f>1501/(1501+17)</f>
        <v>0.98880105401844531</v>
      </c>
      <c r="R153" s="1">
        <f>1-Q153</f>
        <v>1.1198945981554687E-2</v>
      </c>
      <c r="S153" s="1">
        <f>1-P153</f>
        <v>0.16463022508038583</v>
      </c>
      <c r="T153" s="1">
        <v>0.91116173120728905</v>
      </c>
    </row>
    <row r="154" spans="1:20" x14ac:dyDescent="0.2">
      <c r="A154" s="18"/>
      <c r="B154" s="18" t="s">
        <v>29</v>
      </c>
      <c r="C154" s="18"/>
      <c r="D154" t="s">
        <v>6</v>
      </c>
      <c r="E154" s="1">
        <f>1811/(1811+104)</f>
        <v>0.94569190600522191</v>
      </c>
      <c r="F154" s="1">
        <f>1835/(1835+81)</f>
        <v>0.95772442588726514</v>
      </c>
      <c r="G154" s="1">
        <f t="shared" si="75"/>
        <v>4.2275574112734859E-2</v>
      </c>
      <c r="H154" s="1">
        <f t="shared" si="76"/>
        <v>5.4308093994778095E-2</v>
      </c>
      <c r="I154" s="1">
        <v>0.95170973636126299</v>
      </c>
      <c r="L154" s="18"/>
      <c r="M154" s="18"/>
      <c r="N154" s="18"/>
      <c r="O154" t="s">
        <v>5</v>
      </c>
      <c r="P154" s="1">
        <f>1142/(1142+291)</f>
        <v>0.79692951849267268</v>
      </c>
      <c r="Q154" s="1">
        <f>1196/(1196+162)</f>
        <v>0.88070692194403533</v>
      </c>
      <c r="R154" s="1">
        <f t="shared" ref="R154:R156" si="77">1-Q154</f>
        <v>0.11929307805596467</v>
      </c>
      <c r="S154" s="1">
        <f t="shared" ref="S154:S156" si="78">1-P154</f>
        <v>0.20307048150732732</v>
      </c>
      <c r="T154" s="1">
        <v>0.83769258330347496</v>
      </c>
    </row>
    <row r="155" spans="1:20" x14ac:dyDescent="0.2">
      <c r="A155" s="18"/>
      <c r="B155" s="18"/>
      <c r="C155" s="18"/>
      <c r="D155" t="s">
        <v>7</v>
      </c>
      <c r="E155" s="1">
        <f>1847/(1847+76)</f>
        <v>0.96047841913676546</v>
      </c>
      <c r="F155" s="1">
        <f>1708/(1708+218)</f>
        <v>0.88681204569055039</v>
      </c>
      <c r="G155" s="1">
        <f t="shared" si="75"/>
        <v>0.11318795430944961</v>
      </c>
      <c r="H155" s="1">
        <f t="shared" si="76"/>
        <v>3.952158086323454E-2</v>
      </c>
      <c r="I155" s="1">
        <v>0.92361652377240799</v>
      </c>
      <c r="L155" s="18"/>
      <c r="M155" s="18" t="s">
        <v>29</v>
      </c>
      <c r="N155" s="18"/>
      <c r="O155" t="s">
        <v>4</v>
      </c>
      <c r="P155" s="1">
        <f>1507/(1507+48)</f>
        <v>0.96913183279742765</v>
      </c>
      <c r="Q155" s="1">
        <f>1394/(1394+124)</f>
        <v>0.91831357048748352</v>
      </c>
      <c r="R155" s="1">
        <f t="shared" si="77"/>
        <v>8.1686429512516479E-2</v>
      </c>
      <c r="S155" s="1">
        <f t="shared" si="78"/>
        <v>3.086816720257235E-2</v>
      </c>
      <c r="T155" s="1">
        <v>0.944028636511552</v>
      </c>
    </row>
    <row r="156" spans="1:20" x14ac:dyDescent="0.2">
      <c r="A156" t="s">
        <v>59</v>
      </c>
      <c r="B156" t="s">
        <v>25</v>
      </c>
      <c r="C156" t="s">
        <v>26</v>
      </c>
      <c r="D156" t="s">
        <v>11</v>
      </c>
      <c r="E156" t="s">
        <v>0</v>
      </c>
      <c r="F156" t="s">
        <v>1</v>
      </c>
      <c r="G156" t="s">
        <v>2</v>
      </c>
      <c r="H156" t="s">
        <v>3</v>
      </c>
      <c r="I156" t="s">
        <v>9</v>
      </c>
      <c r="L156" s="18"/>
      <c r="M156" s="18"/>
      <c r="N156" s="18"/>
      <c r="O156" t="s">
        <v>5</v>
      </c>
      <c r="P156" s="1">
        <f>1316/(1316+117)</f>
        <v>0.91835310537334269</v>
      </c>
      <c r="Q156" s="1">
        <f>1131/(1131+227)</f>
        <v>0.83284241531664216</v>
      </c>
      <c r="R156" s="1">
        <f t="shared" si="77"/>
        <v>0.16715758468335784</v>
      </c>
      <c r="S156" s="1">
        <f t="shared" si="78"/>
        <v>8.1646894626657307E-2</v>
      </c>
      <c r="T156" s="1">
        <v>0.87674668577570702</v>
      </c>
    </row>
    <row r="157" spans="1:20" x14ac:dyDescent="0.2">
      <c r="A157" s="18" t="s">
        <v>65</v>
      </c>
      <c r="B157" s="18" t="s">
        <v>27</v>
      </c>
      <c r="C157" s="18" t="s">
        <v>28</v>
      </c>
      <c r="D157" t="s">
        <v>4</v>
      </c>
      <c r="E157" s="1">
        <f>1299/(1299+256)</f>
        <v>0.83536977491961417</v>
      </c>
      <c r="F157" s="1">
        <f>1501/(1501+17)</f>
        <v>0.98880105401844531</v>
      </c>
      <c r="G157" s="1">
        <f>1-F157</f>
        <v>1.1198945981554687E-2</v>
      </c>
      <c r="H157" s="1">
        <f>1-E157</f>
        <v>0.16463022508038583</v>
      </c>
      <c r="I157" s="1">
        <v>0.91116173120728905</v>
      </c>
      <c r="L157" s="18" t="s">
        <v>66</v>
      </c>
      <c r="M157" s="18" t="s">
        <v>27</v>
      </c>
      <c r="N157" s="18" t="s">
        <v>30</v>
      </c>
      <c r="O157" t="s">
        <v>6</v>
      </c>
      <c r="P157" s="1">
        <v>0.92584856396866844</v>
      </c>
      <c r="Q157" s="1">
        <v>0.97494780793319413</v>
      </c>
      <c r="R157" s="1">
        <v>2.5052192066805867E-2</v>
      </c>
      <c r="S157" s="1">
        <v>7.4151436031331563E-2</v>
      </c>
      <c r="T157" s="1">
        <v>0.95040459410075695</v>
      </c>
    </row>
    <row r="158" spans="1:20" x14ac:dyDescent="0.2">
      <c r="A158" s="18"/>
      <c r="B158" s="18"/>
      <c r="C158" s="18"/>
      <c r="D158" t="s">
        <v>5</v>
      </c>
      <c r="E158" s="1">
        <f>1142/(1142+291)</f>
        <v>0.79692951849267268</v>
      </c>
      <c r="F158" s="1">
        <f>1196/(1196+162)</f>
        <v>0.88070692194403533</v>
      </c>
      <c r="G158" s="1">
        <f t="shared" ref="G158:G160" si="79">1-F158</f>
        <v>0.11929307805596467</v>
      </c>
      <c r="H158" s="1">
        <f t="shared" ref="H158:H160" si="80">1-E158</f>
        <v>0.20307048150732732</v>
      </c>
      <c r="I158" s="1">
        <v>0.83769258330347496</v>
      </c>
      <c r="L158" s="18"/>
      <c r="M158" s="18"/>
      <c r="N158" s="18"/>
      <c r="O158" t="s">
        <v>7</v>
      </c>
      <c r="P158" s="1">
        <v>0.93707748309932393</v>
      </c>
      <c r="Q158" s="1">
        <v>0.98026998961578404</v>
      </c>
      <c r="R158" s="1">
        <v>1.9730010384215957E-2</v>
      </c>
      <c r="S158" s="1">
        <v>6.2922516900676073E-2</v>
      </c>
      <c r="T158" s="1">
        <v>0.95869056897895499</v>
      </c>
    </row>
    <row r="159" spans="1:20" x14ac:dyDescent="0.2">
      <c r="A159" s="18"/>
      <c r="B159" s="18" t="s">
        <v>29</v>
      </c>
      <c r="C159" s="18"/>
      <c r="D159" t="s">
        <v>4</v>
      </c>
      <c r="E159" s="1">
        <f>1507/(1507+48)</f>
        <v>0.96913183279742765</v>
      </c>
      <c r="F159" s="1">
        <f>1394/(1394+124)</f>
        <v>0.91831357048748352</v>
      </c>
      <c r="G159" s="1">
        <f t="shared" si="79"/>
        <v>8.1686429512516479E-2</v>
      </c>
      <c r="H159" s="1">
        <f t="shared" si="80"/>
        <v>3.086816720257235E-2</v>
      </c>
      <c r="I159" s="1">
        <v>0.944028636511552</v>
      </c>
      <c r="L159" s="18"/>
      <c r="M159" s="18" t="s">
        <v>29</v>
      </c>
      <c r="N159" s="18"/>
      <c r="O159" t="s">
        <v>6</v>
      </c>
      <c r="P159" s="1">
        <v>0.93211488250652741</v>
      </c>
      <c r="Q159" s="1">
        <v>0.97286012526096033</v>
      </c>
      <c r="R159" s="1">
        <v>2.7139874739039671E-2</v>
      </c>
      <c r="S159" s="1">
        <v>6.7885117493472591E-2</v>
      </c>
      <c r="T159" s="1">
        <v>0.952492821717567</v>
      </c>
    </row>
    <row r="160" spans="1:20" x14ac:dyDescent="0.2">
      <c r="A160" s="18"/>
      <c r="B160" s="18"/>
      <c r="C160" s="18"/>
      <c r="D160" t="s">
        <v>5</v>
      </c>
      <c r="E160" s="1">
        <f>1316/(1316+117)</f>
        <v>0.91835310537334269</v>
      </c>
      <c r="F160" s="1">
        <f>1131/(1131+227)</f>
        <v>0.83284241531664216</v>
      </c>
      <c r="G160" s="1">
        <f t="shared" si="79"/>
        <v>0.16715758468335784</v>
      </c>
      <c r="H160" s="1">
        <f t="shared" si="80"/>
        <v>8.1646894626657307E-2</v>
      </c>
      <c r="I160" s="1">
        <v>0.87674668577570702</v>
      </c>
      <c r="L160" s="18"/>
      <c r="M160" s="18"/>
      <c r="N160" s="18"/>
      <c r="O160" t="s">
        <v>7</v>
      </c>
      <c r="P160" s="1">
        <v>0.94279771190847639</v>
      </c>
      <c r="Q160" s="1">
        <v>0.97871235721703009</v>
      </c>
      <c r="R160" s="1">
        <v>2.1287642782969907E-2</v>
      </c>
      <c r="S160" s="1">
        <v>5.7202288091523612E-2</v>
      </c>
      <c r="T160" s="1">
        <v>0.96076903091712096</v>
      </c>
    </row>
    <row r="161" spans="1:20" x14ac:dyDescent="0.2">
      <c r="L161" s="18"/>
      <c r="M161" s="18" t="s">
        <v>27</v>
      </c>
      <c r="N161" s="18" t="s">
        <v>28</v>
      </c>
      <c r="O161" t="s">
        <v>4</v>
      </c>
      <c r="P161" s="1">
        <v>0.94533762057877813</v>
      </c>
      <c r="Q161" s="1">
        <v>0.94400527009222657</v>
      </c>
      <c r="R161" s="1">
        <v>5.5994729907773433E-2</v>
      </c>
      <c r="S161" s="1">
        <v>5.4662379421221874E-2</v>
      </c>
      <c r="T161" s="1">
        <v>0.94467946631955702</v>
      </c>
    </row>
    <row r="162" spans="1:20" x14ac:dyDescent="0.2">
      <c r="A162" t="s">
        <v>59</v>
      </c>
      <c r="B162" t="s">
        <v>25</v>
      </c>
      <c r="C162" t="s">
        <v>26</v>
      </c>
      <c r="D162" t="s">
        <v>10</v>
      </c>
      <c r="E162" t="s">
        <v>0</v>
      </c>
      <c r="F162" t="s">
        <v>1</v>
      </c>
      <c r="G162" t="s">
        <v>2</v>
      </c>
      <c r="H162" t="s">
        <v>3</v>
      </c>
      <c r="I162" t="s">
        <v>9</v>
      </c>
      <c r="L162" s="18"/>
      <c r="M162" s="18"/>
      <c r="N162" s="18"/>
      <c r="O162" t="s">
        <v>5</v>
      </c>
      <c r="P162" s="1">
        <v>0.88764829030006975</v>
      </c>
      <c r="Q162" s="1">
        <v>0.98969072164948457</v>
      </c>
      <c r="R162" s="1">
        <v>1.0309278350515427E-2</v>
      </c>
      <c r="S162" s="1">
        <v>0.11235170969993025</v>
      </c>
      <c r="T162" s="1">
        <v>0.93729845933357203</v>
      </c>
    </row>
    <row r="163" spans="1:20" x14ac:dyDescent="0.2">
      <c r="A163" s="18" t="s">
        <v>66</v>
      </c>
      <c r="B163" s="18" t="s">
        <v>27</v>
      </c>
      <c r="C163" s="18" t="s">
        <v>30</v>
      </c>
      <c r="D163" t="s">
        <v>6</v>
      </c>
      <c r="E163" s="1">
        <f>1773/(1773+142)</f>
        <v>0.92584856396866844</v>
      </c>
      <c r="F163" s="1">
        <f>1868/(1868+48)</f>
        <v>0.97494780793319413</v>
      </c>
      <c r="G163" s="1">
        <f>1-F163</f>
        <v>2.5052192066805867E-2</v>
      </c>
      <c r="H163" s="1">
        <f>1-E163</f>
        <v>7.4151436031331563E-2</v>
      </c>
      <c r="I163" s="1">
        <v>0.95040459410075695</v>
      </c>
      <c r="L163" s="18"/>
      <c r="M163" s="18" t="s">
        <v>29</v>
      </c>
      <c r="N163" s="18"/>
      <c r="O163" t="s">
        <v>4</v>
      </c>
      <c r="P163" s="1">
        <v>0.86688102893890673</v>
      </c>
      <c r="Q163" s="1">
        <v>0.98880105401844531</v>
      </c>
      <c r="R163" s="1">
        <v>1.1198945981554687E-2</v>
      </c>
      <c r="S163" s="1">
        <v>0.13311897106109327</v>
      </c>
      <c r="T163" s="1">
        <v>0.92710706150341604</v>
      </c>
    </row>
    <row r="164" spans="1:20" x14ac:dyDescent="0.2">
      <c r="A164" s="18"/>
      <c r="B164" s="18"/>
      <c r="C164" s="18"/>
      <c r="D164" t="s">
        <v>7</v>
      </c>
      <c r="E164" s="1">
        <f>1802/(1802+121)</f>
        <v>0.93707748309932393</v>
      </c>
      <c r="F164" s="1">
        <f>1888/(1888+38)</f>
        <v>0.98026998961578404</v>
      </c>
      <c r="G164" s="1">
        <f t="shared" ref="G164" si="81">1-F164</f>
        <v>1.9730010384215957E-2</v>
      </c>
      <c r="H164" s="1">
        <f t="shared" ref="H164" si="82">1-E164</f>
        <v>6.2922516900676073E-2</v>
      </c>
      <c r="I164" s="1">
        <v>0.95869056897895499</v>
      </c>
      <c r="L164" s="18"/>
      <c r="M164" s="18"/>
      <c r="N164" s="18"/>
      <c r="O164" t="s">
        <v>5</v>
      </c>
      <c r="P164" s="1">
        <v>0.76482903000697833</v>
      </c>
      <c r="Q164" s="1">
        <v>1</v>
      </c>
      <c r="R164" s="1">
        <v>0</v>
      </c>
      <c r="S164" s="1">
        <v>0.23517096999302167</v>
      </c>
      <c r="T164" s="1">
        <v>0.87925474740236398</v>
      </c>
    </row>
    <row r="165" spans="1:20" x14ac:dyDescent="0.2">
      <c r="A165" s="18"/>
      <c r="B165" s="18" t="s">
        <v>29</v>
      </c>
      <c r="C165" s="18"/>
      <c r="D165" t="s">
        <v>6</v>
      </c>
      <c r="E165" s="1">
        <f>1785/(1785+130)</f>
        <v>0.93211488250652741</v>
      </c>
      <c r="F165" s="1">
        <f>1864/(1864+52)</f>
        <v>0.97286012526096033</v>
      </c>
      <c r="G165" s="1">
        <f>1-F165</f>
        <v>2.7139874739039671E-2</v>
      </c>
      <c r="H165" s="1">
        <f>1-E165</f>
        <v>6.7885117493472591E-2</v>
      </c>
      <c r="I165" s="1">
        <v>0.952492821717567</v>
      </c>
    </row>
    <row r="166" spans="1:20" x14ac:dyDescent="0.2">
      <c r="A166" s="18"/>
      <c r="B166" s="18"/>
      <c r="C166" s="18"/>
      <c r="D166" t="s">
        <v>7</v>
      </c>
      <c r="E166" s="1">
        <f>1813/(1813+110)</f>
        <v>0.94279771190847639</v>
      </c>
      <c r="F166" s="1">
        <f>1885/(1885+41)</f>
        <v>0.97871235721703009</v>
      </c>
      <c r="G166" s="1">
        <f>1-F166</f>
        <v>2.1287642782969907E-2</v>
      </c>
      <c r="H166" s="1">
        <f>1-E166</f>
        <v>5.7202288091523612E-2</v>
      </c>
      <c r="I166" s="1">
        <v>0.96076903091712096</v>
      </c>
    </row>
    <row r="167" spans="1:20" x14ac:dyDescent="0.2">
      <c r="A167" t="s">
        <v>59</v>
      </c>
      <c r="B167" t="s">
        <v>25</v>
      </c>
      <c r="C167" t="s">
        <v>26</v>
      </c>
      <c r="D167" t="s">
        <v>11</v>
      </c>
      <c r="E167" t="s">
        <v>0</v>
      </c>
      <c r="F167" t="s">
        <v>1</v>
      </c>
      <c r="G167" t="s">
        <v>2</v>
      </c>
      <c r="H167" t="s">
        <v>3</v>
      </c>
      <c r="I167" t="s">
        <v>9</v>
      </c>
    </row>
    <row r="168" spans="1:20" x14ac:dyDescent="0.2">
      <c r="A168" s="18" t="s">
        <v>66</v>
      </c>
      <c r="B168" s="18" t="s">
        <v>27</v>
      </c>
      <c r="C168" s="18" t="s">
        <v>28</v>
      </c>
      <c r="D168" t="s">
        <v>4</v>
      </c>
      <c r="E168" s="1">
        <f>1470/(1470+85)</f>
        <v>0.94533762057877813</v>
      </c>
      <c r="F168" s="1">
        <f>1433/(1433+85)</f>
        <v>0.94400527009222657</v>
      </c>
      <c r="G168" s="1">
        <f t="shared" ref="G168:G171" si="83">1-F168</f>
        <v>5.5994729907773433E-2</v>
      </c>
      <c r="H168" s="1">
        <f t="shared" ref="H168:H171" si="84">1-E168</f>
        <v>5.4662379421221874E-2</v>
      </c>
      <c r="I168" s="1">
        <v>0.94467946631955702</v>
      </c>
    </row>
    <row r="169" spans="1:20" x14ac:dyDescent="0.2">
      <c r="A169" s="18"/>
      <c r="B169" s="18"/>
      <c r="C169" s="18"/>
      <c r="D169" t="s">
        <v>5</v>
      </c>
      <c r="E169" s="1">
        <f>1272/(1272+161)</f>
        <v>0.88764829030006975</v>
      </c>
      <c r="F169" s="1">
        <f>1344/(1344+14)</f>
        <v>0.98969072164948457</v>
      </c>
      <c r="G169" s="1">
        <f t="shared" si="83"/>
        <v>1.0309278350515427E-2</v>
      </c>
      <c r="H169" s="1">
        <f t="shared" si="84"/>
        <v>0.11235170969993025</v>
      </c>
      <c r="I169" s="1">
        <v>0.93729845933357203</v>
      </c>
    </row>
    <row r="170" spans="1:20" x14ac:dyDescent="0.2">
      <c r="A170" s="18"/>
      <c r="B170" s="18" t="s">
        <v>29</v>
      </c>
      <c r="C170" s="18"/>
      <c r="D170" t="s">
        <v>4</v>
      </c>
      <c r="E170" s="1">
        <f>1348/(1348+207)</f>
        <v>0.86688102893890673</v>
      </c>
      <c r="F170" s="1">
        <f>1501/(1501+17)</f>
        <v>0.98880105401844531</v>
      </c>
      <c r="G170" s="1">
        <f t="shared" si="83"/>
        <v>1.1198945981554687E-2</v>
      </c>
      <c r="H170" s="1">
        <f t="shared" si="84"/>
        <v>0.13311897106109327</v>
      </c>
      <c r="I170" s="1">
        <v>0.92710706150341604</v>
      </c>
    </row>
    <row r="171" spans="1:20" x14ac:dyDescent="0.2">
      <c r="A171" s="18"/>
      <c r="B171" s="18"/>
      <c r="C171" s="18"/>
      <c r="D171" t="s">
        <v>5</v>
      </c>
      <c r="E171" s="1">
        <f>1096/(1096+337)</f>
        <v>0.76482903000697833</v>
      </c>
      <c r="F171" s="1">
        <f>1358/1358</f>
        <v>1</v>
      </c>
      <c r="G171" s="1">
        <f t="shared" si="83"/>
        <v>0</v>
      </c>
      <c r="H171" s="1">
        <f t="shared" si="84"/>
        <v>0.23517096999302167</v>
      </c>
      <c r="I171" s="1">
        <v>0.87925474740236398</v>
      </c>
    </row>
    <row r="173" spans="1:20" x14ac:dyDescent="0.2">
      <c r="A173" s="12" t="s">
        <v>80</v>
      </c>
    </row>
    <row r="174" spans="1:20" x14ac:dyDescent="0.2">
      <c r="A174" t="s">
        <v>59</v>
      </c>
      <c r="B174" t="s">
        <v>25</v>
      </c>
      <c r="C174" t="s">
        <v>26</v>
      </c>
      <c r="D174" t="s">
        <v>10</v>
      </c>
      <c r="E174" t="s">
        <v>0</v>
      </c>
      <c r="F174" t="s">
        <v>1</v>
      </c>
      <c r="G174" t="s">
        <v>2</v>
      </c>
      <c r="H174" t="s">
        <v>3</v>
      </c>
      <c r="I174" t="s">
        <v>9</v>
      </c>
      <c r="L174" t="s">
        <v>59</v>
      </c>
      <c r="M174" t="s">
        <v>25</v>
      </c>
      <c r="N174" t="s">
        <v>26</v>
      </c>
      <c r="O174" t="s">
        <v>86</v>
      </c>
      <c r="P174" t="s">
        <v>0</v>
      </c>
      <c r="Q174" t="s">
        <v>1</v>
      </c>
      <c r="R174" t="s">
        <v>2</v>
      </c>
      <c r="S174" t="s">
        <v>3</v>
      </c>
      <c r="T174" t="s">
        <v>71</v>
      </c>
    </row>
    <row r="175" spans="1:20" x14ac:dyDescent="0.2">
      <c r="A175" s="18" t="s">
        <v>64</v>
      </c>
      <c r="B175" s="18" t="s">
        <v>27</v>
      </c>
      <c r="C175" s="18" t="s">
        <v>30</v>
      </c>
      <c r="D175" t="s">
        <v>6</v>
      </c>
      <c r="E175" s="1">
        <v>1</v>
      </c>
      <c r="F175" s="1">
        <v>1</v>
      </c>
      <c r="G175" s="1">
        <f>1-F175</f>
        <v>0</v>
      </c>
      <c r="H175" s="1">
        <f>1-E175</f>
        <v>0</v>
      </c>
      <c r="I175" s="1">
        <v>1</v>
      </c>
      <c r="L175" s="18" t="s">
        <v>64</v>
      </c>
      <c r="M175" s="18" t="s">
        <v>27</v>
      </c>
      <c r="N175" s="18" t="s">
        <v>30</v>
      </c>
      <c r="O175" t="s">
        <v>6</v>
      </c>
      <c r="P175" s="1">
        <v>1</v>
      </c>
      <c r="Q175" s="1">
        <v>1</v>
      </c>
      <c r="R175" s="1">
        <f>1-Q175</f>
        <v>0</v>
      </c>
      <c r="S175" s="1">
        <f>1-P175</f>
        <v>0</v>
      </c>
      <c r="T175" s="1">
        <v>1</v>
      </c>
    </row>
    <row r="176" spans="1:20" x14ac:dyDescent="0.2">
      <c r="A176" s="18"/>
      <c r="B176" s="18"/>
      <c r="C176" s="18"/>
      <c r="D176" t="s">
        <v>7</v>
      </c>
      <c r="E176" s="1">
        <v>1</v>
      </c>
      <c r="F176" s="1">
        <v>1</v>
      </c>
      <c r="G176" s="1">
        <f t="shared" ref="G176:G178" si="85">1-F176</f>
        <v>0</v>
      </c>
      <c r="H176" s="1">
        <f t="shared" ref="H176:H178" si="86">1-E176</f>
        <v>0</v>
      </c>
      <c r="I176" s="1">
        <v>1</v>
      </c>
      <c r="L176" s="18"/>
      <c r="M176" s="18"/>
      <c r="N176" s="18"/>
      <c r="O176" t="s">
        <v>7</v>
      </c>
      <c r="P176" s="1">
        <v>1</v>
      </c>
      <c r="Q176" s="1">
        <v>1</v>
      </c>
      <c r="R176" s="1">
        <f t="shared" ref="R176:R178" si="87">1-Q176</f>
        <v>0</v>
      </c>
      <c r="S176" s="1">
        <f t="shared" ref="S176:S178" si="88">1-P176</f>
        <v>0</v>
      </c>
      <c r="T176" s="1">
        <v>1</v>
      </c>
    </row>
    <row r="177" spans="1:20" x14ac:dyDescent="0.2">
      <c r="A177" s="18"/>
      <c r="B177" s="18" t="s">
        <v>29</v>
      </c>
      <c r="C177" s="18"/>
      <c r="D177" t="s">
        <v>6</v>
      </c>
      <c r="E177" s="1">
        <v>1</v>
      </c>
      <c r="F177" s="1">
        <v>1</v>
      </c>
      <c r="G177" s="1">
        <f t="shared" si="85"/>
        <v>0</v>
      </c>
      <c r="H177" s="1">
        <f t="shared" si="86"/>
        <v>0</v>
      </c>
      <c r="I177" s="1">
        <v>1</v>
      </c>
      <c r="L177" s="18"/>
      <c r="M177" s="18" t="s">
        <v>29</v>
      </c>
      <c r="N177" s="18"/>
      <c r="O177" t="s">
        <v>6</v>
      </c>
      <c r="P177" s="1">
        <v>1</v>
      </c>
      <c r="Q177" s="1">
        <v>1</v>
      </c>
      <c r="R177" s="1">
        <f t="shared" si="87"/>
        <v>0</v>
      </c>
      <c r="S177" s="1">
        <f t="shared" si="88"/>
        <v>0</v>
      </c>
      <c r="T177" s="1">
        <v>1</v>
      </c>
    </row>
    <row r="178" spans="1:20" x14ac:dyDescent="0.2">
      <c r="A178" s="18"/>
      <c r="B178" s="18"/>
      <c r="C178" s="18"/>
      <c r="D178" t="s">
        <v>7</v>
      </c>
      <c r="E178" s="1">
        <v>1</v>
      </c>
      <c r="F178" s="1">
        <v>1</v>
      </c>
      <c r="G178" s="1">
        <f t="shared" si="85"/>
        <v>0</v>
      </c>
      <c r="H178" s="1">
        <f t="shared" si="86"/>
        <v>0</v>
      </c>
      <c r="I178" s="1">
        <v>1</v>
      </c>
      <c r="L178" s="18"/>
      <c r="M178" s="18"/>
      <c r="N178" s="18"/>
      <c r="O178" t="s">
        <v>7</v>
      </c>
      <c r="P178" s="1">
        <v>1</v>
      </c>
      <c r="Q178" s="1">
        <v>1</v>
      </c>
      <c r="R178" s="1">
        <f t="shared" si="87"/>
        <v>0</v>
      </c>
      <c r="S178" s="1">
        <f t="shared" si="88"/>
        <v>0</v>
      </c>
      <c r="T178" s="1">
        <v>1</v>
      </c>
    </row>
    <row r="179" spans="1:20" x14ac:dyDescent="0.2">
      <c r="A179" t="s">
        <v>59</v>
      </c>
      <c r="B179" t="s">
        <v>25</v>
      </c>
      <c r="C179" t="s">
        <v>26</v>
      </c>
      <c r="D179" t="s">
        <v>11</v>
      </c>
      <c r="E179" t="s">
        <v>0</v>
      </c>
      <c r="F179" t="s">
        <v>1</v>
      </c>
      <c r="G179" t="s">
        <v>2</v>
      </c>
      <c r="H179" t="s">
        <v>3</v>
      </c>
      <c r="I179" t="s">
        <v>9</v>
      </c>
      <c r="L179" s="18"/>
      <c r="M179" s="18" t="s">
        <v>27</v>
      </c>
      <c r="N179" s="18" t="s">
        <v>28</v>
      </c>
      <c r="O179" t="s">
        <v>4</v>
      </c>
      <c r="P179" s="1">
        <v>1</v>
      </c>
      <c r="Q179" s="1">
        <v>1</v>
      </c>
      <c r="R179" s="1">
        <f>1-Q179</f>
        <v>0</v>
      </c>
      <c r="S179" s="1">
        <f>1-P179</f>
        <v>0</v>
      </c>
      <c r="T179" s="1">
        <v>1</v>
      </c>
    </row>
    <row r="180" spans="1:20" x14ac:dyDescent="0.2">
      <c r="A180" s="18" t="s">
        <v>64</v>
      </c>
      <c r="B180" s="18" t="s">
        <v>27</v>
      </c>
      <c r="C180" s="18" t="s">
        <v>28</v>
      </c>
      <c r="D180" t="s">
        <v>4</v>
      </c>
      <c r="E180" s="1">
        <v>1</v>
      </c>
      <c r="F180" s="1">
        <v>1</v>
      </c>
      <c r="G180" s="1">
        <f>1-F180</f>
        <v>0</v>
      </c>
      <c r="H180" s="1">
        <f>1-E180</f>
        <v>0</v>
      </c>
      <c r="I180" s="1">
        <v>1</v>
      </c>
      <c r="L180" s="18"/>
      <c r="M180" s="18"/>
      <c r="N180" s="18"/>
      <c r="O180" t="s">
        <v>5</v>
      </c>
      <c r="P180" s="1">
        <v>1</v>
      </c>
      <c r="Q180" s="1">
        <v>1</v>
      </c>
      <c r="R180" s="1">
        <f t="shared" ref="R180:R182" si="89">1-Q180</f>
        <v>0</v>
      </c>
      <c r="S180" s="1">
        <f t="shared" ref="S180:S182" si="90">1-P180</f>
        <v>0</v>
      </c>
      <c r="T180" s="1">
        <v>1</v>
      </c>
    </row>
    <row r="181" spans="1:20" x14ac:dyDescent="0.2">
      <c r="A181" s="18"/>
      <c r="B181" s="18"/>
      <c r="C181" s="18"/>
      <c r="D181" t="s">
        <v>5</v>
      </c>
      <c r="E181" s="1">
        <v>1</v>
      </c>
      <c r="F181" s="1">
        <v>1</v>
      </c>
      <c r="G181" s="1">
        <f t="shared" ref="G181:G183" si="91">1-F181</f>
        <v>0</v>
      </c>
      <c r="H181" s="1">
        <f t="shared" ref="H181:H183" si="92">1-E181</f>
        <v>0</v>
      </c>
      <c r="I181" s="1">
        <v>1</v>
      </c>
      <c r="L181" s="18"/>
      <c r="M181" s="18" t="s">
        <v>29</v>
      </c>
      <c r="N181" s="18"/>
      <c r="O181" t="s">
        <v>4</v>
      </c>
      <c r="P181" s="1">
        <v>1</v>
      </c>
      <c r="Q181" s="1">
        <v>1</v>
      </c>
      <c r="R181" s="1">
        <f t="shared" si="89"/>
        <v>0</v>
      </c>
      <c r="S181" s="1">
        <f t="shared" si="90"/>
        <v>0</v>
      </c>
      <c r="T181" s="1">
        <v>1</v>
      </c>
    </row>
    <row r="182" spans="1:20" x14ac:dyDescent="0.2">
      <c r="A182" s="18"/>
      <c r="B182" s="18" t="s">
        <v>29</v>
      </c>
      <c r="C182" s="18"/>
      <c r="D182" t="s">
        <v>4</v>
      </c>
      <c r="E182" s="1">
        <v>1</v>
      </c>
      <c r="F182" s="1">
        <v>1</v>
      </c>
      <c r="G182" s="1">
        <f t="shared" si="91"/>
        <v>0</v>
      </c>
      <c r="H182" s="1">
        <f t="shared" si="92"/>
        <v>0</v>
      </c>
      <c r="I182" s="1">
        <v>1</v>
      </c>
      <c r="L182" s="18"/>
      <c r="M182" s="18"/>
      <c r="N182" s="18"/>
      <c r="O182" t="s">
        <v>5</v>
      </c>
      <c r="P182" s="1">
        <v>1</v>
      </c>
      <c r="Q182" s="1">
        <v>1</v>
      </c>
      <c r="R182" s="1">
        <f t="shared" si="89"/>
        <v>0</v>
      </c>
      <c r="S182" s="1">
        <f t="shared" si="90"/>
        <v>0</v>
      </c>
      <c r="T182" s="1">
        <v>1</v>
      </c>
    </row>
    <row r="183" spans="1:20" x14ac:dyDescent="0.2">
      <c r="A183" s="18"/>
      <c r="B183" s="18"/>
      <c r="C183" s="18"/>
      <c r="D183" t="s">
        <v>5</v>
      </c>
      <c r="E183" s="1">
        <v>1</v>
      </c>
      <c r="F183" s="1">
        <v>1</v>
      </c>
      <c r="G183" s="1">
        <f t="shared" si="91"/>
        <v>0</v>
      </c>
      <c r="H183" s="1">
        <f t="shared" si="92"/>
        <v>0</v>
      </c>
      <c r="I183" s="1">
        <v>1</v>
      </c>
      <c r="L183" s="18" t="s">
        <v>65</v>
      </c>
      <c r="M183" s="18" t="s">
        <v>27</v>
      </c>
      <c r="N183" s="18" t="s">
        <v>30</v>
      </c>
      <c r="O183" t="s">
        <v>6</v>
      </c>
      <c r="P183" s="1">
        <f>196/(196+7)</f>
        <v>0.96551724137931039</v>
      </c>
      <c r="Q183" s="1">
        <f>164/(164+13)</f>
        <v>0.92655367231638419</v>
      </c>
      <c r="R183" s="1">
        <f>1-Q183</f>
        <v>7.3446327683615809E-2</v>
      </c>
      <c r="S183" s="1">
        <f>1-P183</f>
        <v>3.4482758620689613E-2</v>
      </c>
      <c r="T183" s="1">
        <v>0.94736842105263097</v>
      </c>
    </row>
    <row r="184" spans="1:20" x14ac:dyDescent="0.2">
      <c r="L184" s="18"/>
      <c r="M184" s="18"/>
      <c r="N184" s="18"/>
      <c r="O184" t="s">
        <v>7</v>
      </c>
      <c r="P184" s="1">
        <f>193/(193+11)</f>
        <v>0.94607843137254899</v>
      </c>
      <c r="Q184" s="1">
        <f>179/(179+5)</f>
        <v>0.97282608695652173</v>
      </c>
      <c r="R184" s="1">
        <f t="shared" ref="R184:R186" si="93">1-Q184</f>
        <v>2.7173913043478271E-2</v>
      </c>
      <c r="S184" s="1">
        <f t="shared" ref="S184:S186" si="94">1-P184</f>
        <v>5.3921568627451011E-2</v>
      </c>
      <c r="T184" s="1">
        <v>0.95876288659793796</v>
      </c>
    </row>
    <row r="185" spans="1:20" x14ac:dyDescent="0.2">
      <c r="A185" t="s">
        <v>59</v>
      </c>
      <c r="B185" t="s">
        <v>25</v>
      </c>
      <c r="C185" t="s">
        <v>26</v>
      </c>
      <c r="D185" t="s">
        <v>10</v>
      </c>
      <c r="E185" t="s">
        <v>0</v>
      </c>
      <c r="F185" t="s">
        <v>1</v>
      </c>
      <c r="G185" t="s">
        <v>2</v>
      </c>
      <c r="H185" t="s">
        <v>3</v>
      </c>
      <c r="I185" t="s">
        <v>9</v>
      </c>
      <c r="L185" s="18"/>
      <c r="M185" s="18" t="s">
        <v>29</v>
      </c>
      <c r="N185" s="18"/>
      <c r="O185" t="s">
        <v>6</v>
      </c>
      <c r="P185" s="1">
        <f>194/(194+9)</f>
        <v>0.95566502463054193</v>
      </c>
      <c r="Q185" s="1">
        <f>168/(168+9)</f>
        <v>0.94915254237288138</v>
      </c>
      <c r="R185" s="1">
        <f t="shared" si="93"/>
        <v>5.084745762711862E-2</v>
      </c>
      <c r="S185" s="1">
        <f t="shared" si="94"/>
        <v>4.4334975369458074E-2</v>
      </c>
      <c r="T185" s="1">
        <v>0.95263157894736805</v>
      </c>
    </row>
    <row r="186" spans="1:20" x14ac:dyDescent="0.2">
      <c r="A186" s="18" t="s">
        <v>65</v>
      </c>
      <c r="B186" s="18" t="s">
        <v>27</v>
      </c>
      <c r="C186" s="18" t="s">
        <v>30</v>
      </c>
      <c r="D186" t="s">
        <v>6</v>
      </c>
      <c r="E186" s="1">
        <f>196/(196+7)</f>
        <v>0.96551724137931039</v>
      </c>
      <c r="F186" s="1">
        <f>164/(164+13)</f>
        <v>0.92655367231638419</v>
      </c>
      <c r="G186" s="1">
        <f>1-F186</f>
        <v>7.3446327683615809E-2</v>
      </c>
      <c r="H186" s="1">
        <f>1-E186</f>
        <v>3.4482758620689613E-2</v>
      </c>
      <c r="I186" s="1">
        <v>0.94736842105263097</v>
      </c>
      <c r="L186" s="18"/>
      <c r="M186" s="18"/>
      <c r="N186" s="18"/>
      <c r="O186" t="s">
        <v>7</v>
      </c>
      <c r="P186" s="1">
        <f>195/(195+9)</f>
        <v>0.95588235294117652</v>
      </c>
      <c r="Q186" s="1">
        <f>173/(184)</f>
        <v>0.94021739130434778</v>
      </c>
      <c r="R186" s="1">
        <f t="shared" si="93"/>
        <v>5.9782608695652217E-2</v>
      </c>
      <c r="S186" s="1">
        <f t="shared" si="94"/>
        <v>4.4117647058823484E-2</v>
      </c>
      <c r="T186" s="1">
        <v>0.94845360824742198</v>
      </c>
    </row>
    <row r="187" spans="1:20" x14ac:dyDescent="0.2">
      <c r="A187" s="18"/>
      <c r="B187" s="18"/>
      <c r="C187" s="18"/>
      <c r="D187" t="s">
        <v>7</v>
      </c>
      <c r="E187" s="1">
        <f>193/(193+11)</f>
        <v>0.94607843137254899</v>
      </c>
      <c r="F187" s="1">
        <f>179/(179+5)</f>
        <v>0.97282608695652173</v>
      </c>
      <c r="G187" s="1">
        <f t="shared" ref="G187:G189" si="95">1-F187</f>
        <v>2.7173913043478271E-2</v>
      </c>
      <c r="H187" s="1">
        <f t="shared" ref="H187:H189" si="96">1-E187</f>
        <v>5.3921568627451011E-2</v>
      </c>
      <c r="I187" s="1">
        <v>0.95876288659793796</v>
      </c>
      <c r="L187" s="18"/>
      <c r="M187" s="18" t="s">
        <v>27</v>
      </c>
      <c r="N187" s="18" t="s">
        <v>28</v>
      </c>
      <c r="O187" t="s">
        <v>4</v>
      </c>
      <c r="P187" s="1">
        <f>152/(152+14)</f>
        <v>0.91566265060240959</v>
      </c>
      <c r="Q187" s="1">
        <f>129/(129+13)</f>
        <v>0.90845070422535212</v>
      </c>
      <c r="R187" s="1">
        <f>1-Q187</f>
        <v>9.1549295774647876E-2</v>
      </c>
      <c r="S187" s="1">
        <f>1-P187</f>
        <v>8.4337349397590411E-2</v>
      </c>
      <c r="T187" s="1">
        <v>0.912337662337662</v>
      </c>
    </row>
    <row r="188" spans="1:20" x14ac:dyDescent="0.2">
      <c r="A188" s="18"/>
      <c r="B188" s="18" t="s">
        <v>29</v>
      </c>
      <c r="C188" s="18"/>
      <c r="D188" t="s">
        <v>6</v>
      </c>
      <c r="E188" s="1">
        <f>194/(194+9)</f>
        <v>0.95566502463054193</v>
      </c>
      <c r="F188" s="1">
        <f>168/(168+9)</f>
        <v>0.94915254237288138</v>
      </c>
      <c r="G188" s="1">
        <f t="shared" si="95"/>
        <v>5.084745762711862E-2</v>
      </c>
      <c r="H188" s="1">
        <f t="shared" si="96"/>
        <v>4.4334975369458074E-2</v>
      </c>
      <c r="I188" s="1">
        <v>0.95263157894736805</v>
      </c>
      <c r="L188" s="18"/>
      <c r="M188" s="18"/>
      <c r="N188" s="18"/>
      <c r="O188" t="s">
        <v>5</v>
      </c>
      <c r="P188" s="1">
        <f>137/(137+14)</f>
        <v>0.9072847682119205</v>
      </c>
      <c r="Q188" s="1">
        <f>112/(112+16)</f>
        <v>0.875</v>
      </c>
      <c r="R188" s="1">
        <f>1-Q188</f>
        <v>0.125</v>
      </c>
      <c r="S188" s="1">
        <f>1-P188</f>
        <v>9.27152317880795E-2</v>
      </c>
      <c r="T188" s="1">
        <v>0.89247311827956899</v>
      </c>
    </row>
    <row r="189" spans="1:20" x14ac:dyDescent="0.2">
      <c r="A189" s="18"/>
      <c r="B189" s="18"/>
      <c r="C189" s="18"/>
      <c r="D189" t="s">
        <v>7</v>
      </c>
      <c r="E189" s="1">
        <f>195/(195+9)</f>
        <v>0.95588235294117652</v>
      </c>
      <c r="F189" s="1">
        <f>173/(184)</f>
        <v>0.94021739130434778</v>
      </c>
      <c r="G189" s="1">
        <f t="shared" si="95"/>
        <v>5.9782608695652217E-2</v>
      </c>
      <c r="H189" s="1">
        <f t="shared" si="96"/>
        <v>4.4117647058823484E-2</v>
      </c>
      <c r="I189" s="1">
        <v>0.94845360824742198</v>
      </c>
      <c r="L189" s="18"/>
      <c r="M189" s="18" t="s">
        <v>29</v>
      </c>
      <c r="N189" s="18"/>
      <c r="O189" t="s">
        <v>4</v>
      </c>
      <c r="P189" s="1">
        <f>156/166</f>
        <v>0.93975903614457834</v>
      </c>
      <c r="Q189" s="1">
        <f>130/142</f>
        <v>0.91549295774647887</v>
      </c>
      <c r="R189" s="1">
        <f t="shared" ref="R189:R190" si="97">1-Q189</f>
        <v>8.4507042253521125E-2</v>
      </c>
      <c r="S189" s="1">
        <f t="shared" ref="S189:S190" si="98">1-P189</f>
        <v>6.0240963855421659E-2</v>
      </c>
      <c r="T189" s="1">
        <v>0.92857142857142805</v>
      </c>
    </row>
    <row r="190" spans="1:20" x14ac:dyDescent="0.2">
      <c r="A190" t="s">
        <v>59</v>
      </c>
      <c r="B190" t="s">
        <v>25</v>
      </c>
      <c r="C190" t="s">
        <v>26</v>
      </c>
      <c r="D190" t="s">
        <v>11</v>
      </c>
      <c r="E190" t="s">
        <v>0</v>
      </c>
      <c r="F190" t="s">
        <v>1</v>
      </c>
      <c r="G190" t="s">
        <v>2</v>
      </c>
      <c r="H190" t="s">
        <v>3</v>
      </c>
      <c r="I190" t="s">
        <v>9</v>
      </c>
      <c r="L190" s="18"/>
      <c r="M190" s="18"/>
      <c r="N190" s="18"/>
      <c r="O190" t="s">
        <v>5</v>
      </c>
      <c r="P190" s="1">
        <f>148/151</f>
        <v>0.98013245033112584</v>
      </c>
      <c r="Q190" s="1">
        <f>100/128</f>
        <v>0.78125</v>
      </c>
      <c r="R190" s="1">
        <f t="shared" si="97"/>
        <v>0.21875</v>
      </c>
      <c r="S190" s="1">
        <f t="shared" si="98"/>
        <v>1.9867549668874163E-2</v>
      </c>
      <c r="T190" s="1">
        <v>0.88888888888888795</v>
      </c>
    </row>
    <row r="191" spans="1:20" x14ac:dyDescent="0.2">
      <c r="A191" s="18" t="s">
        <v>65</v>
      </c>
      <c r="B191" s="18" t="s">
        <v>27</v>
      </c>
      <c r="C191" s="18" t="s">
        <v>28</v>
      </c>
      <c r="D191" t="s">
        <v>4</v>
      </c>
      <c r="E191" s="1">
        <f>152/(152+14)</f>
        <v>0.91566265060240959</v>
      </c>
      <c r="F191" s="1">
        <f>129/(129+13)</f>
        <v>0.90845070422535212</v>
      </c>
      <c r="G191" s="1">
        <f>1-F191</f>
        <v>9.1549295774647876E-2</v>
      </c>
      <c r="H191" s="1">
        <f>1-E191</f>
        <v>8.4337349397590411E-2</v>
      </c>
      <c r="I191" s="1">
        <v>0.912337662337662</v>
      </c>
      <c r="L191" s="18" t="s">
        <v>66</v>
      </c>
      <c r="M191" s="18" t="s">
        <v>27</v>
      </c>
      <c r="N191" s="18" t="s">
        <v>30</v>
      </c>
      <c r="O191" t="s">
        <v>6</v>
      </c>
      <c r="P191" s="1">
        <f>190/(190+13)</f>
        <v>0.93596059113300489</v>
      </c>
      <c r="Q191" s="1">
        <f>169/(169+8)</f>
        <v>0.95480225988700562</v>
      </c>
      <c r="R191" s="1">
        <f>1-Q191</f>
        <v>4.5197740112994378E-2</v>
      </c>
      <c r="S191" s="1">
        <f>1-P191</f>
        <v>6.4039408866995107E-2</v>
      </c>
      <c r="T191" s="1">
        <v>0.94473684210526299</v>
      </c>
    </row>
    <row r="192" spans="1:20" x14ac:dyDescent="0.2">
      <c r="A192" s="18"/>
      <c r="B192" s="18"/>
      <c r="C192" s="18"/>
      <c r="D192" t="s">
        <v>5</v>
      </c>
      <c r="E192" s="1">
        <f>137/(137+14)</f>
        <v>0.9072847682119205</v>
      </c>
      <c r="F192" s="1">
        <f>112/(112+16)</f>
        <v>0.875</v>
      </c>
      <c r="G192" s="1">
        <f>1-F192</f>
        <v>0.125</v>
      </c>
      <c r="H192" s="1">
        <f>1-E192</f>
        <v>9.27152317880795E-2</v>
      </c>
      <c r="I192" s="1">
        <v>0.89247311827956899</v>
      </c>
      <c r="L192" s="18"/>
      <c r="M192" s="18"/>
      <c r="N192" s="18"/>
      <c r="O192" t="s">
        <v>7</v>
      </c>
      <c r="P192" s="1">
        <f>195/(195+9)</f>
        <v>0.95588235294117652</v>
      </c>
      <c r="Q192" s="1">
        <f>181/(184)</f>
        <v>0.98369565217391308</v>
      </c>
      <c r="R192" s="1">
        <f t="shared" ref="R192" si="99">1-Q192</f>
        <v>1.6304347826086918E-2</v>
      </c>
      <c r="S192" s="1">
        <f t="shared" ref="S192" si="100">1-P192</f>
        <v>4.4117647058823484E-2</v>
      </c>
      <c r="T192" s="1">
        <v>0.96907216494845305</v>
      </c>
    </row>
    <row r="193" spans="1:20" x14ac:dyDescent="0.2">
      <c r="A193" s="18"/>
      <c r="B193" s="18" t="s">
        <v>29</v>
      </c>
      <c r="C193" s="18"/>
      <c r="D193" t="s">
        <v>4</v>
      </c>
      <c r="E193" s="1">
        <f>156/166</f>
        <v>0.93975903614457834</v>
      </c>
      <c r="F193" s="1">
        <f>130/142</f>
        <v>0.91549295774647887</v>
      </c>
      <c r="G193" s="1">
        <f t="shared" ref="G193:G194" si="101">1-F193</f>
        <v>8.4507042253521125E-2</v>
      </c>
      <c r="H193" s="1">
        <f t="shared" ref="H193:H194" si="102">1-E193</f>
        <v>6.0240963855421659E-2</v>
      </c>
      <c r="I193" s="1">
        <v>0.92857142857142805</v>
      </c>
      <c r="L193" s="18"/>
      <c r="M193" s="18" t="s">
        <v>29</v>
      </c>
      <c r="N193" s="18"/>
      <c r="O193" t="s">
        <v>6</v>
      </c>
      <c r="P193" s="1">
        <f>191/(191+12)</f>
        <v>0.94088669950738912</v>
      </c>
      <c r="Q193" s="1">
        <f>171/(177)</f>
        <v>0.96610169491525422</v>
      </c>
      <c r="R193" s="1">
        <f>1-Q193</f>
        <v>3.3898305084745783E-2</v>
      </c>
      <c r="S193" s="1">
        <f>1-P193</f>
        <v>5.9113300492610876E-2</v>
      </c>
      <c r="T193" s="1">
        <v>0.95263157894736805</v>
      </c>
    </row>
    <row r="194" spans="1:20" x14ac:dyDescent="0.2">
      <c r="A194" s="18"/>
      <c r="B194" s="18"/>
      <c r="C194" s="18"/>
      <c r="D194" t="s">
        <v>5</v>
      </c>
      <c r="E194" s="1">
        <f>148/151</f>
        <v>0.98013245033112584</v>
      </c>
      <c r="F194" s="1">
        <f>100/128</f>
        <v>0.78125</v>
      </c>
      <c r="G194" s="1">
        <f t="shared" si="101"/>
        <v>0.21875</v>
      </c>
      <c r="H194" s="1">
        <f t="shared" si="102"/>
        <v>1.9867549668874163E-2</v>
      </c>
      <c r="I194" s="1">
        <v>0.88888888888888795</v>
      </c>
      <c r="L194" s="18"/>
      <c r="M194" s="18"/>
      <c r="N194" s="18"/>
      <c r="O194" t="s">
        <v>7</v>
      </c>
      <c r="P194" s="1">
        <f>193/(193+11)</f>
        <v>0.94607843137254899</v>
      </c>
      <c r="Q194" s="1">
        <f>176/(176+8)</f>
        <v>0.95652173913043481</v>
      </c>
      <c r="R194" s="1">
        <f>1-Q194</f>
        <v>4.3478260869565188E-2</v>
      </c>
      <c r="S194" s="1">
        <f>1-P194</f>
        <v>5.3921568627451011E-2</v>
      </c>
      <c r="T194" s="1">
        <v>0.95103092783505105</v>
      </c>
    </row>
    <row r="195" spans="1:20" x14ac:dyDescent="0.2">
      <c r="L195" s="18"/>
      <c r="M195" s="18" t="s">
        <v>27</v>
      </c>
      <c r="N195" s="18" t="s">
        <v>28</v>
      </c>
      <c r="O195" t="s">
        <v>4</v>
      </c>
      <c r="P195" s="1">
        <f>151/(151+15)</f>
        <v>0.90963855421686746</v>
      </c>
      <c r="Q195" s="1">
        <f>130/142</f>
        <v>0.91549295774647887</v>
      </c>
      <c r="R195" s="1">
        <f>1-Q195</f>
        <v>8.4507042253521125E-2</v>
      </c>
      <c r="S195" s="1">
        <f>1-P195</f>
        <v>9.0361445783132543E-2</v>
      </c>
      <c r="T195" s="1">
        <v>0.912337662337662</v>
      </c>
    </row>
    <row r="196" spans="1:20" x14ac:dyDescent="0.2">
      <c r="A196" t="s">
        <v>59</v>
      </c>
      <c r="B196" t="s">
        <v>25</v>
      </c>
      <c r="C196" t="s">
        <v>26</v>
      </c>
      <c r="D196" t="s">
        <v>10</v>
      </c>
      <c r="E196" t="s">
        <v>0</v>
      </c>
      <c r="F196" t="s">
        <v>1</v>
      </c>
      <c r="G196" t="s">
        <v>2</v>
      </c>
      <c r="H196" t="s">
        <v>3</v>
      </c>
      <c r="I196" t="s">
        <v>9</v>
      </c>
      <c r="L196" s="18"/>
      <c r="M196" s="18"/>
      <c r="N196" s="18"/>
      <c r="O196" t="s">
        <v>5</v>
      </c>
      <c r="P196" s="1">
        <f>137/(137+14)</f>
        <v>0.9072847682119205</v>
      </c>
      <c r="Q196" s="1">
        <f>114/128</f>
        <v>0.890625</v>
      </c>
      <c r="R196" s="1">
        <f>1-Q196</f>
        <v>0.109375</v>
      </c>
      <c r="S196" s="1">
        <f>1-P196</f>
        <v>9.27152317880795E-2</v>
      </c>
      <c r="T196" s="1">
        <v>0.89964157706093195</v>
      </c>
    </row>
    <row r="197" spans="1:20" x14ac:dyDescent="0.2">
      <c r="A197" s="18" t="s">
        <v>66</v>
      </c>
      <c r="B197" s="18" t="s">
        <v>27</v>
      </c>
      <c r="C197" s="18" t="s">
        <v>30</v>
      </c>
      <c r="D197" t="s">
        <v>6</v>
      </c>
      <c r="E197" s="1">
        <f>190/(190+13)</f>
        <v>0.93596059113300489</v>
      </c>
      <c r="F197" s="1">
        <f>169/(169+8)</f>
        <v>0.95480225988700562</v>
      </c>
      <c r="G197" s="1">
        <f>1-F197</f>
        <v>4.5197740112994378E-2</v>
      </c>
      <c r="H197" s="1">
        <f>1-E197</f>
        <v>6.4039408866995107E-2</v>
      </c>
      <c r="I197" s="1">
        <v>0.94473684210526299</v>
      </c>
      <c r="L197" s="18"/>
      <c r="M197" s="18" t="s">
        <v>29</v>
      </c>
      <c r="N197" s="18"/>
      <c r="O197" t="s">
        <v>4</v>
      </c>
      <c r="P197" s="1">
        <f>148/(148+18)</f>
        <v>0.89156626506024095</v>
      </c>
      <c r="Q197" s="1">
        <f>132/(142)</f>
        <v>0.92957746478873238</v>
      </c>
      <c r="R197" s="1">
        <f t="shared" ref="R197:R198" si="103">1-Q197</f>
        <v>7.0422535211267623E-2</v>
      </c>
      <c r="S197" s="1">
        <f t="shared" ref="S197:S198" si="104">1-P197</f>
        <v>0.10843373493975905</v>
      </c>
      <c r="T197" s="1">
        <v>0.90909090909090895</v>
      </c>
    </row>
    <row r="198" spans="1:20" x14ac:dyDescent="0.2">
      <c r="A198" s="18"/>
      <c r="B198" s="18"/>
      <c r="C198" s="18"/>
      <c r="D198" t="s">
        <v>7</v>
      </c>
      <c r="E198" s="1">
        <f>195/(195+9)</f>
        <v>0.95588235294117652</v>
      </c>
      <c r="F198" s="1">
        <f>181/(184)</f>
        <v>0.98369565217391308</v>
      </c>
      <c r="G198" s="1">
        <f t="shared" ref="G198" si="105">1-F198</f>
        <v>1.6304347826086918E-2</v>
      </c>
      <c r="H198" s="1">
        <f t="shared" ref="H198" si="106">1-E198</f>
        <v>4.4117647058823484E-2</v>
      </c>
      <c r="I198" s="1">
        <v>0.96907216494845305</v>
      </c>
      <c r="L198" s="18"/>
      <c r="M198" s="18"/>
      <c r="N198" s="18"/>
      <c r="O198" t="s">
        <v>5</v>
      </c>
      <c r="P198" s="1">
        <f>145/151</f>
        <v>0.96026490066225167</v>
      </c>
      <c r="Q198" s="1">
        <f>112/128</f>
        <v>0.875</v>
      </c>
      <c r="R198" s="1">
        <f t="shared" si="103"/>
        <v>0.125</v>
      </c>
      <c r="S198" s="1">
        <f t="shared" si="104"/>
        <v>3.9735099337748325E-2</v>
      </c>
      <c r="T198" s="1">
        <v>0.92114695340501795</v>
      </c>
    </row>
    <row r="199" spans="1:20" x14ac:dyDescent="0.2">
      <c r="A199" s="18"/>
      <c r="B199" s="18" t="s">
        <v>29</v>
      </c>
      <c r="C199" s="18"/>
      <c r="D199" t="s">
        <v>6</v>
      </c>
      <c r="E199" s="1">
        <f>191/(191+12)</f>
        <v>0.94088669950738912</v>
      </c>
      <c r="F199" s="1">
        <f>171/(177)</f>
        <v>0.96610169491525422</v>
      </c>
      <c r="G199" s="1">
        <f>1-F199</f>
        <v>3.3898305084745783E-2</v>
      </c>
      <c r="H199" s="1">
        <f>1-E199</f>
        <v>5.9113300492610876E-2</v>
      </c>
      <c r="I199" s="1">
        <v>0.95263157894736805</v>
      </c>
    </row>
    <row r="200" spans="1:20" x14ac:dyDescent="0.2">
      <c r="A200" s="18"/>
      <c r="B200" s="18"/>
      <c r="C200" s="18"/>
      <c r="D200" t="s">
        <v>7</v>
      </c>
      <c r="E200" s="1">
        <f>193/(193+11)</f>
        <v>0.94607843137254899</v>
      </c>
      <c r="F200" s="1">
        <f>176/(176+8)</f>
        <v>0.95652173913043481</v>
      </c>
      <c r="G200" s="1">
        <f>1-F200</f>
        <v>4.3478260869565188E-2</v>
      </c>
      <c r="H200" s="1">
        <f>1-E200</f>
        <v>5.3921568627451011E-2</v>
      </c>
      <c r="I200" s="1">
        <v>0.95103092783505105</v>
      </c>
    </row>
    <row r="201" spans="1:20" x14ac:dyDescent="0.2">
      <c r="A201" t="s">
        <v>59</v>
      </c>
      <c r="B201" t="s">
        <v>25</v>
      </c>
      <c r="C201" t="s">
        <v>26</v>
      </c>
      <c r="D201" t="s">
        <v>11</v>
      </c>
      <c r="E201" t="s">
        <v>0</v>
      </c>
      <c r="F201" t="s">
        <v>1</v>
      </c>
      <c r="G201" t="s">
        <v>2</v>
      </c>
      <c r="H201" t="s">
        <v>3</v>
      </c>
      <c r="I201" t="s">
        <v>9</v>
      </c>
    </row>
    <row r="202" spans="1:20" x14ac:dyDescent="0.2">
      <c r="A202" s="18" t="s">
        <v>66</v>
      </c>
      <c r="B202" s="18" t="s">
        <v>27</v>
      </c>
      <c r="C202" s="18" t="s">
        <v>28</v>
      </c>
      <c r="D202" t="s">
        <v>4</v>
      </c>
      <c r="E202" s="1">
        <f>151/(151+15)</f>
        <v>0.90963855421686746</v>
      </c>
      <c r="F202" s="1">
        <f>130/142</f>
        <v>0.91549295774647887</v>
      </c>
      <c r="G202" s="1">
        <f>1-F202</f>
        <v>8.4507042253521125E-2</v>
      </c>
      <c r="H202" s="1">
        <f>1-E202</f>
        <v>9.0361445783132543E-2</v>
      </c>
      <c r="I202" s="1">
        <v>0.912337662337662</v>
      </c>
    </row>
    <row r="203" spans="1:20" x14ac:dyDescent="0.2">
      <c r="A203" s="18"/>
      <c r="B203" s="18"/>
      <c r="C203" s="18"/>
      <c r="D203" t="s">
        <v>5</v>
      </c>
      <c r="E203" s="1">
        <f>137/(137+14)</f>
        <v>0.9072847682119205</v>
      </c>
      <c r="F203" s="1">
        <f>114/128</f>
        <v>0.890625</v>
      </c>
      <c r="G203" s="1">
        <f>1-F203</f>
        <v>0.109375</v>
      </c>
      <c r="H203" s="1">
        <f>1-E203</f>
        <v>9.27152317880795E-2</v>
      </c>
      <c r="I203" s="1">
        <v>0.89964157706093195</v>
      </c>
    </row>
    <row r="204" spans="1:20" x14ac:dyDescent="0.2">
      <c r="A204" s="18"/>
      <c r="B204" s="18" t="s">
        <v>29</v>
      </c>
      <c r="C204" s="18"/>
      <c r="D204" t="s">
        <v>4</v>
      </c>
      <c r="E204" s="1">
        <f>148/(148+18)</f>
        <v>0.89156626506024095</v>
      </c>
      <c r="F204" s="1">
        <f>132/(142)</f>
        <v>0.92957746478873238</v>
      </c>
      <c r="G204" s="1">
        <f t="shared" ref="G204:G205" si="107">1-F204</f>
        <v>7.0422535211267623E-2</v>
      </c>
      <c r="H204" s="1">
        <f t="shared" ref="H204:H205" si="108">1-E204</f>
        <v>0.10843373493975905</v>
      </c>
      <c r="I204" s="1">
        <v>0.90909090909090895</v>
      </c>
    </row>
    <row r="205" spans="1:20" x14ac:dyDescent="0.2">
      <c r="A205" s="18"/>
      <c r="B205" s="18"/>
      <c r="C205" s="18"/>
      <c r="D205" t="s">
        <v>5</v>
      </c>
      <c r="E205" s="1">
        <f>145/151</f>
        <v>0.96026490066225167</v>
      </c>
      <c r="F205" s="1">
        <f>112/128</f>
        <v>0.875</v>
      </c>
      <c r="G205" s="1">
        <f t="shared" si="107"/>
        <v>0.125</v>
      </c>
      <c r="H205" s="1">
        <f t="shared" si="108"/>
        <v>3.9735099337748325E-2</v>
      </c>
      <c r="I205" s="1">
        <v>0.92114695340501795</v>
      </c>
    </row>
    <row r="209" spans="1:4" x14ac:dyDescent="0.2">
      <c r="A209" t="s">
        <v>25</v>
      </c>
      <c r="B209" t="s">
        <v>26</v>
      </c>
      <c r="C209" t="s">
        <v>87</v>
      </c>
      <c r="D209" t="s">
        <v>88</v>
      </c>
    </row>
    <row r="210" spans="1:4" x14ac:dyDescent="0.2">
      <c r="A210" s="18" t="s">
        <v>27</v>
      </c>
      <c r="B210" t="s">
        <v>30</v>
      </c>
      <c r="C210" s="17">
        <v>0.43369999999999997</v>
      </c>
      <c r="D210" s="1">
        <v>5.0484580000000001E-2</v>
      </c>
    </row>
    <row r="211" spans="1:4" x14ac:dyDescent="0.2">
      <c r="A211" s="18"/>
      <c r="B211" t="s">
        <v>28</v>
      </c>
      <c r="C211" s="17">
        <v>0.40894999999999998</v>
      </c>
      <c r="D211" s="1">
        <v>5.2539950000000002E-2</v>
      </c>
    </row>
    <row r="212" spans="1:4" x14ac:dyDescent="0.2">
      <c r="A212" s="18" t="s">
        <v>29</v>
      </c>
      <c r="B212" t="s">
        <v>30</v>
      </c>
      <c r="C212" s="17">
        <v>0.48680000000000001</v>
      </c>
      <c r="D212" s="1">
        <v>4.7400879999999999E-2</v>
      </c>
    </row>
    <row r="213" spans="1:4" x14ac:dyDescent="0.2">
      <c r="A213" s="18"/>
      <c r="B213" t="s">
        <v>28</v>
      </c>
      <c r="C213" s="17">
        <v>0.49509999999999998</v>
      </c>
      <c r="D213" s="1">
        <v>4.901734E-2</v>
      </c>
    </row>
  </sheetData>
  <mergeCells count="200">
    <mergeCell ref="L191:L198"/>
    <mergeCell ref="M191:M192"/>
    <mergeCell ref="N191:N194"/>
    <mergeCell ref="M193:M194"/>
    <mergeCell ref="M195:M196"/>
    <mergeCell ref="N195:N198"/>
    <mergeCell ref="M197:M198"/>
    <mergeCell ref="L183:L190"/>
    <mergeCell ref="M183:M184"/>
    <mergeCell ref="N183:N186"/>
    <mergeCell ref="M185:M186"/>
    <mergeCell ref="M187:M188"/>
    <mergeCell ref="N187:N190"/>
    <mergeCell ref="M189:M190"/>
    <mergeCell ref="N179:N182"/>
    <mergeCell ref="M181:M182"/>
    <mergeCell ref="M157:M158"/>
    <mergeCell ref="N157:N160"/>
    <mergeCell ref="M159:M160"/>
    <mergeCell ref="M161:M162"/>
    <mergeCell ref="N161:N164"/>
    <mergeCell ref="M163:M164"/>
    <mergeCell ref="L157:L164"/>
    <mergeCell ref="L175:L182"/>
    <mergeCell ref="M175:M176"/>
    <mergeCell ref="N175:N178"/>
    <mergeCell ref="M177:M178"/>
    <mergeCell ref="M179:M180"/>
    <mergeCell ref="M149:M150"/>
    <mergeCell ref="N149:N152"/>
    <mergeCell ref="M151:M152"/>
    <mergeCell ref="M153:M154"/>
    <mergeCell ref="N153:N156"/>
    <mergeCell ref="M155:M156"/>
    <mergeCell ref="L149:L156"/>
    <mergeCell ref="M141:M142"/>
    <mergeCell ref="N141:N144"/>
    <mergeCell ref="M143:M144"/>
    <mergeCell ref="M145:M146"/>
    <mergeCell ref="N145:N148"/>
    <mergeCell ref="M147:M148"/>
    <mergeCell ref="L141:L148"/>
    <mergeCell ref="A197:A200"/>
    <mergeCell ref="B197:B198"/>
    <mergeCell ref="C197:C200"/>
    <mergeCell ref="B199:B200"/>
    <mergeCell ref="A202:A205"/>
    <mergeCell ref="B202:B203"/>
    <mergeCell ref="C202:C205"/>
    <mergeCell ref="B204:B205"/>
    <mergeCell ref="A186:A189"/>
    <mergeCell ref="B186:B187"/>
    <mergeCell ref="C186:C189"/>
    <mergeCell ref="B188:B189"/>
    <mergeCell ref="A191:A194"/>
    <mergeCell ref="B191:B192"/>
    <mergeCell ref="C191:C194"/>
    <mergeCell ref="B193:B194"/>
    <mergeCell ref="A175:A178"/>
    <mergeCell ref="B175:B176"/>
    <mergeCell ref="C175:C178"/>
    <mergeCell ref="B177:B178"/>
    <mergeCell ref="A180:A183"/>
    <mergeCell ref="B180:B181"/>
    <mergeCell ref="C180:C183"/>
    <mergeCell ref="B182:B183"/>
    <mergeCell ref="A163:A166"/>
    <mergeCell ref="B163:B164"/>
    <mergeCell ref="C163:C166"/>
    <mergeCell ref="B165:B166"/>
    <mergeCell ref="A168:A171"/>
    <mergeCell ref="B168:B169"/>
    <mergeCell ref="C168:C171"/>
    <mergeCell ref="B170:B171"/>
    <mergeCell ref="A152:A155"/>
    <mergeCell ref="B152:B153"/>
    <mergeCell ref="C152:C155"/>
    <mergeCell ref="B154:B155"/>
    <mergeCell ref="A157:A160"/>
    <mergeCell ref="B157:B158"/>
    <mergeCell ref="C157:C160"/>
    <mergeCell ref="B159:B160"/>
    <mergeCell ref="A141:A144"/>
    <mergeCell ref="B141:B142"/>
    <mergeCell ref="C141:C144"/>
    <mergeCell ref="B143:B144"/>
    <mergeCell ref="A146:A149"/>
    <mergeCell ref="B146:B147"/>
    <mergeCell ref="C146:C149"/>
    <mergeCell ref="B148:B149"/>
    <mergeCell ref="C116:C119"/>
    <mergeCell ref="C132:C135"/>
    <mergeCell ref="B134:B135"/>
    <mergeCell ref="M105:M106"/>
    <mergeCell ref="N105:N108"/>
    <mergeCell ref="M107:M108"/>
    <mergeCell ref="L105:L112"/>
    <mergeCell ref="M109:M110"/>
    <mergeCell ref="N109:N112"/>
    <mergeCell ref="M111:M112"/>
    <mergeCell ref="L113:L120"/>
    <mergeCell ref="M113:M114"/>
    <mergeCell ref="N113:N116"/>
    <mergeCell ref="M115:M116"/>
    <mergeCell ref="M117:M118"/>
    <mergeCell ref="N117:N120"/>
    <mergeCell ref="M119:M120"/>
    <mergeCell ref="B132:B133"/>
    <mergeCell ref="N121:N124"/>
    <mergeCell ref="M123:M124"/>
    <mergeCell ref="M125:M126"/>
    <mergeCell ref="N125:N128"/>
    <mergeCell ref="M127:M128"/>
    <mergeCell ref="A132:A135"/>
    <mergeCell ref="L121:L128"/>
    <mergeCell ref="M121:M122"/>
    <mergeCell ref="AL118:AL119"/>
    <mergeCell ref="AL120:AL121"/>
    <mergeCell ref="A105:A108"/>
    <mergeCell ref="B105:B106"/>
    <mergeCell ref="B107:B108"/>
    <mergeCell ref="A110:A113"/>
    <mergeCell ref="B110:B111"/>
    <mergeCell ref="B112:B113"/>
    <mergeCell ref="A116:A119"/>
    <mergeCell ref="B116:B117"/>
    <mergeCell ref="B118:B119"/>
    <mergeCell ref="A121:A124"/>
    <mergeCell ref="B121:B122"/>
    <mergeCell ref="C121:C124"/>
    <mergeCell ref="B123:B124"/>
    <mergeCell ref="A127:A130"/>
    <mergeCell ref="B127:B128"/>
    <mergeCell ref="C127:C130"/>
    <mergeCell ref="B129:B130"/>
    <mergeCell ref="C105:C108"/>
    <mergeCell ref="C110:C113"/>
    <mergeCell ref="A93:A96"/>
    <mergeCell ref="B93:B94"/>
    <mergeCell ref="B95:B96"/>
    <mergeCell ref="A97:A100"/>
    <mergeCell ref="B97:B98"/>
    <mergeCell ref="B99:B100"/>
    <mergeCell ref="A83:A86"/>
    <mergeCell ref="B83:B84"/>
    <mergeCell ref="B85:B86"/>
    <mergeCell ref="A89:A92"/>
    <mergeCell ref="B89:B90"/>
    <mergeCell ref="B91:B92"/>
    <mergeCell ref="A75:A78"/>
    <mergeCell ref="B75:B76"/>
    <mergeCell ref="B77:B78"/>
    <mergeCell ref="A79:A82"/>
    <mergeCell ref="B79:B80"/>
    <mergeCell ref="B81:B82"/>
    <mergeCell ref="A61:A64"/>
    <mergeCell ref="A65:A68"/>
    <mergeCell ref="A69:A72"/>
    <mergeCell ref="B61:B62"/>
    <mergeCell ref="B63:B64"/>
    <mergeCell ref="B65:B66"/>
    <mergeCell ref="B67:B68"/>
    <mergeCell ref="B69:B70"/>
    <mergeCell ref="B71:B72"/>
    <mergeCell ref="B41:B42"/>
    <mergeCell ref="B43:B44"/>
    <mergeCell ref="B45:B46"/>
    <mergeCell ref="B47:B48"/>
    <mergeCell ref="AH38:AH43"/>
    <mergeCell ref="AH44:AH49"/>
    <mergeCell ref="B31:B32"/>
    <mergeCell ref="B33:B34"/>
    <mergeCell ref="B35:B36"/>
    <mergeCell ref="B37:B38"/>
    <mergeCell ref="AG38:AG40"/>
    <mergeCell ref="AG41:AG43"/>
    <mergeCell ref="AG44:AG46"/>
    <mergeCell ref="AG47:AG49"/>
    <mergeCell ref="A210:A211"/>
    <mergeCell ref="A212:A213"/>
    <mergeCell ref="BB42:BB44"/>
    <mergeCell ref="BC42:BC47"/>
    <mergeCell ref="BB45:BB47"/>
    <mergeCell ref="BB36:BB38"/>
    <mergeCell ref="BC36:BC41"/>
    <mergeCell ref="BB39:BB41"/>
    <mergeCell ref="AX96:AX97"/>
    <mergeCell ref="AX98:AX99"/>
    <mergeCell ref="AZ74:AZ76"/>
    <mergeCell ref="BA74:BA79"/>
    <mergeCell ref="AZ77:AZ79"/>
    <mergeCell ref="AZ68:AZ70"/>
    <mergeCell ref="BA68:BA73"/>
    <mergeCell ref="AZ71:AZ73"/>
    <mergeCell ref="B20:B21"/>
    <mergeCell ref="B22:B23"/>
    <mergeCell ref="B24:B25"/>
    <mergeCell ref="B26:B27"/>
    <mergeCell ref="A41:A44"/>
    <mergeCell ref="A45:A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Beepath</dc:creator>
  <cp:lastModifiedBy>Sachin Beepath</cp:lastModifiedBy>
  <dcterms:created xsi:type="dcterms:W3CDTF">2022-08-18T11:28:46Z</dcterms:created>
  <dcterms:modified xsi:type="dcterms:W3CDTF">2022-09-06T20:45:47Z</dcterms:modified>
</cp:coreProperties>
</file>