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60" yWindow="135" windowWidth="13395" windowHeight="7485"/>
  </bookViews>
  <sheets>
    <sheet name="Balance Sheet" sheetId="15" r:id="rId1"/>
    <sheet name="Income Statement" sheetId="17" r:id="rId2"/>
    <sheet name="Cash Flow" sheetId="19" r:id="rId3"/>
    <sheet name="Sheet1 (2)" sheetId="18" r:id="rId4"/>
    <sheet name="β" sheetId="16" r:id="rId5"/>
    <sheet name="Report" sheetId="22" r:id="rId6"/>
  </sheets>
  <externalReferences>
    <externalReference r:id="rId7"/>
    <externalReference r:id="rId8"/>
    <externalReference r:id="rId9"/>
    <externalReference r:id="rId10"/>
  </externalReferences>
  <definedNames>
    <definedName name="__df1" hidden="1">{#N/A,#N/A,FALSE,"Calc";#N/A,#N/A,FALSE,"Sensitivity";#N/A,#N/A,FALSE,"LT Earn.Dil.";#N/A,#N/A,FALSE,"Dil. AVP"}</definedName>
    <definedName name="__df2" hidden="1">{#N/A,#N/A,FALSE,"Calc";#N/A,#N/A,FALSE,"Sensitivity";#N/A,#N/A,FALSE,"LT Earn.Dil.";#N/A,#N/A,FALSE,"Dil. AVP"}</definedName>
    <definedName name="__hd1" hidden="1">{#N/A,#N/A,FALSE,"Calc";#N/A,#N/A,FALSE,"Sensitivity";#N/A,#N/A,FALSE,"LT Earn.Dil.";#N/A,#N/A,FALSE,"Dil. AVP"}</definedName>
    <definedName name="__hd2" hidden="1">{#N/A,#N/A,FALSE,"Calc";#N/A,#N/A,FALSE,"Sensitivity";#N/A,#N/A,FALSE,"LT Earn.Dil.";#N/A,#N/A,FALSE,"Dil. AVP"}</definedName>
    <definedName name="_df1" hidden="1">{#N/A,#N/A,FALSE,"Calc";#N/A,#N/A,FALSE,"Sensitivity";#N/A,#N/A,FALSE,"LT Earn.Dil.";#N/A,#N/A,FALSE,"Dil. AVP"}</definedName>
    <definedName name="_df2" hidden="1">{#N/A,#N/A,FALSE,"Calc";#N/A,#N/A,FALSE,"Sensitivity";#N/A,#N/A,FALSE,"LT Earn.Dil.";#N/A,#N/A,FALSE,"Dil. AVP"}</definedName>
    <definedName name="_hd1" hidden="1">{#N/A,#N/A,FALSE,"Calc";#N/A,#N/A,FALSE,"Sensitivity";#N/A,#N/A,FALSE,"LT Earn.Dil.";#N/A,#N/A,FALSE,"Dil. AVP"}</definedName>
    <definedName name="_hd2" hidden="1">{#N/A,#N/A,FALSE,"Calc";#N/A,#N/A,FALSE,"Sensitivity";#N/A,#N/A,FALSE,"LT Earn.Dil.";#N/A,#N/A,FALSE,"Dil. AVP"}</definedName>
    <definedName name="_Key1" hidden="1">[1]Reconciliation!#REF!</definedName>
    <definedName name="_Order1" hidden="1">0</definedName>
    <definedName name="_Order2" hidden="1">255</definedName>
    <definedName name="_Regression_Int" hidden="1">1</definedName>
    <definedName name="_Sort" hidden="1">[1]Reconciliation!#REF!</definedName>
    <definedName name="_Table2_Out" hidden="1">[2]Sheet4!$B$39:$G$45</definedName>
    <definedName name="anscount" hidden="1">1</definedName>
    <definedName name="bam" localSheetId="2" hidden="1">{"EBITDA",#N/A,TRUE,"P&amp;L Net of Disc Ops";"output net of disc ops",#N/A,TRUE,"Revenue";"input",#N/A,TRUE,"Revenue";"output",#N/A,TRUE,"DC";"Input",#N/A,TRUE,"DC";"MTN and MCN",#N/A,TRUE,"Margin";"output detail line items",#N/A,TRUE,"SGA";"personnel by year",#N/A,TRUE,"Payroll";#N/A,#N/A,TRUE,"CapEx"}</definedName>
    <definedName name="bam" hidden="1">{"EBITDA",#N/A,TRUE,"P&amp;L Net of Disc Ops";"output net of disc ops",#N/A,TRUE,"Revenue";"input",#N/A,TRUE,"Revenue";"output",#N/A,TRUE,"DC";"Input",#N/A,TRUE,"DC";"MTN and MCN",#N/A,TRUE,"Margin";"output detail line items",#N/A,TRUE,"SGA";"personnel by year",#N/A,TRUE,"Payroll";#N/A,#N/A,TRUE,"CapEx"}</definedName>
    <definedName name="BM" localSheetId="2" hidden="1">{"EBITDA",#N/A,TRUE,"P&amp;L Net of Disc Ops";"output net of disc ops",#N/A,TRUE,"Revenue";"input",#N/A,TRUE,"Revenue";"output",#N/A,TRUE,"DC";"Input",#N/A,TRUE,"DC";"MTN and MCN",#N/A,TRUE,"Margin";"output detail line items",#N/A,TRUE,"SGA";"personnel by year",#N/A,TRUE,"Payroll";#N/A,#N/A,TRUE,"CapEx"}</definedName>
    <definedName name="BM" hidden="1">{"EBITDA",#N/A,TRUE,"P&amp;L Net of Disc Ops";"output net of disc ops",#N/A,TRUE,"Revenue";"input",#N/A,TRUE,"Revenue";"output",#N/A,TRUE,"DC";"Input",#N/A,TRUE,"DC";"MTN and MCN",#N/A,TRUE,"Margin";"output detail line items",#N/A,TRUE,"SGA";"personnel by year",#N/A,TRUE,"Payroll";#N/A,#N/A,TRUE,"CapEx"}</definedName>
    <definedName name="df" localSheetId="2" hidden="1">{#N/A,#N/A,FALSE,"Calc";#N/A,#N/A,FALSE,"Sensitivity";#N/A,#N/A,FALSE,"LT Earn.Dil.";#N/A,#N/A,FALSE,"Dil. AVP"}</definedName>
    <definedName name="df" hidden="1">{#N/A,#N/A,FALSE,"Calc";#N/A,#N/A,FALSE,"Sensitivity";#N/A,#N/A,FALSE,"LT Earn.Dil.";#N/A,#N/A,FALSE,"Dil. AVP"}</definedName>
    <definedName name="HD" localSheetId="2" hidden="1">{#N/A,#N/A,FALSE,"Calc";#N/A,#N/A,FALSE,"Sensitivity";#N/A,#N/A,FALSE,"LT Earn.Dil.";#N/A,#N/A,FALSE,"Dil. AVP"}</definedName>
    <definedName name="HD" hidden="1">{#N/A,#N/A,FALSE,"Calc";#N/A,#N/A,FALSE,"Sensitivity";#N/A,#N/A,FALSE,"LT Earn.Dil.";#N/A,#N/A,FALSE,"Dil. AVP"}</definedName>
    <definedName name="HTML1_1" hidden="1">"[FCFF3]Sheet1!$A$1:$L$34"</definedName>
    <definedName name="HTML1_10" hidden="1">""</definedName>
    <definedName name="HTML1_11" hidden="1">1</definedName>
    <definedName name="HTML1_12" hidden="1">"Aswath:Adobe SiteMill™ 1.0.2:MyHomePage:FCFF3.html"</definedName>
    <definedName name="HTML1_2" hidden="1">1</definedName>
    <definedName name="HTML1_3" hidden="1">"FCFF3"</definedName>
    <definedName name="HTML1_4" hidden="1">"Three-Stage FCFF Model"</definedName>
    <definedName name="HTML1_5" hidden="1">""</definedName>
    <definedName name="HTML1_6" hidden="1">-4146</definedName>
    <definedName name="HTML1_7" hidden="1">-4146</definedName>
    <definedName name="HTML1_8" hidden="1">"10/22/96"</definedName>
    <definedName name="HTML1_9" hidden="1">"Aswath Damodaran"</definedName>
    <definedName name="HTMLCount" hidden="1">1</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UDITOR_NAME" hidden="1">"c1539"</definedName>
    <definedName name="IQ_AUDITOR_OPINION" hidden="1">"c1540"</definedName>
    <definedName name="IQ_AUTO_WRITTEN" hidden="1">"c62"</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Q" hidden="1">5000</definedName>
    <definedName name="IQ_CREDIT_CARD_FEE_BNK" hidden="1">"c231"</definedName>
    <definedName name="IQ_CREDIT_CARD_FEE_FIN" hidden="1">"c1583"</definedName>
    <definedName name="IQ_CREDIT_LOSS_CF" hidden="1">"c232"</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INT" hidden="1">"c373"</definedName>
    <definedName name="IQ_EBITDA_MARGIN" hidden="1">"c372"</definedName>
    <definedName name="IQ_EBITDA_OVER_TOTAL_IE" hidden="1">"c373"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FFECT_SPECIAL_CHARGE" hidden="1">"c1595"</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DATE" hidden="1">"c1634"</definedName>
    <definedName name="IQ_EST_EPS_GROWTH_1YR" hidden="1">"c1636"</definedName>
    <definedName name="IQ_EST_EPS_GROWTH_Q_1YR" hidden="1">"c1641"</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HLB_DEBT" hidden="1">"c423"</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SALEPRICE" hidden="1">"c646"</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MACHINERY" hidden="1">"c711"</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OCCUPY_EXP" hidden="1">"c839"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EXP" hidden="1">"c1068"</definedName>
    <definedName name="IQ_PREPAID_EXPEN" hidden="1">"c1068"</definedName>
    <definedName name="IQ_PRICE_OVER_BVPS" hidden="1">"c1026"</definedName>
    <definedName name="IQ_PRICE_OVER_LTM_EPS" hidden="1">"c1029"</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UTI" hidden="1">"c1125"</definedName>
    <definedName name="IQ_REVENUE" hidden="1">"c1122"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SPECIAL" hidden="1">"c1618"</definedName>
    <definedName name="IQ_TOTAL_ST_BORROW" hidden="1">"c1177"</definedName>
    <definedName name="IQ_TOTAL_UNUSUAL" hidden="1">"c1508"</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PAID_CLAIMS" hidden="1">"c1330"</definedName>
    <definedName name="IQ_UNREALIZED_GAIN" hidden="1">"c1619"</definedName>
    <definedName name="IQ_US_GAAP" hidden="1">"c1331"</definedName>
    <definedName name="IQ_UTIL_PPE_NET" hidden="1">"c1620"</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YEARHIGH" hidden="1">"c1337"</definedName>
    <definedName name="IQ_YEARLOW" hidden="1">"c1338"</definedName>
    <definedName name="IQ_YTD" hidden="1">3000</definedName>
    <definedName name="IQ_Z_SCORE" hidden="1">"c1339"</definedName>
    <definedName name="jjjj" localSheetId="2" hidden="1">{"Assumptions",#N/A,FALSE,"Sheet1";"Main Report",#N/A,FALSE,"Sheet1";"Results",#N/A,FALSE,"Sheet1";"Advances",#N/A,FALSE,"Sheet1"}</definedName>
    <definedName name="jjjj" hidden="1">{"Assumptions",#N/A,FALSE,"Sheet1";"Main Report",#N/A,FALSE,"Sheet1";"Results",#N/A,FALSE,"Sheet1";"Advances",#N/A,FALSE,"Sheet1"}</definedName>
    <definedName name="loi" localSheetId="2" hidden="1">{"ALLOC",#N/A,FALSE,"FIXMIS";"PC",#N/A,FALSE,"FIXMIS";"PHONE",#N/A,FALSE,"FIXMIS"}</definedName>
    <definedName name="loi" hidden="1">{"ALLOC",#N/A,FALSE,"FIXMIS";"PC",#N/A,FALSE,"FIXMIS";"PHONE",#N/A,FALSE,"FIXMIS"}</definedName>
    <definedName name="LOIs" localSheetId="2" hidden="1">{"ALLOC",#N/A,FALSE,"FIXMIS";"PC",#N/A,FALSE,"FIXMIS";"PHONE",#N/A,FALSE,"FIXMIS"}</definedName>
    <definedName name="LOIs" hidden="1">{"ALLOC",#N/A,FALSE,"FIXMIS";"PC",#N/A,FALSE,"FIXMIS";"PHONE",#N/A,FALSE,"FIXMIS"}</definedName>
    <definedName name="N" localSheetId="2" hidden="1">{"Assumptions",#N/A,FALSE,"Sheet1";"Main Report",#N/A,FALSE,"Sheet1";"Results",#N/A,FALSE,"Sheet1";"Advances",#N/A,FALSE,"Sheet1"}</definedName>
    <definedName name="N" hidden="1">{"Assumptions",#N/A,FALSE,"Sheet1";"Main Report",#N/A,FALSE,"Sheet1";"Results",#N/A,FALSE,"Sheet1";"Advances",#N/A,FALSE,"Sheet1"}</definedName>
    <definedName name="noidea" localSheetId="2" hidden="1">{#N/A,#N/A,FALSE,"Calc";#N/A,#N/A,FALSE,"Sensitivity";#N/A,#N/A,FALSE,"LT Earn.Dil.";#N/A,#N/A,FALSE,"Dil. AVP"}</definedName>
    <definedName name="noidea" hidden="1">{#N/A,#N/A,FALSE,"Calc";#N/A,#N/A,FALSE,"Sensitivity";#N/A,#N/A,FALSE,"LT Earn.Dil.";#N/A,#N/A,FALSE,"Dil. AVP"}</definedName>
    <definedName name="noidea1" localSheetId="2" hidden="1">{#N/A,#N/A,FALSE,"Calc";#N/A,#N/A,FALSE,"Sensitivity";#N/A,#N/A,FALSE,"LT Earn.Dil.";#N/A,#N/A,FALSE,"Dil. AVP"}</definedName>
    <definedName name="noidea1" hidden="1">{#N/A,#N/A,FALSE,"Calc";#N/A,#N/A,FALSE,"Sensitivity";#N/A,#N/A,FALSE,"LT Earn.Dil.";#N/A,#N/A,FALSE,"Dil. AVP"}</definedName>
    <definedName name="noidea2" localSheetId="2" hidden="1">{#N/A,#N/A,FALSE,"Calc";#N/A,#N/A,FALSE,"Sensitivity";#N/A,#N/A,FALSE,"LT Earn.Dil.";#N/A,#N/A,FALSE,"Dil. AVP"}</definedName>
    <definedName name="noidea2" hidden="1">{#N/A,#N/A,FALSE,"Calc";#N/A,#N/A,FALSE,"Sensitivity";#N/A,#N/A,FALSE,"LT Earn.Dil.";#N/A,#N/A,FALSE,"Dil. AVP"}</definedName>
    <definedName name="quarterlybs" localSheetId="2" hidden="1">{#N/A,#N/A,FALSE,"JKFLASH2";#N/A,#N/A,FALSE,"Page 4";#N/A,#N/A,FALSE,"page 3"}</definedName>
    <definedName name="quarterlybs" hidden="1">{#N/A,#N/A,FALSE,"JKFLASH2";#N/A,#N/A,FALSE,"Page 4";#N/A,#N/A,FALSE,"page 3"}</definedName>
    <definedName name="sencount" hidden="1">1</definedName>
    <definedName name="shg" localSheetId="2" hidden="1">{#N/A,#N/A,FALSE,"Index";#N/A,#N/A,FALSE,"IncStmt";#N/A,#N/A,FALSE,"Ratios";#N/A,#N/A,FALSE,"CashFlows";#N/A,#N/A,FALSE,"Ins1";#N/A,#N/A,FALSE,"Ins2";#N/A,#N/A,FALSE,"SelfFund";#N/A,#N/A,FALSE,"SGA";#N/A,#N/A,FALSE,"Recon";#N/A,#N/A,FALSE,"Earnings";#N/A,#N/A,FALSE,"Earnings (2)";#N/A,#N/A,FALSE,"Stock";#N/A,#N/A,FALSE,"Stock (2)";#N/A,#N/A,FALSE,"PeerRatios";#N/A,#N/A,FALSE,"PeerRanks"}</definedName>
    <definedName name="shg" hidden="1">{#N/A,#N/A,FALSE,"Index";#N/A,#N/A,FALSE,"IncStmt";#N/A,#N/A,FALSE,"Ratios";#N/A,#N/A,FALSE,"CashFlows";#N/A,#N/A,FALSE,"Ins1";#N/A,#N/A,FALSE,"Ins2";#N/A,#N/A,FALSE,"SelfFund";#N/A,#N/A,FALSE,"SGA";#N/A,#N/A,FALSE,"Recon";#N/A,#N/A,FALSE,"Earnings";#N/A,#N/A,FALSE,"Earnings (2)";#N/A,#N/A,FALSE,"Stock";#N/A,#N/A,FALSE,"Stock (2)";#N/A,#N/A,FALSE,"PeerRatios";#N/A,#N/A,FALSE,"PeerRanks"}</definedName>
    <definedName name="Staples" localSheetId="2" hidden="1">{#N/A,#N/A,FALSE,"FRT, $0 G&amp;A"}</definedName>
    <definedName name="Staples" hidden="1">{#N/A,#N/A,FALSE,"FRT, $0 G&amp;A"}</definedName>
    <definedName name="ULTE" localSheetId="2" hidden="1">{#N/A,#N/A,FALSE,"Calc";#N/A,#N/A,FALSE,"Sensitivity";#N/A,#N/A,FALSE,"LT Earn.Dil.";#N/A,#N/A,FALSE,"Dil. AVP"}</definedName>
    <definedName name="ULTE" hidden="1">{#N/A,#N/A,FALSE,"Calc";#N/A,#N/A,FALSE,"Sensitivity";#N/A,#N/A,FALSE,"LT Earn.Dil.";#N/A,#N/A,FALSE,"Dil. AVP"}</definedName>
    <definedName name="wrn.1." localSheetId="2" hidden="1">{#N/A,#N/A,FALSE,"Calc";#N/A,#N/A,FALSE,"Sensitivity";#N/A,#N/A,FALSE,"LT Earn.Dil.";#N/A,#N/A,FALSE,"Dil. AVP"}</definedName>
    <definedName name="wrn.1." hidden="1">{#N/A,#N/A,FALSE,"Calc";#N/A,#N/A,FALSE,"Sensitivity";#N/A,#N/A,FALSE,"LT Earn.Dil.";#N/A,#N/A,FALSE,"Dil. AVP"}</definedName>
    <definedName name="wrn.1.1" localSheetId="2" hidden="1">{#N/A,#N/A,FALSE,"Calc";#N/A,#N/A,FALSE,"Sensitivity";#N/A,#N/A,FALSE,"LT Earn.Dil.";#N/A,#N/A,FALSE,"Dil. AVP"}</definedName>
    <definedName name="wrn.1.1" hidden="1">{#N/A,#N/A,FALSE,"Calc";#N/A,#N/A,FALSE,"Sensitivity";#N/A,#N/A,FALSE,"LT Earn.Dil.";#N/A,#N/A,FALSE,"Dil. AVP"}</definedName>
    <definedName name="wrn.1.2" localSheetId="2" hidden="1">{#N/A,#N/A,FALSE,"Calc";#N/A,#N/A,FALSE,"Sensitivity";#N/A,#N/A,FALSE,"LT Earn.Dil.";#N/A,#N/A,FALSE,"Dil. AVP"}</definedName>
    <definedName name="wrn.1.2" hidden="1">{#N/A,#N/A,FALSE,"Calc";#N/A,#N/A,FALSE,"Sensitivity";#N/A,#N/A,FALSE,"LT Earn.Dil.";#N/A,#N/A,FALSE,"Dil. AVP"}</definedName>
    <definedName name="wrn.97vs96MONTHLY." localSheetId="2" hidden="1">{"_97vs96MONTHLY",#N/A,FALSE,"96ugpl"}</definedName>
    <definedName name="wrn.97vs96MONTHLY." hidden="1">{"_97vs96MONTHLY",#N/A,FALSE,"96ugpl"}</definedName>
    <definedName name="wrn.abc" localSheetId="2" hidden="1">{#N/A,#N/A,FALSE,"Index";#N/A,#N/A,FALSE,"IncStmt";#N/A,#N/A,FALSE,"Ratios";#N/A,#N/A,FALSE,"CashFlows";#N/A,#N/A,FALSE,"Ins1";#N/A,#N/A,FALSE,"Ins2";#N/A,#N/A,FALSE,"SelfFund";#N/A,#N/A,FALSE,"SGA";#N/A,#N/A,FALSE,"Recon";#N/A,#N/A,FALSE,"Earnings";#N/A,#N/A,FALSE,"Earnings (2)";#N/A,#N/A,FALSE,"Stock";#N/A,#N/A,FALSE,"Stock (2)";#N/A,#N/A,FALSE,"PeerRatios";#N/A,#N/A,FALSE,"PeerRanks"}</definedName>
    <definedName name="wrn.abc" hidden="1">{#N/A,#N/A,FALSE,"Index";#N/A,#N/A,FALSE,"IncStmt";#N/A,#N/A,FALSE,"Ratios";#N/A,#N/A,FALSE,"CashFlows";#N/A,#N/A,FALSE,"Ins1";#N/A,#N/A,FALSE,"Ins2";#N/A,#N/A,FALSE,"SelfFund";#N/A,#N/A,FALSE,"SGA";#N/A,#N/A,FALSE,"Recon";#N/A,#N/A,FALSE,"Earnings";#N/A,#N/A,FALSE,"Earnings (2)";#N/A,#N/A,FALSE,"Stock";#N/A,#N/A,FALSE,"Stock (2)";#N/A,#N/A,FALSE,"PeerRatios";#N/A,#N/A,FALSE,"PeerRanks"}</definedName>
    <definedName name="wrn.Accounts." localSheetId="2" hidden="1">{"turnover",#N/A,FALSE;"profits",#N/A,FALSE;"cash",#N/A,FALSE}</definedName>
    <definedName name="wrn.Accounts." hidden="1">{"turnover",#N/A,FALSE;"profits",#N/A,FALSE;"cash",#N/A,FALSE}</definedName>
    <definedName name="wrn.All." localSheetId="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_indosat" localSheetId="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_indosat"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budget_96." localSheetId="2" hidden="1">{"fy",#N/A,FALSE,"96impl";"q1_q2",#N/A,FALSE,"96impl";"q3_q4",#N/A,FALSE,"96impl"}</definedName>
    <definedName name="wrn.budget_96." hidden="1">{"fy",#N/A,FALSE,"96impl";"q1_q2",#N/A,FALSE,"96impl";"q3_q4",#N/A,FALSE,"96impl"}</definedName>
    <definedName name="wrn.cg" localSheetId="2" hidden="1">{#N/A,#N/A,TRUE,"CIN-11";#N/A,#N/A,TRUE,"CIN-13";#N/A,#N/A,TRUE,"CIN-14";#N/A,#N/A,TRUE,"CIN-16";#N/A,#N/A,TRUE,"CIN-17";#N/A,#N/A,TRUE,"CIN-18";#N/A,#N/A,TRUE,"CIN Earnings To Fixed Charges";#N/A,#N/A,TRUE,"CIN Financial Ratios";#N/A,#N/A,TRUE,"CIN-IS";#N/A,#N/A,TRUE,"CIN-BS";#N/A,#N/A,TRUE,"CIN-CS";#N/A,#N/A,TRUE,"Invest In Unconsol Subs"}</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E" localSheetId="2"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i" localSheetId="2" hidden="1">{#N/A,#N/A,TRUE,"CIN-11";#N/A,#N/A,TRUE,"CIN-13";#N/A,#N/A,TRUE,"CIN-14";#N/A,#N/A,TRUE,"CIN-16";#N/A,#N/A,TRUE,"CIN-17";#N/A,#N/A,TRUE,"CIN-18";#N/A,#N/A,TRUE,"CIN Earnings To Fixed Charges";#N/A,#N/A,TRUE,"CIN Financial Ratios";#N/A,#N/A,TRUE,"CIN-IS";#N/A,#N/A,TRUE,"CIN-BS";#N/A,#N/A,TRUE,"CIN-CS";#N/A,#N/A,TRUE,"Invest In Unconsol Subs"}</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N." localSheetId="2"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ompsPrint." localSheetId="2" hidden="1">{#N/A,#N/A,TRUE,"MktStats";#N/A,#N/A,TRUE,"BStats";#N/A,#N/A,TRUE,"BalSheet";#N/A,#N/A,TRUE,"BalSheet2"}</definedName>
    <definedName name="wrn.CompsPrint." hidden="1">{#N/A,#N/A,TRUE,"MktStats";#N/A,#N/A,TRUE,"BStats";#N/A,#N/A,TRUE,"BalSheet";#N/A,#N/A,TRUE,"BalSheet2"}</definedName>
    <definedName name="wrn.CURRENT." localSheetId="2" hidden="1">{"summary",#N/A,FALSE,"CAP95";"classlife",#N/A,FALSE,"CAP95";"monthly",#N/A,FALSE,"CAP95";"monthly2",#N/A,FALSE,"CAP95";"monthlybud",#N/A,FALSE,"CAP95"}</definedName>
    <definedName name="wrn.CURRENT." hidden="1">{"summary",#N/A,FALSE,"CAP95";"classlife",#N/A,FALSE,"CAP95";"monthly",#N/A,FALSE,"CAP95";"monthly2",#N/A,FALSE,"CAP95";"monthlybud",#N/A,FALSE,"CAP95"}</definedName>
    <definedName name="wrn.dec._.bd._.mtg." localSheetId="2" hidden="1">{"fy",#N/A,FALSE,"95bspl";"_1q_2q",#N/A,FALSE,"95bspl";"_3q_4q",#N/A,FALSE,"95bspl"}</definedName>
    <definedName name="wrn.dec._.bd._.mtg." hidden="1">{"fy",#N/A,FALSE,"95bspl";"_1q_2q",#N/A,FALSE,"95bspl";"_3q_4q",#N/A,FALSE,"95bspl"}</definedName>
    <definedName name="wrn.Dereks._.Monthly._.Report." localSheetId="2" hidden="1">{"Current Month &amp; YTD vs. Budget",#N/A,FALSE,"Operating Statement";"Current Month &amp; YTD vs. Budget",#N/A,FALSE,"Balance Sheet ";"Current Month &amp; YTD vs. Budget",#N/A,FALSE,"Cash Flow";"Current Month &amp; YTD vs. Budget",#N/A,FALSE,"Operating Cash Flow"}</definedName>
    <definedName name="wrn.Dereks._.Monthly._.Report." hidden="1">{"Current Month &amp; YTD vs. Budget",#N/A,FALSE,"Operating Statement";"Current Month &amp; YTD vs. Budget",#N/A,FALSE,"Balance Sheet ";"Current Month &amp; YTD vs. Budget",#N/A,FALSE,"Cash Flow";"Current Month &amp; YTD vs. Budget",#N/A,FALSE,"Operating Cash Flow"}</definedName>
    <definedName name="wrn.Eds._.Monthly._.Report." localSheetId="2" hidden="1">{"Eds View",#N/A,FALSE,"Operating Statement";"Eds View",#N/A,FALSE,"Balance Sheet ";"Eds View",#N/A,FALSE,"Operating Cash Flow"}</definedName>
    <definedName name="wrn.Eds._.Monthly._.Report." hidden="1">{"Eds View",#N/A,FALSE,"Operating Statement";"Eds View",#N/A,FALSE,"Balance Sheet ";"Eds View",#N/A,FALSE,"Operating Cash Flow"}</definedName>
    <definedName name="wrn.Flash." localSheetId="2" hidden="1">{#N/A,#N/A,FALSE,"JKFLASH2";#N/A,#N/A,FALSE,"Page 4";#N/A,#N/A,FALSE,"page 3"}</definedName>
    <definedName name="wrn.Flash." hidden="1">{#N/A,#N/A,FALSE,"JKFLASH2";#N/A,#N/A,FALSE,"Page 4";#N/A,#N/A,FALSE,"page 3"}</definedName>
    <definedName name="wrn.Full._.Financials." localSheetId="2"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2" hidden="1">{"Assumptions",#N/A,FALSE,"Sheet1";"Main Report",#N/A,FALSE,"Sheet1";"Results",#N/A,FALSE,"Sheet1";"Advances",#N/A,FALSE,"Sheet1"}</definedName>
    <definedName name="wrn.Full._.Report." hidden="1">{"Assumptions",#N/A,FALSE,"Sheet1";"Main Report",#N/A,FALSE,"Sheet1";"Results",#N/A,FALSE,"Sheet1";"Advances",#N/A,FALSE,"Sheet1"}</definedName>
    <definedName name="wrn.fy_allqtrs." localSheetId="2" hidden="1">{"fy",#N/A,FALSE,"fy";"_1q",#N/A,FALSE,"1q";"_2q",#N/A,FALSE,"2q";"_3q",#N/A,FALSE,"3q";"_4q",#N/A,FALSE,"4q"}</definedName>
    <definedName name="wrn.fy_allqtrs." hidden="1">{"fy",#N/A,FALSE,"fy";"_1q",#N/A,FALSE,"1q";"_2q",#N/A,FALSE,"2q";"_3q",#N/A,FALSE,"3q";"_4q",#N/A,FALSE,"4q"}</definedName>
    <definedName name="wrn.input._.and._.output." localSheetId="2" hidden="1">{"EBITDA",#N/A,TRUE,"P&amp;L Net of Disc Ops";"output net of disc ops",#N/A,TRUE,"Revenue";"input",#N/A,TRUE,"Revenue";"output",#N/A,TRUE,"DC";"Input",#N/A,TRUE,"DC";"MTN and MCN",#N/A,TRUE,"Margin";"output detail line items",#N/A,TRUE,"SGA";"personnel by year",#N/A,TRUE,"Payroll";#N/A,#N/A,TRUE,"CapEx"}</definedName>
    <definedName name="wrn.input._.and._.output." hidden="1">{"EBITDA",#N/A,TRUE,"P&amp;L Net of Disc Ops";"output net of disc ops",#N/A,TRUE,"Revenue";"input",#N/A,TRUE,"Revenue";"output",#N/A,TRUE,"DC";"Input",#N/A,TRUE,"DC";"MTN and MCN",#N/A,TRUE,"Margin";"output detail line items",#N/A,TRUE,"SGA";"personnel by year",#N/A,TRUE,"Payroll";#N/A,#N/A,TRUE,"CapEx"}</definedName>
    <definedName name="wrn.ipo." localSheetId="2" hidden="1">{"assumptions",#N/A,FALSE,"Scenario 1";"valuation",#N/A,FALSE,"Scenario 1"}</definedName>
    <definedName name="wrn.ipo." hidden="1">{"assumptions",#N/A,FALSE,"Scenario 1";"valuation",#N/A,FALSE,"Scenario 1"}</definedName>
    <definedName name="wrn.IPO._.Valuation." localSheetId="2" hidden="1">{"assumptions",#N/A,FALSE,"Scenario 1";"valuation",#N/A,FALSE,"Scenario 1"}</definedName>
    <definedName name="wrn.IPO._.Valuation." hidden="1">{"assumptions",#N/A,FALSE,"Scenario 1";"valuation",#N/A,FALSE,"Scenario 1"}</definedName>
    <definedName name="wrn.Joes._.Monthly._.Report." localSheetId="2" hidden="1">{"Current Month vs. Prior month",#N/A,FALSE,"Operating Statement";"Current Month vs. Prior month",#N/A,FALSE,"Balance Sheet ";"Current Month vs. Prior month",#N/A,FALSE,"Cash Flow";"Current Month vs. Prior Month",#N/A,FALSE,"Operating Cash Flow"}</definedName>
    <definedName name="wrn.Joes._.Monthly._.Report." hidden="1">{"Current Month vs. Prior month",#N/A,FALSE,"Operating Statement";"Current Month vs. Prior month",#N/A,FALSE,"Balance Sheet ";"Current Month vs. Prior month",#N/A,FALSE,"Cash Flow";"Current Month vs. Prior Month",#N/A,FALSE,"Operating Cash Flow"}</definedName>
    <definedName name="wrn.LBO._.Summary." localSheetId="2" hidden="1">{"LBO Summary",#N/A,FALSE,"Summary"}</definedName>
    <definedName name="wrn.LBO._.Summary." hidden="1">{"LBO Summary",#N/A,FALSE,"Summary"}</definedName>
    <definedName name="wrn.mar._.bd._.mtg." localSheetId="2" hidden="1">{"fy",#N/A,FALSE,"95bspl";"_1q_fy",#N/A,FALSE,"95bspl";"_95fcmonthly",#N/A,FALSE,"95bspl"}</definedName>
    <definedName name="wrn.mar._.bd._.mtg." hidden="1">{"fy",#N/A,FALSE,"95bspl";"_1q_fy",#N/A,FALSE,"95bspl";"_95fcmonthly",#N/A,FALSE,"95bspl"}</definedName>
    <definedName name="wrn.mar._.revised." localSheetId="2" hidden="1">{"fy",#N/A,FALSE,"95bspl";"_1q_2q",#N/A,FALSE,"95bspl";"_95fcmonthly",#N/A,FALSE,"95bspl"}</definedName>
    <definedName name="wrn.mar._.revised." hidden="1">{"fy",#N/A,FALSE,"95bspl";"_1q_2q",#N/A,FALSE,"95bspl";"_95fcmonthly",#N/A,FALSE,"95bspl"}</definedName>
    <definedName name="wrn.MO._.QTRLY._.BSCF." localSheetId="2" hidden="1">{"MONTHLY BS",#N/A,FALSE,"BSCF";"MONTHLY CF",#N/A,FALSE,"BSCF";"QUARTERLY BS",#N/A,FALSE,"BSCF";"QUARTERLY CF",#N/A,FALSE,"BSCF"}</definedName>
    <definedName name="wrn.MO._.QTRLY._.BSCF." hidden="1">{"MONTHLY BS",#N/A,FALSE,"BSCF";"MONTHLY CF",#N/A,FALSE,"BSCF";"QUARTERLY BS",#N/A,FALSE,"BSCF";"QUARTERLY CF",#N/A,FALSE,"BSCF"}</definedName>
    <definedName name="wrn.Munsell." localSheetId="2" hidden="1">{#N/A,#N/A,FALSE,"Index";#N/A,#N/A,FALSE,"IncStmt";#N/A,#N/A,FALSE,"Ratios";#N/A,#N/A,FALSE,"CashFlows";#N/A,#N/A,FALSE,"Ins1";#N/A,#N/A,FALSE,"Ins2";#N/A,#N/A,FALSE,"SelfFund";#N/A,#N/A,FALSE,"SGA";#N/A,#N/A,FALSE,"Recon";#N/A,#N/A,FALSE,"Earnings";#N/A,#N/A,FALSE,"Earnings (2)";#N/A,#N/A,FALSE,"Stock";#N/A,#N/A,FALSE,"Stock (2)";#N/A,#N/A,FALSE,"PeerRatios";#N/A,#N/A,FALSE,"PeerRanks"}</definedName>
    <definedName name="wrn.Munsell." hidden="1">{#N/A,#N/A,FALSE,"Index";#N/A,#N/A,FALSE,"IncStmt";#N/A,#N/A,FALSE,"Ratios";#N/A,#N/A,FALSE,"CashFlows";#N/A,#N/A,FALSE,"Ins1";#N/A,#N/A,FALSE,"Ins2";#N/A,#N/A,FALSE,"SelfFund";#N/A,#N/A,FALSE,"SGA";#N/A,#N/A,FALSE,"Recon";#N/A,#N/A,FALSE,"Earnings";#N/A,#N/A,FALSE,"Earnings (2)";#N/A,#N/A,FALSE,"Stock";#N/A,#N/A,FALSE,"Stock (2)";#N/A,#N/A,FALSE,"PeerRatios";#N/A,#N/A,FALSE,"PeerRanks"}</definedName>
    <definedName name="wrn.NVF._.Company." localSheetId="2" hidden="1">{"NVF structure",#N/A,FALSE,"Structure";"NVF ownership",#N/A,FALSE,"Ownership";"NVF returns calculation",#N/A,FALSE,"Returns Summary";"NVF returns tables",#N/A,FALSE,"Returns Summary";"NVF assumptions",#N/A,FALSE,"Projection Assumptions";"NVF income statement",#N/A,FALSE,"Income Statement";"NVF balance sheet",#N/A,FALSE,"Balance Sheet";"NVF cash flow",#N/A,FALSE,"Cash Flow";"NVF debt summary",#N/A,FALSE,"Debt Summary";"NVF summary statistics",#N/A,FALSE,"Summary Statistics"}</definedName>
    <definedName name="wrn.NVF._.Company." hidden="1">{"NVF structure",#N/A,FALSE,"Structure";"NVF ownership",#N/A,FALSE,"Ownership";"NVF returns calculation",#N/A,FALSE,"Returns Summary";"NVF returns tables",#N/A,FALSE,"Returns Summary";"NVF assumptions",#N/A,FALSE,"Projection Assumptions";"NVF income statement",#N/A,FALSE,"Income Statement";"NVF balance sheet",#N/A,FALSE,"Balance Sheet";"NVF cash flow",#N/A,FALSE,"Cash Flow";"NVF debt summary",#N/A,FALSE,"Debt Summary";"NVF summary statistics",#N/A,FALSE,"Summary Statistics"}</definedName>
    <definedName name="wrn.one" localSheetId="2" hidden="1">{"page1",#N/A,FALSE,"A";"page2",#N/A,FALSE,"A"}</definedName>
    <definedName name="wrn.one" hidden="1">{"page1",#N/A,FALSE,"A";"page2",#N/A,FALSE,"A"}</definedName>
    <definedName name="wrn.one." localSheetId="2" hidden="1">{"page1",#N/A,FALSE,"A";"page2",#N/A,FALSE,"A"}</definedName>
    <definedName name="wrn.one." hidden="1">{"page1",#N/A,FALSE,"A";"page2",#N/A,FALSE,"A"}</definedName>
    <definedName name="wrn.One._.Pager._.plus._.Technicals." localSheetId="2" hidden="1">{#N/A,#N/A,FALSE,"One Pager";#N/A,#N/A,FALSE,"Technical"}</definedName>
    <definedName name="wrn.One._.Pager._.plus._.Technicals." hidden="1">{#N/A,#N/A,FALSE,"One Pager";#N/A,#N/A,FALSE,"Technical"}</definedName>
    <definedName name="wrn.pl" localSheetId="2" hidden="1">{"20 Years",#N/A,FALSE,"P&amp;Ls";"2001",#N/A,FALSE,"P&amp;Ls"}</definedName>
    <definedName name="wrn.pl" hidden="1">{"20 Years",#N/A,FALSE,"P&amp;Ls";"2001",#N/A,FALSE,"P&amp;Ls"}</definedName>
    <definedName name="wrn.PL." localSheetId="2" hidden="1">{"20 Years",#N/A,FALSE,"P&amp;Ls";"2001",#N/A,FALSE,"P&amp;Ls"}</definedName>
    <definedName name="wrn.PL." hidden="1">{"20 Years",#N/A,FALSE,"P&amp;Ls";"2001",#N/A,FALSE,"P&amp;Ls"}</definedName>
    <definedName name="wrn.print." localSheetId="2" hidden="1">{#N/A,#N/A,FALSE,"FRT, $0 G&amp;A"}</definedName>
    <definedName name="wrn.print." hidden="1">{#N/A,#N/A,FALSE,"FRT, $0 G&amp;A"}</definedName>
    <definedName name="wrn.Print._.All._.Pages." localSheetId="2"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Model." localSheetId="2" hidden="1">{"structure",#N/A,TRUE,"Structure";"ownership",#N/A,TRUE,"Ownership";"Returns Summary",#N/A,TRUE,"Returns Summary";#N/A,#N/A,TRUE,"Projection Assumptions";"income statement",#N/A,TRUE,"Income Statement";"Balance Sheet",#N/A,TRUE,"Balance Sheet";"CashFlow",#N/A,TRUE,"Cash Flow";"Debt Summary",#N/A,TRUE,"Debt Summary";#N/A,#N/A,TRUE,"Assumed Cap. Leases";#N/A,#N/A,TRUE,"Cap Exp. &amp; Deprec.";#N/A,#N/A,TRUE,"Summary Statistics"}</definedName>
    <definedName name="wrn.Print._.Model." hidden="1">{"structure",#N/A,TRUE,"Structure";"ownership",#N/A,TRUE,"Ownership";"Returns Summary",#N/A,TRUE,"Returns Summary";#N/A,#N/A,TRUE,"Projection Assumptions";"income statement",#N/A,TRUE,"Income Statement";"Balance Sheet",#N/A,TRUE,"Balance Sheet";"CashFlow",#N/A,TRUE,"Cash Flow";"Debt Summary",#N/A,TRUE,"Debt Summary";#N/A,#N/A,TRUE,"Assumed Cap. Leases";#N/A,#N/A,TRUE,"Cap Exp. &amp; Deprec.";#N/A,#N/A,TRUE,"Summary Statistics"}</definedName>
    <definedName name="wrn.printleases." localSheetId="2" hidden="1">{"softwarerental",#N/A,FALSE,"LEASES";"softwaremaint",#N/A,FALSE,"LEASES";"equipmaint",#N/A,FALSE,"LEASES";"compequipmaint",#N/A,FALSE,"LEASES";"securityexp",#N/A,FALSE,"LEASES";"fischecrburexp",#N/A,FALSE,"LEASES";"comprhdwrmaintprpd",#N/A,FALSE,"LEASES";"compequiprentprpd",#N/A,FALSE,"LEASES";"softwarerentprpd",#N/A,FALSE,"LEASES";"miscleaseprpd",#N/A,FALSE,"LEASES";"totals",#N/A,FALSE,"LEASES";"acct14697",#N/A,FALSE,"LEASES";"rentexp",#N/A,FALSE,"LEASES"}</definedName>
    <definedName name="wrn.printleases." hidden="1">{"softwarerental",#N/A,FALSE,"LEASES";"softwaremaint",#N/A,FALSE,"LEASES";"equipmaint",#N/A,FALSE,"LEASES";"compequipmaint",#N/A,FALSE,"LEASES";"securityexp",#N/A,FALSE,"LEASES";"fischecrburexp",#N/A,FALSE,"LEASES";"comprhdwrmaintprpd",#N/A,FALSE,"LEASES";"compequiprentprpd",#N/A,FALSE,"LEASES";"softwarerentprpd",#N/A,FALSE,"LEASES";"miscleaseprpd",#N/A,FALSE,"LEASES";"totals",#N/A,FALSE,"LEASES";"acct14697",#N/A,FALSE,"LEASES";"rentexp",#N/A,FALSE,"LEASES"}</definedName>
    <definedName name="wrn.q1._.review." localSheetId="2" hidden="1">{"brd_fy",#N/A,FALSE,"95bspl";"brd_q1q2",#N/A,FALSE,"95bspl";"_95fcmonthly",#N/A,FALSE,"95bspl"}</definedName>
    <definedName name="wrn.q1._.review." hidden="1">{"brd_fy",#N/A,FALSE,"95bspl";"brd_q1q2",#N/A,FALSE,"95bspl";"_95fcmonthly",#N/A,FALSE,"95bspl"}</definedName>
    <definedName name="wrn.q2._.review." localSheetId="2" hidden="1">{"_6mo_fy",#N/A,FALSE,"95bspl";"_1q_2q",#N/A,FALSE,"95bspl";"_95fcmonthly",#N/A,FALSE,"95bspl"}</definedName>
    <definedName name="wrn.q2._.review." hidden="1">{"_6mo_fy",#N/A,FALSE,"95bspl";"_1q_2q",#N/A,FALSE,"95bspl";"_95fcmonthly",#N/A,FALSE,"95bspl"}</definedName>
    <definedName name="wrn.Questor." localSheetId="2" hidden="1">{#N/A,#N/A,FALSE,"Structure";#N/A,#N/A,FALSE,"Key Assumptions";#N/A,#N/A,FALSE,"Ownership";#N/A,#N/A,FALSE,"Returns Summary";#N/A,#N/A,FALSE,"Projection Assumptions";#N/A,#N/A,FALSE,"Income Statement";#N/A,#N/A,FALSE,"Balance Sheet";#N/A,#N/A,FALSE,"Cash Flow";#N/A,#N/A,FALSE,"Profit Improvements";#N/A,#N/A,FALSE,"Reorganization";#N/A,#N/A,FALSE,"Debt Summary";#N/A,#N/A,FALSE,"Tax Calculation"}</definedName>
    <definedName name="wrn.Questor." hidden="1">{#N/A,#N/A,FALSE,"Structure";#N/A,#N/A,FALSE,"Key Assumptions";#N/A,#N/A,FALSE,"Ownership";#N/A,#N/A,FALSE,"Returns Summary";#N/A,#N/A,FALSE,"Projection Assumptions";#N/A,#N/A,FALSE,"Income Statement";#N/A,#N/A,FALSE,"Balance Sheet";#N/A,#N/A,FALSE,"Cash Flow";#N/A,#N/A,FALSE,"Profit Improvements";#N/A,#N/A,FALSE,"Reorganization";#N/A,#N/A,FALSE,"Debt Summary";#N/A,#N/A,FALSE,"Tax Calculation"}</definedName>
    <definedName name="wrn.report" localSheetId="2" hidden="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wrn.report" hidden="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wrn.Report." localSheetId="2" hidden="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wrn.Report." hidden="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wrn.Scenario._.Summary." localSheetId="2" hidden="1">{#N/A,#N/A,TRUE,"Summary";#N/A,"1",TRUE,"Summary";#N/A,"2",TRUE,"Summary";#N/A,"3",TRUE,"Summary";#N/A,"4",TRUE,"Summary";#N/A,"5",TRUE,"Summary";#N/A,"6",TRUE,"Summary";#N/A,"7",TRUE,"Summary";#N/A,"8",TRUE,"Summary";#N/A,"9",TRUE,"Summary";#N/A,"10",TRUE,"Summary";#N/A,"11",TRUE,"Summary"}</definedName>
    <definedName name="wrn.Scenario._.Summary." hidden="1">{#N/A,#N/A,TRUE,"Summary";#N/A,"1",TRUE,"Summary";#N/A,"2",TRUE,"Summary";#N/A,"3",TRUE,"Summary";#N/A,"4",TRUE,"Summary";#N/A,"5",TRUE,"Summary";#N/A,"6",TRUE,"Summary";#N/A,"7",TRUE,"Summary";#N/A,"8",TRUE,"Summary";#N/A,"9",TRUE,"Summary";#N/A,"10",TRUE,"Summary";#N/A,"11",TRUE,"Summary"}</definedName>
    <definedName name="wrn.scenariosummary" localSheetId="2"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tatements." localSheetId="2"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atments" localSheetId="2"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summary_feb_mar." localSheetId="2" hidden="1">{"sum_feb",#N/A,FALSE,"Feb.";"sum_var",#N/A,FALSE,"Feb.";"sum_mar",#N/A,FALSE,"March";"sum_var",#N/A,FALSE,"March"}</definedName>
    <definedName name="wrn.summary_feb_mar." hidden="1">{"sum_feb",#N/A,FALSE,"Feb.";"sum_var",#N/A,FALSE,"Feb.";"sum_mar",#N/A,FALSE,"March";"sum_var",#N/A,FALSE,"March"}</definedName>
    <definedName name="wrn.summary_fy_all._.qtrs." localSheetId="2" hidden="1">{"sum_fy",#N/A,FALSE,"fy";"sum_var",#N/A,FALSE,"fy";"sum_1q",#N/A,FALSE,"1q";"sum_var",#N/A,FALSE,"1q";"sum_2q",#N/A,FALSE,"2q";"sum_var",#N/A,FALSE,"2q";"sum_3q",#N/A,FALSE,"3q";"sum_var",#N/A,FALSE,"3q";"sum_4q",#N/A,FALSE,"4q";"sum_var",#N/A,FALSE,"4q"}</definedName>
    <definedName name="wrn.summary_fy_all._.qtrs." hidden="1">{"sum_fy",#N/A,FALSE,"fy";"sum_var",#N/A,FALSE,"fy";"sum_1q",#N/A,FALSE,"1q";"sum_var",#N/A,FALSE,"1q";"sum_2q",#N/A,FALSE,"2q";"sum_var",#N/A,FALSE,"2q";"sum_3q",#N/A,FALSE,"3q";"sum_var",#N/A,FALSE,"3q";"sum_4q",#N/A,FALSE,"4q";"sum_var",#N/A,FALSE,"4q"}</definedName>
    <definedName name="wrn.Universe." localSheetId="2" hidden="1">{"View_6",#N/A,FALSE,"Mix-Int-R&amp;D";"View_4",#N/A,FALSE,"Margins";"View_5",#N/A,FALSE,"Ratios";"View_3",#N/A,FALSE,"Mix";"View_2",#N/A,FALSE,"FV-EBITDA";"View_1",#N/A,FALSE,"EPS"}</definedName>
    <definedName name="wrn.Universe." hidden="1">{"View_6",#N/A,FALSE,"Mix-Int-R&amp;D";"View_4",#N/A,FALSE,"Margins";"View_5",#N/A,FALSE,"Ratios";"View_3",#N/A,FALSE,"Mix";"View_2",#N/A,FALSE,"FV-EBITDA";"View_1",#N/A,FALSE,"EPS"}</definedName>
    <definedName name="wrn.variance." localSheetId="2" hidden="1">{"var",#N/A,FALSE,"fy";"var",#N/A,FALSE,"1q";"var",#N/A,FALSE,"2q";"var",#N/A,FALSE,"3q";"var",#N/A,FALSE,"4q"}</definedName>
    <definedName name="wrn.variance." hidden="1">{"var",#N/A,FALSE,"fy";"var",#N/A,FALSE,"1q";"var",#N/A,FALSE,"2q";"var",#N/A,FALSE,"3q";"var",#N/A,FALSE,"4q"}</definedName>
    <definedName name="wvu.cash." localSheetId="2" hidden="1">{TRUE,TRUE,-1.25,-15.5,456.75,279.75,FALSE,FALSE,TRUE,TRUE,0,1,18,1,199,6,3,4,TRUE,TRUE,3,TRUE,1,TRUE,100,"Swvu.cash.","ACwvu.cash.",1,FALSE,FALSE,0.511811023622047,0.511811023622047,0.511811023622047,0.511811023622047,1,"","",FALSE,FALSE,FALSE,FALSE,1,#N/A,1,1,#DIV/0!,FALSE,"Rwvu.cash.",#N/A,FALSE,FALSE}</definedName>
    <definedName name="wvu.cash." hidden="1">{TRUE,TRUE,-1.25,-15.5,456.75,279.75,FALSE,FALSE,TRUE,TRUE,0,1,18,1,199,6,3,4,TRUE,TRUE,3,TRUE,1,TRUE,100,"Swvu.cash.","ACwvu.cash.",1,FALSE,FALSE,0.511811023622047,0.511811023622047,0.511811023622047,0.511811023622047,1,"","",FALSE,FALSE,FALSE,FALSE,1,#N/A,1,1,#DIV/0!,FALSE,"Rwvu.cash.",#N/A,FALSE,FALSE}</definedName>
    <definedName name="wvu.profits." localSheetId="2" hidden="1">{TRUE,TRUE,-1.25,-15.5,456.75,279.75,FALSE,FALSE,TRUE,TRUE,0,1,21,1,127,6,3,4,TRUE,TRUE,3,TRUE,1,TRUE,100,"Swvu.profits.","ACwvu.profits.",1,FALSE,FALSE,0.511811023622047,0.511811023622047,0.511811023622047,0.511811023622047,1,"","",FALSE,FALSE,FALSE,FALSE,1,#N/A,1,1,#DIV/0!,FALSE,"Rwvu.profits.",#N/A,FALSE,FALSE}</definedName>
    <definedName name="wvu.profits." hidden="1">{TRUE,TRUE,-1.25,-15.5,456.75,279.75,FALSE,FALSE,TRUE,TRUE,0,1,21,1,127,6,3,4,TRUE,TRUE,3,TRUE,1,TRUE,100,"Swvu.profits.","ACwvu.profits.",1,FALSE,FALSE,0.511811023622047,0.511811023622047,0.511811023622047,0.511811023622047,1,"","",FALSE,FALSE,FALSE,FALSE,1,#N/A,1,1,#DIV/0!,FALSE,"Rwvu.profits.",#N/A,FALSE,FALSE}</definedName>
    <definedName name="wvu.turnover." localSheetId="2" hidden="1">{TRUE,TRUE,-1.25,-15.5,456.75,279.75,FALSE,FALSE,TRUE,TRUE,0,1,8,1,4,6,3,4,TRUE,TRUE,3,TRUE,1,TRUE,100,"Swvu.turnover.","ACwvu.turnover.",1,FALSE,FALSE,0.511811023622047,0.511811023622047,0.511811023622047,0.511811023622047,1,"","",FALSE,FALSE,FALSE,FALSE,1,#N/A,1,1,#DIV/0!,FALSE,"Rwvu.turnover.",#N/A,FALSE,FALSE}</definedName>
    <definedName name="wvu.turnover." hidden="1">{TRUE,TRUE,-1.25,-15.5,456.75,279.75,FALSE,FALSE,TRUE,TRUE,0,1,8,1,4,6,3,4,TRUE,TRUE,3,TRUE,1,TRUE,100,"Swvu.turnover.","ACwvu.turnover.",1,FALSE,FALSE,0.511811023622047,0.511811023622047,0.511811023622047,0.511811023622047,1,"","",FALSE,FALSE,FALSE,FALSE,1,#N/A,1,1,#DIV/0!,FALSE,"Rwvu.turnover.",#N/A,FALSE,FALSE}</definedName>
  </definedNames>
  <calcPr calcId="124519"/>
</workbook>
</file>

<file path=xl/calcChain.xml><?xml version="1.0" encoding="utf-8"?>
<calcChain xmlns="http://schemas.openxmlformats.org/spreadsheetml/2006/main">
  <c r="E32" i="18"/>
  <c r="E31"/>
  <c r="E30"/>
  <c r="E35"/>
  <c r="E28"/>
  <c r="E23"/>
  <c r="N19"/>
  <c r="B17"/>
  <c r="F17"/>
  <c r="F18" s="1"/>
  <c r="E17"/>
  <c r="E65" s="1"/>
  <c r="E66" s="1"/>
  <c r="D17"/>
  <c r="C17"/>
  <c r="B24"/>
  <c r="D65"/>
  <c r="D66" s="1"/>
  <c r="C65"/>
  <c r="C66" s="1"/>
  <c r="B65"/>
  <c r="B66" s="1"/>
  <c r="B33"/>
  <c r="B32"/>
  <c r="E25"/>
  <c r="B25"/>
  <c r="F53" i="19"/>
  <c r="F51"/>
  <c r="G51" s="1"/>
  <c r="H51" s="1"/>
  <c r="I51" s="1"/>
  <c r="J51" s="1"/>
  <c r="F50"/>
  <c r="G50" s="1"/>
  <c r="H50" s="1"/>
  <c r="I50" s="1"/>
  <c r="J50" s="1"/>
  <c r="H49"/>
  <c r="I49" s="1"/>
  <c r="J49" s="1"/>
  <c r="G49"/>
  <c r="F49"/>
  <c r="G46"/>
  <c r="H46" s="1"/>
  <c r="I46" s="1"/>
  <c r="J46" s="1"/>
  <c r="F46"/>
  <c r="G45"/>
  <c r="H45" s="1"/>
  <c r="I45" s="1"/>
  <c r="J45" s="1"/>
  <c r="F45"/>
  <c r="F44"/>
  <c r="G44" s="1"/>
  <c r="H44" s="1"/>
  <c r="I44" s="1"/>
  <c r="J44" s="1"/>
  <c r="F43"/>
  <c r="G43" s="1"/>
  <c r="H43" s="1"/>
  <c r="I43" s="1"/>
  <c r="J43" s="1"/>
  <c r="G42"/>
  <c r="H42" s="1"/>
  <c r="I42" s="1"/>
  <c r="J42" s="1"/>
  <c r="F42"/>
  <c r="F41"/>
  <c r="G41" s="1"/>
  <c r="F40"/>
  <c r="G40" s="1"/>
  <c r="H40" s="1"/>
  <c r="I40" s="1"/>
  <c r="J40" s="1"/>
  <c r="F39"/>
  <c r="G39" s="1"/>
  <c r="H39" s="1"/>
  <c r="I39" s="1"/>
  <c r="J39" s="1"/>
  <c r="F63"/>
  <c r="G63" s="1"/>
  <c r="H63" s="1"/>
  <c r="I63" s="1"/>
  <c r="J63" s="1"/>
  <c r="F60"/>
  <c r="G60" s="1"/>
  <c r="H60" s="1"/>
  <c r="I60" s="1"/>
  <c r="J60" s="1"/>
  <c r="F58"/>
  <c r="G58" s="1"/>
  <c r="H58" s="1"/>
  <c r="I58" s="1"/>
  <c r="J58" s="1"/>
  <c r="F62"/>
  <c r="G62" s="1"/>
  <c r="H62" s="1"/>
  <c r="I62" s="1"/>
  <c r="J62" s="1"/>
  <c r="F61"/>
  <c r="G61" s="1"/>
  <c r="H61" s="1"/>
  <c r="I61" s="1"/>
  <c r="J61" s="1"/>
  <c r="F59"/>
  <c r="G59" s="1"/>
  <c r="H59" s="1"/>
  <c r="I59" s="1"/>
  <c r="J59" s="1"/>
  <c r="J36"/>
  <c r="I36"/>
  <c r="H36"/>
  <c r="G36"/>
  <c r="F36"/>
  <c r="K109" i="15"/>
  <c r="K107"/>
  <c r="K103"/>
  <c r="K102"/>
  <c r="K101"/>
  <c r="K100"/>
  <c r="K99"/>
  <c r="K98"/>
  <c r="K97"/>
  <c r="K94"/>
  <c r="K93"/>
  <c r="K92"/>
  <c r="K90"/>
  <c r="K89"/>
  <c r="K88"/>
  <c r="K87"/>
  <c r="K86"/>
  <c r="K84"/>
  <c r="K83"/>
  <c r="K82"/>
  <c r="K81"/>
  <c r="K80"/>
  <c r="K79"/>
  <c r="K78"/>
  <c r="K77"/>
  <c r="K76"/>
  <c r="K75"/>
  <c r="K74"/>
  <c r="K73"/>
  <c r="K72"/>
  <c r="K71"/>
  <c r="K70"/>
  <c r="K69"/>
  <c r="K68"/>
  <c r="K67"/>
  <c r="J109"/>
  <c r="J107"/>
  <c r="J103"/>
  <c r="J102"/>
  <c r="J101"/>
  <c r="J100"/>
  <c r="J99"/>
  <c r="J98"/>
  <c r="J97"/>
  <c r="J94"/>
  <c r="J93"/>
  <c r="J92"/>
  <c r="J90"/>
  <c r="J89"/>
  <c r="J88"/>
  <c r="J87"/>
  <c r="J86"/>
  <c r="J84"/>
  <c r="J83"/>
  <c r="J82"/>
  <c r="J81"/>
  <c r="J80"/>
  <c r="J79"/>
  <c r="J78"/>
  <c r="J77"/>
  <c r="J76"/>
  <c r="J75"/>
  <c r="J74"/>
  <c r="J73"/>
  <c r="J72"/>
  <c r="J71"/>
  <c r="J70"/>
  <c r="J69"/>
  <c r="J68"/>
  <c r="J67"/>
  <c r="I109"/>
  <c r="I107"/>
  <c r="I103"/>
  <c r="I102"/>
  <c r="I101"/>
  <c r="I100"/>
  <c r="I99"/>
  <c r="I98"/>
  <c r="I97"/>
  <c r="I94"/>
  <c r="I93"/>
  <c r="I92"/>
  <c r="I90"/>
  <c r="I89"/>
  <c r="I88"/>
  <c r="I87"/>
  <c r="I86"/>
  <c r="I84"/>
  <c r="I83"/>
  <c r="I82"/>
  <c r="I81"/>
  <c r="I80"/>
  <c r="I79"/>
  <c r="I78"/>
  <c r="I77"/>
  <c r="I76"/>
  <c r="I75"/>
  <c r="I74"/>
  <c r="I73"/>
  <c r="I72"/>
  <c r="I71"/>
  <c r="I70"/>
  <c r="I69"/>
  <c r="I68"/>
  <c r="I67"/>
  <c r="H107"/>
  <c r="H109"/>
  <c r="H68"/>
  <c r="H69"/>
  <c r="H70"/>
  <c r="H71"/>
  <c r="H72"/>
  <c r="H73"/>
  <c r="H74"/>
  <c r="H75"/>
  <c r="H76"/>
  <c r="H77"/>
  <c r="H78"/>
  <c r="H79"/>
  <c r="H80"/>
  <c r="H81"/>
  <c r="H82"/>
  <c r="H83"/>
  <c r="H84"/>
  <c r="H86"/>
  <c r="H87"/>
  <c r="H88"/>
  <c r="H89"/>
  <c r="H90"/>
  <c r="H92"/>
  <c r="H93"/>
  <c r="H94"/>
  <c r="H97"/>
  <c r="H98"/>
  <c r="H99"/>
  <c r="H100"/>
  <c r="H101"/>
  <c r="H102"/>
  <c r="H103"/>
  <c r="H67"/>
  <c r="F12" i="19"/>
  <c r="G12"/>
  <c r="H12" s="1"/>
  <c r="I12" s="1"/>
  <c r="J12" s="1"/>
  <c r="F13"/>
  <c r="G13" s="1"/>
  <c r="H13" s="1"/>
  <c r="I13" s="1"/>
  <c r="J13" s="1"/>
  <c r="F14"/>
  <c r="G14" s="1"/>
  <c r="H14" s="1"/>
  <c r="I14" s="1"/>
  <c r="J14" s="1"/>
  <c r="F15"/>
  <c r="G15" s="1"/>
  <c r="H15" s="1"/>
  <c r="I15" s="1"/>
  <c r="J15" s="1"/>
  <c r="F16"/>
  <c r="G16"/>
  <c r="H16" s="1"/>
  <c r="I16" s="1"/>
  <c r="J16" s="1"/>
  <c r="F17"/>
  <c r="G17" s="1"/>
  <c r="H17" s="1"/>
  <c r="I17" s="1"/>
  <c r="J17" s="1"/>
  <c r="F18"/>
  <c r="G18" s="1"/>
  <c r="H18" s="1"/>
  <c r="I18" s="1"/>
  <c r="J18" s="1"/>
  <c r="F19"/>
  <c r="G19" s="1"/>
  <c r="H19" s="1"/>
  <c r="I19" s="1"/>
  <c r="J19" s="1"/>
  <c r="F20"/>
  <c r="G20"/>
  <c r="H20" s="1"/>
  <c r="I20" s="1"/>
  <c r="J20" s="1"/>
  <c r="F21"/>
  <c r="G21" s="1"/>
  <c r="H21" s="1"/>
  <c r="I21" s="1"/>
  <c r="J21" s="1"/>
  <c r="F22"/>
  <c r="G22" s="1"/>
  <c r="H22" s="1"/>
  <c r="I22" s="1"/>
  <c r="J22" s="1"/>
  <c r="F23"/>
  <c r="G23" s="1"/>
  <c r="H23" s="1"/>
  <c r="I23" s="1"/>
  <c r="J23" s="1"/>
  <c r="F24"/>
  <c r="G24"/>
  <c r="H24" s="1"/>
  <c r="I24" s="1"/>
  <c r="J24" s="1"/>
  <c r="F25"/>
  <c r="G25" s="1"/>
  <c r="H25" s="1"/>
  <c r="I25" s="1"/>
  <c r="J25" s="1"/>
  <c r="F26"/>
  <c r="G26" s="1"/>
  <c r="H26" s="1"/>
  <c r="I26" s="1"/>
  <c r="J26" s="1"/>
  <c r="F27"/>
  <c r="G27" s="1"/>
  <c r="H27" s="1"/>
  <c r="I27" s="1"/>
  <c r="J27" s="1"/>
  <c r="F28"/>
  <c r="G28"/>
  <c r="H28" s="1"/>
  <c r="I28" s="1"/>
  <c r="J28" s="1"/>
  <c r="F29"/>
  <c r="G29" s="1"/>
  <c r="H29" s="1"/>
  <c r="I29" s="1"/>
  <c r="J29" s="1"/>
  <c r="F30"/>
  <c r="G30" s="1"/>
  <c r="H30" s="1"/>
  <c r="I30" s="1"/>
  <c r="J30" s="1"/>
  <c r="F31"/>
  <c r="G31" s="1"/>
  <c r="H31" s="1"/>
  <c r="I31" s="1"/>
  <c r="J31" s="1"/>
  <c r="F32"/>
  <c r="G32"/>
  <c r="H32" s="1"/>
  <c r="I32" s="1"/>
  <c r="J32" s="1"/>
  <c r="F33"/>
  <c r="G33" s="1"/>
  <c r="H33" s="1"/>
  <c r="I33" s="1"/>
  <c r="J33" s="1"/>
  <c r="F34"/>
  <c r="G34" s="1"/>
  <c r="H34" s="1"/>
  <c r="I34" s="1"/>
  <c r="J34" s="1"/>
  <c r="F35"/>
  <c r="G35" s="1"/>
  <c r="H35" s="1"/>
  <c r="I35" s="1"/>
  <c r="J35" s="1"/>
  <c r="G11"/>
  <c r="H11" s="1"/>
  <c r="I11" s="1"/>
  <c r="J11" s="1"/>
  <c r="F11"/>
  <c r="D18" i="18"/>
  <c r="C18"/>
  <c r="F15"/>
  <c r="E15"/>
  <c r="D15"/>
  <c r="F14"/>
  <c r="E14"/>
  <c r="D14"/>
  <c r="F13"/>
  <c r="E13"/>
  <c r="D13"/>
  <c r="F12"/>
  <c r="F16" s="1"/>
  <c r="E12"/>
  <c r="E16" s="1"/>
  <c r="D12"/>
  <c r="D16" s="1"/>
  <c r="C16"/>
  <c r="C15"/>
  <c r="F62" i="15"/>
  <c r="K63"/>
  <c r="J63"/>
  <c r="I63"/>
  <c r="H63"/>
  <c r="G63"/>
  <c r="F63"/>
  <c r="F61"/>
  <c r="F60"/>
  <c r="K54"/>
  <c r="J54"/>
  <c r="G54"/>
  <c r="F54"/>
  <c r="K53"/>
  <c r="J53"/>
  <c r="I53"/>
  <c r="I54" s="1"/>
  <c r="H53"/>
  <c r="H54" s="1"/>
  <c r="G53"/>
  <c r="F53"/>
  <c r="K51"/>
  <c r="J51"/>
  <c r="I51"/>
  <c r="H51"/>
  <c r="G51"/>
  <c r="K29"/>
  <c r="J29"/>
  <c r="J42" s="1"/>
  <c r="I29"/>
  <c r="H29"/>
  <c r="G29"/>
  <c r="I42"/>
  <c r="H42"/>
  <c r="K41"/>
  <c r="K42" s="1"/>
  <c r="J41"/>
  <c r="I41"/>
  <c r="H41"/>
  <c r="G41"/>
  <c r="C13" i="18"/>
  <c r="C12"/>
  <c r="F10"/>
  <c r="E10"/>
  <c r="D10"/>
  <c r="C10"/>
  <c r="K38" i="17"/>
  <c r="J38"/>
  <c r="G38"/>
  <c r="K37"/>
  <c r="J37"/>
  <c r="I37"/>
  <c r="I38" s="1"/>
  <c r="H37"/>
  <c r="H38" s="1"/>
  <c r="G37"/>
  <c r="K36"/>
  <c r="J36"/>
  <c r="I36"/>
  <c r="H36"/>
  <c r="G36"/>
  <c r="K35"/>
  <c r="J35"/>
  <c r="H35"/>
  <c r="G35"/>
  <c r="K34"/>
  <c r="J34"/>
  <c r="I34"/>
  <c r="I35" s="1"/>
  <c r="H34"/>
  <c r="G34"/>
  <c r="K33"/>
  <c r="J33"/>
  <c r="I33"/>
  <c r="H33"/>
  <c r="G33"/>
  <c r="K32"/>
  <c r="J32"/>
  <c r="I32"/>
  <c r="H32"/>
  <c r="G32"/>
  <c r="K31"/>
  <c r="J31"/>
  <c r="I31"/>
  <c r="H31"/>
  <c r="G31"/>
  <c r="K30"/>
  <c r="J30"/>
  <c r="I30"/>
  <c r="H30"/>
  <c r="G30"/>
  <c r="K29"/>
  <c r="J29"/>
  <c r="I29"/>
  <c r="H29"/>
  <c r="G29"/>
  <c r="K28"/>
  <c r="G28"/>
  <c r="H28" s="1"/>
  <c r="I28" s="1"/>
  <c r="J28" s="1"/>
  <c r="H27"/>
  <c r="I27" s="1"/>
  <c r="J27" s="1"/>
  <c r="K27" s="1"/>
  <c r="G27"/>
  <c r="K26"/>
  <c r="J26"/>
  <c r="I26"/>
  <c r="H26"/>
  <c r="G26"/>
  <c r="K25"/>
  <c r="J25"/>
  <c r="I25"/>
  <c r="H25"/>
  <c r="G25"/>
  <c r="H24"/>
  <c r="I24" s="1"/>
  <c r="J24" s="1"/>
  <c r="K24" s="1"/>
  <c r="G24"/>
  <c r="J22"/>
  <c r="K22" s="1"/>
  <c r="I22"/>
  <c r="H22"/>
  <c r="G22"/>
  <c r="K21"/>
  <c r="J21"/>
  <c r="I21"/>
  <c r="H21"/>
  <c r="G21"/>
  <c r="J20"/>
  <c r="I20"/>
  <c r="H20"/>
  <c r="K19"/>
  <c r="K20" s="1"/>
  <c r="J19"/>
  <c r="I19"/>
  <c r="H19"/>
  <c r="G19"/>
  <c r="G20" s="1"/>
  <c r="G18"/>
  <c r="H17"/>
  <c r="H18" s="1"/>
  <c r="G17"/>
  <c r="J56"/>
  <c r="I56"/>
  <c r="H56"/>
  <c r="K56" s="1"/>
  <c r="J55"/>
  <c r="I55"/>
  <c r="H55"/>
  <c r="K55" s="1"/>
  <c r="J54"/>
  <c r="I54"/>
  <c r="H54"/>
  <c r="K54" s="1"/>
  <c r="J53"/>
  <c r="I53"/>
  <c r="H53"/>
  <c r="K53" s="1"/>
  <c r="J52"/>
  <c r="I52"/>
  <c r="H52"/>
  <c r="K52" s="1"/>
  <c r="J51"/>
  <c r="I51"/>
  <c r="H51"/>
  <c r="K51" s="1"/>
  <c r="J50"/>
  <c r="I50"/>
  <c r="H50"/>
  <c r="K50" s="1"/>
  <c r="J49"/>
  <c r="I49"/>
  <c r="H49"/>
  <c r="K49" s="1"/>
  <c r="J48"/>
  <c r="I48"/>
  <c r="H48"/>
  <c r="K48" s="1"/>
  <c r="J47"/>
  <c r="I47"/>
  <c r="H47"/>
  <c r="K47" s="1"/>
  <c r="J46"/>
  <c r="I46"/>
  <c r="H46"/>
  <c r="K46" s="1"/>
  <c r="J45"/>
  <c r="I45"/>
  <c r="H45"/>
  <c r="K45" s="1"/>
  <c r="J44"/>
  <c r="I44"/>
  <c r="H44"/>
  <c r="K44" s="1"/>
  <c r="J43"/>
  <c r="I43"/>
  <c r="H43"/>
  <c r="K43" s="1"/>
  <c r="G44"/>
  <c r="G45"/>
  <c r="G46"/>
  <c r="G47"/>
  <c r="G48"/>
  <c r="G49"/>
  <c r="G50"/>
  <c r="G51"/>
  <c r="G52"/>
  <c r="G53"/>
  <c r="G54"/>
  <c r="G55"/>
  <c r="G56"/>
  <c r="G43"/>
  <c r="G58" i="15"/>
  <c r="H58" s="1"/>
  <c r="I58" s="1"/>
  <c r="J58" s="1"/>
  <c r="K58" s="1"/>
  <c r="H57"/>
  <c r="I57" s="1"/>
  <c r="J57" s="1"/>
  <c r="K57" s="1"/>
  <c r="G57"/>
  <c r="I56"/>
  <c r="J56" s="1"/>
  <c r="K56" s="1"/>
  <c r="H56"/>
  <c r="G56"/>
  <c r="I55"/>
  <c r="J55" s="1"/>
  <c r="K55" s="1"/>
  <c r="H55"/>
  <c r="G55"/>
  <c r="I52"/>
  <c r="J52" s="1"/>
  <c r="K52" s="1"/>
  <c r="H52"/>
  <c r="G52"/>
  <c r="G50"/>
  <c r="H50" s="1"/>
  <c r="I50" s="1"/>
  <c r="J50" s="1"/>
  <c r="K50" s="1"/>
  <c r="H49"/>
  <c r="I49" s="1"/>
  <c r="J49" s="1"/>
  <c r="K49" s="1"/>
  <c r="G49"/>
  <c r="I48"/>
  <c r="J48" s="1"/>
  <c r="K48" s="1"/>
  <c r="H48"/>
  <c r="G48"/>
  <c r="I47"/>
  <c r="J47" s="1"/>
  <c r="K47" s="1"/>
  <c r="H47"/>
  <c r="G47"/>
  <c r="G46"/>
  <c r="H46" s="1"/>
  <c r="I46" s="1"/>
  <c r="J46" s="1"/>
  <c r="K46" s="1"/>
  <c r="H45"/>
  <c r="I45" s="1"/>
  <c r="J45" s="1"/>
  <c r="K45" s="1"/>
  <c r="G45"/>
  <c r="I44"/>
  <c r="J44" s="1"/>
  <c r="K44" s="1"/>
  <c r="H44"/>
  <c r="G44"/>
  <c r="I43"/>
  <c r="J43" s="1"/>
  <c r="K43" s="1"/>
  <c r="H43"/>
  <c r="G43"/>
  <c r="I40"/>
  <c r="J40" s="1"/>
  <c r="K40" s="1"/>
  <c r="H40"/>
  <c r="G40"/>
  <c r="I39"/>
  <c r="J39" s="1"/>
  <c r="K39" s="1"/>
  <c r="H39"/>
  <c r="G39"/>
  <c r="G38"/>
  <c r="H38" s="1"/>
  <c r="I38" s="1"/>
  <c r="J38" s="1"/>
  <c r="K38" s="1"/>
  <c r="H37"/>
  <c r="I37" s="1"/>
  <c r="J37" s="1"/>
  <c r="K37" s="1"/>
  <c r="G37"/>
  <c r="I36"/>
  <c r="J36" s="1"/>
  <c r="K36" s="1"/>
  <c r="H36"/>
  <c r="G36"/>
  <c r="J35"/>
  <c r="K35" s="1"/>
  <c r="I35"/>
  <c r="H35"/>
  <c r="G35"/>
  <c r="G34"/>
  <c r="H34" s="1"/>
  <c r="I34" s="1"/>
  <c r="J34" s="1"/>
  <c r="K34" s="1"/>
  <c r="H33"/>
  <c r="I33" s="1"/>
  <c r="J33" s="1"/>
  <c r="K33" s="1"/>
  <c r="G33"/>
  <c r="I32"/>
  <c r="J32" s="1"/>
  <c r="K32" s="1"/>
  <c r="H32"/>
  <c r="G32"/>
  <c r="I31"/>
  <c r="J31" s="1"/>
  <c r="K31" s="1"/>
  <c r="H31"/>
  <c r="G31"/>
  <c r="G28"/>
  <c r="H28" s="1"/>
  <c r="I28" s="1"/>
  <c r="J28" s="1"/>
  <c r="K28" s="1"/>
  <c r="H27"/>
  <c r="I27" s="1"/>
  <c r="J27" s="1"/>
  <c r="K27" s="1"/>
  <c r="G27"/>
  <c r="I26"/>
  <c r="J26" s="1"/>
  <c r="K26" s="1"/>
  <c r="H26"/>
  <c r="G26"/>
  <c r="G25"/>
  <c r="H25" s="1"/>
  <c r="I25" s="1"/>
  <c r="J25" s="1"/>
  <c r="K25" s="1"/>
  <c r="G24"/>
  <c r="H24" s="1"/>
  <c r="I24" s="1"/>
  <c r="J24" s="1"/>
  <c r="K24" s="1"/>
  <c r="H23"/>
  <c r="I23" s="1"/>
  <c r="J23" s="1"/>
  <c r="K23" s="1"/>
  <c r="G23"/>
  <c r="I22"/>
  <c r="J22" s="1"/>
  <c r="K22" s="1"/>
  <c r="H22"/>
  <c r="G22"/>
  <c r="G21"/>
  <c r="H21" s="1"/>
  <c r="I21" s="1"/>
  <c r="J21" s="1"/>
  <c r="K21" s="1"/>
  <c r="G20"/>
  <c r="H20" s="1"/>
  <c r="I20" s="1"/>
  <c r="J20" s="1"/>
  <c r="K20" s="1"/>
  <c r="H19"/>
  <c r="I19" s="1"/>
  <c r="J19" s="1"/>
  <c r="K19" s="1"/>
  <c r="G19"/>
  <c r="I18"/>
  <c r="J18" s="1"/>
  <c r="K18" s="1"/>
  <c r="H18"/>
  <c r="G18"/>
  <c r="G17"/>
  <c r="H17" s="1"/>
  <c r="I17" s="1"/>
  <c r="J17" s="1"/>
  <c r="K17" s="1"/>
  <c r="G16"/>
  <c r="H16" s="1"/>
  <c r="I16" s="1"/>
  <c r="J16" s="1"/>
  <c r="K16" s="1"/>
  <c r="H15"/>
  <c r="I15" s="1"/>
  <c r="J15" s="1"/>
  <c r="K15" s="1"/>
  <c r="G15"/>
  <c r="H14"/>
  <c r="I14" s="1"/>
  <c r="J14" s="1"/>
  <c r="K14" s="1"/>
  <c r="G14"/>
  <c r="G13"/>
  <c r="H13" s="1"/>
  <c r="I13" s="1"/>
  <c r="J13" s="1"/>
  <c r="K13" s="1"/>
  <c r="G12"/>
  <c r="H12" s="1"/>
  <c r="I12" s="1"/>
  <c r="J12" s="1"/>
  <c r="K12" s="1"/>
  <c r="H11"/>
  <c r="I11" s="1"/>
  <c r="J11" s="1"/>
  <c r="K11" s="1"/>
  <c r="G11"/>
  <c r="I10"/>
  <c r="J10" s="1"/>
  <c r="K10" s="1"/>
  <c r="H10"/>
  <c r="G10"/>
  <c r="G9"/>
  <c r="H9" s="1"/>
  <c r="I9" s="1"/>
  <c r="J9" s="1"/>
  <c r="K9" s="1"/>
  <c r="H8"/>
  <c r="I8" s="1"/>
  <c r="J8" s="1"/>
  <c r="K8" s="1"/>
  <c r="G8"/>
  <c r="G68"/>
  <c r="G69"/>
  <c r="G70"/>
  <c r="G71"/>
  <c r="G72"/>
  <c r="G73"/>
  <c r="G74"/>
  <c r="G75"/>
  <c r="G76"/>
  <c r="G77"/>
  <c r="G78"/>
  <c r="G79"/>
  <c r="G80"/>
  <c r="G81"/>
  <c r="G82"/>
  <c r="G83"/>
  <c r="G84"/>
  <c r="G86"/>
  <c r="G87"/>
  <c r="G88"/>
  <c r="G89"/>
  <c r="G90"/>
  <c r="G92"/>
  <c r="G93"/>
  <c r="G94"/>
  <c r="G97"/>
  <c r="G98"/>
  <c r="G99"/>
  <c r="G100"/>
  <c r="G101"/>
  <c r="G102"/>
  <c r="G103"/>
  <c r="G107"/>
  <c r="G109"/>
  <c r="G67"/>
  <c r="D107"/>
  <c r="E107"/>
  <c r="F107"/>
  <c r="D109"/>
  <c r="E109"/>
  <c r="F109"/>
  <c r="F23"/>
  <c r="F79" s="1"/>
  <c r="E97"/>
  <c r="F97"/>
  <c r="E98"/>
  <c r="F98"/>
  <c r="E99"/>
  <c r="F99"/>
  <c r="E100"/>
  <c r="F100"/>
  <c r="E101"/>
  <c r="F101"/>
  <c r="E102"/>
  <c r="F102"/>
  <c r="E103"/>
  <c r="F103"/>
  <c r="D98"/>
  <c r="D99"/>
  <c r="D100"/>
  <c r="D101"/>
  <c r="D102"/>
  <c r="D103"/>
  <c r="D97"/>
  <c r="E86"/>
  <c r="F86"/>
  <c r="E87"/>
  <c r="F87"/>
  <c r="E88"/>
  <c r="F88"/>
  <c r="E89"/>
  <c r="F89"/>
  <c r="E90"/>
  <c r="F90"/>
  <c r="E92"/>
  <c r="F92"/>
  <c r="E93"/>
  <c r="F93"/>
  <c r="E94"/>
  <c r="F94"/>
  <c r="D87"/>
  <c r="D88"/>
  <c r="D89"/>
  <c r="D90"/>
  <c r="D92"/>
  <c r="D93"/>
  <c r="D94"/>
  <c r="D86"/>
  <c r="E84"/>
  <c r="E83"/>
  <c r="F83"/>
  <c r="E82"/>
  <c r="F82"/>
  <c r="E81"/>
  <c r="F81"/>
  <c r="E80"/>
  <c r="F80"/>
  <c r="E79"/>
  <c r="E78"/>
  <c r="F78"/>
  <c r="E77"/>
  <c r="F77"/>
  <c r="E76"/>
  <c r="F76"/>
  <c r="E75"/>
  <c r="F75"/>
  <c r="E74"/>
  <c r="F74"/>
  <c r="E73"/>
  <c r="E72"/>
  <c r="F72"/>
  <c r="E71"/>
  <c r="F71"/>
  <c r="E70"/>
  <c r="F70"/>
  <c r="E69"/>
  <c r="F69"/>
  <c r="D69"/>
  <c r="D70"/>
  <c r="D71"/>
  <c r="D72"/>
  <c r="D73"/>
  <c r="D74"/>
  <c r="D75"/>
  <c r="D76"/>
  <c r="D77"/>
  <c r="D78"/>
  <c r="D79"/>
  <c r="D80"/>
  <c r="D81"/>
  <c r="D82"/>
  <c r="D83"/>
  <c r="D84"/>
  <c r="E68"/>
  <c r="F68"/>
  <c r="D68"/>
  <c r="E67"/>
  <c r="F67"/>
  <c r="B67"/>
  <c r="D66"/>
  <c r="E66"/>
  <c r="F66"/>
  <c r="C66"/>
  <c r="E18" i="18" l="1"/>
  <c r="B19" s="1"/>
  <c r="B28" s="1"/>
  <c r="B34" s="1"/>
  <c r="B37" s="1"/>
  <c r="B67"/>
  <c r="F65"/>
  <c r="F66" s="1"/>
  <c r="J53" i="19"/>
  <c r="H41"/>
  <c r="I41" s="1"/>
  <c r="J41" s="1"/>
  <c r="J47" s="1"/>
  <c r="G47"/>
  <c r="F47"/>
  <c r="I47"/>
  <c r="I53"/>
  <c r="H53"/>
  <c r="G53"/>
  <c r="G42" i="15"/>
  <c r="I17" i="17"/>
  <c r="H47" i="19" l="1"/>
  <c r="I18" i="17"/>
  <c r="J17"/>
  <c r="E58"/>
  <c r="E57"/>
  <c r="F57"/>
  <c r="E56"/>
  <c r="F56"/>
  <c r="E55"/>
  <c r="F55"/>
  <c r="E54"/>
  <c r="F54"/>
  <c r="E53"/>
  <c r="F53"/>
  <c r="E52"/>
  <c r="F52"/>
  <c r="D52"/>
  <c r="D53"/>
  <c r="D54"/>
  <c r="D55"/>
  <c r="D56"/>
  <c r="D57"/>
  <c r="D58"/>
  <c r="E51"/>
  <c r="F51"/>
  <c r="D51"/>
  <c r="F50"/>
  <c r="E50"/>
  <c r="E49"/>
  <c r="F49"/>
  <c r="D49"/>
  <c r="H15"/>
  <c r="I15" s="1"/>
  <c r="J15" s="1"/>
  <c r="K15" s="1"/>
  <c r="G15"/>
  <c r="F47"/>
  <c r="F46"/>
  <c r="E48"/>
  <c r="F48"/>
  <c r="D48"/>
  <c r="E47"/>
  <c r="D47"/>
  <c r="E46"/>
  <c r="D46"/>
  <c r="E45"/>
  <c r="F45"/>
  <c r="D45"/>
  <c r="D44"/>
  <c r="E44"/>
  <c r="F44"/>
  <c r="C44"/>
  <c r="H8"/>
  <c r="I8" s="1"/>
  <c r="J8" s="1"/>
  <c r="K8" s="1"/>
  <c r="K10" s="1"/>
  <c r="G8"/>
  <c r="G10" s="1"/>
  <c r="F41"/>
  <c r="F43"/>
  <c r="C41"/>
  <c r="E41"/>
  <c r="D41"/>
  <c r="E43"/>
  <c r="D43"/>
  <c r="AE13" i="16"/>
  <c r="AE12"/>
  <c r="AE11"/>
  <c r="AE10"/>
  <c r="AE9"/>
  <c r="AE8"/>
  <c r="AE7"/>
  <c r="AE6"/>
  <c r="AE5"/>
  <c r="AE4"/>
  <c r="AE3"/>
  <c r="AE2"/>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3"/>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3"/>
  <c r="W4"/>
  <c r="W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3"/>
  <c r="Y4"/>
  <c r="Y5"/>
  <c r="Y6"/>
  <c r="Y7"/>
  <c r="Y8"/>
  <c r="Y9"/>
  <c r="Y10"/>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Y78"/>
  <c r="Y79"/>
  <c r="Y80"/>
  <c r="Y81"/>
  <c r="Y82"/>
  <c r="Y83"/>
  <c r="Y84"/>
  <c r="Y85"/>
  <c r="Y86"/>
  <c r="Y87"/>
  <c r="Y88"/>
  <c r="Y89"/>
  <c r="Y90"/>
  <c r="Y91"/>
  <c r="Y92"/>
  <c r="Y93"/>
  <c r="Y94"/>
  <c r="Y95"/>
  <c r="Y96"/>
  <c r="Y97"/>
  <c r="Y98"/>
  <c r="Y99"/>
  <c r="Y100"/>
  <c r="Y101"/>
  <c r="Y102"/>
  <c r="Y103"/>
  <c r="Y104"/>
  <c r="Y105"/>
  <c r="Y106"/>
  <c r="Y107"/>
  <c r="Y108"/>
  <c r="Y109"/>
  <c r="Y110"/>
  <c r="Y111"/>
  <c r="Y112"/>
  <c r="Y113"/>
  <c r="Y114"/>
  <c r="Y115"/>
  <c r="Y116"/>
  <c r="Y117"/>
  <c r="Y118"/>
  <c r="Y119"/>
  <c r="Y120"/>
  <c r="Y121"/>
  <c r="Y122"/>
  <c r="Y3"/>
  <c r="AA4"/>
  <c r="AA5"/>
  <c r="AA6"/>
  <c r="AA7"/>
  <c r="AA8"/>
  <c r="AA9"/>
  <c r="AA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3"/>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3"/>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3"/>
  <c r="K4"/>
  <c r="K5"/>
  <c r="K6"/>
  <c r="K7"/>
  <c r="K8"/>
  <c r="K9"/>
  <c r="K10"/>
  <c r="K11"/>
  <c r="K12"/>
  <c r="K13"/>
  <c r="K14"/>
  <c r="K15"/>
  <c r="K16"/>
  <c r="K17"/>
  <c r="K3"/>
  <c r="I4"/>
  <c r="I5"/>
  <c r="I6"/>
  <c r="I7"/>
  <c r="I8"/>
  <c r="I9"/>
  <c r="I10"/>
  <c r="I11"/>
  <c r="I12"/>
  <c r="I13"/>
  <c r="I14"/>
  <c r="I15"/>
  <c r="I16"/>
  <c r="I17"/>
  <c r="I18"/>
  <c r="I19"/>
  <c r="I20"/>
  <c r="I21"/>
  <c r="I3"/>
  <c r="G4"/>
  <c r="G5"/>
  <c r="G6"/>
  <c r="G7"/>
  <c r="G8"/>
  <c r="G9"/>
  <c r="G10"/>
  <c r="G11"/>
  <c r="G12"/>
  <c r="G13"/>
  <c r="G14"/>
  <c r="G15"/>
  <c r="G16"/>
  <c r="G17"/>
  <c r="G18"/>
  <c r="G19"/>
  <c r="G20"/>
  <c r="G21"/>
  <c r="G22"/>
  <c r="G23"/>
  <c r="G24"/>
  <c r="G25"/>
  <c r="G26"/>
  <c r="G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3"/>
  <c r="D64" i="19"/>
  <c r="E64"/>
  <c r="C64"/>
  <c r="D53"/>
  <c r="E53"/>
  <c r="C53"/>
  <c r="D47"/>
  <c r="E47"/>
  <c r="C47"/>
  <c r="D34"/>
  <c r="E34"/>
  <c r="C34"/>
  <c r="D31"/>
  <c r="E31"/>
  <c r="C31"/>
  <c r="D13"/>
  <c r="E13"/>
  <c r="C13"/>
  <c r="J10"/>
  <c r="I10"/>
  <c r="H10"/>
  <c r="G10"/>
  <c r="F10"/>
  <c r="J9"/>
  <c r="I9"/>
  <c r="H9"/>
  <c r="G9"/>
  <c r="F9"/>
  <c r="J6"/>
  <c r="I6"/>
  <c r="H6"/>
  <c r="G6"/>
  <c r="F6"/>
  <c r="B6"/>
  <c r="D37" i="17"/>
  <c r="E37"/>
  <c r="F37"/>
  <c r="C37"/>
  <c r="F25"/>
  <c r="E25"/>
  <c r="D25"/>
  <c r="C25"/>
  <c r="F18"/>
  <c r="E18"/>
  <c r="D18"/>
  <c r="C18"/>
  <c r="G16"/>
  <c r="H16" s="1"/>
  <c r="I16" s="1"/>
  <c r="J16" s="1"/>
  <c r="K16" s="1"/>
  <c r="F10"/>
  <c r="E10"/>
  <c r="D10"/>
  <c r="C10"/>
  <c r="F8"/>
  <c r="E8"/>
  <c r="E11" s="1"/>
  <c r="D8"/>
  <c r="D11" s="1"/>
  <c r="C8"/>
  <c r="D60" i="15"/>
  <c r="E60"/>
  <c r="C60"/>
  <c r="D53"/>
  <c r="E53"/>
  <c r="C53"/>
  <c r="D50"/>
  <c r="D51" s="1"/>
  <c r="D54" s="1"/>
  <c r="D61" s="1"/>
  <c r="E50"/>
  <c r="E51" s="1"/>
  <c r="E54" s="1"/>
  <c r="F50"/>
  <c r="F51" s="1"/>
  <c r="C50"/>
  <c r="C51" s="1"/>
  <c r="D39"/>
  <c r="E39"/>
  <c r="E41" s="1"/>
  <c r="F39"/>
  <c r="F41" s="1"/>
  <c r="C39"/>
  <c r="C41" s="1"/>
  <c r="D15"/>
  <c r="E15"/>
  <c r="E17" s="1"/>
  <c r="F15"/>
  <c r="F17" s="1"/>
  <c r="C15"/>
  <c r="C17" s="1"/>
  <c r="D28"/>
  <c r="E28"/>
  <c r="F28"/>
  <c r="C28"/>
  <c r="D23"/>
  <c r="E23"/>
  <c r="C23"/>
  <c r="F11"/>
  <c r="B6"/>
  <c r="G6"/>
  <c r="H6"/>
  <c r="I6"/>
  <c r="J6"/>
  <c r="K6"/>
  <c r="C11"/>
  <c r="D11"/>
  <c r="E11"/>
  <c r="E54" i="19" l="1"/>
  <c r="I57" i="17"/>
  <c r="H57"/>
  <c r="G57"/>
  <c r="J18"/>
  <c r="K17"/>
  <c r="K18" s="1"/>
  <c r="H10"/>
  <c r="I10"/>
  <c r="J10"/>
  <c r="F73" i="15"/>
  <c r="F84"/>
  <c r="C54" i="19"/>
  <c r="D54"/>
  <c r="C69"/>
  <c r="E36"/>
  <c r="D36"/>
  <c r="C36"/>
  <c r="G9" i="17"/>
  <c r="G11"/>
  <c r="G13" s="1"/>
  <c r="F9"/>
  <c r="F11"/>
  <c r="F13" s="1"/>
  <c r="E19"/>
  <c r="E13"/>
  <c r="E12"/>
  <c r="D19"/>
  <c r="D12"/>
  <c r="C11"/>
  <c r="D13" s="1"/>
  <c r="E9"/>
  <c r="D9"/>
  <c r="E61" i="15"/>
  <c r="C29"/>
  <c r="C63" s="1"/>
  <c r="F29"/>
  <c r="E29"/>
  <c r="D41"/>
  <c r="D17"/>
  <c r="C54"/>
  <c r="C61" s="1"/>
  <c r="F54" i="19" l="1"/>
  <c r="F56" s="1"/>
  <c r="G64"/>
  <c r="J64"/>
  <c r="F64"/>
  <c r="I64"/>
  <c r="H64"/>
  <c r="C66"/>
  <c r="C68" s="1"/>
  <c r="D67" s="1"/>
  <c r="K57" i="17"/>
  <c r="J57"/>
  <c r="C56" i="19"/>
  <c r="D56"/>
  <c r="H11" i="17"/>
  <c r="H12" s="1"/>
  <c r="F19"/>
  <c r="F20" s="1"/>
  <c r="E42" i="15"/>
  <c r="E62" s="1"/>
  <c r="E63"/>
  <c r="F42"/>
  <c r="D66" i="19"/>
  <c r="E66"/>
  <c r="E56"/>
  <c r="G12" i="17"/>
  <c r="H9"/>
  <c r="F12"/>
  <c r="I11"/>
  <c r="I9"/>
  <c r="E20"/>
  <c r="E26"/>
  <c r="E21"/>
  <c r="C19"/>
  <c r="D21" s="1"/>
  <c r="C12"/>
  <c r="D26"/>
  <c r="D20"/>
  <c r="D29" i="15"/>
  <c r="C42"/>
  <c r="C62" s="1"/>
  <c r="G54" i="19" l="1"/>
  <c r="F66"/>
  <c r="C14" i="18"/>
  <c r="D68" i="19"/>
  <c r="E67" s="1"/>
  <c r="E68" s="1"/>
  <c r="F67" s="1"/>
  <c r="F26" i="17"/>
  <c r="F29" s="1"/>
  <c r="F21"/>
  <c r="D42" i="15"/>
  <c r="D63"/>
  <c r="H13" i="17"/>
  <c r="J11"/>
  <c r="J9"/>
  <c r="F30"/>
  <c r="E30"/>
  <c r="E31" s="1"/>
  <c r="E32" s="1"/>
  <c r="E34" s="1"/>
  <c r="E38" s="1"/>
  <c r="E29"/>
  <c r="I13"/>
  <c r="I12"/>
  <c r="D30"/>
  <c r="D29"/>
  <c r="C26"/>
  <c r="C20"/>
  <c r="F68" i="19" l="1"/>
  <c r="G56"/>
  <c r="G66"/>
  <c r="H54"/>
  <c r="D69"/>
  <c r="D62" i="15"/>
  <c r="E69" i="19"/>
  <c r="K11" i="17"/>
  <c r="K9"/>
  <c r="C30"/>
  <c r="C29"/>
  <c r="J12"/>
  <c r="J13"/>
  <c r="E35"/>
  <c r="D31"/>
  <c r="D32" s="1"/>
  <c r="D34" s="1"/>
  <c r="D38" s="1"/>
  <c r="F31"/>
  <c r="F32" s="1"/>
  <c r="F58" s="1"/>
  <c r="I54" i="19" l="1"/>
  <c r="J54"/>
  <c r="H56"/>
  <c r="H66"/>
  <c r="G67"/>
  <c r="H58" i="17"/>
  <c r="G58"/>
  <c r="F34"/>
  <c r="F38" s="1"/>
  <c r="C31"/>
  <c r="C32" s="1"/>
  <c r="C34" s="1"/>
  <c r="C38" s="1"/>
  <c r="K13"/>
  <c r="K12"/>
  <c r="D35"/>
  <c r="E36"/>
  <c r="I56" i="19" l="1"/>
  <c r="I66"/>
  <c r="J56"/>
  <c r="J66"/>
  <c r="G68"/>
  <c r="H67" s="1"/>
  <c r="I58" i="17"/>
  <c r="J58" s="1"/>
  <c r="K58" s="1"/>
  <c r="D36"/>
  <c r="F35"/>
  <c r="F36"/>
  <c r="C35"/>
  <c r="H68" i="19" l="1"/>
  <c r="I67" s="1"/>
  <c r="I68" s="1"/>
  <c r="J67" s="1"/>
  <c r="J68" s="1"/>
  <c r="G60" i="15" l="1"/>
  <c r="G61" s="1"/>
  <c r="G62" s="1"/>
  <c r="I60" l="1"/>
  <c r="I61" s="1"/>
  <c r="I62" s="1"/>
  <c r="H60"/>
  <c r="H61" s="1"/>
  <c r="H62" s="1"/>
  <c r="J60" l="1"/>
  <c r="J61" s="1"/>
  <c r="J62" s="1"/>
  <c r="K60"/>
  <c r="K61" s="1"/>
  <c r="K62" s="1"/>
</calcChain>
</file>

<file path=xl/comments1.xml><?xml version="1.0" encoding="utf-8"?>
<comments xmlns="http://schemas.openxmlformats.org/spreadsheetml/2006/main">
  <authors>
    <author>Acer</author>
  </authors>
  <commentList>
    <comment ref="B11" authorId="0">
      <text>
        <r>
          <rPr>
            <b/>
            <sz val="9"/>
            <color indexed="81"/>
            <rFont val="Tahoma"/>
            <family val="2"/>
          </rPr>
          <t>Acer:</t>
        </r>
        <r>
          <rPr>
            <sz val="9"/>
            <color indexed="81"/>
            <rFont val="Tahoma"/>
            <family val="2"/>
          </rPr>
          <t xml:space="preserve">
(Sales/Revenues -   Cost of Sales/Revenues )
</t>
        </r>
      </text>
    </comment>
  </commentList>
</comments>
</file>

<file path=xl/sharedStrings.xml><?xml version="1.0" encoding="utf-8"?>
<sst xmlns="http://schemas.openxmlformats.org/spreadsheetml/2006/main" count="408" uniqueCount="264">
  <si>
    <t>Total Assets</t>
  </si>
  <si>
    <t>Minority Interests</t>
  </si>
  <si>
    <t xml:space="preserve"> </t>
  </si>
  <si>
    <t>-</t>
  </si>
  <si>
    <t xml:space="preserve">Investments </t>
  </si>
  <si>
    <t xml:space="preserve">Accounts Payable-Trade </t>
  </si>
  <si>
    <t xml:space="preserve">Due to Related Co - CP </t>
  </si>
  <si>
    <t xml:space="preserve">Accounts Pay-Other </t>
  </si>
  <si>
    <t xml:space="preserve">Dividends Payable </t>
  </si>
  <si>
    <t xml:space="preserve">Billings in Excess of Costs </t>
  </si>
  <si>
    <t xml:space="preserve">Zakat </t>
  </si>
  <si>
    <t xml:space="preserve">Acr'd Post Rtrmt Benfts-LTP </t>
  </si>
  <si>
    <t xml:space="preserve">Common Reserve </t>
  </si>
  <si>
    <t xml:space="preserve">Paid In Capital </t>
  </si>
  <si>
    <t xml:space="preserve">Statutory Reserve </t>
  </si>
  <si>
    <t xml:space="preserve">Minority Interest </t>
  </si>
  <si>
    <t xml:space="preserve">Retained Earnings </t>
  </si>
  <si>
    <t>Working Capital</t>
  </si>
  <si>
    <t xml:space="preserve">  Sales/Revenues </t>
  </si>
  <si>
    <t xml:space="preserve">  Cost of Sales/Revenues </t>
  </si>
  <si>
    <t xml:space="preserve">  Selling Expense </t>
  </si>
  <si>
    <t xml:space="preserve">  General &amp; Admin Expense </t>
  </si>
  <si>
    <t xml:space="preserve">  Depreciation </t>
  </si>
  <si>
    <t xml:space="preserve">  Personnel Expense </t>
  </si>
  <si>
    <t xml:space="preserve">  Other Income </t>
  </si>
  <si>
    <t xml:space="preserve">  Other Expense  (-) </t>
  </si>
  <si>
    <t xml:space="preserve">  Gain(Loss) on Asset Sale </t>
  </si>
  <si>
    <t xml:space="preserve">  Zakat </t>
  </si>
  <si>
    <t xml:space="preserve">  Minority Interest </t>
  </si>
  <si>
    <t>NET PROFIT</t>
  </si>
  <si>
    <t>EBIT</t>
  </si>
  <si>
    <t>EBITDA</t>
  </si>
  <si>
    <t>EBIDA</t>
  </si>
  <si>
    <t xml:space="preserve">  Chg in Accts/Notes Rec-Trade </t>
  </si>
  <si>
    <t xml:space="preserve">  Chg in Due from Related Co - CP </t>
  </si>
  <si>
    <t xml:space="preserve">  Chg in Bad Debt Reserve (-) </t>
  </si>
  <si>
    <t>Cash Received From Customers</t>
  </si>
  <si>
    <t xml:space="preserve">  Chg in Raw Materials </t>
  </si>
  <si>
    <t xml:space="preserve">  Chg in Work in Process </t>
  </si>
  <si>
    <t xml:space="preserve">  Chg in Finished Goods </t>
  </si>
  <si>
    <t xml:space="preserve">  Chg in Other Inventory </t>
  </si>
  <si>
    <t xml:space="preserve">  Chg in Slow Motion Inventory </t>
  </si>
  <si>
    <t xml:space="preserve">  Chg in Accounts Payable-Trade </t>
  </si>
  <si>
    <t xml:space="preserve">  Chg in Due to Related Co - CP </t>
  </si>
  <si>
    <t xml:space="preserve">  Chg in Accounts Pay-Other </t>
  </si>
  <si>
    <t xml:space="preserve">  Chg in Prepaids/Deferreds - CP </t>
  </si>
  <si>
    <t xml:space="preserve">  Chg in Prepaids/Deferreds - LTP </t>
  </si>
  <si>
    <t xml:space="preserve">  Chg in Costs in Excess of Billings </t>
  </si>
  <si>
    <t xml:space="preserve">  Chg in Billings in Excess of Costs </t>
  </si>
  <si>
    <t xml:space="preserve">  Chg in Acr'd Post Rtrmt Benfts-LTP </t>
  </si>
  <si>
    <t>Cash Paid To Suppliers  and Employees</t>
  </si>
  <si>
    <t xml:space="preserve">  Chg in Zakat </t>
  </si>
  <si>
    <t>Income Taxes Paid</t>
  </si>
  <si>
    <t xml:space="preserve">  Chg in Construction in Progress </t>
  </si>
  <si>
    <t xml:space="preserve">  Chg in Buildings &amp; Improvements </t>
  </si>
  <si>
    <t xml:space="preserve">  Chg in Machinery &amp; Equipment </t>
  </si>
  <si>
    <t xml:space="preserve">  Chg in Furniture &amp; Fixtures </t>
  </si>
  <si>
    <t xml:space="preserve">  Chg in Transportation Equipment </t>
  </si>
  <si>
    <t xml:space="preserve">  Chg in Accumulated Deprec (-) </t>
  </si>
  <si>
    <t xml:space="preserve">  Chg in Murabaha </t>
  </si>
  <si>
    <t xml:space="preserve">  Chg in Investments </t>
  </si>
  <si>
    <t xml:space="preserve">  Chg in Accts/Notes Rec-Other </t>
  </si>
  <si>
    <t xml:space="preserve">  Chg in Non-Op Current Assets </t>
  </si>
  <si>
    <t xml:space="preserve">  Chg in Assets Available for Sale </t>
  </si>
  <si>
    <t xml:space="preserve">  Withdrawals </t>
  </si>
  <si>
    <t xml:space="preserve">  Chg in Dividends Payable </t>
  </si>
  <si>
    <t xml:space="preserve">  Chg in Common Reserve </t>
  </si>
  <si>
    <t xml:space="preserve">  Chg in Statutory Reserve </t>
  </si>
  <si>
    <t xml:space="preserve">  Chg in Minority Interest </t>
  </si>
  <si>
    <t>Add:</t>
  </si>
  <si>
    <t>Gross Margin</t>
  </si>
  <si>
    <t>Net Margin</t>
  </si>
  <si>
    <t>Balance Sheet Assumptions</t>
  </si>
  <si>
    <t>Net debt</t>
  </si>
  <si>
    <t>Total Liab. &amp; Shareholders' Equity</t>
  </si>
  <si>
    <t>Total Shareholders' Equity</t>
  </si>
  <si>
    <t>Total Liabilities</t>
  </si>
  <si>
    <t>Total Long-term Liabilities</t>
  </si>
  <si>
    <t>Total Current Liabilities</t>
  </si>
  <si>
    <t>Total Short Term Debt</t>
  </si>
  <si>
    <t>LIABILITIES &amp; SHAREHOLDER'S EQUITY</t>
  </si>
  <si>
    <t>Total Long Term Assets</t>
  </si>
  <si>
    <t xml:space="preserve"> - Accumulated Depreciation</t>
  </si>
  <si>
    <t xml:space="preserve"> - Furniture &amp; Equipment</t>
  </si>
  <si>
    <t>Long Term Assets</t>
  </si>
  <si>
    <t>Total Current Assets</t>
  </si>
  <si>
    <t>Inventories</t>
  </si>
  <si>
    <t>Current receivables</t>
  </si>
  <si>
    <t>Other receivables</t>
  </si>
  <si>
    <t>Net Receivables</t>
  </si>
  <si>
    <t>Cash &amp; Cash Equivalents</t>
  </si>
  <si>
    <t xml:space="preserve"> - Cash</t>
  </si>
  <si>
    <t>Assets</t>
  </si>
  <si>
    <t>Particulars</t>
  </si>
  <si>
    <t xml:space="preserve"> - Time Deposits </t>
  </si>
  <si>
    <t xml:space="preserve"> - Murabaha </t>
  </si>
  <si>
    <t xml:space="preserve">  - Accts/Notes Rec-Trade </t>
  </si>
  <si>
    <t xml:space="preserve"> - Bad Debt Reserve (-) </t>
  </si>
  <si>
    <t xml:space="preserve"> - Accts/Notes Rec-Other </t>
  </si>
  <si>
    <t xml:space="preserve">  - Raw Materials </t>
  </si>
  <si>
    <t xml:space="preserve"> -  Work in Process </t>
  </si>
  <si>
    <t xml:space="preserve"> -  Finished Goods </t>
  </si>
  <si>
    <t xml:space="preserve"> - Other Inventory </t>
  </si>
  <si>
    <t xml:space="preserve"> - Slow Motion Inventory </t>
  </si>
  <si>
    <t>Other Current Assets</t>
  </si>
  <si>
    <t xml:space="preserve"> - Costs in Excess of Billings </t>
  </si>
  <si>
    <t xml:space="preserve"> -Prepaids/Deferreds - CP </t>
  </si>
  <si>
    <t xml:space="preserve"> -Non-Op Current Assets </t>
  </si>
  <si>
    <t xml:space="preserve"> - Land</t>
  </si>
  <si>
    <t>Gross Fixed Assets</t>
  </si>
  <si>
    <t xml:space="preserve">  -Transportation Equipment </t>
  </si>
  <si>
    <t xml:space="preserve">  -Machinery &amp; Equipment </t>
  </si>
  <si>
    <t xml:space="preserve">  -Buildings &amp; Improvements </t>
  </si>
  <si>
    <t xml:space="preserve">  -Construction in Progress </t>
  </si>
  <si>
    <t xml:space="preserve">  -Assets Available for Sale </t>
  </si>
  <si>
    <t xml:space="preserve"> - Prepaids/Deferreds - LTP </t>
  </si>
  <si>
    <t>Months</t>
  </si>
  <si>
    <t>Gross Revenue</t>
  </si>
  <si>
    <t>yoy change</t>
  </si>
  <si>
    <t>Total Cost of Goods Sold</t>
  </si>
  <si>
    <t>Gross Profit</t>
  </si>
  <si>
    <t>Total Operating Expense</t>
  </si>
  <si>
    <t>Net Operating Profit</t>
  </si>
  <si>
    <t>EBIT Margin</t>
  </si>
  <si>
    <t>Total Other Income(EXP)</t>
  </si>
  <si>
    <t xml:space="preserve">PROFIT BEFORE TAXES/  Zakat </t>
  </si>
  <si>
    <t>Net Profit After Taxes or Zakat &amp; Minority Interests</t>
  </si>
  <si>
    <t>Total dividend declared</t>
  </si>
  <si>
    <t>Retained earnings</t>
  </si>
  <si>
    <t>Profit &amp; Loss Assumptions</t>
  </si>
  <si>
    <t>Revenue growth</t>
  </si>
  <si>
    <t>COS (% on gross sales)</t>
  </si>
  <si>
    <t>Last Financial Year End</t>
  </si>
  <si>
    <t>Valuation Date</t>
  </si>
  <si>
    <t>Years to forecast</t>
  </si>
  <si>
    <t>DCF Valuation Model</t>
  </si>
  <si>
    <t>2013E</t>
  </si>
  <si>
    <t>2014E</t>
  </si>
  <si>
    <t>2015E</t>
  </si>
  <si>
    <t>2016E</t>
  </si>
  <si>
    <t>2017E</t>
  </si>
  <si>
    <t>(In SAR '000)</t>
  </si>
  <si>
    <t>Pre-tax operating profit</t>
  </si>
  <si>
    <t>Tax rate</t>
  </si>
  <si>
    <t>Post-tax operating profit</t>
  </si>
  <si>
    <t>Add: Depreciation &amp; amortisation</t>
  </si>
  <si>
    <t>Sensitivity Table</t>
  </si>
  <si>
    <t>Less: Change in working capital</t>
  </si>
  <si>
    <t>Less: Capex</t>
  </si>
  <si>
    <t>Terminal Growth Rate (%)</t>
  </si>
  <si>
    <t>Free Cash Flow to Firm</t>
  </si>
  <si>
    <t>Discount factor</t>
  </si>
  <si>
    <t>Cost of 
Equity (%)</t>
  </si>
  <si>
    <t>PV of Free Cash Flows</t>
  </si>
  <si>
    <t>Sum of present values of FCFs</t>
  </si>
  <si>
    <t>Terminal value as per DCF</t>
  </si>
  <si>
    <t>Terminal value as per multiples</t>
  </si>
  <si>
    <t>Long term growth rate</t>
  </si>
  <si>
    <t>EV/EBITDA</t>
  </si>
  <si>
    <t>Free cash flow (t+1)</t>
  </si>
  <si>
    <t>EV at 2017</t>
  </si>
  <si>
    <t>Terminal value</t>
  </si>
  <si>
    <t>Present value of terminal value</t>
  </si>
  <si>
    <t>Value of the equity</t>
  </si>
  <si>
    <t>Terminal EV/EBITDA Multiple (x)</t>
  </si>
  <si>
    <t>Appraised value of the enterprise</t>
  </si>
  <si>
    <t>Value of associates and non-core assets</t>
  </si>
  <si>
    <t>Value of debt</t>
  </si>
  <si>
    <t>Less:</t>
  </si>
  <si>
    <t>Value of minorities</t>
  </si>
  <si>
    <t>Appraised value of the equity</t>
  </si>
  <si>
    <t>Minorities</t>
  </si>
  <si>
    <t>Number of shares ('000)</t>
  </si>
  <si>
    <t>Appraised share price</t>
  </si>
  <si>
    <t>Cost of capital assumptions</t>
  </si>
  <si>
    <t>Risk-free Rate</t>
  </si>
  <si>
    <t>Method</t>
  </si>
  <si>
    <t>Valuation</t>
  </si>
  <si>
    <t>Weight</t>
  </si>
  <si>
    <t>ARC Target</t>
  </si>
  <si>
    <t>Country Risk Premium</t>
  </si>
  <si>
    <t>FCFF plus terminal growth</t>
  </si>
  <si>
    <t>Equity Market Risk Premium</t>
  </si>
  <si>
    <t>FCFF plus multiples</t>
  </si>
  <si>
    <t>Adjusted Beta</t>
  </si>
  <si>
    <t>DDM</t>
  </si>
  <si>
    <t>Cost of Equity</t>
  </si>
  <si>
    <t>Relative</t>
  </si>
  <si>
    <t>Pre-tax Cost of Debt</t>
  </si>
  <si>
    <t>ARC PT</t>
  </si>
  <si>
    <t xml:space="preserve">Effective Tax rate </t>
  </si>
  <si>
    <t>After-tax Cost of Debt</t>
  </si>
  <si>
    <t>Target D/(D+E)</t>
  </si>
  <si>
    <t>WACC</t>
  </si>
  <si>
    <t>US 10 yr average rate</t>
  </si>
  <si>
    <t>As of 1st of every month</t>
  </si>
  <si>
    <t>Country default Premium</t>
  </si>
  <si>
    <t>As of January, same year</t>
  </si>
  <si>
    <t>US Market Equity Premium</t>
  </si>
  <si>
    <t>As of January, same year (historical)</t>
  </si>
  <si>
    <t>Additional Risk Premium</t>
  </si>
  <si>
    <t>Assumption</t>
  </si>
  <si>
    <t>Equity to Debt market Volatility</t>
  </si>
  <si>
    <t>Assumption based on golbal markets</t>
  </si>
  <si>
    <t>DDM Model</t>
  </si>
  <si>
    <t>(In SAR)</t>
  </si>
  <si>
    <t>DPS</t>
  </si>
  <si>
    <t>PV of DPS</t>
  </si>
  <si>
    <t>Sum of present values of DPS</t>
  </si>
  <si>
    <t>Cash Flow Statement (In SAR '000)</t>
  </si>
  <si>
    <t>OPERATING ACTIVITIES</t>
  </si>
  <si>
    <t>Cash Flows from Operating Activities</t>
  </si>
  <si>
    <t>INVESTING ACTIVITIES</t>
  </si>
  <si>
    <t>Cash Flows from Investing Activities</t>
  </si>
  <si>
    <t>Net Operating Cash Flow</t>
  </si>
  <si>
    <t>FINANCING ACTIVITIES</t>
  </si>
  <si>
    <t>Cash Flows from Financing Activities</t>
  </si>
  <si>
    <t>Net change cash &amp; cash equivalents</t>
  </si>
  <si>
    <t>Cash &amp; cash equiv at start of period</t>
  </si>
  <si>
    <t>Cash &amp; cash equiv at period end</t>
  </si>
  <si>
    <t>Check</t>
  </si>
  <si>
    <t xml:space="preserve">Other Income </t>
  </si>
  <si>
    <t>Chg in Net Fixed Assets</t>
  </si>
  <si>
    <t>Chg in Investments</t>
  </si>
  <si>
    <t>saudi stock
 exchange</t>
  </si>
  <si>
    <t xml:space="preserve">Qassim
 Cement </t>
  </si>
  <si>
    <t>City Cement Co</t>
  </si>
  <si>
    <t>Arabian Cement Co</t>
  </si>
  <si>
    <t>Yanbu 
Cement Co.</t>
  </si>
  <si>
    <t>Tabuk 
Cement Co.</t>
  </si>
  <si>
    <t>Date</t>
  </si>
  <si>
    <t>Last(Q.TASI)</t>
  </si>
  <si>
    <t>Returns</t>
  </si>
  <si>
    <t>Last(Q3040.SE)</t>
  </si>
  <si>
    <t>Last(Q3002.SE)</t>
  </si>
  <si>
    <t>Last(Q3003.SE)</t>
  </si>
  <si>
    <t>Last(Q3004.SE)</t>
  </si>
  <si>
    <t>Last(Q3010.SE)</t>
  </si>
  <si>
    <t>Last(Q3020.SE)</t>
  </si>
  <si>
    <t>Last(Q3030.SE)</t>
  </si>
  <si>
    <t>Last(Q3050.SE)</t>
  </si>
  <si>
    <t>Last(Q3060.SE)</t>
  </si>
  <si>
    <t>Last(Q3080.SE)</t>
  </si>
  <si>
    <t>Last(Q3090.SE)</t>
  </si>
  <si>
    <t>Last(Q3091.SE)</t>
  </si>
  <si>
    <t>Yamama Cement</t>
  </si>
  <si>
    <t xml:space="preserve">Northern Region Co </t>
  </si>
  <si>
    <t>Southern Province Co</t>
  </si>
  <si>
    <t>Eastern Province Co.</t>
  </si>
  <si>
    <t>AL JOUF CEMENT CO</t>
  </si>
  <si>
    <t>Saudi Cement CO</t>
  </si>
  <si>
    <t xml:space="preserve">Qassim Cement </t>
  </si>
  <si>
    <t>Najran Cement
 Co</t>
  </si>
  <si>
    <t>Najran Cement</t>
  </si>
  <si>
    <t>Yanbu Cement Co.</t>
  </si>
  <si>
    <t>Tabuk Cement Co.</t>
  </si>
  <si>
    <t>β</t>
  </si>
  <si>
    <t>COMPANY</t>
  </si>
  <si>
    <t>E14</t>
  </si>
  <si>
    <t>E15</t>
  </si>
  <si>
    <t>E16</t>
  </si>
  <si>
    <t>E17</t>
  </si>
  <si>
    <t>E18</t>
  </si>
  <si>
    <t>We have analysed various factors in relation to the enterprise and the manner of its operations. The proposed invesment pattern in the project was examined with a considerable amount of details. On the basis of the overal examination, it can be well concluded with a degree of certainty that the mangement must continue with the operations of this project and must look up to the establishment of the enterprise. The reason for the same being that the NPV of the project as has been examined from the overall analysis and the financial considerations seem to be positive under all the possible options. Hence, since the NPV is positive the project is expected to create shareholder's wealth.</t>
  </si>
</sst>
</file>

<file path=xl/styles.xml><?xml version="1.0" encoding="utf-8"?>
<styleSheet xmlns="http://schemas.openxmlformats.org/spreadsheetml/2006/main">
  <numFmts count="36">
    <numFmt numFmtId="164" formatCode="&quot;$&quot;#,##0_);[Red]\(&quot;$&quot;#,##0\)"/>
    <numFmt numFmtId="165" formatCode="_(* #,##0_);_(* \(#,##0\);_(* &quot;-&quot;_);_(@_)"/>
    <numFmt numFmtId="166" formatCode="_(&quot;$&quot;* #,##0.00_);_(&quot;$&quot;* \(#,##0.00\);_(&quot;$&quot;* &quot;-&quot;??_);_(@_)"/>
    <numFmt numFmtId="167" formatCode="_(* #,##0.00_);_(* \(#,##0.00\);_(* &quot;-&quot;??_);_(@_)"/>
    <numFmt numFmtId="168" formatCode="0.0%"/>
    <numFmt numFmtId="169" formatCode="#,##0.0000000;[Red]\-#,##0.0000000"/>
    <numFmt numFmtId="170" formatCode="#,##0.00000"/>
    <numFmt numFmtId="171" formatCode="0\p"/>
    <numFmt numFmtId="172" formatCode="&quot;CZK&quot;####"/>
    <numFmt numFmtId="173" formatCode="0.000000000"/>
    <numFmt numFmtId="174" formatCode="_(* #,##0_);_(* \(#,##0\);_(* &quot;&quot;_);_(@_)"/>
    <numFmt numFmtId="175" formatCode="_-* #,##0.00_-;\-* #,##0.00_-;_-* &quot;-&quot;??_-;_-@_-"/>
    <numFmt numFmtId="176" formatCode="_(* #,##0_);_(* \(#,##0\);_(* &quot;-&quot;??_);_(@_)"/>
    <numFmt numFmtId="177" formatCode="_(* #,##0.0_);_(* \(#,##0.0\);_(* &quot;-&quot;??_);_(@_)"/>
    <numFmt numFmtId="178" formatCode="[$-409]mmm\-yy;@"/>
    <numFmt numFmtId="179" formatCode="#,###;\(#,###\]\)"/>
    <numFmt numFmtId="180" formatCode="#,##0.000"/>
    <numFmt numFmtId="181" formatCode="#,##0.0000\ ;\(#,##0.0000\)"/>
    <numFmt numFmtId="182" formatCode="0.00\x"/>
    <numFmt numFmtId="183" formatCode="0.00000000"/>
    <numFmt numFmtId="184" formatCode="#,##0.0_);\(#,##0.0\)"/>
    <numFmt numFmtId="185" formatCode="mmm"/>
    <numFmt numFmtId="186" formatCode="#,##0.0;[Red]\-#,##0.0"/>
    <numFmt numFmtId="187" formatCode="0.000000%"/>
    <numFmt numFmtId="188" formatCode="0_ ;\-0\ "/>
    <numFmt numFmtId="189" formatCode="#,##0.000\ ;\(#,##0.000\)"/>
    <numFmt numFmtId="190" formatCode="#,##0.00\ ;\(#,##0.00\)"/>
    <numFmt numFmtId="191" formatCode="_-&quot;£&quot;* #,##0_-;\-&quot;£&quot;* #,##0_-;_-&quot;£&quot;* &quot;-&quot;??_-;_-@_-"/>
    <numFmt numFmtId="192" formatCode="yyyy"/>
    <numFmt numFmtId="193" formatCode="[$-409]d\-mmm\-yy;@"/>
    <numFmt numFmtId="194" formatCode="_-* #,##0_-;\-* #,##0_-;_-* &quot;-&quot;??_-;_-@_-"/>
    <numFmt numFmtId="195" formatCode="0.0"/>
    <numFmt numFmtId="196" formatCode="0.0%;[Red]\(0.0%\)"/>
    <numFmt numFmtId="197" formatCode="0.0_);[Red]\(0.0\)"/>
    <numFmt numFmtId="198" formatCode="0.00%;[Red]\(0.00%\)"/>
    <numFmt numFmtId="199" formatCode="0.00_);[Red]\(0.00\)"/>
  </numFmts>
  <fonts count="58">
    <font>
      <sz val="11"/>
      <color theme="1"/>
      <name val="Calibri"/>
      <family val="2"/>
      <scheme val="minor"/>
    </font>
    <font>
      <sz val="11"/>
      <color theme="1"/>
      <name val="Calibri"/>
      <family val="2"/>
      <scheme val="minor"/>
    </font>
    <font>
      <sz val="8.5"/>
      <name val="Arial"/>
      <family val="2"/>
    </font>
    <font>
      <b/>
      <sz val="8.5"/>
      <name val="Arial"/>
      <family val="2"/>
    </font>
    <font>
      <sz val="10"/>
      <name val="Times New Roman"/>
      <family val="1"/>
    </font>
    <font>
      <b/>
      <sz val="8.5"/>
      <color indexed="9"/>
      <name val="Arial"/>
      <family val="2"/>
    </font>
    <font>
      <sz val="10"/>
      <name val="Arial"/>
      <family val="2"/>
    </font>
    <font>
      <b/>
      <sz val="8"/>
      <color rgb="FF000000"/>
      <name val="Arial"/>
      <family val="2"/>
    </font>
    <font>
      <sz val="8"/>
      <color rgb="FF000000"/>
      <name val="Arial"/>
      <family val="2"/>
    </font>
    <font>
      <sz val="10"/>
      <name val="Arial"/>
      <family val="2"/>
    </font>
    <font>
      <sz val="8.5"/>
      <color rgb="FF0000FF"/>
      <name val="Arial"/>
      <family val="2"/>
    </font>
    <font>
      <sz val="8.5"/>
      <color indexed="12"/>
      <name val="Arial"/>
      <family val="2"/>
    </font>
    <font>
      <sz val="8.5"/>
      <color indexed="8"/>
      <name val="Arial"/>
      <family val="2"/>
    </font>
    <font>
      <sz val="8.5"/>
      <color indexed="60"/>
      <name val="Arial"/>
      <family val="2"/>
    </font>
    <font>
      <b/>
      <sz val="8.5"/>
      <color indexed="60"/>
      <name val="Arial"/>
      <family val="2"/>
    </font>
    <font>
      <b/>
      <sz val="8.5"/>
      <color indexed="8"/>
      <name val="Arial"/>
      <family val="2"/>
    </font>
    <font>
      <u/>
      <sz val="8.5"/>
      <name val="Arial"/>
      <family val="2"/>
    </font>
    <font>
      <sz val="8.5"/>
      <color indexed="9"/>
      <name val="Arial"/>
      <family val="2"/>
    </font>
    <font>
      <sz val="10"/>
      <name val="Courier"/>
      <family val="3"/>
    </font>
    <font>
      <sz val="12"/>
      <name val="Helv"/>
      <family val="2"/>
    </font>
    <font>
      <b/>
      <sz val="10"/>
      <name val="Helvetica"/>
      <family val="2"/>
    </font>
    <font>
      <sz val="8"/>
      <color indexed="12"/>
      <name val="Arial"/>
      <family val="2"/>
    </font>
    <font>
      <b/>
      <sz val="6"/>
      <name val="Arial"/>
      <family val="2"/>
    </font>
    <font>
      <b/>
      <sz val="8"/>
      <name val="Arial"/>
      <family val="2"/>
    </font>
    <font>
      <i/>
      <sz val="8"/>
      <name val="Arial"/>
      <family val="2"/>
    </font>
    <font>
      <sz val="8"/>
      <name val="Arial"/>
      <family val="2"/>
    </font>
    <font>
      <sz val="8"/>
      <name val="Times New Roman"/>
      <family val="1"/>
    </font>
    <font>
      <b/>
      <sz val="10"/>
      <color indexed="8"/>
      <name val="Times New Roman"/>
      <family val="1"/>
    </font>
    <font>
      <sz val="10"/>
      <name val="MS Sans Serif"/>
      <family val="2"/>
    </font>
    <font>
      <b/>
      <sz val="10"/>
      <color indexed="17"/>
      <name val="Times New Roman"/>
      <family val="1"/>
    </font>
    <font>
      <sz val="10"/>
      <color rgb="FF000000"/>
      <name val="Arial"/>
      <family val="2"/>
    </font>
    <font>
      <sz val="8"/>
      <color indexed="12"/>
      <name val="Times New Roman"/>
      <family val="1"/>
    </font>
    <font>
      <b/>
      <sz val="8"/>
      <color indexed="8"/>
      <name val="Times New Roman"/>
      <family val="1"/>
    </font>
    <font>
      <sz val="10"/>
      <name val="Tms Rmn"/>
    </font>
    <font>
      <sz val="10"/>
      <color indexed="8"/>
      <name val="Times New Roman"/>
      <family val="1"/>
    </font>
    <font>
      <sz val="12"/>
      <name val="Helv"/>
    </font>
    <font>
      <b/>
      <sz val="10"/>
      <name val="Arial"/>
      <family val="2"/>
    </font>
    <font>
      <sz val="9"/>
      <name val="Arial"/>
      <family val="2"/>
    </font>
    <font>
      <b/>
      <sz val="10"/>
      <color indexed="18"/>
      <name val="Symbol"/>
      <family val="1"/>
      <charset val="2"/>
    </font>
    <font>
      <sz val="10"/>
      <name val="Tahoma"/>
      <family val="2"/>
    </font>
    <font>
      <b/>
      <sz val="10"/>
      <color indexed="9"/>
      <name val="Tahoma"/>
      <family val="2"/>
    </font>
    <font>
      <b/>
      <sz val="8"/>
      <color indexed="8"/>
      <name val="Wingdings"/>
      <charset val="2"/>
    </font>
    <font>
      <b/>
      <sz val="8"/>
      <color indexed="10"/>
      <name val="Wingdings"/>
      <charset val="2"/>
    </font>
    <font>
      <b/>
      <sz val="8"/>
      <color indexed="9"/>
      <name val="Wingdings"/>
      <charset val="2"/>
    </font>
    <font>
      <b/>
      <sz val="8"/>
      <name val="Times New Roman"/>
      <family val="1"/>
    </font>
    <font>
      <b/>
      <sz val="8.5"/>
      <color rgb="FF0000FF"/>
      <name val="Arial"/>
      <family val="2"/>
    </font>
    <font>
      <sz val="11"/>
      <color indexed="8"/>
      <name val="Calibri"/>
      <family val="2"/>
    </font>
    <font>
      <i/>
      <sz val="8.5"/>
      <name val="Arial"/>
      <family val="2"/>
    </font>
    <font>
      <sz val="8"/>
      <color theme="0"/>
      <name val="Arial"/>
      <family val="2"/>
    </font>
    <font>
      <b/>
      <u/>
      <sz val="8.5"/>
      <name val="Arial"/>
      <family val="2"/>
    </font>
    <font>
      <sz val="8"/>
      <color rgb="FF0000FF"/>
      <name val="Arial"/>
      <family val="2"/>
    </font>
    <font>
      <sz val="8.5"/>
      <color rgb="FF1C11AF"/>
      <name val="Arial"/>
      <family val="2"/>
    </font>
    <font>
      <sz val="9"/>
      <color indexed="81"/>
      <name val="Tahoma"/>
      <family val="2"/>
    </font>
    <font>
      <b/>
      <sz val="9"/>
      <color indexed="81"/>
      <name val="Tahoma"/>
      <family val="2"/>
    </font>
    <font>
      <sz val="10"/>
      <name val="Arial"/>
      <family val="2"/>
    </font>
    <font>
      <sz val="11"/>
      <color theme="0"/>
      <name val="Calibri"/>
      <family val="2"/>
      <scheme val="minor"/>
    </font>
    <font>
      <sz val="11"/>
      <color theme="0"/>
      <name val="Arial"/>
      <family val="2"/>
    </font>
    <font>
      <sz val="11"/>
      <color theme="1"/>
      <name val="Cambria"/>
      <family val="1"/>
      <scheme val="major"/>
    </font>
  </fonts>
  <fills count="28">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indexed="18"/>
        <bgColor indexed="64"/>
      </patternFill>
    </fill>
    <fill>
      <patternFill patternType="solid">
        <fgColor rgb="FFFFFFCC"/>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indexed="35"/>
        <bgColor indexed="64"/>
      </patternFill>
    </fill>
    <fill>
      <patternFill patternType="solid">
        <fgColor indexed="22"/>
        <bgColor indexed="64"/>
      </patternFill>
    </fill>
    <fill>
      <patternFill patternType="solid">
        <fgColor indexed="54"/>
        <bgColor indexed="64"/>
      </patternFill>
    </fill>
    <fill>
      <patternFill patternType="solid">
        <fgColor indexed="9"/>
        <bgColor indexed="8"/>
      </patternFill>
    </fill>
    <fill>
      <patternFill patternType="solid">
        <fgColor rgb="FFCCFFCC"/>
        <bgColor indexed="64"/>
      </patternFill>
    </fill>
    <fill>
      <patternFill patternType="solid">
        <fgColor theme="3" tint="0.79998168889431442"/>
        <bgColor indexed="64"/>
      </patternFill>
    </fill>
    <fill>
      <patternFill patternType="solid">
        <fgColor indexed="42"/>
        <bgColor indexed="64"/>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18"/>
      </left>
      <right/>
      <top style="thin">
        <color indexed="18"/>
      </top>
      <bottom/>
      <diagonal/>
    </border>
    <border>
      <left style="thin">
        <color indexed="18"/>
      </left>
      <right/>
      <top/>
      <bottom/>
      <diagonal/>
    </border>
    <border>
      <left style="thin">
        <color indexed="18"/>
      </left>
      <right/>
      <top/>
      <bottom style="thin">
        <color indexed="18"/>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56"/>
      </right>
      <top/>
      <bottom/>
      <diagonal/>
    </border>
    <border>
      <left style="thin">
        <color indexed="64"/>
      </left>
      <right/>
      <top style="thin">
        <color indexed="18"/>
      </top>
      <bottom/>
      <diagonal/>
    </border>
    <border>
      <left/>
      <right/>
      <top style="thin">
        <color indexed="18"/>
      </top>
      <bottom style="thick">
        <color indexed="9"/>
      </bottom>
      <diagonal/>
    </border>
    <border>
      <left/>
      <right/>
      <top/>
      <bottom style="thin">
        <color indexed="18"/>
      </bottom>
      <diagonal/>
    </border>
    <border>
      <left/>
      <right/>
      <top style="thin">
        <color indexed="9"/>
      </top>
      <bottom style="thin">
        <color indexed="18"/>
      </bottom>
      <diagonal/>
    </border>
    <border>
      <left style="thin">
        <color indexed="18"/>
      </left>
      <right/>
      <top style="thin">
        <color indexed="9"/>
      </top>
      <bottom style="thin">
        <color indexed="18"/>
      </bottom>
      <diagonal/>
    </border>
    <border>
      <left/>
      <right/>
      <top style="thin">
        <color indexed="18"/>
      </top>
      <bottom/>
      <diagonal/>
    </border>
    <border>
      <left/>
      <right/>
      <top style="thin">
        <color indexed="18"/>
      </top>
      <bottom style="thin">
        <color indexed="18"/>
      </bottom>
      <diagonal/>
    </border>
    <border>
      <left style="thin">
        <color indexed="18"/>
      </left>
      <right/>
      <top style="thin">
        <color indexed="18"/>
      </top>
      <bottom style="thin">
        <color indexed="18"/>
      </bottom>
      <diagonal/>
    </border>
    <border>
      <left/>
      <right style="thin">
        <color indexed="8"/>
      </right>
      <top/>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right style="thin">
        <color indexed="8"/>
      </right>
      <top style="thin">
        <color indexed="18"/>
      </top>
      <bottom style="thin">
        <color indexed="18"/>
      </bottom>
      <diagonal/>
    </border>
    <border>
      <left/>
      <right style="thin">
        <color indexed="64"/>
      </right>
      <top style="thin">
        <color indexed="18"/>
      </top>
      <bottom/>
      <diagonal/>
    </border>
    <border>
      <left style="thin">
        <color indexed="18"/>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18"/>
      </bottom>
      <diagonal/>
    </border>
    <border>
      <left/>
      <right style="thin">
        <color indexed="64"/>
      </right>
      <top style="thin">
        <color indexed="64"/>
      </top>
      <bottom style="thin">
        <color indexed="18"/>
      </bottom>
      <diagonal/>
    </border>
    <border>
      <left style="thin">
        <color indexed="64"/>
      </left>
      <right style="thin">
        <color indexed="64"/>
      </right>
      <top style="thin">
        <color indexed="64"/>
      </top>
      <bottom style="thin">
        <color indexed="18"/>
      </bottom>
      <diagonal/>
    </border>
    <border>
      <left/>
      <right style="thin">
        <color indexed="64"/>
      </right>
      <top/>
      <bottom style="thin">
        <color indexed="18"/>
      </bottom>
      <diagonal/>
    </border>
  </borders>
  <cellStyleXfs count="184">
    <xf numFmtId="0" fontId="0" fillId="0" borderId="0"/>
    <xf numFmtId="167" fontId="1" fillId="0" borderId="0" applyFont="0" applyFill="0" applyBorder="0" applyAlignment="0" applyProtection="0"/>
    <xf numFmtId="9" fontId="1" fillId="0" borderId="0" applyFont="0" applyFill="0" applyBorder="0" applyAlignment="0" applyProtection="0"/>
    <xf numFmtId="0" fontId="4" fillId="0" borderId="0"/>
    <xf numFmtId="0" fontId="6" fillId="0" borderId="0"/>
    <xf numFmtId="0" fontId="9" fillId="0" borderId="0"/>
    <xf numFmtId="9" fontId="9" fillId="0" borderId="0" applyFont="0" applyFill="0" applyBorder="0" applyAlignment="0" applyProtection="0"/>
    <xf numFmtId="167" fontId="9" fillId="0" borderId="0" applyFont="0" applyFill="0" applyBorder="0" applyAlignment="0" applyProtection="0"/>
    <xf numFmtId="0" fontId="9" fillId="0" borderId="0"/>
    <xf numFmtId="0" fontId="18" fillId="0" borderId="0">
      <alignment vertical="center"/>
    </xf>
    <xf numFmtId="0" fontId="19" fillId="0" borderId="0">
      <protection locked="0"/>
    </xf>
    <xf numFmtId="169" fontId="6" fillId="0" borderId="0" applyFont="0" applyFill="0" applyBorder="0" applyAlignment="0" applyProtection="0">
      <protection hidden="1"/>
    </xf>
    <xf numFmtId="170" fontId="6" fillId="9" borderId="0" applyFont="0" applyFill="0" applyBorder="0" applyAlignment="0" applyProtection="0">
      <protection hidden="1"/>
    </xf>
    <xf numFmtId="171" fontId="6" fillId="0" borderId="0" applyFont="0" applyFill="0" applyBorder="0" applyAlignment="0" applyProtection="0">
      <protection hidden="1"/>
    </xf>
    <xf numFmtId="172" fontId="6" fillId="10" borderId="0" applyFont="0" applyFill="0" applyBorder="0" applyAlignment="0" applyProtection="0">
      <protection locked="0"/>
    </xf>
    <xf numFmtId="0" fontId="20" fillId="0" borderId="0">
      <alignment horizontal="right"/>
    </xf>
    <xf numFmtId="0" fontId="21" fillId="0" borderId="0">
      <protection locked="0"/>
    </xf>
    <xf numFmtId="0" fontId="22" fillId="0" borderId="28" applyNumberFormat="0" applyFill="0" applyBorder="0" applyAlignment="0" applyProtection="0"/>
    <xf numFmtId="0" fontId="23" fillId="0" borderId="28" applyNumberFormat="0" applyFill="0" applyBorder="0" applyAlignment="0" applyProtection="0"/>
    <xf numFmtId="0" fontId="24" fillId="0" borderId="28" applyNumberFormat="0" applyFill="0" applyBorder="0" applyAlignment="0" applyProtection="0"/>
    <xf numFmtId="0" fontId="25" fillId="0" borderId="28" applyNumberFormat="0" applyFill="0" applyAlignment="0" applyProtection="0"/>
    <xf numFmtId="173" fontId="6" fillId="0" borderId="0" applyFont="0" applyFill="0" applyBorder="0" applyAlignment="0" applyProtection="0">
      <protection hidden="1"/>
    </xf>
    <xf numFmtId="174" fontId="26" fillId="0" borderId="0" applyFont="0" applyFill="0" applyBorder="0" applyAlignment="0" applyProtection="0"/>
    <xf numFmtId="0" fontId="27" fillId="0" borderId="0"/>
    <xf numFmtId="167" fontId="6" fillId="0" borderId="0" applyFont="0" applyFill="0" applyBorder="0" applyAlignment="0" applyProtection="0"/>
    <xf numFmtId="164" fontId="28" fillId="0" borderId="0" applyFont="0" applyFill="0" applyBorder="0" applyAlignment="0" applyProtection="0"/>
    <xf numFmtId="15" fontId="29" fillId="0" borderId="0" applyFont="0" applyFill="0" applyBorder="0" applyAlignment="0" applyProtection="0"/>
    <xf numFmtId="176" fontId="30" fillId="0" borderId="0"/>
    <xf numFmtId="177" fontId="30" fillId="0" borderId="0"/>
    <xf numFmtId="175" fontId="30" fillId="0" borderId="0"/>
    <xf numFmtId="176" fontId="30" fillId="0" borderId="0"/>
    <xf numFmtId="177" fontId="30" fillId="0" borderId="0"/>
    <xf numFmtId="175" fontId="30" fillId="0" borderId="0"/>
    <xf numFmtId="178" fontId="30" fillId="0" borderId="0"/>
    <xf numFmtId="178" fontId="30" fillId="0" borderId="0"/>
    <xf numFmtId="15" fontId="30" fillId="0" borderId="0"/>
    <xf numFmtId="0" fontId="30" fillId="0" borderId="0"/>
    <xf numFmtId="9" fontId="30" fillId="0" borderId="0"/>
    <xf numFmtId="168" fontId="30" fillId="0" borderId="0"/>
    <xf numFmtId="10" fontId="30" fillId="0" borderId="0"/>
    <xf numFmtId="0" fontId="30" fillId="0" borderId="0">
      <alignment horizontal="right"/>
    </xf>
    <xf numFmtId="0" fontId="31" fillId="0" borderId="0" applyFont="0" applyFill="0" applyBorder="0" applyProtection="0">
      <alignment horizontal="left"/>
      <protection locked="0"/>
    </xf>
    <xf numFmtId="179" fontId="6" fillId="0" borderId="0" applyFont="0" applyFill="0" applyBorder="0" applyAlignment="0" applyProtection="0">
      <alignment horizontal="center"/>
      <protection hidden="1"/>
    </xf>
    <xf numFmtId="180" fontId="6" fillId="0" borderId="29" applyFont="0" applyFill="0" applyBorder="0" applyAlignment="0" applyProtection="0">
      <alignment horizontal="right"/>
      <protection hidden="1"/>
    </xf>
    <xf numFmtId="181" fontId="23" fillId="0" borderId="0" applyBorder="0" applyProtection="0"/>
    <xf numFmtId="182" fontId="6" fillId="0" borderId="0" applyFill="0" applyBorder="0" applyAlignment="0" applyProtection="0"/>
    <xf numFmtId="183" fontId="6" fillId="0" borderId="0" applyFont="0" applyFill="0" applyBorder="0" applyAlignment="0" applyProtection="0">
      <protection hidden="1"/>
    </xf>
    <xf numFmtId="184" fontId="4" fillId="0" borderId="0" applyNumberFormat="0" applyAlignment="0">
      <alignment horizontal="left"/>
    </xf>
    <xf numFmtId="185" fontId="32" fillId="0" borderId="0" applyFont="0" applyFill="0" applyBorder="0" applyAlignment="0" applyProtection="0">
      <alignment horizontal="center"/>
      <protection hidden="1"/>
    </xf>
    <xf numFmtId="186" fontId="6" fillId="0" borderId="0" applyFont="0" applyFill="0" applyBorder="0" applyAlignment="0" applyProtection="0">
      <alignment horizontal="center"/>
      <protection hidden="1"/>
    </xf>
    <xf numFmtId="184" fontId="33" fillId="0" borderId="0"/>
    <xf numFmtId="0" fontId="6" fillId="0" borderId="0"/>
    <xf numFmtId="0" fontId="6" fillId="0" borderId="0"/>
    <xf numFmtId="187" fontId="6" fillId="0" borderId="0" applyFont="0" applyFill="0" applyBorder="0" applyAlignment="0" applyProtection="0">
      <protection hidden="1"/>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xf numFmtId="0" fontId="31" fillId="0" borderId="0" applyFont="0" applyFill="0" applyBorder="0" applyProtection="0">
      <alignment horizontal="left"/>
      <protection locked="0"/>
    </xf>
    <xf numFmtId="188" fontId="6" fillId="0" borderId="29" applyFont="0" applyFill="0" applyBorder="0" applyAlignment="0" applyProtection="0">
      <alignment horizontal="right"/>
      <protection locked="0"/>
    </xf>
    <xf numFmtId="0" fontId="34" fillId="0" borderId="0"/>
    <xf numFmtId="37" fontId="35" fillId="0" borderId="0"/>
    <xf numFmtId="0" fontId="36" fillId="0" borderId="0" applyNumberForma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7" fillId="0" borderId="0">
      <alignment vertical="top"/>
    </xf>
    <xf numFmtId="0" fontId="37" fillId="0" borderId="0">
      <alignment vertical="top"/>
    </xf>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7" fillId="0" borderId="0">
      <alignment vertical="top"/>
    </xf>
    <xf numFmtId="0" fontId="37" fillId="0" borderId="0">
      <alignment vertical="top"/>
    </xf>
    <xf numFmtId="0" fontId="37" fillId="0" borderId="0">
      <alignment vertical="top"/>
    </xf>
    <xf numFmtId="0" fontId="37" fillId="0" borderId="0">
      <alignment vertical="top"/>
    </xf>
    <xf numFmtId="165" fontId="9" fillId="0" borderId="0" applyFont="0" applyFill="0" applyBorder="0" applyAlignment="0" applyProtection="0"/>
    <xf numFmtId="0" fontId="37" fillId="0" borderId="0">
      <alignment vertical="top"/>
    </xf>
    <xf numFmtId="0" fontId="37" fillId="0" borderId="0">
      <alignment vertical="top"/>
    </xf>
    <xf numFmtId="0" fontId="37" fillId="0" borderId="0">
      <alignment vertical="top"/>
    </xf>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7" fillId="0" borderId="0">
      <alignment vertical="top"/>
    </xf>
    <xf numFmtId="165" fontId="9" fillId="0" borderId="0" applyFont="0" applyFill="0" applyBorder="0" applyAlignment="0" applyProtection="0"/>
    <xf numFmtId="0" fontId="37" fillId="0" borderId="0">
      <alignment vertical="top"/>
    </xf>
    <xf numFmtId="165" fontId="9" fillId="0" borderId="0" applyFont="0" applyFill="0" applyBorder="0" applyAlignment="0" applyProtection="0"/>
    <xf numFmtId="0" fontId="37" fillId="0" borderId="0">
      <alignment vertical="top"/>
    </xf>
    <xf numFmtId="0" fontId="37" fillId="0" borderId="0">
      <alignment vertical="top"/>
    </xf>
    <xf numFmtId="0" fontId="37" fillId="0" borderId="0">
      <alignment vertical="top"/>
    </xf>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7" fillId="0" borderId="0">
      <alignment vertical="top"/>
    </xf>
    <xf numFmtId="165" fontId="9" fillId="0" borderId="0" applyFont="0" applyFill="0" applyBorder="0" applyAlignment="0" applyProtection="0"/>
    <xf numFmtId="0" fontId="37" fillId="0" borderId="0">
      <alignment vertical="top"/>
    </xf>
    <xf numFmtId="165" fontId="9" fillId="0" borderId="0" applyFont="0" applyFill="0" applyBorder="0" applyAlignment="0" applyProtection="0"/>
    <xf numFmtId="165" fontId="9" fillId="0" borderId="0" applyFont="0" applyFill="0" applyBorder="0" applyAlignment="0" applyProtection="0"/>
    <xf numFmtId="0" fontId="37" fillId="0" borderId="0">
      <alignment vertical="top"/>
    </xf>
    <xf numFmtId="165" fontId="9" fillId="0" borderId="0" applyFont="0" applyFill="0" applyBorder="0" applyAlignment="0" applyProtection="0"/>
    <xf numFmtId="165"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37" fillId="0" borderId="0">
      <alignment vertical="top"/>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7" fillId="0" borderId="0">
      <alignment vertical="top"/>
    </xf>
    <xf numFmtId="0" fontId="37" fillId="0" borderId="0">
      <alignment vertical="top"/>
    </xf>
    <xf numFmtId="165" fontId="9" fillId="0" borderId="0" applyFont="0" applyFill="0" applyBorder="0" applyAlignment="0" applyProtection="0"/>
    <xf numFmtId="0" fontId="37" fillId="0" borderId="0">
      <alignment vertical="top"/>
    </xf>
    <xf numFmtId="165" fontId="9" fillId="0" borderId="0" applyFont="0" applyFill="0" applyBorder="0" applyAlignment="0" applyProtection="0"/>
    <xf numFmtId="0" fontId="37" fillId="0" borderId="0">
      <alignment vertical="top"/>
    </xf>
    <xf numFmtId="0" fontId="37" fillId="0" borderId="0">
      <alignment vertical="top"/>
    </xf>
    <xf numFmtId="0" fontId="37" fillId="0" borderId="0">
      <alignment vertical="top"/>
    </xf>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7" fillId="0" borderId="0">
      <alignment vertical="top"/>
    </xf>
    <xf numFmtId="165" fontId="9" fillId="0" borderId="0" applyFont="0" applyFill="0" applyBorder="0" applyAlignment="0" applyProtection="0"/>
    <xf numFmtId="165" fontId="9" fillId="0" borderId="0" applyFont="0" applyFill="0" applyBorder="0" applyAlignment="0" applyProtection="0"/>
    <xf numFmtId="0" fontId="37" fillId="0" borderId="0">
      <alignment vertical="top"/>
    </xf>
    <xf numFmtId="165" fontId="9" fillId="0" borderId="0" applyFont="0" applyFill="0" applyBorder="0" applyAlignment="0" applyProtection="0"/>
    <xf numFmtId="0" fontId="37" fillId="0" borderId="0">
      <alignment vertical="top"/>
    </xf>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8" fillId="0" borderId="28" applyNumberFormat="0" applyFill="0" applyBorder="0" applyAlignment="0" applyProtection="0"/>
    <xf numFmtId="0" fontId="39" fillId="0" borderId="0" applyNumberFormat="0" applyBorder="0" applyAlignment="0">
      <alignment horizontal="justify" vertical="center" wrapText="1"/>
    </xf>
    <xf numFmtId="0" fontId="40" fillId="11" borderId="0">
      <alignment vertical="center" wrapText="1"/>
    </xf>
    <xf numFmtId="182" fontId="6" fillId="0" borderId="0" applyFont="0" applyFill="0" applyBorder="0" applyAlignment="0" applyProtection="0">
      <protection hidden="1"/>
    </xf>
    <xf numFmtId="49" fontId="32" fillId="0" borderId="0" applyFont="0" applyFill="0" applyBorder="0" applyAlignment="0" applyProtection="0">
      <protection hidden="1"/>
    </xf>
    <xf numFmtId="0" fontId="6" fillId="0" borderId="0" applyFont="0" applyFill="0" applyBorder="0" applyAlignment="0" applyProtection="0">
      <protection hidden="1"/>
    </xf>
    <xf numFmtId="189" fontId="23" fillId="0" borderId="0" applyBorder="0" applyProtection="0">
      <alignment horizontal="right"/>
    </xf>
    <xf numFmtId="190" fontId="25" fillId="0" borderId="0" applyBorder="0" applyProtection="0">
      <alignment horizontal="right"/>
    </xf>
    <xf numFmtId="0" fontId="41" fillId="0" borderId="28" applyNumberFormat="0" applyFill="0" applyBorder="0" applyAlignment="0" applyProtection="0"/>
    <xf numFmtId="0" fontId="42" fillId="0" borderId="28" applyNumberFormat="0" applyFill="0" applyBorder="0" applyAlignment="0" applyProtection="0"/>
    <xf numFmtId="0" fontId="43" fillId="0" borderId="28" applyNumberFormat="0" applyFill="0" applyBorder="0" applyAlignment="0" applyProtection="0"/>
    <xf numFmtId="191" fontId="6" fillId="0" borderId="30" applyFont="0" applyFill="0" applyBorder="0" applyAlignment="0" applyProtection="0">
      <alignment horizontal="center"/>
      <protection hidden="1"/>
    </xf>
    <xf numFmtId="192" fontId="44" fillId="0" borderId="0" applyFont="0" applyFill="0" applyBorder="0" applyAlignment="0" applyProtection="0">
      <alignment horizontal="left"/>
    </xf>
    <xf numFmtId="165" fontId="6" fillId="0" borderId="0" applyFont="0" applyFill="0" applyBorder="0" applyAlignment="0" applyProtection="0"/>
    <xf numFmtId="167" fontId="6" fillId="0" borderId="0" applyFont="0" applyFill="0" applyBorder="0" applyAlignment="0" applyProtection="0"/>
    <xf numFmtId="0" fontId="4" fillId="0" borderId="0"/>
    <xf numFmtId="0" fontId="6" fillId="0" borderId="0"/>
    <xf numFmtId="9" fontId="6" fillId="0" borderId="0" applyFont="0" applyFill="0" applyBorder="0" applyAlignment="0" applyProtection="0"/>
    <xf numFmtId="167" fontId="6" fillId="0" borderId="0" applyFont="0" applyFill="0" applyBorder="0" applyAlignment="0" applyProtection="0"/>
    <xf numFmtId="175" fontId="6" fillId="0" borderId="0" applyFont="0" applyFill="0" applyBorder="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0" fontId="46" fillId="5" borderId="6" applyNumberFormat="0" applyFont="0" applyAlignment="0" applyProtection="0"/>
    <xf numFmtId="9" fontId="6" fillId="0" borderId="0" applyFont="0" applyFill="0" applyBorder="0" applyAlignment="0" applyProtection="0"/>
    <xf numFmtId="166" fontId="6" fillId="0" borderId="0" applyFont="0" applyFill="0" applyBorder="0" applyAlignment="0" applyProtection="0"/>
    <xf numFmtId="0" fontId="54" fillId="0" borderId="0"/>
  </cellStyleXfs>
  <cellXfs count="341">
    <xf numFmtId="0" fontId="0" fillId="0" borderId="0" xfId="0"/>
    <xf numFmtId="0" fontId="5" fillId="4" borderId="7" xfId="4" applyFont="1" applyFill="1" applyBorder="1" applyAlignment="1">
      <alignment horizontal="left"/>
    </xf>
    <xf numFmtId="0" fontId="8" fillId="2" borderId="8" xfId="0" applyFont="1" applyFill="1" applyBorder="1" applyAlignment="1">
      <alignment vertical="center" wrapText="1"/>
    </xf>
    <xf numFmtId="0" fontId="2" fillId="0" borderId="0" xfId="5" applyFont="1"/>
    <xf numFmtId="37" fontId="2" fillId="0" borderId="0" xfId="5" applyNumberFormat="1" applyFont="1" applyBorder="1"/>
    <xf numFmtId="37" fontId="2" fillId="0" borderId="20" xfId="5" applyNumberFormat="1" applyFont="1" applyBorder="1"/>
    <xf numFmtId="37" fontId="3" fillId="0" borderId="21" xfId="5" applyNumberFormat="1" applyFont="1" applyBorder="1"/>
    <xf numFmtId="0" fontId="3" fillId="0" borderId="4" xfId="5" applyFont="1" applyFill="1" applyBorder="1"/>
    <xf numFmtId="37" fontId="13" fillId="0" borderId="0" xfId="5" applyNumberFormat="1" applyFont="1"/>
    <xf numFmtId="37" fontId="13" fillId="3" borderId="5" xfId="5" applyNumberFormat="1" applyFont="1" applyFill="1" applyBorder="1"/>
    <xf numFmtId="37" fontId="14" fillId="3" borderId="4" xfId="5" applyNumberFormat="1" applyFont="1" applyFill="1" applyBorder="1"/>
    <xf numFmtId="0" fontId="3" fillId="0" borderId="0" xfId="5" applyFont="1"/>
    <xf numFmtId="37" fontId="5" fillId="4" borderId="22" xfId="5" applyNumberFormat="1" applyFont="1" applyFill="1" applyBorder="1"/>
    <xf numFmtId="0" fontId="5" fillId="4" borderId="23" xfId="5" applyFont="1" applyFill="1" applyBorder="1" applyAlignment="1">
      <alignment horizontal="left"/>
    </xf>
    <xf numFmtId="37" fontId="5" fillId="4" borderId="24" xfId="5" applyNumberFormat="1" applyFont="1" applyFill="1" applyBorder="1"/>
    <xf numFmtId="37" fontId="5" fillId="4" borderId="0" xfId="5" applyNumberFormat="1" applyFont="1" applyFill="1" applyBorder="1"/>
    <xf numFmtId="0" fontId="5" fillId="4" borderId="2" xfId="5" applyFont="1" applyFill="1" applyBorder="1" applyAlignment="1">
      <alignment horizontal="left"/>
    </xf>
    <xf numFmtId="37" fontId="2" fillId="3" borderId="0" xfId="5" applyNumberFormat="1" applyFont="1" applyFill="1" applyBorder="1"/>
    <xf numFmtId="37" fontId="10" fillId="3" borderId="18" xfId="5" applyNumberFormat="1" applyFont="1" applyFill="1" applyBorder="1"/>
    <xf numFmtId="37" fontId="10" fillId="3" borderId="0" xfId="5" applyNumberFormat="1" applyFont="1" applyFill="1"/>
    <xf numFmtId="0" fontId="2" fillId="0" borderId="3" xfId="5" quotePrefix="1" applyFont="1" applyBorder="1" applyAlignment="1"/>
    <xf numFmtId="37" fontId="5" fillId="4" borderId="25" xfId="5" applyNumberFormat="1" applyFont="1" applyFill="1" applyBorder="1"/>
    <xf numFmtId="0" fontId="5" fillId="4" borderId="26" xfId="5" applyFont="1" applyFill="1" applyBorder="1" applyAlignment="1">
      <alignment horizontal="left"/>
    </xf>
    <xf numFmtId="37" fontId="3" fillId="3" borderId="0" xfId="5" applyNumberFormat="1" applyFont="1" applyFill="1" applyBorder="1"/>
    <xf numFmtId="0" fontId="15" fillId="0" borderId="3" xfId="5" applyFont="1" applyBorder="1" applyAlignment="1"/>
    <xf numFmtId="37" fontId="12" fillId="3" borderId="0" xfId="5" applyNumberFormat="1" applyFont="1" applyFill="1" applyBorder="1" applyAlignment="1"/>
    <xf numFmtId="38" fontId="2" fillId="0" borderId="0" xfId="5" applyNumberFormat="1" applyFont="1"/>
    <xf numFmtId="0" fontId="2" fillId="0" borderId="3" xfId="5" applyFont="1" applyBorder="1" applyAlignment="1"/>
    <xf numFmtId="37" fontId="3" fillId="3" borderId="0" xfId="5" applyNumberFormat="1" applyFont="1" applyFill="1" applyBorder="1" applyAlignment="1"/>
    <xf numFmtId="0" fontId="3" fillId="0" borderId="3" xfId="5" applyFont="1" applyBorder="1" applyAlignment="1"/>
    <xf numFmtId="0" fontId="3" fillId="0" borderId="3" xfId="5" quotePrefix="1" applyFont="1" applyBorder="1" applyAlignment="1"/>
    <xf numFmtId="37" fontId="10" fillId="3" borderId="0" xfId="5" applyNumberFormat="1" applyFont="1" applyFill="1" applyBorder="1"/>
    <xf numFmtId="0" fontId="16" fillId="0" borderId="3" xfId="5" applyFont="1" applyBorder="1"/>
    <xf numFmtId="0" fontId="3" fillId="3" borderId="0" xfId="5" applyFont="1" applyFill="1"/>
    <xf numFmtId="38" fontId="5" fillId="3" borderId="0" xfId="5" applyNumberFormat="1" applyFont="1" applyFill="1" applyBorder="1"/>
    <xf numFmtId="38" fontId="5" fillId="3" borderId="18" xfId="5" applyNumberFormat="1" applyFont="1" applyFill="1" applyBorder="1"/>
    <xf numFmtId="37" fontId="5" fillId="4" borderId="26" xfId="5" applyNumberFormat="1" applyFont="1" applyFill="1" applyBorder="1" applyAlignment="1">
      <alignment horizontal="left"/>
    </xf>
    <xf numFmtId="0" fontId="12" fillId="0" borderId="3" xfId="5" applyFont="1" applyBorder="1" applyAlignment="1"/>
    <xf numFmtId="0" fontId="15" fillId="3" borderId="3" xfId="5" applyFont="1" applyFill="1" applyBorder="1" applyAlignment="1"/>
    <xf numFmtId="0" fontId="2" fillId="3" borderId="24" xfId="5" applyFont="1" applyFill="1" applyBorder="1"/>
    <xf numFmtId="0" fontId="2" fillId="3" borderId="0" xfId="5" applyFont="1" applyFill="1" applyBorder="1"/>
    <xf numFmtId="0" fontId="17" fillId="0" borderId="0" xfId="5" applyFont="1"/>
    <xf numFmtId="0" fontId="5" fillId="4" borderId="0" xfId="5" applyFont="1" applyFill="1" applyBorder="1" applyAlignment="1">
      <alignment horizontal="right"/>
    </xf>
    <xf numFmtId="0" fontId="5" fillId="4" borderId="0" xfId="5" applyFont="1" applyFill="1" applyBorder="1" applyAlignment="1">
      <alignment horizontal="left"/>
    </xf>
    <xf numFmtId="168" fontId="5" fillId="4" borderId="0" xfId="5" applyNumberFormat="1" applyFont="1" applyFill="1" applyBorder="1" applyAlignment="1"/>
    <xf numFmtId="0" fontId="5" fillId="4" borderId="27" xfId="5" applyFont="1" applyFill="1" applyBorder="1" applyAlignment="1"/>
    <xf numFmtId="0" fontId="5" fillId="4" borderId="0" xfId="5" applyFont="1" applyFill="1" applyBorder="1" applyAlignment="1"/>
    <xf numFmtId="168" fontId="2" fillId="0" borderId="0" xfId="6" applyNumberFormat="1" applyFont="1"/>
    <xf numFmtId="37" fontId="2" fillId="0" borderId="0" xfId="5" applyNumberFormat="1" applyFont="1"/>
    <xf numFmtId="0" fontId="2" fillId="0" borderId="0" xfId="5" applyFont="1" applyAlignment="1"/>
    <xf numFmtId="0" fontId="7" fillId="2" borderId="0" xfId="0" applyFont="1" applyFill="1" applyBorder="1" applyAlignment="1">
      <alignment vertical="center" wrapText="1"/>
    </xf>
    <xf numFmtId="3" fontId="7" fillId="2" borderId="0" xfId="0" applyNumberFormat="1" applyFont="1" applyFill="1" applyBorder="1" applyAlignment="1">
      <alignment horizontal="right" vertical="center" wrapText="1"/>
    </xf>
    <xf numFmtId="0" fontId="5" fillId="4" borderId="0" xfId="0" applyFont="1" applyFill="1" applyBorder="1" applyAlignment="1"/>
    <xf numFmtId="0" fontId="5" fillId="4" borderId="27" xfId="0" applyFont="1" applyFill="1" applyBorder="1" applyAlignment="1"/>
    <xf numFmtId="168" fontId="5" fillId="4" borderId="0" xfId="0" applyNumberFormat="1" applyFont="1" applyFill="1" applyBorder="1" applyAlignment="1"/>
    <xf numFmtId="0" fontId="5" fillId="4" borderId="0" xfId="0" applyFont="1" applyFill="1" applyBorder="1" applyAlignment="1">
      <alignment horizontal="left"/>
    </xf>
    <xf numFmtId="0" fontId="5" fillId="4" borderId="0" xfId="0" applyFont="1" applyFill="1" applyBorder="1" applyAlignment="1">
      <alignment horizontal="right"/>
    </xf>
    <xf numFmtId="0" fontId="5" fillId="4" borderId="27" xfId="0" applyFont="1" applyFill="1" applyBorder="1" applyAlignment="1">
      <alignment horizontal="right"/>
    </xf>
    <xf numFmtId="0" fontId="2" fillId="0" borderId="3" xfId="0" applyFont="1" applyBorder="1"/>
    <xf numFmtId="0" fontId="2" fillId="3" borderId="0" xfId="0" applyFont="1" applyFill="1" applyBorder="1"/>
    <xf numFmtId="0" fontId="2" fillId="3" borderId="27" xfId="0" applyFont="1" applyFill="1" applyBorder="1"/>
    <xf numFmtId="0" fontId="2" fillId="0" borderId="0" xfId="0" applyFont="1" applyBorder="1"/>
    <xf numFmtId="0" fontId="15" fillId="0" borderId="3" xfId="0" applyFont="1" applyBorder="1" applyAlignment="1"/>
    <xf numFmtId="38" fontId="45" fillId="3" borderId="0" xfId="0" applyNumberFormat="1" applyFont="1" applyFill="1" applyBorder="1"/>
    <xf numFmtId="38" fontId="3" fillId="0" borderId="0" xfId="0" applyNumberFormat="1" applyFont="1" applyFill="1" applyBorder="1"/>
    <xf numFmtId="0" fontId="12" fillId="0" borderId="3" xfId="0" applyFont="1" applyBorder="1" applyAlignment="1"/>
    <xf numFmtId="168" fontId="2" fillId="3" borderId="0" xfId="156" applyNumberFormat="1" applyFont="1" applyFill="1" applyBorder="1"/>
    <xf numFmtId="37" fontId="10" fillId="3" borderId="0" xfId="0" applyNumberFormat="1" applyFont="1" applyFill="1" applyBorder="1"/>
    <xf numFmtId="37" fontId="3" fillId="3" borderId="0" xfId="0" applyNumberFormat="1" applyFont="1" applyFill="1" applyBorder="1"/>
    <xf numFmtId="37" fontId="3" fillId="3" borderId="0" xfId="0" applyNumberFormat="1" applyFont="1" applyFill="1" applyBorder="1" applyAlignment="1"/>
    <xf numFmtId="37" fontId="15" fillId="3" borderId="0" xfId="0" applyNumberFormat="1" applyFont="1" applyFill="1" applyBorder="1" applyAlignment="1"/>
    <xf numFmtId="168" fontId="3" fillId="3" borderId="0" xfId="156" applyNumberFormat="1" applyFont="1" applyFill="1" applyBorder="1" applyAlignment="1"/>
    <xf numFmtId="168" fontId="15" fillId="3" borderId="0" xfId="156" applyNumberFormat="1" applyFont="1" applyFill="1" applyBorder="1" applyAlignment="1"/>
    <xf numFmtId="38" fontId="12" fillId="0" borderId="3" xfId="0" applyNumberFormat="1" applyFont="1" applyBorder="1" applyAlignment="1"/>
    <xf numFmtId="37" fontId="10" fillId="0" borderId="0" xfId="0" applyNumberFormat="1" applyFont="1" applyFill="1" applyBorder="1"/>
    <xf numFmtId="37" fontId="10" fillId="3" borderId="27" xfId="0" applyNumberFormat="1" applyFont="1" applyFill="1" applyBorder="1"/>
    <xf numFmtId="37" fontId="2" fillId="3" borderId="0" xfId="0" applyNumberFormat="1" applyFont="1" applyFill="1" applyBorder="1"/>
    <xf numFmtId="37" fontId="2" fillId="0" borderId="0" xfId="0" applyNumberFormat="1" applyFont="1" applyFill="1" applyBorder="1"/>
    <xf numFmtId="38" fontId="12" fillId="0" borderId="3" xfId="0" applyNumberFormat="1" applyFont="1" applyFill="1" applyBorder="1" applyAlignment="1"/>
    <xf numFmtId="0" fontId="5" fillId="4" borderId="26" xfId="0" applyFont="1" applyFill="1" applyBorder="1" applyAlignment="1">
      <alignment horizontal="left"/>
    </xf>
    <xf numFmtId="37" fontId="5" fillId="4" borderId="25" xfId="0" applyNumberFormat="1" applyFont="1" applyFill="1" applyBorder="1"/>
    <xf numFmtId="168" fontId="5" fillId="4" borderId="25" xfId="156" applyNumberFormat="1" applyFont="1" applyFill="1" applyBorder="1"/>
    <xf numFmtId="168" fontId="5" fillId="4" borderId="31" xfId="156" applyNumberFormat="1" applyFont="1" applyFill="1" applyBorder="1"/>
    <xf numFmtId="168" fontId="12" fillId="0" borderId="3" xfId="0" applyNumberFormat="1" applyFont="1" applyBorder="1" applyAlignment="1"/>
    <xf numFmtId="168" fontId="2" fillId="3" borderId="27" xfId="156" applyNumberFormat="1" applyFont="1" applyFill="1" applyBorder="1"/>
    <xf numFmtId="0" fontId="2" fillId="0" borderId="3" xfId="0" applyFont="1" applyBorder="1" applyAlignment="1"/>
    <xf numFmtId="0" fontId="15" fillId="12" borderId="3" xfId="0" applyFont="1" applyFill="1" applyBorder="1" applyAlignment="1"/>
    <xf numFmtId="3" fontId="3" fillId="3" borderId="0" xfId="0" applyNumberFormat="1" applyFont="1" applyFill="1" applyBorder="1"/>
    <xf numFmtId="37" fontId="10" fillId="0" borderId="0" xfId="0" applyNumberFormat="1" applyFont="1" applyBorder="1"/>
    <xf numFmtId="37" fontId="2" fillId="0" borderId="3" xfId="0" applyNumberFormat="1" applyFont="1" applyBorder="1" applyAlignment="1"/>
    <xf numFmtId="37" fontId="2" fillId="0" borderId="33" xfId="0" applyNumberFormat="1" applyFont="1" applyBorder="1" applyAlignment="1"/>
    <xf numFmtId="37" fontId="2" fillId="3" borderId="5" xfId="0" applyNumberFormat="1" applyFont="1" applyFill="1" applyBorder="1"/>
    <xf numFmtId="0" fontId="2" fillId="0" borderId="0" xfId="0" applyFont="1"/>
    <xf numFmtId="167" fontId="2" fillId="0" borderId="0" xfId="157" applyFont="1"/>
    <xf numFmtId="0" fontId="5" fillId="4" borderId="24" xfId="0" applyFont="1" applyFill="1" applyBorder="1" applyAlignment="1">
      <alignment horizontal="right"/>
    </xf>
    <xf numFmtId="0" fontId="5" fillId="4" borderId="32" xfId="0" applyFont="1" applyFill="1" applyBorder="1" applyAlignment="1">
      <alignment horizontal="right"/>
    </xf>
    <xf numFmtId="0" fontId="2" fillId="0" borderId="7" xfId="0" applyFont="1" applyBorder="1"/>
    <xf numFmtId="168" fontId="2" fillId="0" borderId="0" xfId="156" applyNumberFormat="1" applyFont="1" applyFill="1" applyBorder="1"/>
    <xf numFmtId="3" fontId="2" fillId="0" borderId="0" xfId="0" applyNumberFormat="1" applyFont="1"/>
    <xf numFmtId="3" fontId="2" fillId="0" borderId="0" xfId="0" applyNumberFormat="1" applyFont="1" applyBorder="1"/>
    <xf numFmtId="3" fontId="2" fillId="0" borderId="0" xfId="0" applyNumberFormat="1" applyFont="1" applyFill="1"/>
    <xf numFmtId="0" fontId="5" fillId="4" borderId="21" xfId="4" applyFont="1" applyFill="1" applyBorder="1" applyAlignment="1">
      <alignment horizontal="left"/>
    </xf>
    <xf numFmtId="193" fontId="47" fillId="0" borderId="0" xfId="24" applyNumberFormat="1" applyFont="1" applyBorder="1"/>
    <xf numFmtId="193" fontId="10" fillId="0" borderId="0" xfId="181" applyNumberFormat="1" applyFont="1" applyFill="1" applyBorder="1" applyProtection="1"/>
    <xf numFmtId="176" fontId="45" fillId="13" borderId="10" xfId="24" applyNumberFormat="1" applyFont="1" applyFill="1" applyBorder="1" applyProtection="1"/>
    <xf numFmtId="0" fontId="2" fillId="0" borderId="0" xfId="4" applyFont="1"/>
    <xf numFmtId="0" fontId="25" fillId="0" borderId="0" xfId="4" applyFont="1"/>
    <xf numFmtId="0" fontId="5" fillId="4" borderId="17" xfId="4" applyFont="1" applyFill="1" applyBorder="1" applyAlignment="1">
      <alignment horizontal="left"/>
    </xf>
    <xf numFmtId="0" fontId="5" fillId="4" borderId="16" xfId="4" applyFont="1" applyFill="1" applyBorder="1" applyAlignment="1">
      <alignment horizontal="right"/>
    </xf>
    <xf numFmtId="167" fontId="5" fillId="4" borderId="0" xfId="24" applyNumberFormat="1" applyFont="1" applyFill="1" applyBorder="1" applyAlignment="1">
      <alignment horizontal="right"/>
    </xf>
    <xf numFmtId="0" fontId="5" fillId="4" borderId="21" xfId="4" applyFont="1" applyFill="1" applyBorder="1" applyAlignment="1">
      <alignment horizontal="right"/>
    </xf>
    <xf numFmtId="0" fontId="2" fillId="0" borderId="7" xfId="4" applyFont="1" applyBorder="1"/>
    <xf numFmtId="194" fontId="2" fillId="0" borderId="0" xfId="158" applyNumberFormat="1" applyFont="1" applyFill="1" applyBorder="1" applyProtection="1"/>
    <xf numFmtId="168" fontId="10" fillId="0" borderId="0" xfId="181" applyNumberFormat="1" applyFont="1" applyFill="1" applyBorder="1" applyProtection="1"/>
    <xf numFmtId="0" fontId="3" fillId="0" borderId="7" xfId="4" applyFont="1" applyBorder="1"/>
    <xf numFmtId="194" fontId="3" fillId="0" borderId="0" xfId="158" applyNumberFormat="1" applyFont="1" applyFill="1" applyBorder="1" applyProtection="1"/>
    <xf numFmtId="176" fontId="2" fillId="0" borderId="0" xfId="24" applyNumberFormat="1" applyFont="1" applyFill="1" applyBorder="1" applyProtection="1"/>
    <xf numFmtId="0" fontId="24" fillId="0" borderId="0" xfId="4" applyFont="1"/>
    <xf numFmtId="0" fontId="25" fillId="0" borderId="17" xfId="4" applyFont="1" applyBorder="1"/>
    <xf numFmtId="0" fontId="25" fillId="0" borderId="15" xfId="4" applyFont="1" applyBorder="1"/>
    <xf numFmtId="176" fontId="3" fillId="0" borderId="0" xfId="24" applyNumberFormat="1" applyFont="1" applyFill="1" applyBorder="1" applyProtection="1"/>
    <xf numFmtId="0" fontId="25" fillId="0" borderId="13" xfId="4" applyFont="1" applyBorder="1"/>
    <xf numFmtId="177" fontId="48" fillId="0" borderId="5" xfId="4" applyNumberFormat="1" applyFont="1" applyBorder="1"/>
    <xf numFmtId="168" fontId="25" fillId="0" borderId="34" xfId="4" applyNumberFormat="1" applyFont="1" applyBorder="1" applyAlignment="1">
      <alignment horizontal="center" vertical="center"/>
    </xf>
    <xf numFmtId="168" fontId="25" fillId="0" borderId="35" xfId="4" applyNumberFormat="1" applyFont="1" applyBorder="1" applyAlignment="1">
      <alignment horizontal="center" vertical="center"/>
    </xf>
    <xf numFmtId="168" fontId="23" fillId="14" borderId="35" xfId="4" applyNumberFormat="1" applyFont="1" applyFill="1" applyBorder="1" applyAlignment="1">
      <alignment horizontal="center" vertical="center"/>
    </xf>
    <xf numFmtId="168" fontId="25" fillId="0" borderId="36" xfId="4" applyNumberFormat="1" applyFont="1" applyBorder="1" applyAlignment="1">
      <alignment horizontal="center" vertical="center"/>
    </xf>
    <xf numFmtId="0" fontId="47" fillId="0" borderId="7" xfId="4" applyFont="1" applyBorder="1"/>
    <xf numFmtId="167" fontId="47" fillId="0" borderId="0" xfId="24" applyFont="1" applyBorder="1"/>
    <xf numFmtId="167" fontId="47" fillId="0" borderId="0" xfId="24" applyFont="1" applyFill="1" applyBorder="1"/>
    <xf numFmtId="168" fontId="25" fillId="0" borderId="37" xfId="4" applyNumberFormat="1" applyFont="1" applyBorder="1" applyAlignment="1">
      <alignment horizontal="center"/>
    </xf>
    <xf numFmtId="195" fontId="25" fillId="0" borderId="17" xfId="4" applyNumberFormat="1" applyFont="1" applyBorder="1" applyAlignment="1">
      <alignment horizontal="center" vertical="center"/>
    </xf>
    <xf numFmtId="195" fontId="25" fillId="0" borderId="16" xfId="4" applyNumberFormat="1" applyFont="1" applyBorder="1" applyAlignment="1">
      <alignment horizontal="center" vertical="center"/>
    </xf>
    <xf numFmtId="195" fontId="25" fillId="0" borderId="15" xfId="4" applyNumberFormat="1" applyFont="1" applyBorder="1" applyAlignment="1">
      <alignment horizontal="center" vertical="center"/>
    </xf>
    <xf numFmtId="168" fontId="25" fillId="0" borderId="38" xfId="4" applyNumberFormat="1" applyFont="1" applyBorder="1" applyAlignment="1">
      <alignment horizontal="center"/>
    </xf>
    <xf numFmtId="195" fontId="25" fillId="0" borderId="7" xfId="4" applyNumberFormat="1" applyFont="1" applyBorder="1" applyAlignment="1">
      <alignment horizontal="center" vertical="center"/>
    </xf>
    <xf numFmtId="195" fontId="25" fillId="0" borderId="0" xfId="4" applyNumberFormat="1" applyFont="1" applyBorder="1" applyAlignment="1">
      <alignment horizontal="center" vertical="center"/>
    </xf>
    <xf numFmtId="195" fontId="25" fillId="0" borderId="14" xfId="4" applyNumberFormat="1" applyFont="1" applyBorder="1" applyAlignment="1">
      <alignment horizontal="center" vertical="center"/>
    </xf>
    <xf numFmtId="0" fontId="3" fillId="0" borderId="13" xfId="4" applyFont="1" applyBorder="1"/>
    <xf numFmtId="176" fontId="3" fillId="0" borderId="5" xfId="24" applyNumberFormat="1" applyFont="1" applyFill="1" applyBorder="1" applyProtection="1"/>
    <xf numFmtId="176" fontId="2" fillId="0" borderId="5" xfId="24" applyNumberFormat="1" applyFont="1" applyFill="1" applyBorder="1" applyProtection="1"/>
    <xf numFmtId="168" fontId="23" fillId="14" borderId="38" xfId="4" applyNumberFormat="1" applyFont="1" applyFill="1" applyBorder="1" applyAlignment="1">
      <alignment horizontal="center"/>
    </xf>
    <xf numFmtId="195" fontId="25" fillId="14" borderId="0" xfId="4" applyNumberFormat="1" applyFont="1" applyFill="1" applyBorder="1" applyAlignment="1">
      <alignment horizontal="center" vertical="center"/>
    </xf>
    <xf numFmtId="0" fontId="5" fillId="4" borderId="15" xfId="4" applyFont="1" applyFill="1" applyBorder="1" applyAlignment="1">
      <alignment horizontal="right"/>
    </xf>
    <xf numFmtId="168" fontId="25" fillId="0" borderId="39" xfId="4" applyNumberFormat="1" applyFont="1" applyBorder="1" applyAlignment="1">
      <alignment horizontal="center"/>
    </xf>
    <xf numFmtId="195" fontId="25" fillId="0" borderId="13" xfId="4" applyNumberFormat="1" applyFont="1" applyBorder="1" applyAlignment="1">
      <alignment horizontal="center" vertical="center"/>
    </xf>
    <xf numFmtId="195" fontId="25" fillId="0" borderId="5" xfId="4" applyNumberFormat="1" applyFont="1" applyBorder="1" applyAlignment="1">
      <alignment horizontal="center" vertical="center"/>
    </xf>
    <xf numFmtId="195" fontId="25" fillId="0" borderId="12" xfId="4" applyNumberFormat="1" applyFont="1" applyBorder="1" applyAlignment="1">
      <alignment horizontal="center" vertical="center"/>
    </xf>
    <xf numFmtId="196" fontId="11" fillId="15" borderId="14" xfId="181" applyNumberFormat="1" applyFont="1" applyFill="1" applyBorder="1" applyAlignment="1">
      <alignment horizontal="right"/>
    </xf>
    <xf numFmtId="0" fontId="2" fillId="13" borderId="7" xfId="4" applyFont="1" applyFill="1" applyBorder="1"/>
    <xf numFmtId="197" fontId="2" fillId="0" borderId="14" xfId="181" applyNumberFormat="1" applyFont="1" applyFill="1" applyBorder="1" applyAlignment="1">
      <alignment horizontal="right"/>
    </xf>
    <xf numFmtId="49" fontId="25" fillId="0" borderId="0" xfId="4" applyNumberFormat="1" applyFont="1" applyAlignment="1">
      <alignment horizontal="center" vertical="center" textRotation="90"/>
    </xf>
    <xf numFmtId="176" fontId="2" fillId="0" borderId="14" xfId="24" applyNumberFormat="1" applyFont="1" applyFill="1" applyBorder="1" applyProtection="1"/>
    <xf numFmtId="176" fontId="3" fillId="0" borderId="12" xfId="24" applyNumberFormat="1" applyFont="1" applyFill="1" applyBorder="1" applyProtection="1"/>
    <xf numFmtId="176" fontId="2" fillId="0" borderId="0" xfId="24" applyNumberFormat="1" applyFont="1" applyFill="1" applyProtection="1"/>
    <xf numFmtId="176" fontId="3" fillId="17" borderId="16" xfId="24" applyNumberFormat="1" applyFont="1" applyFill="1" applyBorder="1" applyProtection="1"/>
    <xf numFmtId="0" fontId="3" fillId="0" borderId="17" xfId="4" applyFont="1" applyBorder="1"/>
    <xf numFmtId="176" fontId="3" fillId="0" borderId="15" xfId="24" applyNumberFormat="1" applyFont="1" applyFill="1" applyBorder="1" applyProtection="1"/>
    <xf numFmtId="195" fontId="25" fillId="0" borderId="34" xfId="4" applyNumberFormat="1" applyFont="1" applyBorder="1" applyAlignment="1">
      <alignment horizontal="center" vertical="center"/>
    </xf>
    <xf numFmtId="195" fontId="25" fillId="0" borderId="35" xfId="4" applyNumberFormat="1" applyFont="1" applyBorder="1" applyAlignment="1">
      <alignment horizontal="center" vertical="center"/>
    </xf>
    <xf numFmtId="195" fontId="23" fillId="14" borderId="35" xfId="4" applyNumberFormat="1" applyFont="1" applyFill="1" applyBorder="1" applyAlignment="1">
      <alignment horizontal="center" vertical="center"/>
    </xf>
    <xf numFmtId="195" fontId="25" fillId="0" borderId="36" xfId="4" applyNumberFormat="1" applyFont="1" applyBorder="1" applyAlignment="1">
      <alignment horizontal="center" vertical="center"/>
    </xf>
    <xf numFmtId="0" fontId="49" fillId="0" borderId="7" xfId="4" applyFont="1" applyBorder="1"/>
    <xf numFmtId="176" fontId="3" fillId="0" borderId="14" xfId="24" applyNumberFormat="1" applyFont="1" applyFill="1" applyBorder="1" applyProtection="1"/>
    <xf numFmtId="0" fontId="3" fillId="13" borderId="7" xfId="4" applyFont="1" applyFill="1" applyBorder="1"/>
    <xf numFmtId="176" fontId="3" fillId="13" borderId="14" xfId="24" applyNumberFormat="1" applyFont="1" applyFill="1" applyBorder="1" applyProtection="1"/>
    <xf numFmtId="0" fontId="3" fillId="13" borderId="34" xfId="4" applyFont="1" applyFill="1" applyBorder="1"/>
    <xf numFmtId="177" fontId="3" fillId="13" borderId="36" xfId="24" applyNumberFormat="1" applyFont="1" applyFill="1" applyBorder="1" applyProtection="1"/>
    <xf numFmtId="0" fontId="5" fillId="4" borderId="40" xfId="3" applyFont="1" applyFill="1" applyBorder="1" applyAlignment="1">
      <alignment horizontal="left"/>
    </xf>
    <xf numFmtId="0" fontId="5" fillId="4" borderId="41" xfId="3" applyFont="1" applyFill="1" applyBorder="1" applyAlignment="1">
      <alignment horizontal="left"/>
    </xf>
    <xf numFmtId="0" fontId="2" fillId="3" borderId="7" xfId="3" applyFont="1" applyFill="1" applyBorder="1"/>
    <xf numFmtId="198" fontId="11" fillId="3" borderId="14" xfId="181" applyNumberFormat="1" applyFont="1" applyFill="1" applyBorder="1" applyAlignment="1">
      <alignment horizontal="right"/>
    </xf>
    <xf numFmtId="0" fontId="5" fillId="4" borderId="40" xfId="3" applyFont="1" applyFill="1" applyBorder="1" applyAlignment="1">
      <alignment horizontal="center"/>
    </xf>
    <xf numFmtId="0" fontId="5" fillId="4" borderId="40" xfId="3" applyFont="1" applyFill="1" applyBorder="1" applyAlignment="1">
      <alignment horizontal="right"/>
    </xf>
    <xf numFmtId="0" fontId="5" fillId="4" borderId="42" xfId="3" applyFont="1" applyFill="1" applyBorder="1" applyAlignment="1">
      <alignment horizontal="center"/>
    </xf>
    <xf numFmtId="198" fontId="2" fillId="3" borderId="14" xfId="181" applyNumberFormat="1" applyFont="1" applyFill="1" applyBorder="1" applyAlignment="1"/>
    <xf numFmtId="0" fontId="2" fillId="0" borderId="7" xfId="3" applyFont="1" applyFill="1" applyBorder="1"/>
    <xf numFmtId="177" fontId="25" fillId="0" borderId="0" xfId="4" applyNumberFormat="1" applyFont="1" applyFill="1" applyBorder="1" applyAlignment="1">
      <alignment horizontal="center"/>
    </xf>
    <xf numFmtId="9" fontId="50" fillId="0" borderId="0" xfId="4" applyNumberFormat="1" applyFont="1" applyFill="1" applyBorder="1" applyAlignment="1">
      <alignment horizontal="right"/>
    </xf>
    <xf numFmtId="195" fontId="25" fillId="0" borderId="14" xfId="4" applyNumberFormat="1" applyFont="1" applyBorder="1" applyAlignment="1">
      <alignment horizontal="right"/>
    </xf>
    <xf numFmtId="0" fontId="50" fillId="0" borderId="0" xfId="4" applyFont="1" applyFill="1" applyBorder="1" applyAlignment="1">
      <alignment horizontal="right"/>
    </xf>
    <xf numFmtId="199" fontId="11" fillId="3" borderId="14" xfId="181" applyNumberFormat="1" applyFont="1" applyFill="1" applyBorder="1" applyAlignment="1">
      <alignment horizontal="right"/>
    </xf>
    <xf numFmtId="177" fontId="25" fillId="16" borderId="0" xfId="4" applyNumberFormat="1" applyFont="1" applyFill="1" applyBorder="1" applyAlignment="1">
      <alignment horizontal="center"/>
    </xf>
    <xf numFmtId="198" fontId="2" fillId="3" borderId="14" xfId="181" applyNumberFormat="1" applyFont="1" applyFill="1" applyBorder="1"/>
    <xf numFmtId="0" fontId="6" fillId="0" borderId="7" xfId="4" applyFill="1" applyBorder="1"/>
    <xf numFmtId="0" fontId="6" fillId="0" borderId="0" xfId="4" applyFill="1" applyBorder="1" applyAlignment="1">
      <alignment horizontal="center"/>
    </xf>
    <xf numFmtId="0" fontId="6" fillId="0" borderId="14" xfId="4" applyBorder="1" applyAlignment="1">
      <alignment horizontal="center"/>
    </xf>
    <xf numFmtId="198" fontId="2" fillId="0" borderId="14" xfId="181" applyNumberFormat="1" applyFont="1" applyFill="1" applyBorder="1"/>
    <xf numFmtId="177" fontId="3" fillId="13" borderId="35" xfId="24" applyNumberFormat="1" applyFont="1" applyFill="1" applyBorder="1" applyAlignment="1" applyProtection="1">
      <alignment horizontal="center"/>
    </xf>
    <xf numFmtId="0" fontId="3" fillId="13" borderId="35" xfId="4" applyFont="1" applyFill="1" applyBorder="1" applyAlignment="1">
      <alignment horizontal="center"/>
    </xf>
    <xf numFmtId="177" fontId="3" fillId="13" borderId="36" xfId="24" applyNumberFormat="1" applyFont="1" applyFill="1" applyBorder="1" applyAlignment="1" applyProtection="1">
      <alignment horizontal="center"/>
    </xf>
    <xf numFmtId="198" fontId="11" fillId="15" borderId="14" xfId="181" applyNumberFormat="1" applyFont="1" applyFill="1" applyBorder="1" applyAlignment="1">
      <alignment horizontal="right"/>
    </xf>
    <xf numFmtId="0" fontId="3" fillId="3" borderId="13" xfId="3" applyFont="1" applyFill="1" applyBorder="1"/>
    <xf numFmtId="198" fontId="3" fillId="3" borderId="12" xfId="181" applyNumberFormat="1" applyFont="1" applyFill="1" applyBorder="1"/>
    <xf numFmtId="37" fontId="2" fillId="0" borderId="17" xfId="3" applyNumberFormat="1" applyFont="1" applyFill="1" applyBorder="1" applyAlignment="1">
      <alignment horizontal="left"/>
    </xf>
    <xf numFmtId="10" fontId="51" fillId="0" borderId="16" xfId="181" applyNumberFormat="1" applyFont="1" applyFill="1" applyBorder="1"/>
    <xf numFmtId="37" fontId="2" fillId="0" borderId="16" xfId="3" applyNumberFormat="1" applyFont="1" applyFill="1" applyBorder="1" applyAlignment="1">
      <alignment horizontal="left" indent="1"/>
    </xf>
    <xf numFmtId="0" fontId="6" fillId="0" borderId="16" xfId="4" applyBorder="1"/>
    <xf numFmtId="0" fontId="6" fillId="0" borderId="15" xfId="4" applyBorder="1"/>
    <xf numFmtId="37" fontId="2" fillId="0" borderId="7" xfId="3" applyNumberFormat="1" applyFont="1" applyFill="1" applyBorder="1" applyAlignment="1">
      <alignment horizontal="left"/>
    </xf>
    <xf numFmtId="10" fontId="51" fillId="0" borderId="0" xfId="181" applyNumberFormat="1" applyFont="1" applyFill="1" applyBorder="1"/>
    <xf numFmtId="37" fontId="2" fillId="0" borderId="0" xfId="3" applyNumberFormat="1" applyFont="1" applyFill="1" applyBorder="1" applyAlignment="1">
      <alignment horizontal="left" indent="1"/>
    </xf>
    <xf numFmtId="0" fontId="6" fillId="0" borderId="0" xfId="4" applyBorder="1"/>
    <xf numFmtId="0" fontId="6" fillId="0" borderId="14" xfId="4" applyBorder="1"/>
    <xf numFmtId="37" fontId="2" fillId="0" borderId="13" xfId="3" applyNumberFormat="1" applyFont="1" applyFill="1" applyBorder="1" applyAlignment="1">
      <alignment horizontal="left"/>
    </xf>
    <xf numFmtId="2" fontId="51" fillId="0" borderId="5" xfId="181" applyNumberFormat="1" applyFont="1" applyFill="1" applyBorder="1"/>
    <xf numFmtId="37" fontId="2" fillId="0" borderId="5" xfId="3" applyNumberFormat="1" applyFont="1" applyFill="1" applyBorder="1" applyAlignment="1">
      <alignment horizontal="left" indent="1"/>
    </xf>
    <xf numFmtId="0" fontId="6" fillId="0" borderId="5" xfId="4" applyBorder="1"/>
    <xf numFmtId="0" fontId="6" fillId="0" borderId="12" xfId="4" applyBorder="1"/>
    <xf numFmtId="167" fontId="5" fillId="4" borderId="14" xfId="24" applyNumberFormat="1" applyFont="1" applyFill="1" applyBorder="1" applyAlignment="1">
      <alignment horizontal="right"/>
    </xf>
    <xf numFmtId="0" fontId="5" fillId="4" borderId="43" xfId="4" applyFont="1" applyFill="1" applyBorder="1" applyAlignment="1">
      <alignment horizontal="right"/>
    </xf>
    <xf numFmtId="175" fontId="2" fillId="0" borderId="0" xfId="158" applyNumberFormat="1" applyFont="1" applyFill="1" applyBorder="1" applyProtection="1"/>
    <xf numFmtId="167" fontId="2" fillId="0" borderId="0" xfId="24" applyNumberFormat="1" applyFont="1" applyFill="1" applyBorder="1" applyProtection="1"/>
    <xf numFmtId="176" fontId="2" fillId="0" borderId="12" xfId="24" applyNumberFormat="1" applyFont="1" applyFill="1" applyBorder="1" applyProtection="1"/>
    <xf numFmtId="0" fontId="2" fillId="0" borderId="0" xfId="4" applyFont="1" applyBorder="1"/>
    <xf numFmtId="38" fontId="2" fillId="0" borderId="0" xfId="4" applyNumberFormat="1" applyFont="1"/>
    <xf numFmtId="0" fontId="5" fillId="4" borderId="26" xfId="4" applyFont="1" applyFill="1" applyBorder="1" applyAlignment="1"/>
    <xf numFmtId="37" fontId="5" fillId="4" borderId="0" xfId="4" applyNumberFormat="1" applyFont="1" applyFill="1" applyBorder="1" applyAlignment="1">
      <alignment horizontal="right"/>
    </xf>
    <xf numFmtId="37" fontId="5" fillId="4" borderId="14" xfId="4" applyNumberFormat="1" applyFont="1" applyFill="1" applyBorder="1" applyAlignment="1">
      <alignment horizontal="right"/>
    </xf>
    <xf numFmtId="37" fontId="5" fillId="4" borderId="21" xfId="4" applyNumberFormat="1" applyFont="1" applyFill="1" applyBorder="1" applyAlignment="1">
      <alignment horizontal="right"/>
    </xf>
    <xf numFmtId="37" fontId="5" fillId="4" borderId="25" xfId="4" applyNumberFormat="1" applyFont="1" applyFill="1" applyBorder="1" applyAlignment="1">
      <alignment horizontal="right"/>
    </xf>
    <xf numFmtId="0" fontId="3" fillId="0" borderId="0" xfId="4" applyFont="1"/>
    <xf numFmtId="0" fontId="5" fillId="4" borderId="3" xfId="4" applyFont="1" applyFill="1" applyBorder="1" applyAlignment="1"/>
    <xf numFmtId="166" fontId="3" fillId="3" borderId="3" xfId="182" applyFont="1" applyFill="1" applyBorder="1"/>
    <xf numFmtId="1" fontId="3" fillId="3" borderId="0" xfId="4" applyNumberFormat="1" applyFont="1" applyFill="1" applyBorder="1" applyAlignment="1">
      <alignment horizontal="right"/>
    </xf>
    <xf numFmtId="1" fontId="3" fillId="3" borderId="14" xfId="4" applyNumberFormat="1" applyFont="1" applyFill="1" applyBorder="1" applyAlignment="1">
      <alignment horizontal="right"/>
    </xf>
    <xf numFmtId="166" fontId="2" fillId="3" borderId="3" xfId="182" applyFont="1" applyFill="1" applyBorder="1" applyAlignment="1">
      <alignment horizontal="left" vertical="center"/>
    </xf>
    <xf numFmtId="37" fontId="2" fillId="3" borderId="0" xfId="4" applyNumberFormat="1" applyFont="1" applyFill="1" applyBorder="1"/>
    <xf numFmtId="37" fontId="2" fillId="3" borderId="14" xfId="4" applyNumberFormat="1" applyFont="1" applyFill="1" applyBorder="1"/>
    <xf numFmtId="0" fontId="12" fillId="0" borderId="3" xfId="4" applyFont="1" applyBorder="1" applyAlignment="1"/>
    <xf numFmtId="37" fontId="10" fillId="0" borderId="0" xfId="4" applyNumberFormat="1" applyFont="1"/>
    <xf numFmtId="37" fontId="12" fillId="0" borderId="3" xfId="4" applyNumberFormat="1" applyFont="1" applyBorder="1"/>
    <xf numFmtId="37" fontId="12" fillId="0" borderId="3" xfId="4" applyNumberFormat="1" applyFont="1" applyFill="1" applyBorder="1"/>
    <xf numFmtId="37" fontId="5" fillId="4" borderId="25" xfId="4" applyNumberFormat="1" applyFont="1" applyFill="1" applyBorder="1"/>
    <xf numFmtId="0" fontId="12" fillId="0" borderId="3" xfId="4" applyFont="1" applyBorder="1" applyAlignment="1">
      <alignment wrapText="1"/>
    </xf>
    <xf numFmtId="37" fontId="5" fillId="4" borderId="0" xfId="4" applyNumberFormat="1" applyFont="1" applyFill="1" applyBorder="1"/>
    <xf numFmtId="37" fontId="5" fillId="4" borderId="14" xfId="4" applyNumberFormat="1" applyFont="1" applyFill="1" applyBorder="1"/>
    <xf numFmtId="37" fontId="5" fillId="4" borderId="3" xfId="4" applyNumberFormat="1" applyFont="1" applyFill="1" applyBorder="1" applyAlignment="1"/>
    <xf numFmtId="37" fontId="12" fillId="0" borderId="3" xfId="4" applyNumberFormat="1" applyFont="1" applyBorder="1" applyAlignment="1"/>
    <xf numFmtId="37" fontId="3" fillId="3" borderId="0" xfId="4" applyNumberFormat="1" applyFont="1" applyFill="1" applyBorder="1"/>
    <xf numFmtId="37" fontId="3" fillId="3" borderId="14" xfId="4" applyNumberFormat="1" applyFont="1" applyFill="1" applyBorder="1"/>
    <xf numFmtId="0" fontId="15" fillId="0" borderId="3" xfId="4" applyFont="1" applyBorder="1" applyAlignment="1"/>
    <xf numFmtId="37" fontId="45" fillId="0" borderId="0" xfId="4" applyNumberFormat="1" applyFont="1"/>
    <xf numFmtId="166" fontId="5" fillId="4" borderId="26" xfId="182" applyFont="1" applyFill="1" applyBorder="1"/>
    <xf numFmtId="0" fontId="47" fillId="0" borderId="0" xfId="4" applyFont="1" applyFill="1" applyBorder="1"/>
    <xf numFmtId="176" fontId="47" fillId="3" borderId="0" xfId="157" applyNumberFormat="1" applyFont="1" applyFill="1" applyBorder="1"/>
    <xf numFmtId="0" fontId="47" fillId="0" borderId="0" xfId="4" applyFont="1"/>
    <xf numFmtId="9" fontId="2" fillId="0" borderId="0" xfId="4" applyNumberFormat="1" applyFont="1" applyBorder="1"/>
    <xf numFmtId="0" fontId="2" fillId="0" borderId="0" xfId="4" applyFont="1" applyFill="1" applyBorder="1"/>
    <xf numFmtId="37" fontId="15" fillId="0" borderId="3" xfId="4" applyNumberFormat="1" applyFont="1" applyBorder="1"/>
    <xf numFmtId="37" fontId="15" fillId="0" borderId="3" xfId="4" applyNumberFormat="1" applyFont="1" applyFill="1" applyBorder="1"/>
    <xf numFmtId="0" fontId="0" fillId="0" borderId="1" xfId="0" applyBorder="1"/>
    <xf numFmtId="14" fontId="0" fillId="0" borderId="1" xfId="0" applyNumberFormat="1" applyBorder="1"/>
    <xf numFmtId="0" fontId="0" fillId="18" borderId="1" xfId="0" applyFill="1" applyBorder="1" applyAlignment="1">
      <alignment wrapText="1"/>
    </xf>
    <xf numFmtId="0" fontId="0" fillId="18" borderId="1" xfId="0" applyFill="1" applyBorder="1"/>
    <xf numFmtId="4" fontId="0" fillId="18" borderId="1" xfId="0" applyNumberFormat="1" applyFill="1" applyBorder="1"/>
    <xf numFmtId="10" fontId="0" fillId="18" borderId="1" xfId="0" applyNumberFormat="1" applyFill="1" applyBorder="1"/>
    <xf numFmtId="3" fontId="0" fillId="18" borderId="1" xfId="0" applyNumberFormat="1" applyFill="1" applyBorder="1"/>
    <xf numFmtId="0" fontId="0" fillId="19" borderId="1" xfId="0" applyFill="1" applyBorder="1" applyAlignment="1">
      <alignment wrapText="1"/>
    </xf>
    <xf numFmtId="0" fontId="0" fillId="19" borderId="1" xfId="0" applyFill="1" applyBorder="1"/>
    <xf numFmtId="10" fontId="0" fillId="19" borderId="1" xfId="0" applyNumberFormat="1" applyFill="1" applyBorder="1"/>
    <xf numFmtId="0" fontId="0" fillId="20" borderId="1" xfId="0" applyFill="1" applyBorder="1" applyAlignment="1">
      <alignment wrapText="1"/>
    </xf>
    <xf numFmtId="0" fontId="0" fillId="20" borderId="1" xfId="0" applyFill="1" applyBorder="1"/>
    <xf numFmtId="10" fontId="0" fillId="20" borderId="1" xfId="0" applyNumberFormat="1" applyFill="1" applyBorder="1"/>
    <xf numFmtId="0" fontId="0" fillId="21" borderId="1" xfId="0" applyFill="1" applyBorder="1" applyAlignment="1">
      <alignment wrapText="1"/>
    </xf>
    <xf numFmtId="0" fontId="0" fillId="21" borderId="1" xfId="0" applyFill="1" applyBorder="1"/>
    <xf numFmtId="10" fontId="0" fillId="21" borderId="1" xfId="0" applyNumberFormat="1" applyFill="1" applyBorder="1"/>
    <xf numFmtId="0" fontId="0" fillId="22" borderId="1" xfId="0" applyFill="1" applyBorder="1"/>
    <xf numFmtId="10" fontId="0" fillId="22" borderId="1" xfId="0" applyNumberFormat="1" applyFill="1" applyBorder="1"/>
    <xf numFmtId="0" fontId="0" fillId="6" borderId="1" xfId="0" applyFill="1" applyBorder="1"/>
    <xf numFmtId="10" fontId="0" fillId="6" borderId="1" xfId="0" applyNumberFormat="1" applyFill="1" applyBorder="1"/>
    <xf numFmtId="0" fontId="0" fillId="23" borderId="1" xfId="0" applyFill="1" applyBorder="1" applyAlignment="1">
      <alignment wrapText="1"/>
    </xf>
    <xf numFmtId="0" fontId="0" fillId="23" borderId="1" xfId="0" applyFill="1" applyBorder="1"/>
    <xf numFmtId="10" fontId="0" fillId="23" borderId="1" xfId="0" applyNumberFormat="1" applyFill="1" applyBorder="1"/>
    <xf numFmtId="0" fontId="0" fillId="24" borderId="1" xfId="0" applyFill="1" applyBorder="1"/>
    <xf numFmtId="10" fontId="0" fillId="24" borderId="1" xfId="0" applyNumberFormat="1" applyFill="1" applyBorder="1"/>
    <xf numFmtId="0" fontId="0" fillId="8" borderId="1" xfId="0" applyFill="1" applyBorder="1"/>
    <xf numFmtId="10" fontId="0" fillId="8" borderId="1" xfId="0" applyNumberFormat="1" applyFill="1" applyBorder="1"/>
    <xf numFmtId="0" fontId="0" fillId="25" borderId="1" xfId="0" applyFill="1" applyBorder="1"/>
    <xf numFmtId="10" fontId="0" fillId="25" borderId="1" xfId="0" applyNumberFormat="1" applyFill="1" applyBorder="1"/>
    <xf numFmtId="0" fontId="0" fillId="7" borderId="1" xfId="0" applyFill="1" applyBorder="1"/>
    <xf numFmtId="10" fontId="0" fillId="7" borderId="1" xfId="0" applyNumberFormat="1" applyFill="1" applyBorder="1"/>
    <xf numFmtId="0" fontId="0" fillId="24" borderId="1" xfId="0" applyFill="1" applyBorder="1" applyAlignment="1">
      <alignment wrapText="1"/>
    </xf>
    <xf numFmtId="0" fontId="0" fillId="22" borderId="1" xfId="0" applyFill="1" applyBorder="1" applyAlignment="1">
      <alignment wrapText="1"/>
    </xf>
    <xf numFmtId="0" fontId="0" fillId="7" borderId="1" xfId="0" applyFill="1" applyBorder="1" applyAlignment="1">
      <alignment wrapText="1"/>
    </xf>
    <xf numFmtId="0" fontId="0" fillId="25" borderId="1" xfId="0" applyFill="1" applyBorder="1" applyAlignment="1">
      <alignment wrapText="1"/>
    </xf>
    <xf numFmtId="0" fontId="0" fillId="26" borderId="1" xfId="0" applyFill="1" applyBorder="1" applyAlignment="1">
      <alignment wrapText="1"/>
    </xf>
    <xf numFmtId="0" fontId="0" fillId="26" borderId="1" xfId="0" applyFill="1" applyBorder="1"/>
    <xf numFmtId="10" fontId="0" fillId="26" borderId="1" xfId="0" applyNumberFormat="1" applyFill="1" applyBorder="1"/>
    <xf numFmtId="9" fontId="0" fillId="0" borderId="1" xfId="2" applyFont="1" applyBorder="1"/>
    <xf numFmtId="0" fontId="0" fillId="19" borderId="34" xfId="0" applyFill="1" applyBorder="1" applyAlignment="1">
      <alignment wrapText="1"/>
    </xf>
    <xf numFmtId="0" fontId="0" fillId="21" borderId="34" xfId="0" applyFill="1" applyBorder="1"/>
    <xf numFmtId="0" fontId="0" fillId="6" borderId="34" xfId="0" applyFill="1" applyBorder="1"/>
    <xf numFmtId="0" fontId="0" fillId="23" borderId="34" xfId="0" applyFill="1" applyBorder="1" applyAlignment="1">
      <alignment wrapText="1"/>
    </xf>
    <xf numFmtId="0" fontId="0" fillId="8" borderId="34" xfId="0" applyFill="1" applyBorder="1"/>
    <xf numFmtId="0" fontId="0" fillId="24" borderId="34" xfId="0" applyFill="1" applyBorder="1" applyAlignment="1">
      <alignment wrapText="1"/>
    </xf>
    <xf numFmtId="0" fontId="0" fillId="25" borderId="34" xfId="0" applyFill="1" applyBorder="1" applyAlignment="1">
      <alignment wrapText="1"/>
    </xf>
    <xf numFmtId="0" fontId="0" fillId="26" borderId="34" xfId="0" applyFill="1" applyBorder="1" applyAlignment="1">
      <alignment wrapText="1"/>
    </xf>
    <xf numFmtId="0" fontId="0" fillId="22" borderId="34" xfId="0" applyFill="1" applyBorder="1" applyAlignment="1">
      <alignment wrapText="1"/>
    </xf>
    <xf numFmtId="0" fontId="0" fillId="20" borderId="34" xfId="0" applyFill="1" applyBorder="1" applyAlignment="1">
      <alignment wrapText="1"/>
    </xf>
    <xf numFmtId="0" fontId="0" fillId="7" borderId="34" xfId="0" applyFill="1" applyBorder="1" applyAlignment="1">
      <alignment wrapText="1"/>
    </xf>
    <xf numFmtId="0" fontId="0" fillId="18" borderId="34" xfId="0" applyFill="1" applyBorder="1" applyAlignment="1">
      <alignment wrapText="1"/>
    </xf>
    <xf numFmtId="2" fontId="0" fillId="0" borderId="1" xfId="0" applyNumberFormat="1" applyBorder="1" applyAlignment="1">
      <alignment horizontal="left"/>
    </xf>
    <xf numFmtId="0" fontId="55" fillId="27" borderId="0" xfId="0" applyFont="1" applyFill="1"/>
    <xf numFmtId="0" fontId="56" fillId="27" borderId="1" xfId="0" applyFont="1" applyFill="1" applyBorder="1"/>
    <xf numFmtId="166" fontId="5" fillId="4" borderId="19" xfId="182" applyFont="1" applyFill="1" applyBorder="1"/>
    <xf numFmtId="9" fontId="2" fillId="0" borderId="0" xfId="2" applyFont="1"/>
    <xf numFmtId="0" fontId="2" fillId="0" borderId="1" xfId="0" applyFont="1" applyBorder="1"/>
    <xf numFmtId="0" fontId="2" fillId="0" borderId="1" xfId="0" applyFont="1" applyFill="1" applyBorder="1"/>
    <xf numFmtId="168" fontId="2" fillId="0" borderId="1" xfId="156" applyNumberFormat="1" applyFont="1" applyFill="1" applyBorder="1"/>
    <xf numFmtId="3" fontId="2" fillId="0" borderId="1" xfId="0" applyNumberFormat="1" applyFont="1" applyBorder="1"/>
    <xf numFmtId="3" fontId="2" fillId="0" borderId="1" xfId="0" applyNumberFormat="1" applyFont="1" applyFill="1" applyBorder="1"/>
    <xf numFmtId="168" fontId="2" fillId="3" borderId="1" xfId="0" applyNumberFormat="1" applyFont="1" applyFill="1" applyBorder="1"/>
    <xf numFmtId="168" fontId="2" fillId="0" borderId="1" xfId="0" applyNumberFormat="1" applyFont="1" applyFill="1" applyBorder="1"/>
    <xf numFmtId="9" fontId="2" fillId="0" borderId="1" xfId="2" applyFont="1" applyFill="1" applyBorder="1"/>
    <xf numFmtId="9" fontId="2" fillId="0" borderId="1" xfId="2" applyFont="1" applyBorder="1"/>
    <xf numFmtId="38" fontId="12" fillId="0" borderId="1" xfId="0" applyNumberFormat="1" applyFont="1" applyBorder="1" applyAlignment="1"/>
    <xf numFmtId="0" fontId="12" fillId="0" borderId="1" xfId="0" applyFont="1" applyBorder="1" applyAlignment="1"/>
    <xf numFmtId="38" fontId="12" fillId="0" borderId="1" xfId="0" applyNumberFormat="1" applyFont="1" applyFill="1" applyBorder="1" applyAlignment="1"/>
    <xf numFmtId="168" fontId="12" fillId="0" borderId="1" xfId="0" applyNumberFormat="1" applyFont="1" applyBorder="1" applyAlignment="1"/>
    <xf numFmtId="0" fontId="2" fillId="0" borderId="1" xfId="0" applyFont="1" applyBorder="1" applyAlignment="1"/>
    <xf numFmtId="0" fontId="15" fillId="12" borderId="1" xfId="0" applyFont="1" applyFill="1" applyBorder="1" applyAlignment="1"/>
    <xf numFmtId="0" fontId="15" fillId="0" borderId="1" xfId="0" applyFont="1" applyBorder="1" applyAlignment="1"/>
    <xf numFmtId="0" fontId="5" fillId="4" borderId="17" xfId="0" applyFont="1" applyFill="1" applyBorder="1" applyAlignment="1">
      <alignment horizontal="left"/>
    </xf>
    <xf numFmtId="0" fontId="5" fillId="4" borderId="16" xfId="0" applyFont="1" applyFill="1" applyBorder="1" applyAlignment="1">
      <alignment horizontal="right"/>
    </xf>
    <xf numFmtId="0" fontId="2" fillId="0" borderId="5" xfId="0" applyFont="1" applyBorder="1"/>
    <xf numFmtId="9" fontId="3" fillId="3" borderId="0" xfId="2" applyFont="1" applyFill="1" applyBorder="1"/>
    <xf numFmtId="9" fontId="2" fillId="0" borderId="0" xfId="5" applyNumberFormat="1" applyFont="1"/>
    <xf numFmtId="9" fontId="2" fillId="3" borderId="0" xfId="2" applyFont="1" applyFill="1" applyBorder="1"/>
    <xf numFmtId="9" fontId="12" fillId="3" borderId="0" xfId="2" applyFont="1" applyFill="1" applyBorder="1" applyAlignment="1"/>
    <xf numFmtId="176" fontId="25" fillId="14" borderId="0" xfId="1" applyNumberFormat="1" applyFont="1" applyFill="1" applyBorder="1" applyAlignment="1">
      <alignment horizontal="center" vertical="center"/>
    </xf>
    <xf numFmtId="0" fontId="57" fillId="0" borderId="0" xfId="0" applyFont="1"/>
    <xf numFmtId="0" fontId="3" fillId="13" borderId="11" xfId="4" applyFont="1" applyFill="1" applyBorder="1" applyAlignment="1">
      <alignment horizontal="center"/>
    </xf>
    <xf numFmtId="0" fontId="3" fillId="13" borderId="9" xfId="4" applyFont="1" applyFill="1" applyBorder="1" applyAlignment="1">
      <alignment horizontal="center"/>
    </xf>
    <xf numFmtId="0" fontId="23" fillId="0" borderId="34" xfId="4" applyFont="1" applyBorder="1" applyAlignment="1">
      <alignment horizontal="center"/>
    </xf>
    <xf numFmtId="0" fontId="23" fillId="0" borderId="35" xfId="4" applyFont="1" applyBorder="1" applyAlignment="1">
      <alignment horizontal="center"/>
    </xf>
    <xf numFmtId="0" fontId="23" fillId="0" borderId="36" xfId="4" applyFont="1" applyBorder="1" applyAlignment="1">
      <alignment horizontal="center"/>
    </xf>
    <xf numFmtId="49" fontId="23" fillId="0" borderId="37" xfId="4" applyNumberFormat="1" applyFont="1" applyBorder="1" applyAlignment="1">
      <alignment horizontal="center" vertical="center" textRotation="90" wrapText="1"/>
    </xf>
    <xf numFmtId="49" fontId="23" fillId="0" borderId="38" xfId="4" applyNumberFormat="1" applyFont="1" applyBorder="1" applyAlignment="1">
      <alignment horizontal="center" vertical="center" textRotation="90" wrapText="1"/>
    </xf>
    <xf numFmtId="49" fontId="23" fillId="0" borderId="39" xfId="4" applyNumberFormat="1" applyFont="1" applyBorder="1" applyAlignment="1">
      <alignment horizontal="center" vertical="center" textRotation="90" wrapText="1"/>
    </xf>
    <xf numFmtId="0" fontId="57" fillId="0" borderId="0" xfId="0" applyFont="1" applyAlignment="1">
      <alignment horizontal="justify" vertical="center" wrapText="1"/>
    </xf>
  </cellXfs>
  <cellStyles count="184">
    <cellStyle name="%" xfId="8"/>
    <cellStyle name="_M1_New" xfId="9"/>
    <cellStyle name="1992" xfId="10"/>
    <cellStyle name="Account[0]" xfId="11"/>
    <cellStyle name="Account[1]" xfId="12"/>
    <cellStyle name="Account[2]" xfId="13"/>
    <cellStyle name="Account[3]" xfId="14"/>
    <cellStyle name="Analyst Name" xfId="15"/>
    <cellStyle name="Analyst_Data" xfId="16"/>
    <cellStyle name="Arial6Bold" xfId="17"/>
    <cellStyle name="Arial8Bold" xfId="18"/>
    <cellStyle name="Arial8Italic" xfId="19"/>
    <cellStyle name="ArialNormal" xfId="20"/>
    <cellStyle name="BALANCE VER" xfId="21"/>
    <cellStyle name="Blank" xfId="22"/>
    <cellStyle name="c_HardInc " xfId="23"/>
    <cellStyle name="Comma" xfId="1" builtinId="3"/>
    <cellStyle name="Comma 2" xfId="7"/>
    <cellStyle name="Comma 2 2" xfId="157"/>
    <cellStyle name="Comma 3" xfId="24"/>
    <cellStyle name="Comma_HTIL 2" xfId="158"/>
    <cellStyle name="Cur" xfId="25"/>
    <cellStyle name="Currency 2" xfId="182"/>
    <cellStyle name="Date" xfId="26"/>
    <cellStyle name="EDComma0" xfId="27"/>
    <cellStyle name="EDComma1" xfId="28"/>
    <cellStyle name="EDComma2" xfId="29"/>
    <cellStyle name="EDCommaB0" xfId="30"/>
    <cellStyle name="EDCommaB1" xfId="31"/>
    <cellStyle name="EDCommaB2" xfId="32"/>
    <cellStyle name="EDDate" xfId="33"/>
    <cellStyle name="EDDateB" xfId="34"/>
    <cellStyle name="EDFullDate" xfId="35"/>
    <cellStyle name="EDNormal" xfId="36"/>
    <cellStyle name="EDPercent" xfId="37"/>
    <cellStyle name="EDPercent1" xfId="38"/>
    <cellStyle name="EDPercent2" xfId="39"/>
    <cellStyle name="EDRightText" xfId="40"/>
    <cellStyle name="EnterpriseTable[1]" xfId="41"/>
    <cellStyle name="ERROR" xfId="42"/>
    <cellStyle name="Figures[0]" xfId="43"/>
    <cellStyle name="fourdecplace" xfId="44"/>
    <cellStyle name="Heading1" xfId="45"/>
    <cellStyle name="Label_Manual" xfId="46"/>
    <cellStyle name="LEVERS69" xfId="47"/>
    <cellStyle name="mmm" xfId="48"/>
    <cellStyle name="mmm-yy" xfId="49"/>
    <cellStyle name="Nor" xfId="50"/>
    <cellStyle name="Normal" xfId="0" builtinId="0"/>
    <cellStyle name="Normal 2" xfId="4"/>
    <cellStyle name="Normal 2 2" xfId="51"/>
    <cellStyle name="Normal 25" xfId="52"/>
    <cellStyle name="Normal 3" xfId="5"/>
    <cellStyle name="Normal 4" xfId="183"/>
    <cellStyle name="Normal_Hedge Fund Template_Hindalco_Final" xfId="3"/>
    <cellStyle name="Note 10" xfId="159"/>
    <cellStyle name="Note 11" xfId="160"/>
    <cellStyle name="Note 12" xfId="161"/>
    <cellStyle name="Note 13" xfId="162"/>
    <cellStyle name="Note 14" xfId="163"/>
    <cellStyle name="Note 15" xfId="164"/>
    <cellStyle name="Note 16" xfId="165"/>
    <cellStyle name="Note 17" xfId="166"/>
    <cellStyle name="Note 18" xfId="167"/>
    <cellStyle name="Note 19" xfId="168"/>
    <cellStyle name="Note 2" xfId="169"/>
    <cellStyle name="Note 20" xfId="170"/>
    <cellStyle name="Note 21" xfId="171"/>
    <cellStyle name="Note 22" xfId="172"/>
    <cellStyle name="Note 23" xfId="173"/>
    <cellStyle name="Note 3" xfId="174"/>
    <cellStyle name="Note 4" xfId="175"/>
    <cellStyle name="Note 5" xfId="176"/>
    <cellStyle name="Note 6" xfId="177"/>
    <cellStyle name="Note 7" xfId="178"/>
    <cellStyle name="Note 8" xfId="179"/>
    <cellStyle name="Note 9" xfId="180"/>
    <cellStyle name="Percent" xfId="2" builtinId="5"/>
    <cellStyle name="Percent [1]" xfId="53"/>
    <cellStyle name="Percent 2" xfId="6"/>
    <cellStyle name="Percent 2 2" xfId="156"/>
    <cellStyle name="Percent 3" xfId="54"/>
    <cellStyle name="Percent 3 2" xfId="55"/>
    <cellStyle name="Percent 3 3" xfId="181"/>
    <cellStyle name="Percent 4" xfId="56"/>
    <cellStyle name="PETable[1]" xfId="57"/>
    <cellStyle name="Ratios[1]" xfId="58"/>
    <cellStyle name="s_HardInc " xfId="59"/>
    <cellStyle name="Standaard_WenV" xfId="60"/>
    <cellStyle name="Style 1" xfId="61"/>
    <cellStyle name="Style 10" xfId="62"/>
    <cellStyle name="Style 11" xfId="63"/>
    <cellStyle name="Style 12" xfId="64"/>
    <cellStyle name="Style 13" xfId="65"/>
    <cellStyle name="Style 14" xfId="66"/>
    <cellStyle name="Style 15" xfId="67"/>
    <cellStyle name="Style 16" xfId="68"/>
    <cellStyle name="Style 17" xfId="69"/>
    <cellStyle name="Style 18" xfId="70"/>
    <cellStyle name="Style 19" xfId="71"/>
    <cellStyle name="Style 2" xfId="72"/>
    <cellStyle name="Style 20" xfId="73"/>
    <cellStyle name="Style 21" xfId="74"/>
    <cellStyle name="Style 22" xfId="75"/>
    <cellStyle name="Style 23" xfId="76"/>
    <cellStyle name="Style 24" xfId="77"/>
    <cellStyle name="Style 25" xfId="78"/>
    <cellStyle name="Style 26" xfId="79"/>
    <cellStyle name="Style 27" xfId="80"/>
    <cellStyle name="Style 28" xfId="81"/>
    <cellStyle name="Style 29" xfId="82"/>
    <cellStyle name="Style 3" xfId="83"/>
    <cellStyle name="Style 30" xfId="84"/>
    <cellStyle name="Style 31" xfId="85"/>
    <cellStyle name="Style 32" xfId="86"/>
    <cellStyle name="Style 33" xfId="87"/>
    <cellStyle name="Style 34" xfId="88"/>
    <cellStyle name="Style 35" xfId="89"/>
    <cellStyle name="Style 36" xfId="90"/>
    <cellStyle name="Style 37" xfId="91"/>
    <cellStyle name="Style 38" xfId="92"/>
    <cellStyle name="Style 39" xfId="93"/>
    <cellStyle name="Style 4" xfId="94"/>
    <cellStyle name="Style 40" xfId="95"/>
    <cellStyle name="Style 41" xfId="96"/>
    <cellStyle name="Style 42" xfId="97"/>
    <cellStyle name="Style 43" xfId="98"/>
    <cellStyle name="Style 44" xfId="99"/>
    <cellStyle name="Style 45" xfId="100"/>
    <cellStyle name="Style 46" xfId="101"/>
    <cellStyle name="Style 47" xfId="102"/>
    <cellStyle name="Style 48" xfId="103"/>
    <cellStyle name="Style 49" xfId="104"/>
    <cellStyle name="Style 5" xfId="105"/>
    <cellStyle name="Style 50" xfId="106"/>
    <cellStyle name="Style 51" xfId="107"/>
    <cellStyle name="Style 52" xfId="108"/>
    <cellStyle name="Style 53" xfId="109"/>
    <cellStyle name="Style 54" xfId="110"/>
    <cellStyle name="Style 55" xfId="111"/>
    <cellStyle name="Style 56" xfId="112"/>
    <cellStyle name="Style 57" xfId="113"/>
    <cellStyle name="Style 58" xfId="114"/>
    <cellStyle name="Style 59" xfId="115"/>
    <cellStyle name="Style 6" xfId="116"/>
    <cellStyle name="Style 60" xfId="117"/>
    <cellStyle name="Style 61" xfId="118"/>
    <cellStyle name="Style 62" xfId="119"/>
    <cellStyle name="Style 63" xfId="120"/>
    <cellStyle name="Style 64" xfId="121"/>
    <cellStyle name="Style 65" xfId="122"/>
    <cellStyle name="Style 66" xfId="123"/>
    <cellStyle name="Style 67" xfId="124"/>
    <cellStyle name="Style 68" xfId="125"/>
    <cellStyle name="Style 69" xfId="126"/>
    <cellStyle name="Style 7" xfId="127"/>
    <cellStyle name="Style 70" xfId="128"/>
    <cellStyle name="Style 71" xfId="129"/>
    <cellStyle name="Style 72" xfId="130"/>
    <cellStyle name="Style 73" xfId="131"/>
    <cellStyle name="Style 74" xfId="132"/>
    <cellStyle name="Style 75" xfId="133"/>
    <cellStyle name="Style 76" xfId="134"/>
    <cellStyle name="Style 77" xfId="135"/>
    <cellStyle name="Style 78" xfId="136"/>
    <cellStyle name="Style 8" xfId="137"/>
    <cellStyle name="Style 9" xfId="138"/>
    <cellStyle name="SymbolBlue" xfId="139"/>
    <cellStyle name="Table body" xfId="140"/>
    <cellStyle name="Table subhead" xfId="141"/>
    <cellStyle name="Text" xfId="142"/>
    <cellStyle name="Text _Titles" xfId="143"/>
    <cellStyle name="Text_f4pg0502" xfId="144"/>
    <cellStyle name="threedecplace" xfId="145"/>
    <cellStyle name="twodecplace" xfId="146"/>
    <cellStyle name="WingdingsBlack" xfId="147"/>
    <cellStyle name="WingdingsRed" xfId="148"/>
    <cellStyle name="WingdingsWhite" xfId="149"/>
    <cellStyle name="Y/N" xfId="150"/>
    <cellStyle name="yyyy" xfId="151"/>
    <cellStyle name="콤마 [0]_KTFreetel" xfId="152"/>
    <cellStyle name="콤마_KTFreetel" xfId="153"/>
    <cellStyle name="一般_Sheet3eSt2_1cast Q`" xfId="154"/>
    <cellStyle name="標準_TM" xfId="1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5\teams\ACCOPERA\BANKREC\SEPT96\FNB59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5\teams\ADA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cer/Downloads/new%20pro/Copy%20of%20Valuation%20model_21%20May%20%20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cer/Downloads/new%20pro/Qassim%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conciliation"/>
      <sheetName val="Recap"/>
      <sheetName val="Summary"/>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4"/>
      <sheetName val="Sheet1"/>
      <sheetName val="Sheet2"/>
      <sheetName val="Sheet3"/>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ummary Sheet"/>
      <sheetName val="Income Statement"/>
      <sheetName val="Balance Sheet"/>
      <sheetName val="Cash Flow"/>
      <sheetName val="DCF valuation"/>
    </sheetNames>
    <sheetDataSet>
      <sheetData sheetId="0"/>
      <sheetData sheetId="1">
        <row r="5">
          <cell r="F5" t="str">
            <v>FY12E</v>
          </cell>
        </row>
        <row r="6">
          <cell r="B6" t="str">
            <v>Months</v>
          </cell>
          <cell r="F6">
            <v>12</v>
          </cell>
          <cell r="G6">
            <v>12</v>
          </cell>
          <cell r="H6">
            <v>12</v>
          </cell>
          <cell r="I6">
            <v>12</v>
          </cell>
          <cell r="J6">
            <v>12</v>
          </cell>
        </row>
        <row r="16">
          <cell r="F16">
            <v>-5537</v>
          </cell>
          <cell r="G16">
            <v>-5537</v>
          </cell>
          <cell r="H16">
            <v>-5537</v>
          </cell>
          <cell r="I16">
            <v>-5537</v>
          </cell>
          <cell r="J16">
            <v>-5537</v>
          </cell>
        </row>
        <row r="17">
          <cell r="F17">
            <v>-255608.48</v>
          </cell>
          <cell r="G17">
            <v>-296502.03587200004</v>
          </cell>
          <cell r="H17">
            <v>-330607.15250931203</v>
          </cell>
          <cell r="I17">
            <v>-347527.53993887105</v>
          </cell>
          <cell r="J17">
            <v>-353119.43565909553</v>
          </cell>
        </row>
        <row r="35">
          <cell r="F35">
            <v>4033458.5434210557</v>
          </cell>
          <cell r="G35">
            <v>4021032.8641903391</v>
          </cell>
          <cell r="H35">
            <v>4205847.0250702985</v>
          </cell>
          <cell r="I35">
            <v>4587363.2875164431</v>
          </cell>
          <cell r="J35">
            <v>4990353.9366281833</v>
          </cell>
        </row>
      </sheetData>
      <sheetData sheetId="2">
        <row r="11">
          <cell r="D11">
            <v>2255926</v>
          </cell>
          <cell r="E11">
            <v>3261072</v>
          </cell>
        </row>
      </sheetData>
      <sheetData sheetId="3">
        <row r="10">
          <cell r="C10">
            <v>272544</v>
          </cell>
        </row>
      </sheetData>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2"/>
      <sheetName val="Income Statement"/>
      <sheetName val="Sheet1"/>
      <sheetName val="Sheet3"/>
    </sheetNames>
    <sheetDataSet>
      <sheetData sheetId="0">
        <row r="73">
          <cell r="B73">
            <v>968426</v>
          </cell>
          <cell r="C73">
            <v>1034779</v>
          </cell>
          <cell r="D73">
            <v>1047915</v>
          </cell>
          <cell r="E73">
            <v>1050609</v>
          </cell>
        </row>
        <row r="74">
          <cell r="B74">
            <v>-411666</v>
          </cell>
          <cell r="C74">
            <v>-425531</v>
          </cell>
          <cell r="D74">
            <v>-433986</v>
          </cell>
          <cell r="E74">
            <v>-406582</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R121"/>
  <sheetViews>
    <sheetView showGridLines="0" tabSelected="1" workbookViewId="0">
      <pane xSplit="2" ySplit="6" topLeftCell="C7" activePane="bottomRight" state="frozen"/>
      <selection pane="topRight" activeCell="E1" sqref="E1"/>
      <selection pane="bottomLeft" activeCell="A7" sqref="A7"/>
      <selection pane="bottomRight" activeCell="C7" sqref="C7"/>
    </sheetView>
  </sheetViews>
  <sheetFormatPr defaultRowHeight="11.25" outlineLevelRow="1"/>
  <cols>
    <col min="1" max="1" width="1.7109375" style="3" customWidth="1"/>
    <col min="2" max="2" width="34.140625" style="3" bestFit="1" customWidth="1"/>
    <col min="3" max="11" width="9.7109375" style="3" customWidth="1"/>
    <col min="12" max="12" width="0" style="3" hidden="1" customWidth="1"/>
    <col min="13" max="16384" width="9.140625" style="3"/>
  </cols>
  <sheetData>
    <row r="1" spans="2:12" ht="11.25" customHeight="1"/>
    <row r="2" spans="2:12" ht="11.25" customHeight="1">
      <c r="C2" s="48"/>
      <c r="D2" s="48"/>
      <c r="E2" s="48"/>
      <c r="F2" s="48"/>
      <c r="G2" s="47"/>
      <c r="H2" s="47"/>
      <c r="I2" s="47"/>
      <c r="J2" s="47"/>
      <c r="K2" s="47"/>
    </row>
    <row r="3" spans="2:12" ht="11.25" customHeight="1"/>
    <row r="4" spans="2:12" ht="11.25" customHeight="1">
      <c r="B4" s="46"/>
      <c r="C4" s="46"/>
      <c r="D4" s="46"/>
      <c r="E4" s="45"/>
      <c r="F4" s="46"/>
      <c r="G4" s="44"/>
      <c r="H4" s="44"/>
      <c r="I4" s="44"/>
      <c r="J4" s="44"/>
      <c r="K4" s="44"/>
    </row>
    <row r="5" spans="2:12" ht="11.25" customHeight="1">
      <c r="B5" s="43" t="s">
        <v>93</v>
      </c>
      <c r="C5" s="42">
        <v>2010</v>
      </c>
      <c r="D5" s="42">
        <v>2011</v>
      </c>
      <c r="E5" s="42">
        <v>2012</v>
      </c>
      <c r="F5" s="42">
        <v>2013</v>
      </c>
      <c r="G5" s="42" t="s">
        <v>258</v>
      </c>
      <c r="H5" s="42" t="s">
        <v>259</v>
      </c>
      <c r="I5" s="42" t="s">
        <v>260</v>
      </c>
      <c r="J5" s="42" t="s">
        <v>261</v>
      </c>
      <c r="K5" s="42" t="s">
        <v>262</v>
      </c>
    </row>
    <row r="6" spans="2:12" s="41" customFormat="1" ht="11.25" customHeight="1">
      <c r="B6" s="43" t="str">
        <f>'[3]Income Statement'!B6</f>
        <v>Months</v>
      </c>
      <c r="C6" s="42">
        <v>12</v>
      </c>
      <c r="D6" s="42">
        <v>12</v>
      </c>
      <c r="E6" s="42">
        <v>12</v>
      </c>
      <c r="F6" s="42">
        <v>12</v>
      </c>
      <c r="G6" s="42">
        <f>'[3]Income Statement'!F6</f>
        <v>12</v>
      </c>
      <c r="H6" s="42">
        <f>'[3]Income Statement'!G6</f>
        <v>12</v>
      </c>
      <c r="I6" s="42">
        <f>'[3]Income Statement'!H6</f>
        <v>12</v>
      </c>
      <c r="J6" s="42">
        <f>'[3]Income Statement'!I6</f>
        <v>12</v>
      </c>
      <c r="K6" s="42">
        <f>'[3]Income Statement'!J6</f>
        <v>12</v>
      </c>
    </row>
    <row r="7" spans="2:12">
      <c r="B7" s="32" t="s">
        <v>92</v>
      </c>
      <c r="C7" s="40"/>
      <c r="D7" s="40"/>
      <c r="E7" s="17"/>
      <c r="F7" s="39"/>
      <c r="G7" s="39"/>
      <c r="H7" s="40"/>
      <c r="I7" s="39"/>
      <c r="J7" s="39"/>
      <c r="K7" s="39"/>
    </row>
    <row r="8" spans="2:12" outlineLevel="1">
      <c r="B8" s="20" t="s">
        <v>91</v>
      </c>
      <c r="C8" s="17">
        <v>19718</v>
      </c>
      <c r="D8" s="17">
        <v>244726</v>
      </c>
      <c r="E8" s="17">
        <v>31843</v>
      </c>
      <c r="F8" s="17">
        <v>172396</v>
      </c>
      <c r="G8" s="17">
        <f>F8*(1+$L8)</f>
        <v>172396</v>
      </c>
      <c r="H8" s="17">
        <f t="shared" ref="H8:K8" si="0">G8*(1+$L8)</f>
        <v>172396</v>
      </c>
      <c r="I8" s="17">
        <f t="shared" si="0"/>
        <v>172396</v>
      </c>
      <c r="J8" s="17">
        <f t="shared" si="0"/>
        <v>172396</v>
      </c>
      <c r="K8" s="17">
        <f t="shared" si="0"/>
        <v>172396</v>
      </c>
      <c r="L8" s="3">
        <v>0</v>
      </c>
    </row>
    <row r="9" spans="2:12" outlineLevel="1">
      <c r="B9" s="20" t="s">
        <v>94</v>
      </c>
      <c r="C9" s="17">
        <v>0</v>
      </c>
      <c r="D9" s="17">
        <v>0</v>
      </c>
      <c r="E9" s="17">
        <v>0</v>
      </c>
      <c r="F9" s="17">
        <v>45398</v>
      </c>
      <c r="G9" s="17">
        <f t="shared" ref="G9:K9" si="1">F9*(1+$L9)</f>
        <v>45398</v>
      </c>
      <c r="H9" s="17">
        <f t="shared" si="1"/>
        <v>45398</v>
      </c>
      <c r="I9" s="17">
        <f t="shared" si="1"/>
        <v>45398</v>
      </c>
      <c r="J9" s="17">
        <f t="shared" si="1"/>
        <v>45398</v>
      </c>
      <c r="K9" s="17">
        <f t="shared" si="1"/>
        <v>45398</v>
      </c>
      <c r="L9" s="3">
        <v>0</v>
      </c>
    </row>
    <row r="10" spans="2:12" outlineLevel="1">
      <c r="B10" s="20" t="s">
        <v>95</v>
      </c>
      <c r="C10" s="17">
        <v>0</v>
      </c>
      <c r="D10" s="17">
        <v>0</v>
      </c>
      <c r="E10" s="17">
        <v>199085</v>
      </c>
      <c r="F10" s="17">
        <v>0</v>
      </c>
      <c r="G10" s="17">
        <f t="shared" ref="G10:K10" si="2">F10*(1+$L10)</f>
        <v>0</v>
      </c>
      <c r="H10" s="17">
        <f t="shared" si="2"/>
        <v>0</v>
      </c>
      <c r="I10" s="17">
        <f t="shared" si="2"/>
        <v>0</v>
      </c>
      <c r="J10" s="17">
        <f t="shared" si="2"/>
        <v>0</v>
      </c>
      <c r="K10" s="17">
        <f t="shared" si="2"/>
        <v>0</v>
      </c>
      <c r="L10" s="3">
        <v>0</v>
      </c>
    </row>
    <row r="11" spans="2:12">
      <c r="B11" s="24" t="s">
        <v>90</v>
      </c>
      <c r="C11" s="23">
        <f t="shared" ref="C11:F11" si="3">SUM(C8:C10)</f>
        <v>19718</v>
      </c>
      <c r="D11" s="23">
        <f t="shared" si="3"/>
        <v>244726</v>
      </c>
      <c r="E11" s="23">
        <f t="shared" si="3"/>
        <v>230928</v>
      </c>
      <c r="F11" s="23">
        <f t="shared" si="3"/>
        <v>217794</v>
      </c>
      <c r="G11" s="23">
        <f t="shared" ref="G11:K11" si="4">F11*(1+$L11)</f>
        <v>205460.72950711145</v>
      </c>
      <c r="H11" s="23">
        <f t="shared" si="4"/>
        <v>193825.86925991724</v>
      </c>
      <c r="I11" s="23">
        <f t="shared" si="4"/>
        <v>182849.8695808544</v>
      </c>
      <c r="J11" s="23">
        <f t="shared" si="4"/>
        <v>172495.42041728666</v>
      </c>
      <c r="K11" s="23">
        <f t="shared" si="4"/>
        <v>162727.3245156965</v>
      </c>
      <c r="L11" s="3">
        <v>-5.66281462891014E-2</v>
      </c>
    </row>
    <row r="12" spans="2:12">
      <c r="B12" s="24" t="s">
        <v>4</v>
      </c>
      <c r="C12" s="23">
        <v>468580</v>
      </c>
      <c r="D12" s="23">
        <v>412693</v>
      </c>
      <c r="E12" s="23">
        <v>510557</v>
      </c>
      <c r="F12" s="23">
        <v>626610</v>
      </c>
      <c r="G12" s="23">
        <f t="shared" ref="G12:K12" si="5">F12*(1+$L12)</f>
        <v>698706.26419237605</v>
      </c>
      <c r="H12" s="23">
        <f t="shared" si="5"/>
        <v>779097.75398041261</v>
      </c>
      <c r="I12" s="23">
        <f t="shared" si="5"/>
        <v>868738.8983966501</v>
      </c>
      <c r="J12" s="23">
        <f t="shared" si="5"/>
        <v>968693.94082016486</v>
      </c>
      <c r="K12" s="23">
        <f t="shared" si="5"/>
        <v>1080149.5739554875</v>
      </c>
      <c r="L12" s="3">
        <v>0.11505763424199418</v>
      </c>
    </row>
    <row r="13" spans="2:12" outlineLevel="1">
      <c r="B13" s="20" t="s">
        <v>96</v>
      </c>
      <c r="C13" s="17">
        <v>51048</v>
      </c>
      <c r="D13" s="17">
        <v>46430</v>
      </c>
      <c r="E13" s="17">
        <v>38925</v>
      </c>
      <c r="F13" s="17">
        <v>34717</v>
      </c>
      <c r="G13" s="17">
        <f t="shared" ref="G13:K13" si="6">F13*(1+$L13)</f>
        <v>30548.525317956817</v>
      </c>
      <c r="H13" s="17">
        <f t="shared" si="6"/>
        <v>26880.559930346768</v>
      </c>
      <c r="I13" s="17">
        <f t="shared" si="6"/>
        <v>23653.007621426212</v>
      </c>
      <c r="J13" s="17">
        <f t="shared" si="6"/>
        <v>20812.987935851721</v>
      </c>
      <c r="K13" s="17">
        <f t="shared" si="6"/>
        <v>18313.969781395172</v>
      </c>
      <c r="L13" s="3">
        <v>-0.12007012939030397</v>
      </c>
    </row>
    <row r="14" spans="2:12" outlineLevel="1">
      <c r="B14" s="20" t="s">
        <v>97</v>
      </c>
      <c r="C14" s="17">
        <v>-919</v>
      </c>
      <c r="D14" s="17">
        <v>-919</v>
      </c>
      <c r="E14" s="17">
        <v>-1190</v>
      </c>
      <c r="F14" s="17">
        <v>-3012</v>
      </c>
      <c r="G14" s="17">
        <f t="shared" ref="G14:K14" si="7">F14*(1+$L14)</f>
        <v>-4845.2820950795985</v>
      </c>
      <c r="H14" s="17">
        <f t="shared" si="7"/>
        <v>-7794.4085593953996</v>
      </c>
      <c r="I14" s="17">
        <f t="shared" si="7"/>
        <v>-12538.548550655278</v>
      </c>
      <c r="J14" s="17">
        <f t="shared" si="7"/>
        <v>-20170.253914600355</v>
      </c>
      <c r="K14" s="17">
        <f t="shared" si="7"/>
        <v>-32447.068441441661</v>
      </c>
      <c r="L14" s="3">
        <v>0.60865939411673264</v>
      </c>
    </row>
    <row r="15" spans="2:12" s="11" customFormat="1" outlineLevel="1">
      <c r="B15" s="38" t="s">
        <v>89</v>
      </c>
      <c r="C15" s="23">
        <f>C13+C14</f>
        <v>50129</v>
      </c>
      <c r="D15" s="23">
        <f t="shared" ref="D15:F15" si="8">D13+D14</f>
        <v>45511</v>
      </c>
      <c r="E15" s="23">
        <f t="shared" si="8"/>
        <v>37735</v>
      </c>
      <c r="F15" s="23">
        <f t="shared" si="8"/>
        <v>31705</v>
      </c>
      <c r="G15" s="23">
        <f t="shared" ref="G15:K15" si="9">F15*(1+$L15)</f>
        <v>27236.912508578516</v>
      </c>
      <c r="H15" s="23">
        <f t="shared" si="9"/>
        <v>23398.498754138491</v>
      </c>
      <c r="I15" s="23">
        <f t="shared" si="9"/>
        <v>20101.020766395002</v>
      </c>
      <c r="J15" s="23">
        <f t="shared" si="9"/>
        <v>17268.246142482905</v>
      </c>
      <c r="K15" s="23">
        <f t="shared" si="9"/>
        <v>14834.685676057574</v>
      </c>
      <c r="L15" s="3">
        <v>-0.14092690400320085</v>
      </c>
    </row>
    <row r="16" spans="2:12" outlineLevel="1">
      <c r="B16" s="37" t="s">
        <v>88</v>
      </c>
      <c r="C16" s="17">
        <v>1611</v>
      </c>
      <c r="D16" s="17">
        <v>1286</v>
      </c>
      <c r="E16" s="17">
        <v>1301</v>
      </c>
      <c r="F16" s="17">
        <v>876</v>
      </c>
      <c r="G16" s="17">
        <f t="shared" ref="G16:K16" si="10">F16*(1+$L16)</f>
        <v>725.11023598342888</v>
      </c>
      <c r="H16" s="17">
        <f t="shared" si="10"/>
        <v>600.21102092231035</v>
      </c>
      <c r="I16" s="17">
        <f t="shared" si="10"/>
        <v>496.82551943017262</v>
      </c>
      <c r="J16" s="17">
        <f t="shared" si="10"/>
        <v>411.24802469931745</v>
      </c>
      <c r="K16" s="17">
        <f t="shared" si="10"/>
        <v>340.41113269114277</v>
      </c>
      <c r="L16" s="3">
        <v>-0.1722485890600127</v>
      </c>
    </row>
    <row r="17" spans="2:12" s="11" customFormat="1">
      <c r="B17" s="24" t="s">
        <v>87</v>
      </c>
      <c r="C17" s="23">
        <f t="shared" ref="C17:F17" si="11">C15+C16</f>
        <v>51740</v>
      </c>
      <c r="D17" s="23">
        <f t="shared" si="11"/>
        <v>46797</v>
      </c>
      <c r="E17" s="23">
        <f t="shared" si="11"/>
        <v>39036</v>
      </c>
      <c r="F17" s="23">
        <f t="shared" si="11"/>
        <v>32581</v>
      </c>
      <c r="G17" s="23">
        <f t="shared" ref="G17:K17" si="12">F17*(1+$L17)</f>
        <v>27946.466633013832</v>
      </c>
      <c r="H17" s="23">
        <f t="shared" si="12"/>
        <v>23971.179438020794</v>
      </c>
      <c r="I17" s="23">
        <f t="shared" si="12"/>
        <v>20561.362951371517</v>
      </c>
      <c r="J17" s="23">
        <f t="shared" si="12"/>
        <v>17636.580941339766</v>
      </c>
      <c r="K17" s="23">
        <f t="shared" si="12"/>
        <v>15127.838949007073</v>
      </c>
      <c r="L17" s="3">
        <v>-0.14224650461883204</v>
      </c>
    </row>
    <row r="18" spans="2:12" outlineLevel="1">
      <c r="B18" s="20" t="s">
        <v>99</v>
      </c>
      <c r="C18" s="17">
        <v>36766</v>
      </c>
      <c r="D18" s="17">
        <v>34101</v>
      </c>
      <c r="E18" s="17">
        <v>32943</v>
      </c>
      <c r="F18" s="17">
        <v>27040</v>
      </c>
      <c r="G18" s="17">
        <f t="shared" ref="G18:K18" si="13">F18*(1+$L18)</f>
        <v>24465.506350403117</v>
      </c>
      <c r="H18" s="17">
        <f t="shared" si="13"/>
        <v>22136.131693107072</v>
      </c>
      <c r="I18" s="17">
        <f t="shared" si="13"/>
        <v>20028.538110616522</v>
      </c>
      <c r="J18" s="17">
        <f t="shared" si="13"/>
        <v>18121.609701722609</v>
      </c>
      <c r="K18" s="17">
        <f t="shared" si="13"/>
        <v>16396.241022079186</v>
      </c>
      <c r="L18" s="3">
        <v>-9.5210563964381767E-2</v>
      </c>
    </row>
    <row r="19" spans="2:12" outlineLevel="1">
      <c r="B19" s="20" t="s">
        <v>100</v>
      </c>
      <c r="C19" s="17">
        <v>14061</v>
      </c>
      <c r="D19" s="17">
        <v>13757</v>
      </c>
      <c r="E19" s="17">
        <v>31232</v>
      </c>
      <c r="F19" s="17">
        <v>39262</v>
      </c>
      <c r="G19" s="17">
        <f t="shared" ref="G19:K19" si="14">F19*(1+$L19)</f>
        <v>58968.257692207961</v>
      </c>
      <c r="H19" s="17">
        <f t="shared" si="14"/>
        <v>88565.41733112534</v>
      </c>
      <c r="I19" s="17">
        <f t="shared" si="14"/>
        <v>133017.8888441684</v>
      </c>
      <c r="J19" s="17">
        <f t="shared" si="14"/>
        <v>199781.80294015579</v>
      </c>
      <c r="K19" s="17">
        <f t="shared" si="14"/>
        <v>300055.64764884661</v>
      </c>
      <c r="L19" s="3">
        <v>0.50191680740176137</v>
      </c>
    </row>
    <row r="20" spans="2:12" outlineLevel="1">
      <c r="B20" s="20" t="s">
        <v>101</v>
      </c>
      <c r="C20" s="17">
        <v>2651</v>
      </c>
      <c r="D20" s="17">
        <v>5854</v>
      </c>
      <c r="E20" s="17">
        <v>6687</v>
      </c>
      <c r="F20" s="17">
        <v>6959</v>
      </c>
      <c r="G20" s="17">
        <f t="shared" ref="G20:K20" si="15">F20*(1+$L20)</f>
        <v>10186.10893838927</v>
      </c>
      <c r="H20" s="17">
        <f t="shared" si="15"/>
        <v>14909.730608526195</v>
      </c>
      <c r="I20" s="17">
        <f t="shared" si="15"/>
        <v>21823.845411766742</v>
      </c>
      <c r="J20" s="17">
        <f t="shared" si="15"/>
        <v>31944.254464552792</v>
      </c>
      <c r="K20" s="17">
        <f t="shared" si="15"/>
        <v>46757.818067475579</v>
      </c>
      <c r="L20" s="3">
        <v>0.46373170547338266</v>
      </c>
    </row>
    <row r="21" spans="2:12" outlineLevel="1">
      <c r="B21" s="20" t="s">
        <v>102</v>
      </c>
      <c r="C21" s="17">
        <v>151825</v>
      </c>
      <c r="D21" s="17">
        <v>152706</v>
      </c>
      <c r="E21" s="17">
        <v>158398</v>
      </c>
      <c r="F21" s="17">
        <v>156562</v>
      </c>
      <c r="G21" s="17">
        <f t="shared" ref="G21:K21" si="16">F21*(1+$L21)</f>
        <v>158205.16606434574</v>
      </c>
      <c r="H21" s="17">
        <f t="shared" si="16"/>
        <v>159865.5776589927</v>
      </c>
      <c r="I21" s="17">
        <f t="shared" si="16"/>
        <v>161543.41578105479</v>
      </c>
      <c r="J21" s="17">
        <f t="shared" si="16"/>
        <v>163238.86332726604</v>
      </c>
      <c r="K21" s="17">
        <f t="shared" si="16"/>
        <v>164952.10511391755</v>
      </c>
      <c r="L21" s="3">
        <v>1.0495305785220732E-2</v>
      </c>
    </row>
    <row r="22" spans="2:12" outlineLevel="1">
      <c r="B22" s="20" t="s">
        <v>103</v>
      </c>
      <c r="C22" s="17">
        <v>-18668</v>
      </c>
      <c r="D22" s="17">
        <v>-17515</v>
      </c>
      <c r="E22" s="17">
        <v>-17880</v>
      </c>
      <c r="F22" s="17">
        <v>-18302</v>
      </c>
      <c r="G22" s="17">
        <f t="shared" ref="G22:K22" si="17">F22*(1+$L22)</f>
        <v>-18196.321963381299</v>
      </c>
      <c r="H22" s="17">
        <f t="shared" si="17"/>
        <v>-18091.254124960804</v>
      </c>
      <c r="I22" s="17">
        <f t="shared" si="17"/>
        <v>-17986.792961377818</v>
      </c>
      <c r="J22" s="17">
        <f t="shared" si="17"/>
        <v>-17882.934969615962</v>
      </c>
      <c r="K22" s="17">
        <f t="shared" si="17"/>
        <v>-17779.67666688572</v>
      </c>
      <c r="L22" s="3">
        <v>-5.7741250474647732E-3</v>
      </c>
    </row>
    <row r="23" spans="2:12" s="49" customFormat="1">
      <c r="B23" s="29" t="s">
        <v>86</v>
      </c>
      <c r="C23" s="23">
        <f>SUM(C18:C22)</f>
        <v>186635</v>
      </c>
      <c r="D23" s="23">
        <f t="shared" ref="D23:E23" si="18">SUM(D18:D22)</f>
        <v>188903</v>
      </c>
      <c r="E23" s="23">
        <f t="shared" si="18"/>
        <v>211380</v>
      </c>
      <c r="F23" s="23">
        <f>SUM(F18:F22)</f>
        <v>211521</v>
      </c>
      <c r="G23" s="23">
        <f t="shared" ref="G23:K23" si="19">F23*(1+$L23)</f>
        <v>220814.25269037616</v>
      </c>
      <c r="H23" s="23">
        <f t="shared" si="19"/>
        <v>230515.80784512789</v>
      </c>
      <c r="I23" s="23">
        <f t="shared" si="19"/>
        <v>240643.60438273393</v>
      </c>
      <c r="J23" s="23">
        <f t="shared" si="19"/>
        <v>251216.36937463382</v>
      </c>
      <c r="K23" s="23">
        <f t="shared" si="19"/>
        <v>262253.65267301718</v>
      </c>
      <c r="L23" s="3">
        <v>4.3935366655680319E-2</v>
      </c>
    </row>
    <row r="24" spans="2:12" outlineLevel="1">
      <c r="B24" s="27" t="s">
        <v>98</v>
      </c>
      <c r="C24" s="23">
        <v>1611</v>
      </c>
      <c r="D24" s="23">
        <v>1286</v>
      </c>
      <c r="E24" s="23">
        <v>1301</v>
      </c>
      <c r="F24" s="23">
        <v>956</v>
      </c>
      <c r="G24" s="23">
        <f t="shared" ref="G24:K24" si="20">F24*(1+$L24)</f>
        <v>810.925532051044</v>
      </c>
      <c r="H24" s="23">
        <f t="shared" si="20"/>
        <v>687.8663373768502</v>
      </c>
      <c r="I24" s="23">
        <f t="shared" si="20"/>
        <v>583.48156445326902</v>
      </c>
      <c r="J24" s="23">
        <f t="shared" si="20"/>
        <v>494.93734110485639</v>
      </c>
      <c r="K24" s="23">
        <f t="shared" si="20"/>
        <v>419.82983961023507</v>
      </c>
      <c r="L24" s="3">
        <v>-0.15175153551146028</v>
      </c>
    </row>
    <row r="25" spans="2:12" outlineLevel="1">
      <c r="B25" s="27" t="s">
        <v>105</v>
      </c>
      <c r="C25" s="23">
        <v>2167</v>
      </c>
      <c r="D25" s="23">
        <v>1268</v>
      </c>
      <c r="E25" s="23">
        <v>3989</v>
      </c>
      <c r="F25" s="23">
        <v>1967</v>
      </c>
      <c r="G25" s="23">
        <f t="shared" ref="G25:K25" si="21">F25*(1+$L25)</f>
        <v>2769.6316242753164</v>
      </c>
      <c r="H25" s="23">
        <f t="shared" si="21"/>
        <v>3899.7759706079955</v>
      </c>
      <c r="I25" s="23">
        <f t="shared" si="21"/>
        <v>5491.0741513903768</v>
      </c>
      <c r="J25" s="23">
        <f t="shared" si="21"/>
        <v>7731.6993497364174</v>
      </c>
      <c r="K25" s="23">
        <f t="shared" si="21"/>
        <v>10886.608555373097</v>
      </c>
      <c r="L25" s="3">
        <v>0.40804861427316536</v>
      </c>
    </row>
    <row r="26" spans="2:12" outlineLevel="1">
      <c r="B26" s="20" t="s">
        <v>106</v>
      </c>
      <c r="C26" s="23">
        <v>4981</v>
      </c>
      <c r="D26" s="23">
        <v>3875</v>
      </c>
      <c r="E26" s="23">
        <v>3901</v>
      </c>
      <c r="F26" s="23">
        <v>3897</v>
      </c>
      <c r="G26" s="23">
        <f t="shared" ref="G26:K26" si="22">F26*(1+$L26)</f>
        <v>3615.9490523659501</v>
      </c>
      <c r="H26" s="23">
        <f t="shared" si="22"/>
        <v>3355.167449141959</v>
      </c>
      <c r="I26" s="23">
        <f t="shared" si="22"/>
        <v>3113.1933688103541</v>
      </c>
      <c r="J26" s="23">
        <f t="shared" si="22"/>
        <v>2888.6704161616012</v>
      </c>
      <c r="K26" s="23">
        <f t="shared" si="22"/>
        <v>2680.3400189676922</v>
      </c>
      <c r="L26" s="3">
        <v>-7.2119822333602659E-2</v>
      </c>
    </row>
    <row r="27" spans="2:12" outlineLevel="1">
      <c r="B27" s="27" t="s">
        <v>107</v>
      </c>
      <c r="C27" s="23">
        <v>1419</v>
      </c>
      <c r="D27" s="23">
        <v>2081</v>
      </c>
      <c r="E27" s="23">
        <v>2655</v>
      </c>
      <c r="F27" s="23">
        <v>4730</v>
      </c>
      <c r="G27" s="23">
        <f t="shared" ref="G27:K27" si="23">F27*(1+$L27)</f>
        <v>7132.6806098159514</v>
      </c>
      <c r="H27" s="23">
        <f t="shared" si="23"/>
        <v>10755.842004575994</v>
      </c>
      <c r="I27" s="23">
        <f t="shared" si="23"/>
        <v>16219.447295620112</v>
      </c>
      <c r="J27" s="23">
        <f t="shared" si="23"/>
        <v>24458.379963509797</v>
      </c>
      <c r="K27" s="23">
        <f t="shared" si="23"/>
        <v>36882.41279349626</v>
      </c>
      <c r="L27" s="3">
        <v>0.50796630228667039</v>
      </c>
    </row>
    <row r="28" spans="2:12">
      <c r="B28" s="29" t="s">
        <v>104</v>
      </c>
      <c r="C28" s="23">
        <f>SUM(C24:C27)</f>
        <v>10178</v>
      </c>
      <c r="D28" s="23">
        <f t="shared" ref="D28:F28" si="24">SUM(D24:D27)</f>
        <v>8510</v>
      </c>
      <c r="E28" s="23">
        <f t="shared" si="24"/>
        <v>11846</v>
      </c>
      <c r="F28" s="23">
        <f t="shared" si="24"/>
        <v>11550</v>
      </c>
      <c r="G28" s="23">
        <f t="shared" ref="G28:K28" si="25">F28*(1+$L28)</f>
        <v>12332.085837432862</v>
      </c>
      <c r="H28" s="23">
        <f t="shared" si="25"/>
        <v>13167.129099723998</v>
      </c>
      <c r="I28" s="23">
        <f t="shared" si="25"/>
        <v>14058.715696134754</v>
      </c>
      <c r="J28" s="23">
        <f t="shared" si="25"/>
        <v>15010.67434881372</v>
      </c>
      <c r="K28" s="23">
        <f t="shared" si="25"/>
        <v>16027.09303440021</v>
      </c>
      <c r="L28" s="3">
        <v>6.7713059517996624E-2</v>
      </c>
    </row>
    <row r="29" spans="2:12" s="11" customFormat="1">
      <c r="B29" s="36" t="s">
        <v>85</v>
      </c>
      <c r="C29" s="21">
        <f>C11+C12+C17+C23+C28-C16</f>
        <v>735240</v>
      </c>
      <c r="D29" s="21">
        <f t="shared" ref="D29:K29" si="26">D11+D12+D17+D23+D28-D16</f>
        <v>900343</v>
      </c>
      <c r="E29" s="21">
        <f t="shared" si="26"/>
        <v>1002446</v>
      </c>
      <c r="F29" s="21">
        <f t="shared" si="26"/>
        <v>1099180</v>
      </c>
      <c r="G29" s="21">
        <f t="shared" si="26"/>
        <v>1164534.6886243268</v>
      </c>
      <c r="H29" s="21">
        <f t="shared" si="26"/>
        <v>1239977.5286022802</v>
      </c>
      <c r="I29" s="21">
        <f t="shared" si="26"/>
        <v>1326355.6254883148</v>
      </c>
      <c r="J29" s="21">
        <f t="shared" si="26"/>
        <v>1424641.7378775394</v>
      </c>
      <c r="K29" s="21">
        <f t="shared" si="26"/>
        <v>1535945.0719949172</v>
      </c>
      <c r="L29" s="3"/>
    </row>
    <row r="30" spans="2:12" s="33" customFormat="1">
      <c r="B30" s="24" t="s">
        <v>84</v>
      </c>
      <c r="C30" s="34"/>
      <c r="D30" s="34"/>
      <c r="E30" s="35"/>
      <c r="F30" s="34"/>
      <c r="G30" s="34"/>
      <c r="H30" s="34"/>
      <c r="I30" s="34"/>
      <c r="J30" s="34"/>
      <c r="K30" s="34"/>
      <c r="L30" s="3"/>
    </row>
    <row r="31" spans="2:12" outlineLevel="1">
      <c r="B31" s="20" t="s">
        <v>108</v>
      </c>
      <c r="C31" s="17">
        <v>20024</v>
      </c>
      <c r="D31" s="17">
        <v>20024</v>
      </c>
      <c r="E31" s="17">
        <v>20024</v>
      </c>
      <c r="F31" s="17">
        <v>20024</v>
      </c>
      <c r="G31" s="17">
        <f t="shared" ref="G31:K31" si="27">F31*(1+$L31)</f>
        <v>20024</v>
      </c>
      <c r="H31" s="17">
        <f t="shared" si="27"/>
        <v>20024</v>
      </c>
      <c r="I31" s="17">
        <f t="shared" si="27"/>
        <v>20024</v>
      </c>
      <c r="J31" s="17">
        <f t="shared" si="27"/>
        <v>20024</v>
      </c>
      <c r="K31" s="17">
        <f t="shared" si="27"/>
        <v>20024</v>
      </c>
      <c r="L31" s="3">
        <v>0</v>
      </c>
    </row>
    <row r="32" spans="2:12" outlineLevel="1">
      <c r="B32" s="20" t="s">
        <v>113</v>
      </c>
      <c r="C32" s="17">
        <v>22954</v>
      </c>
      <c r="D32" s="17">
        <v>20744</v>
      </c>
      <c r="E32" s="17">
        <v>22001</v>
      </c>
      <c r="F32" s="17">
        <v>17059</v>
      </c>
      <c r="G32" s="17">
        <f t="shared" ref="G32:K32" si="28">F32*(1+$L32)</f>
        <v>15578.791514105978</v>
      </c>
      <c r="H32" s="17">
        <f t="shared" si="28"/>
        <v>14227.020636612957</v>
      </c>
      <c r="I32" s="17">
        <f t="shared" si="28"/>
        <v>12992.542843348177</v>
      </c>
      <c r="J32" s="17">
        <f t="shared" si="28"/>
        <v>11865.180619884573</v>
      </c>
      <c r="K32" s="17">
        <f t="shared" si="28"/>
        <v>10835.639554158655</v>
      </c>
      <c r="L32" s="3">
        <v>-8.6769944656428954E-2</v>
      </c>
    </row>
    <row r="33" spans="2:12" outlineLevel="1">
      <c r="B33" s="20" t="s">
        <v>112</v>
      </c>
      <c r="C33" s="17">
        <v>701253</v>
      </c>
      <c r="D33" s="17">
        <v>702606</v>
      </c>
      <c r="E33" s="17">
        <v>706832</v>
      </c>
      <c r="F33" s="17">
        <v>711027</v>
      </c>
      <c r="G33" s="17">
        <f t="shared" ref="G33:K33" si="29">F33*(1+$L33)</f>
        <v>714316.46841566346</v>
      </c>
      <c r="H33" s="17">
        <f t="shared" si="29"/>
        <v>717621.15510356927</v>
      </c>
      <c r="I33" s="17">
        <f t="shared" si="29"/>
        <v>720941.13046895643</v>
      </c>
      <c r="J33" s="17">
        <f t="shared" si="29"/>
        <v>724276.465242784</v>
      </c>
      <c r="K33" s="17">
        <f t="shared" si="29"/>
        <v>727627.23048323835</v>
      </c>
      <c r="L33" s="3">
        <v>4.626362171427238E-3</v>
      </c>
    </row>
    <row r="34" spans="2:12" outlineLevel="1">
      <c r="B34" s="20" t="s">
        <v>111</v>
      </c>
      <c r="C34" s="17">
        <v>1460920</v>
      </c>
      <c r="D34" s="17">
        <v>1488033</v>
      </c>
      <c r="E34" s="17">
        <v>1470946</v>
      </c>
      <c r="F34" s="17">
        <v>1497045</v>
      </c>
      <c r="G34" s="17">
        <f t="shared" ref="G34:K34" si="30">F34*(1+$L34)</f>
        <v>1509430.0096435205</v>
      </c>
      <c r="H34" s="17">
        <f t="shared" si="30"/>
        <v>1521917.4801107771</v>
      </c>
      <c r="I34" s="17">
        <f t="shared" si="30"/>
        <v>1534508.2590571777</v>
      </c>
      <c r="J34" s="17">
        <f t="shared" si="30"/>
        <v>1547203.2011507587</v>
      </c>
      <c r="K34" s="17">
        <f t="shared" si="30"/>
        <v>1560003.1681302001</v>
      </c>
      <c r="L34" s="3">
        <v>8.2729708482512931E-3</v>
      </c>
    </row>
    <row r="35" spans="2:12" outlineLevel="1">
      <c r="B35" s="20" t="s">
        <v>83</v>
      </c>
      <c r="C35" s="17">
        <v>18948</v>
      </c>
      <c r="D35" s="17">
        <v>21887</v>
      </c>
      <c r="E35" s="17">
        <v>22768</v>
      </c>
      <c r="F35" s="17">
        <v>23803</v>
      </c>
      <c r="G35" s="17">
        <f t="shared" ref="G35:K35" si="31">F35*(1+$L35)</f>
        <v>25713.741879921978</v>
      </c>
      <c r="H35" s="17">
        <f t="shared" si="31"/>
        <v>27777.865036644685</v>
      </c>
      <c r="I35" s="17">
        <f t="shared" si="31"/>
        <v>30007.681868990923</v>
      </c>
      <c r="J35" s="17">
        <f t="shared" si="31"/>
        <v>32416.493130867846</v>
      </c>
      <c r="K35" s="17">
        <f t="shared" si="31"/>
        <v>35018.66726964667</v>
      </c>
      <c r="L35" s="3">
        <v>8.0273153800864597E-2</v>
      </c>
    </row>
    <row r="36" spans="2:12" outlineLevel="1">
      <c r="B36" s="20" t="s">
        <v>110</v>
      </c>
      <c r="C36" s="17">
        <v>37841</v>
      </c>
      <c r="D36" s="17">
        <v>31305</v>
      </c>
      <c r="E36" s="17">
        <v>62789</v>
      </c>
      <c r="F36" s="17">
        <v>66079</v>
      </c>
      <c r="G36" s="17">
        <f t="shared" ref="G36:K36" si="32">F36*(1+$L36)</f>
        <v>85580.960054587471</v>
      </c>
      <c r="H36" s="17">
        <f t="shared" si="32"/>
        <v>110838.55270002416</v>
      </c>
      <c r="I36" s="17">
        <f t="shared" si="32"/>
        <v>143550.44342573368</v>
      </c>
      <c r="J36" s="17">
        <f t="shared" si="32"/>
        <v>185916.6265324238</v>
      </c>
      <c r="K36" s="17">
        <f t="shared" si="32"/>
        <v>240786.38279566908</v>
      </c>
      <c r="L36" s="3">
        <v>0.29513098041113611</v>
      </c>
    </row>
    <row r="37" spans="2:12" outlineLevel="1">
      <c r="B37" s="27" t="s">
        <v>114</v>
      </c>
      <c r="C37" s="17">
        <v>6350</v>
      </c>
      <c r="D37" s="17">
        <v>0</v>
      </c>
      <c r="E37" s="17">
        <v>0</v>
      </c>
      <c r="F37" s="17">
        <v>0</v>
      </c>
      <c r="G37" s="17">
        <f t="shared" ref="G37:K37" si="33">F37*(1+$L37)</f>
        <v>0</v>
      </c>
      <c r="H37" s="17">
        <f t="shared" si="33"/>
        <v>0</v>
      </c>
      <c r="I37" s="17">
        <f t="shared" si="33"/>
        <v>0</v>
      </c>
      <c r="J37" s="17">
        <f t="shared" si="33"/>
        <v>0</v>
      </c>
      <c r="K37" s="17">
        <f t="shared" si="33"/>
        <v>0</v>
      </c>
      <c r="L37" s="3">
        <v>0</v>
      </c>
    </row>
    <row r="38" spans="2:12" outlineLevel="1">
      <c r="B38" s="27" t="s">
        <v>115</v>
      </c>
      <c r="C38" s="17">
        <v>35872</v>
      </c>
      <c r="D38" s="17">
        <v>32275</v>
      </c>
      <c r="E38" s="17">
        <v>28931</v>
      </c>
      <c r="F38" s="17">
        <v>25927</v>
      </c>
      <c r="G38" s="17">
        <f t="shared" ref="G38:K38" si="34">F38*(1+$L38)</f>
        <v>23267.615263585241</v>
      </c>
      <c r="H38" s="17">
        <f t="shared" si="34"/>
        <v>20881.008988861991</v>
      </c>
      <c r="I38" s="17">
        <f t="shared" si="34"/>
        <v>18739.201738276926</v>
      </c>
      <c r="J38" s="17">
        <f t="shared" si="34"/>
        <v>16817.083981676835</v>
      </c>
      <c r="K38" s="17">
        <f t="shared" si="34"/>
        <v>15092.121724112269</v>
      </c>
      <c r="L38" s="3">
        <v>-0.10257201899235391</v>
      </c>
    </row>
    <row r="39" spans="2:12">
      <c r="B39" s="50" t="s">
        <v>109</v>
      </c>
      <c r="C39" s="51">
        <f>SUM(C31:C38)</f>
        <v>2304162</v>
      </c>
      <c r="D39" s="51">
        <f t="shared" ref="D39:F39" si="35">SUM(D31:D38)</f>
        <v>2316874</v>
      </c>
      <c r="E39" s="51">
        <f t="shared" si="35"/>
        <v>2334291</v>
      </c>
      <c r="F39" s="51">
        <f t="shared" si="35"/>
        <v>2360964</v>
      </c>
      <c r="G39" s="51">
        <f t="shared" ref="G39:K39" si="36">F39*(1+$L39)</f>
        <v>2380214.5337902736</v>
      </c>
      <c r="H39" s="51">
        <f t="shared" si="36"/>
        <v>2399622.0301819295</v>
      </c>
      <c r="I39" s="51">
        <f t="shared" si="36"/>
        <v>2419187.7689970499</v>
      </c>
      <c r="J39" s="51">
        <f t="shared" si="36"/>
        <v>2438913.04049297</v>
      </c>
      <c r="K39" s="51">
        <f t="shared" si="36"/>
        <v>2458799.145447365</v>
      </c>
      <c r="L39" s="3">
        <v>8.1536752742835308E-3</v>
      </c>
    </row>
    <row r="40" spans="2:12" outlineLevel="1">
      <c r="B40" s="20" t="s">
        <v>82</v>
      </c>
      <c r="C40" s="19">
        <v>-1016397</v>
      </c>
      <c r="D40" s="19">
        <v>-1093674</v>
      </c>
      <c r="E40" s="19">
        <v>-1179695</v>
      </c>
      <c r="F40" s="19">
        <v>-1265801</v>
      </c>
      <c r="G40" s="19">
        <f t="shared" ref="G40:K40" si="37">F40*(1+$L40)</f>
        <v>-1361864.1652419898</v>
      </c>
      <c r="H40" s="19">
        <f t="shared" si="37"/>
        <v>-1465217.6800067795</v>
      </c>
      <c r="I40" s="19">
        <f t="shared" si="37"/>
        <v>-1576414.8177164006</v>
      </c>
      <c r="J40" s="19">
        <f t="shared" si="37"/>
        <v>-1696050.840380478</v>
      </c>
      <c r="K40" s="19">
        <f t="shared" si="37"/>
        <v>-1824766.1851608071</v>
      </c>
      <c r="L40" s="3">
        <v>7.589120662883804E-2</v>
      </c>
    </row>
    <row r="41" spans="2:12" s="11" customFormat="1" outlineLevel="1">
      <c r="B41" s="16" t="s">
        <v>81</v>
      </c>
      <c r="C41" s="14">
        <f>C39+C40</f>
        <v>1287765</v>
      </c>
      <c r="D41" s="14">
        <f t="shared" ref="D41:F41" si="38">D39+D40</f>
        <v>1223200</v>
      </c>
      <c r="E41" s="14">
        <f t="shared" si="38"/>
        <v>1154596</v>
      </c>
      <c r="F41" s="14">
        <f t="shared" si="38"/>
        <v>1095163</v>
      </c>
      <c r="G41" s="14">
        <f t="shared" ref="G41:K41" si="39">G39+G40</f>
        <v>1018350.3685482838</v>
      </c>
      <c r="H41" s="14">
        <f t="shared" si="39"/>
        <v>934404.35017514997</v>
      </c>
      <c r="I41" s="14">
        <f t="shared" si="39"/>
        <v>842772.95128064929</v>
      </c>
      <c r="J41" s="14">
        <f t="shared" si="39"/>
        <v>742862.20011249208</v>
      </c>
      <c r="K41" s="14">
        <f t="shared" si="39"/>
        <v>634032.96028655791</v>
      </c>
      <c r="L41" s="3">
        <v>0</v>
      </c>
    </row>
    <row r="42" spans="2:12" s="11" customFormat="1">
      <c r="B42" s="13" t="s">
        <v>0</v>
      </c>
      <c r="C42" s="12">
        <f>C29+C41</f>
        <v>2023005</v>
      </c>
      <c r="D42" s="12">
        <f t="shared" ref="D42:F42" si="40">D29+D41</f>
        <v>2123543</v>
      </c>
      <c r="E42" s="12">
        <f t="shared" si="40"/>
        <v>2157042</v>
      </c>
      <c r="F42" s="12">
        <f t="shared" si="40"/>
        <v>2194343</v>
      </c>
      <c r="G42" s="12">
        <f t="shared" ref="G42:K42" si="41">G29+G41</f>
        <v>2182885.0571726104</v>
      </c>
      <c r="H42" s="12">
        <f t="shared" si="41"/>
        <v>2174381.8787774304</v>
      </c>
      <c r="I42" s="12">
        <f t="shared" si="41"/>
        <v>2169128.5767689641</v>
      </c>
      <c r="J42" s="12">
        <f t="shared" si="41"/>
        <v>2167503.9379900312</v>
      </c>
      <c r="K42" s="12">
        <f t="shared" si="41"/>
        <v>2169978.0322814751</v>
      </c>
      <c r="L42" s="3">
        <v>0</v>
      </c>
    </row>
    <row r="43" spans="2:12">
      <c r="B43" s="32" t="s">
        <v>80</v>
      </c>
      <c r="C43" s="31"/>
      <c r="D43" s="31"/>
      <c r="E43" s="18"/>
      <c r="F43" s="31"/>
      <c r="G43" s="31">
        <f t="shared" ref="G43:K43" si="42">F43*(1+$L43)</f>
        <v>0</v>
      </c>
      <c r="H43" s="31">
        <f t="shared" si="42"/>
        <v>0</v>
      </c>
      <c r="I43" s="31">
        <f t="shared" si="42"/>
        <v>0</v>
      </c>
      <c r="J43" s="31">
        <f t="shared" si="42"/>
        <v>0</v>
      </c>
      <c r="K43" s="31">
        <f t="shared" si="42"/>
        <v>0</v>
      </c>
      <c r="L43" s="3">
        <v>0</v>
      </c>
    </row>
    <row r="44" spans="2:12" outlineLevel="1">
      <c r="B44" s="20" t="s">
        <v>5</v>
      </c>
      <c r="C44" s="25">
        <v>12196</v>
      </c>
      <c r="D44" s="25">
        <v>12875</v>
      </c>
      <c r="E44" s="25">
        <v>16685</v>
      </c>
      <c r="F44" s="25">
        <v>13370</v>
      </c>
      <c r="G44" s="25">
        <f t="shared" ref="G44:K44" si="43">F44*(1+$L44)</f>
        <v>14051.490609159337</v>
      </c>
      <c r="H44" s="25">
        <f t="shared" si="43"/>
        <v>14767.717901218624</v>
      </c>
      <c r="I44" s="25">
        <f t="shared" si="43"/>
        <v>15520.452461307981</v>
      </c>
      <c r="J44" s="25">
        <f t="shared" si="43"/>
        <v>16311.555124156544</v>
      </c>
      <c r="K44" s="25">
        <f t="shared" si="43"/>
        <v>17142.981574261074</v>
      </c>
      <c r="L44" s="3">
        <v>5.0971623721715452E-2</v>
      </c>
    </row>
    <row r="45" spans="2:12" outlineLevel="1">
      <c r="B45" s="20" t="s">
        <v>6</v>
      </c>
      <c r="C45" s="25">
        <v>66701</v>
      </c>
      <c r="D45" s="25">
        <v>28147</v>
      </c>
      <c r="E45" s="25">
        <v>28742</v>
      </c>
      <c r="F45" s="25">
        <v>38555</v>
      </c>
      <c r="G45" s="25">
        <f t="shared" ref="G45:K45" si="44">F45*(1+$L45)</f>
        <v>35786.024090981286</v>
      </c>
      <c r="H45" s="25">
        <f t="shared" si="44"/>
        <v>33215.912858002666</v>
      </c>
      <c r="I45" s="25">
        <f t="shared" si="44"/>
        <v>30830.384067965722</v>
      </c>
      <c r="J45" s="25">
        <f t="shared" si="44"/>
        <v>28616.181221383136</v>
      </c>
      <c r="K45" s="25">
        <f t="shared" si="44"/>
        <v>26560.99988536644</v>
      </c>
      <c r="L45" s="3">
        <v>-7.1818853819704723E-2</v>
      </c>
    </row>
    <row r="46" spans="2:12" outlineLevel="1">
      <c r="B46" s="20" t="s">
        <v>7</v>
      </c>
      <c r="C46" s="25">
        <v>9680</v>
      </c>
      <c r="D46" s="25">
        <v>34285</v>
      </c>
      <c r="E46" s="25">
        <v>29400</v>
      </c>
      <c r="F46" s="25">
        <v>29400</v>
      </c>
      <c r="G46" s="25">
        <f t="shared" ref="G46:K46" si="45">F46*(1+$L46)</f>
        <v>52913.695737721115</v>
      </c>
      <c r="H46" s="25">
        <f t="shared" si="45"/>
        <v>95233.306007623323</v>
      </c>
      <c r="I46" s="25">
        <f t="shared" si="45"/>
        <v>171399.52987022683</v>
      </c>
      <c r="J46" s="25">
        <f t="shared" si="45"/>
        <v>308482.40044699406</v>
      </c>
      <c r="K46" s="25">
        <f t="shared" si="45"/>
        <v>555202.17271068331</v>
      </c>
      <c r="L46" s="3">
        <v>0.79978556931024214</v>
      </c>
    </row>
    <row r="47" spans="2:12" outlineLevel="1">
      <c r="B47" s="20" t="s">
        <v>8</v>
      </c>
      <c r="C47" s="25">
        <v>32696</v>
      </c>
      <c r="D47" s="25">
        <v>36167</v>
      </c>
      <c r="E47" s="25">
        <v>41048</v>
      </c>
      <c r="F47" s="25">
        <v>45398</v>
      </c>
      <c r="G47" s="25">
        <f t="shared" ref="G47:K47" si="46">F47*(1+$L47)</f>
        <v>50650.405609030342</v>
      </c>
      <c r="H47" s="25">
        <f t="shared" si="46"/>
        <v>56510.498003420682</v>
      </c>
      <c r="I47" s="25">
        <f t="shared" si="46"/>
        <v>63048.584630194207</v>
      </c>
      <c r="J47" s="25">
        <f t="shared" si="46"/>
        <v>70343.107286545943</v>
      </c>
      <c r="K47" s="25">
        <f t="shared" si="46"/>
        <v>78481.58323853671</v>
      </c>
      <c r="L47" s="3">
        <v>0.11569685028041625</v>
      </c>
    </row>
    <row r="48" spans="2:12" outlineLevel="1">
      <c r="B48" s="20" t="s">
        <v>9</v>
      </c>
      <c r="C48" s="25">
        <v>6103</v>
      </c>
      <c r="D48" s="25">
        <v>6721</v>
      </c>
      <c r="E48" s="25">
        <v>8518</v>
      </c>
      <c r="F48" s="25">
        <v>8278</v>
      </c>
      <c r="G48" s="25">
        <f t="shared" ref="G48:K48" si="47">F48*(1+$L48)</f>
        <v>9217.4342754062418</v>
      </c>
      <c r="H48" s="25">
        <f t="shared" si="47"/>
        <v>10263.480867532471</v>
      </c>
      <c r="I48" s="25">
        <f t="shared" si="47"/>
        <v>11428.238745273013</v>
      </c>
      <c r="J48" s="25">
        <f t="shared" si="47"/>
        <v>12725.179936966066</v>
      </c>
      <c r="K48" s="25">
        <f t="shared" si="47"/>
        <v>14169.305352947917</v>
      </c>
      <c r="L48" s="3">
        <v>0.11348565781665158</v>
      </c>
    </row>
    <row r="49" spans="2:18" outlineLevel="1">
      <c r="B49" s="20" t="s">
        <v>10</v>
      </c>
      <c r="C49" s="25">
        <v>20753</v>
      </c>
      <c r="D49" s="25">
        <v>27463</v>
      </c>
      <c r="E49" s="25">
        <v>31596</v>
      </c>
      <c r="F49" s="25">
        <v>35255</v>
      </c>
      <c r="G49" s="25">
        <f t="shared" ref="G49:K49" si="48">F49*(1+$L49)</f>
        <v>42184.087472587584</v>
      </c>
      <c r="H49" s="25">
        <f t="shared" si="48"/>
        <v>50475.03151027998</v>
      </c>
      <c r="I49" s="25">
        <f t="shared" si="48"/>
        <v>60395.494097610703</v>
      </c>
      <c r="J49" s="25">
        <f t="shared" si="48"/>
        <v>72265.744035278884</v>
      </c>
      <c r="K49" s="25">
        <f t="shared" si="48"/>
        <v>86468.996387911757</v>
      </c>
      <c r="L49" s="3">
        <v>0.19654197908346571</v>
      </c>
    </row>
    <row r="50" spans="2:18">
      <c r="B50" s="30" t="s">
        <v>79</v>
      </c>
      <c r="C50" s="28">
        <f>SUM(C44:C49)</f>
        <v>148129</v>
      </c>
      <c r="D50" s="28">
        <f t="shared" ref="D50:F50" si="49">SUM(D44:D49)</f>
        <v>145658</v>
      </c>
      <c r="E50" s="28">
        <f t="shared" si="49"/>
        <v>155989</v>
      </c>
      <c r="F50" s="28">
        <f t="shared" si="49"/>
        <v>170256</v>
      </c>
      <c r="G50" s="28">
        <f t="shared" ref="G50:K50" si="50">F50*(1+$L50)</f>
        <v>178525.14028341672</v>
      </c>
      <c r="H50" s="28">
        <f t="shared" si="50"/>
        <v>187195.90330569036</v>
      </c>
      <c r="I50" s="28">
        <f t="shared" si="50"/>
        <v>196287.79542647122</v>
      </c>
      <c r="J50" s="28">
        <f t="shared" si="50"/>
        <v>205821.27040711266</v>
      </c>
      <c r="K50" s="28">
        <f t="shared" si="50"/>
        <v>215817.77542489447</v>
      </c>
      <c r="L50" s="3">
        <v>4.8568862673954029E-2</v>
      </c>
    </row>
    <row r="51" spans="2:18" s="11" customFormat="1">
      <c r="B51" s="22" t="s">
        <v>78</v>
      </c>
      <c r="C51" s="21">
        <f>SUM(C50:C50)</f>
        <v>148129</v>
      </c>
      <c r="D51" s="21">
        <f t="shared" ref="D51:K51" si="51">SUM(D50:D50)</f>
        <v>145658</v>
      </c>
      <c r="E51" s="21">
        <f t="shared" si="51"/>
        <v>155989</v>
      </c>
      <c r="F51" s="21">
        <f t="shared" si="51"/>
        <v>170256</v>
      </c>
      <c r="G51" s="21">
        <f t="shared" si="51"/>
        <v>178525.14028341672</v>
      </c>
      <c r="H51" s="21">
        <f t="shared" si="51"/>
        <v>187195.90330569036</v>
      </c>
      <c r="I51" s="21">
        <f t="shared" si="51"/>
        <v>196287.79542647122</v>
      </c>
      <c r="J51" s="21">
        <f t="shared" si="51"/>
        <v>205821.27040711266</v>
      </c>
      <c r="K51" s="21">
        <f t="shared" si="51"/>
        <v>215817.77542489447</v>
      </c>
      <c r="L51" s="3">
        <v>0</v>
      </c>
    </row>
    <row r="52" spans="2:18" s="26" customFormat="1" ht="12" outlineLevel="1" thickBot="1">
      <c r="B52" s="2" t="s">
        <v>11</v>
      </c>
      <c r="C52" s="25">
        <v>20270</v>
      </c>
      <c r="D52" s="25">
        <v>22215</v>
      </c>
      <c r="E52" s="25">
        <v>26129</v>
      </c>
      <c r="F52" s="25">
        <v>28258</v>
      </c>
      <c r="G52" s="25">
        <f t="shared" ref="G52:K52" si="52">F52*(1+$L52)</f>
        <v>28258</v>
      </c>
      <c r="H52" s="25">
        <f t="shared" si="52"/>
        <v>28258</v>
      </c>
      <c r="I52" s="25">
        <f t="shared" si="52"/>
        <v>28258</v>
      </c>
      <c r="J52" s="25">
        <f t="shared" si="52"/>
        <v>28258</v>
      </c>
      <c r="K52" s="25">
        <f t="shared" si="52"/>
        <v>28258</v>
      </c>
      <c r="L52" s="3">
        <v>0</v>
      </c>
    </row>
    <row r="53" spans="2:18" s="11" customFormat="1">
      <c r="B53" s="16" t="s">
        <v>77</v>
      </c>
      <c r="C53" s="14">
        <f>C52</f>
        <v>20270</v>
      </c>
      <c r="D53" s="14">
        <f t="shared" ref="D53:E53" si="53">D52</f>
        <v>22215</v>
      </c>
      <c r="E53" s="14">
        <f t="shared" si="53"/>
        <v>26129</v>
      </c>
      <c r="F53" s="14">
        <f t="shared" ref="F53:K53" si="54">F52</f>
        <v>28258</v>
      </c>
      <c r="G53" s="14">
        <f t="shared" si="54"/>
        <v>28258</v>
      </c>
      <c r="H53" s="14">
        <f t="shared" si="54"/>
        <v>28258</v>
      </c>
      <c r="I53" s="14">
        <f t="shared" si="54"/>
        <v>28258</v>
      </c>
      <c r="J53" s="14">
        <f t="shared" si="54"/>
        <v>28258</v>
      </c>
      <c r="K53" s="14">
        <f t="shared" si="54"/>
        <v>28258</v>
      </c>
      <c r="L53" s="3">
        <v>0</v>
      </c>
    </row>
    <row r="54" spans="2:18" s="11" customFormat="1">
      <c r="B54" s="13" t="s">
        <v>76</v>
      </c>
      <c r="C54" s="12">
        <f>C51+C53</f>
        <v>168399</v>
      </c>
      <c r="D54" s="12">
        <f t="shared" ref="D54:E54" si="55">D51+D53</f>
        <v>167873</v>
      </c>
      <c r="E54" s="12">
        <f t="shared" si="55"/>
        <v>182118</v>
      </c>
      <c r="F54" s="12">
        <f t="shared" ref="F54:K54" si="56">F51+F53</f>
        <v>198514</v>
      </c>
      <c r="G54" s="12">
        <f t="shared" si="56"/>
        <v>206783.14028341672</v>
      </c>
      <c r="H54" s="12">
        <f t="shared" si="56"/>
        <v>215453.90330569036</v>
      </c>
      <c r="I54" s="12">
        <f t="shared" si="56"/>
        <v>224545.79542647122</v>
      </c>
      <c r="J54" s="12">
        <f t="shared" si="56"/>
        <v>234079.27040711266</v>
      </c>
      <c r="K54" s="12">
        <f t="shared" si="56"/>
        <v>244075.77542489447</v>
      </c>
      <c r="L54" s="3">
        <v>0</v>
      </c>
    </row>
    <row r="55" spans="2:18" outlineLevel="1">
      <c r="B55" s="20" t="s">
        <v>12</v>
      </c>
      <c r="C55" s="25">
        <v>376016</v>
      </c>
      <c r="D55" s="25">
        <v>376016</v>
      </c>
      <c r="E55" s="25">
        <v>376016</v>
      </c>
      <c r="F55" s="20">
        <v>226016</v>
      </c>
      <c r="G55" s="20">
        <f t="shared" ref="G55:K55" si="57">F55*(1+$L55)</f>
        <v>226016</v>
      </c>
      <c r="H55" s="20">
        <f t="shared" si="57"/>
        <v>226016</v>
      </c>
      <c r="I55" s="20">
        <f t="shared" si="57"/>
        <v>226016</v>
      </c>
      <c r="J55" s="20">
        <f t="shared" si="57"/>
        <v>226016</v>
      </c>
      <c r="K55" s="20">
        <f t="shared" si="57"/>
        <v>226016</v>
      </c>
      <c r="L55" s="3">
        <v>0</v>
      </c>
    </row>
    <row r="56" spans="2:18" outlineLevel="1">
      <c r="B56" s="20" t="s">
        <v>13</v>
      </c>
      <c r="C56" s="25">
        <v>900000</v>
      </c>
      <c r="D56" s="25">
        <v>900000</v>
      </c>
      <c r="E56" s="25">
        <v>900000</v>
      </c>
      <c r="F56" s="20">
        <v>900000</v>
      </c>
      <c r="G56" s="20">
        <f t="shared" ref="G56:K56" si="58">F56*(1+$L56)</f>
        <v>900000</v>
      </c>
      <c r="H56" s="20">
        <f t="shared" si="58"/>
        <v>900000</v>
      </c>
      <c r="I56" s="20">
        <f t="shared" si="58"/>
        <v>900000</v>
      </c>
      <c r="J56" s="20">
        <f t="shared" si="58"/>
        <v>900000</v>
      </c>
      <c r="K56" s="20">
        <f t="shared" si="58"/>
        <v>900000</v>
      </c>
      <c r="L56" s="3">
        <v>0</v>
      </c>
    </row>
    <row r="57" spans="2:18" outlineLevel="1">
      <c r="B57" s="20" t="s">
        <v>14</v>
      </c>
      <c r="C57" s="25">
        <v>135256</v>
      </c>
      <c r="D57" s="25">
        <v>190546</v>
      </c>
      <c r="E57" s="25">
        <v>246643</v>
      </c>
      <c r="F57" s="20">
        <v>305144</v>
      </c>
      <c r="G57" s="20">
        <f t="shared" ref="G57:K57" si="59">F57*(1+$L57)</f>
        <v>400793.49354094762</v>
      </c>
      <c r="H57" s="20">
        <f t="shared" si="59"/>
        <v>526424.98120480042</v>
      </c>
      <c r="I57" s="20">
        <f t="shared" si="59"/>
        <v>691436.5260477009</v>
      </c>
      <c r="J57" s="20">
        <f t="shared" si="59"/>
        <v>908172.0788757914</v>
      </c>
      <c r="K57" s="20">
        <f t="shared" si="59"/>
        <v>1192844.8870991187</v>
      </c>
      <c r="L57" s="3">
        <v>0.31345690408773447</v>
      </c>
    </row>
    <row r="58" spans="2:18" outlineLevel="1">
      <c r="B58" s="20" t="s">
        <v>15</v>
      </c>
      <c r="C58" s="25">
        <v>-1250</v>
      </c>
      <c r="D58" s="25">
        <v>-1286</v>
      </c>
      <c r="E58" s="25">
        <v>-1315</v>
      </c>
      <c r="F58" s="25">
        <v>-1315</v>
      </c>
      <c r="G58" s="25">
        <f t="shared" ref="G58:K58" si="60">F58*(1+$L58)</f>
        <v>-1315</v>
      </c>
      <c r="H58" s="25">
        <f t="shared" si="60"/>
        <v>-1315</v>
      </c>
      <c r="I58" s="25">
        <f t="shared" si="60"/>
        <v>-1315</v>
      </c>
      <c r="J58" s="25">
        <f t="shared" si="60"/>
        <v>-1315</v>
      </c>
      <c r="K58" s="25">
        <f t="shared" si="60"/>
        <v>-1315</v>
      </c>
      <c r="L58" s="3">
        <v>0</v>
      </c>
    </row>
    <row r="59" spans="2:18" outlineLevel="1">
      <c r="B59" s="20" t="s">
        <v>16</v>
      </c>
      <c r="C59" s="25">
        <v>444584</v>
      </c>
      <c r="D59" s="25">
        <v>490394</v>
      </c>
      <c r="E59" s="25">
        <v>453580</v>
      </c>
      <c r="F59" s="20">
        <v>565984</v>
      </c>
      <c r="G59" s="20">
        <v>450607.42334824649</v>
      </c>
      <c r="H59" s="20">
        <v>307801.99426693982</v>
      </c>
      <c r="I59" s="20">
        <v>128445.25529479166</v>
      </c>
      <c r="J59" s="20">
        <v>-99448.411292872741</v>
      </c>
      <c r="K59" s="20">
        <v>-391643.63024253794</v>
      </c>
      <c r="L59" s="3">
        <v>9.1928351718967224E-2</v>
      </c>
      <c r="N59" s="48"/>
      <c r="O59" s="48"/>
      <c r="P59" s="48"/>
      <c r="Q59" s="48"/>
      <c r="R59" s="48"/>
    </row>
    <row r="60" spans="2:18" s="11" customFormat="1">
      <c r="B60" s="16" t="s">
        <v>75</v>
      </c>
      <c r="C60" s="15">
        <f>SUM(C55:C59)</f>
        <v>1854606</v>
      </c>
      <c r="D60" s="15">
        <f t="shared" ref="D60:E60" si="61">SUM(D55:D59)</f>
        <v>1955670</v>
      </c>
      <c r="E60" s="15">
        <f t="shared" si="61"/>
        <v>1974924</v>
      </c>
      <c r="F60" s="15">
        <f t="shared" ref="F60:K60" si="62">SUM(F55:F59)</f>
        <v>1995829</v>
      </c>
      <c r="G60" s="15">
        <f t="shared" si="62"/>
        <v>1976101.9168891939</v>
      </c>
      <c r="H60" s="15">
        <f t="shared" si="62"/>
        <v>1958927.9754717401</v>
      </c>
      <c r="I60" s="15">
        <f t="shared" si="62"/>
        <v>1944582.7813424927</v>
      </c>
      <c r="J60" s="15">
        <f t="shared" si="62"/>
        <v>1933424.6675829184</v>
      </c>
      <c r="K60" s="15">
        <f t="shared" si="62"/>
        <v>1925902.256856581</v>
      </c>
      <c r="L60" s="3">
        <v>0</v>
      </c>
    </row>
    <row r="61" spans="2:18" s="11" customFormat="1">
      <c r="B61" s="13" t="s">
        <v>74</v>
      </c>
      <c r="C61" s="12">
        <f>C60+C54</f>
        <v>2023005</v>
      </c>
      <c r="D61" s="12">
        <f t="shared" ref="D61:E61" si="63">D60+D54</f>
        <v>2123543</v>
      </c>
      <c r="E61" s="12">
        <f t="shared" si="63"/>
        <v>2157042</v>
      </c>
      <c r="F61" s="12">
        <f t="shared" ref="F61:K61" si="64">F60+F54</f>
        <v>2194343</v>
      </c>
      <c r="G61" s="12">
        <f t="shared" si="64"/>
        <v>2182885.0571726104</v>
      </c>
      <c r="H61" s="12">
        <f t="shared" si="64"/>
        <v>2174381.8787774304</v>
      </c>
      <c r="I61" s="12">
        <f t="shared" si="64"/>
        <v>2169128.5767689641</v>
      </c>
      <c r="J61" s="12">
        <f t="shared" si="64"/>
        <v>2167503.9379900312</v>
      </c>
      <c r="K61" s="12">
        <f t="shared" si="64"/>
        <v>2169978.0322814756</v>
      </c>
      <c r="L61" s="3">
        <v>0</v>
      </c>
    </row>
    <row r="62" spans="2:18" s="8" customFormat="1">
      <c r="B62" s="10" t="s">
        <v>220</v>
      </c>
      <c r="C62" s="9">
        <f>C42-C61</f>
        <v>0</v>
      </c>
      <c r="D62" s="9">
        <f t="shared" ref="D62:K62" si="65">D42-D61</f>
        <v>0</v>
      </c>
      <c r="E62" s="9">
        <f t="shared" si="65"/>
        <v>0</v>
      </c>
      <c r="F62" s="9">
        <f t="shared" si="65"/>
        <v>0</v>
      </c>
      <c r="G62" s="9">
        <f t="shared" si="65"/>
        <v>0</v>
      </c>
      <c r="H62" s="9">
        <f t="shared" si="65"/>
        <v>0</v>
      </c>
      <c r="I62" s="9">
        <f t="shared" si="65"/>
        <v>0</v>
      </c>
      <c r="J62" s="9">
        <f t="shared" si="65"/>
        <v>0</v>
      </c>
      <c r="K62" s="9">
        <f t="shared" si="65"/>
        <v>0</v>
      </c>
      <c r="L62" s="3">
        <v>0</v>
      </c>
    </row>
    <row r="63" spans="2:18">
      <c r="B63" s="7" t="s">
        <v>17</v>
      </c>
      <c r="C63" s="6">
        <f>C29-C11-C51</f>
        <v>567393</v>
      </c>
      <c r="D63" s="6">
        <f t="shared" ref="D63:K63" si="66">D29-D11-D51</f>
        <v>509959</v>
      </c>
      <c r="E63" s="6">
        <f t="shared" si="66"/>
        <v>615529</v>
      </c>
      <c r="F63" s="6">
        <f t="shared" si="66"/>
        <v>711130</v>
      </c>
      <c r="G63" s="6">
        <f t="shared" si="66"/>
        <v>780548.81883379864</v>
      </c>
      <c r="H63" s="6">
        <f t="shared" si="66"/>
        <v>858955.75603667262</v>
      </c>
      <c r="I63" s="6">
        <f t="shared" si="66"/>
        <v>947217.96048098919</v>
      </c>
      <c r="J63" s="6">
        <f t="shared" si="66"/>
        <v>1046325.04705314</v>
      </c>
      <c r="K63" s="6">
        <f t="shared" si="66"/>
        <v>1157399.9720543264</v>
      </c>
      <c r="L63" s="3">
        <v>0</v>
      </c>
    </row>
    <row r="64" spans="2:18" ht="12" thickBot="1">
      <c r="C64" s="5"/>
      <c r="D64" s="5"/>
      <c r="E64" s="5"/>
      <c r="F64" s="5"/>
      <c r="G64" s="5"/>
      <c r="H64" s="5"/>
      <c r="I64" s="5"/>
      <c r="J64" s="5"/>
      <c r="K64" s="5"/>
    </row>
    <row r="65" spans="2:11" ht="12" thickTop="1">
      <c r="C65" s="4"/>
      <c r="D65" s="4"/>
      <c r="E65" s="4"/>
      <c r="F65" s="4"/>
      <c r="G65" s="4"/>
      <c r="H65" s="4"/>
      <c r="I65" s="4"/>
      <c r="J65" s="4"/>
      <c r="K65" s="4"/>
    </row>
    <row r="66" spans="2:11">
      <c r="B66" s="323" t="s">
        <v>72</v>
      </c>
      <c r="C66" s="324">
        <f>C5</f>
        <v>2010</v>
      </c>
      <c r="D66" s="324">
        <f t="shared" ref="D66:F66" si="67">D5</f>
        <v>2011</v>
      </c>
      <c r="E66" s="324">
        <f t="shared" si="67"/>
        <v>2012</v>
      </c>
      <c r="F66" s="324">
        <f t="shared" si="67"/>
        <v>2013</v>
      </c>
      <c r="G66" s="42" t="s">
        <v>258</v>
      </c>
      <c r="H66" s="42" t="s">
        <v>259</v>
      </c>
      <c r="I66" s="42" t="s">
        <v>260</v>
      </c>
      <c r="J66" s="42" t="s">
        <v>261</v>
      </c>
      <c r="K66" s="42" t="s">
        <v>262</v>
      </c>
    </row>
    <row r="67" spans="2:11">
      <c r="B67" s="96" t="str">
        <f>B11</f>
        <v>Cash &amp; Cash Equivalents</v>
      </c>
      <c r="C67" s="23"/>
      <c r="D67" s="326" t="s">
        <v>2</v>
      </c>
      <c r="E67" s="326">
        <f t="shared" ref="E67:F67" si="68">E11/D11-1</f>
        <v>-5.6381422488824273E-2</v>
      </c>
      <c r="F67" s="326">
        <f t="shared" si="68"/>
        <v>-5.6874870089378526E-2</v>
      </c>
      <c r="G67" s="327">
        <f>AVERAGE((D67:F67))</f>
        <v>-5.66281462891014E-2</v>
      </c>
      <c r="H67" s="306">
        <f>G67</f>
        <v>-5.66281462891014E-2</v>
      </c>
      <c r="I67" s="306">
        <f>H67</f>
        <v>-5.66281462891014E-2</v>
      </c>
      <c r="J67" s="306">
        <f>I67</f>
        <v>-5.66281462891014E-2</v>
      </c>
      <c r="K67" s="306">
        <f>J67</f>
        <v>-5.66281462891014E-2</v>
      </c>
    </row>
    <row r="68" spans="2:11">
      <c r="B68" s="24" t="s">
        <v>4</v>
      </c>
      <c r="C68" s="97"/>
      <c r="D68" s="97">
        <f>D12/C12-1</f>
        <v>-0.1192688548380213</v>
      </c>
      <c r="E68" s="97">
        <f t="shared" ref="E68:F68" si="69">E12/D12-1</f>
        <v>0.23713511011817512</v>
      </c>
      <c r="F68" s="97">
        <f t="shared" si="69"/>
        <v>0.22730664744582874</v>
      </c>
      <c r="G68" s="327">
        <f t="shared" ref="G68:G109" si="70">AVERAGE((D68:F68))</f>
        <v>0.11505763424199418</v>
      </c>
      <c r="H68" s="306">
        <f t="shared" ref="H68:I109" si="71">G68</f>
        <v>0.11505763424199418</v>
      </c>
      <c r="I68" s="306">
        <f t="shared" si="71"/>
        <v>0.11505763424199418</v>
      </c>
      <c r="J68" s="306">
        <f t="shared" ref="J68:K68" si="72">I68</f>
        <v>0.11505763424199418</v>
      </c>
      <c r="K68" s="306">
        <f t="shared" si="72"/>
        <v>0.11505763424199418</v>
      </c>
    </row>
    <row r="69" spans="2:11">
      <c r="B69" s="20" t="s">
        <v>96</v>
      </c>
      <c r="C69" s="97"/>
      <c r="D69" s="97">
        <f t="shared" ref="D69:F84" si="73">D13/C13-1</f>
        <v>-9.0463877135245285E-2</v>
      </c>
      <c r="E69" s="97">
        <f t="shared" si="73"/>
        <v>-0.16164118027137631</v>
      </c>
      <c r="F69" s="97">
        <f t="shared" si="73"/>
        <v>-0.1081053307642903</v>
      </c>
      <c r="G69" s="327">
        <f t="shared" si="70"/>
        <v>-0.12007012939030397</v>
      </c>
      <c r="H69" s="306">
        <f t="shared" si="71"/>
        <v>-0.12007012939030397</v>
      </c>
      <c r="I69" s="306">
        <f t="shared" si="71"/>
        <v>-0.12007012939030397</v>
      </c>
      <c r="J69" s="306">
        <f t="shared" ref="J69:K69" si="74">I69</f>
        <v>-0.12007012939030397</v>
      </c>
      <c r="K69" s="306">
        <f t="shared" si="74"/>
        <v>-0.12007012939030397</v>
      </c>
    </row>
    <row r="70" spans="2:11">
      <c r="B70" s="20" t="s">
        <v>97</v>
      </c>
      <c r="C70" s="97"/>
      <c r="D70" s="97">
        <f t="shared" si="73"/>
        <v>0</v>
      </c>
      <c r="E70" s="97">
        <f t="shared" si="73"/>
        <v>0.29488574537540813</v>
      </c>
      <c r="F70" s="97">
        <f t="shared" si="73"/>
        <v>1.5310924369747898</v>
      </c>
      <c r="G70" s="327">
        <f t="shared" si="70"/>
        <v>0.60865939411673264</v>
      </c>
      <c r="H70" s="306">
        <f t="shared" si="71"/>
        <v>0.60865939411673264</v>
      </c>
      <c r="I70" s="306">
        <f t="shared" si="71"/>
        <v>0.60865939411673264</v>
      </c>
      <c r="J70" s="306">
        <f t="shared" ref="J70:K70" si="75">I70</f>
        <v>0.60865939411673264</v>
      </c>
      <c r="K70" s="306">
        <f t="shared" si="75"/>
        <v>0.60865939411673264</v>
      </c>
    </row>
    <row r="71" spans="2:11">
      <c r="B71" s="38" t="s">
        <v>89</v>
      </c>
      <c r="C71" s="61"/>
      <c r="D71" s="97">
        <f t="shared" si="73"/>
        <v>-9.2122324403040134E-2</v>
      </c>
      <c r="E71" s="97">
        <f t="shared" si="73"/>
        <v>-0.17085979213816438</v>
      </c>
      <c r="F71" s="97">
        <f t="shared" si="73"/>
        <v>-0.15979859546839803</v>
      </c>
      <c r="G71" s="327">
        <f t="shared" si="70"/>
        <v>-0.14092690400320085</v>
      </c>
      <c r="H71" s="306">
        <f t="shared" si="71"/>
        <v>-0.14092690400320085</v>
      </c>
      <c r="I71" s="306">
        <f t="shared" si="71"/>
        <v>-0.14092690400320085</v>
      </c>
      <c r="J71" s="306">
        <f t="shared" ref="J71:K71" si="76">I71</f>
        <v>-0.14092690400320085</v>
      </c>
      <c r="K71" s="306">
        <f t="shared" si="76"/>
        <v>-0.14092690400320085</v>
      </c>
    </row>
    <row r="72" spans="2:11">
      <c r="B72" s="37" t="s">
        <v>88</v>
      </c>
      <c r="C72" s="61"/>
      <c r="D72" s="97">
        <f t="shared" si="73"/>
        <v>-0.20173805090006203</v>
      </c>
      <c r="E72" s="97">
        <f t="shared" si="73"/>
        <v>1.1664074650077794E-2</v>
      </c>
      <c r="F72" s="97">
        <f t="shared" si="73"/>
        <v>-0.32667179093005383</v>
      </c>
      <c r="G72" s="327">
        <f t="shared" si="70"/>
        <v>-0.1722485890600127</v>
      </c>
      <c r="H72" s="306">
        <f t="shared" si="71"/>
        <v>-0.1722485890600127</v>
      </c>
      <c r="I72" s="306">
        <f t="shared" si="71"/>
        <v>-0.1722485890600127</v>
      </c>
      <c r="J72" s="306">
        <f t="shared" ref="J72:K72" si="77">I72</f>
        <v>-0.1722485890600127</v>
      </c>
      <c r="K72" s="306">
        <f t="shared" si="77"/>
        <v>-0.1722485890600127</v>
      </c>
    </row>
    <row r="73" spans="2:11">
      <c r="B73" s="24" t="s">
        <v>87</v>
      </c>
      <c r="C73" s="61"/>
      <c r="D73" s="97">
        <f t="shared" si="73"/>
        <v>-9.5535369153459615E-2</v>
      </c>
      <c r="E73" s="97">
        <f t="shared" si="73"/>
        <v>-0.16584396435668958</v>
      </c>
      <c r="F73" s="97">
        <f t="shared" si="73"/>
        <v>-0.16536018034634692</v>
      </c>
      <c r="G73" s="327">
        <f t="shared" si="70"/>
        <v>-0.14224650461883204</v>
      </c>
      <c r="H73" s="306">
        <f t="shared" si="71"/>
        <v>-0.14224650461883204</v>
      </c>
      <c r="I73" s="306">
        <f t="shared" si="71"/>
        <v>-0.14224650461883204</v>
      </c>
      <c r="J73" s="306">
        <f t="shared" ref="J73:K73" si="78">I73</f>
        <v>-0.14224650461883204</v>
      </c>
      <c r="K73" s="306">
        <f t="shared" si="78"/>
        <v>-0.14224650461883204</v>
      </c>
    </row>
    <row r="74" spans="2:11">
      <c r="B74" s="20" t="s">
        <v>99</v>
      </c>
      <c r="C74" s="325"/>
      <c r="D74" s="97">
        <f t="shared" si="73"/>
        <v>-7.2485448512212391E-2</v>
      </c>
      <c r="E74" s="97">
        <f t="shared" si="73"/>
        <v>-3.3957948447259634E-2</v>
      </c>
      <c r="F74" s="97">
        <f t="shared" si="73"/>
        <v>-0.17918829493367328</v>
      </c>
      <c r="G74" s="327">
        <f t="shared" si="70"/>
        <v>-9.5210563964381767E-2</v>
      </c>
      <c r="H74" s="306">
        <f t="shared" si="71"/>
        <v>-9.5210563964381767E-2</v>
      </c>
      <c r="I74" s="306">
        <f t="shared" si="71"/>
        <v>-9.5210563964381767E-2</v>
      </c>
      <c r="J74" s="306">
        <f t="shared" ref="J74:K74" si="79">I74</f>
        <v>-9.5210563964381767E-2</v>
      </c>
      <c r="K74" s="306">
        <f t="shared" si="79"/>
        <v>-9.5210563964381767E-2</v>
      </c>
    </row>
    <row r="75" spans="2:11">
      <c r="B75" s="20" t="s">
        <v>100</v>
      </c>
      <c r="D75" s="97">
        <f t="shared" si="73"/>
        <v>-2.1620083920062538E-2</v>
      </c>
      <c r="E75" s="97">
        <f t="shared" si="73"/>
        <v>1.2702624118630514</v>
      </c>
      <c r="F75" s="97">
        <f t="shared" si="73"/>
        <v>0.25710809426229497</v>
      </c>
      <c r="G75" s="327">
        <f t="shared" si="70"/>
        <v>0.50191680740176137</v>
      </c>
      <c r="H75" s="306">
        <f t="shared" si="71"/>
        <v>0.50191680740176137</v>
      </c>
      <c r="I75" s="306">
        <f t="shared" si="71"/>
        <v>0.50191680740176137</v>
      </c>
      <c r="J75" s="306">
        <f t="shared" ref="J75:K75" si="80">I75</f>
        <v>0.50191680740176137</v>
      </c>
      <c r="K75" s="306">
        <f t="shared" si="80"/>
        <v>0.50191680740176137</v>
      </c>
    </row>
    <row r="76" spans="2:11">
      <c r="B76" s="20" t="s">
        <v>101</v>
      </c>
      <c r="D76" s="97">
        <f t="shared" si="73"/>
        <v>1.2082233119577519</v>
      </c>
      <c r="E76" s="97">
        <f t="shared" si="73"/>
        <v>0.14229586607447908</v>
      </c>
      <c r="F76" s="97">
        <f t="shared" si="73"/>
        <v>4.0675938387916943E-2</v>
      </c>
      <c r="G76" s="327">
        <f t="shared" si="70"/>
        <v>0.46373170547338266</v>
      </c>
      <c r="H76" s="306">
        <f t="shared" si="71"/>
        <v>0.46373170547338266</v>
      </c>
      <c r="I76" s="306">
        <f t="shared" si="71"/>
        <v>0.46373170547338266</v>
      </c>
      <c r="J76" s="306">
        <f t="shared" ref="J76:K76" si="81">I76</f>
        <v>0.46373170547338266</v>
      </c>
      <c r="K76" s="306">
        <f t="shared" si="81"/>
        <v>0.46373170547338266</v>
      </c>
    </row>
    <row r="77" spans="2:11">
      <c r="B77" s="20" t="s">
        <v>102</v>
      </c>
      <c r="D77" s="97">
        <f t="shared" si="73"/>
        <v>5.8027334101762307E-3</v>
      </c>
      <c r="E77" s="97">
        <f t="shared" si="73"/>
        <v>3.7274239388105146E-2</v>
      </c>
      <c r="F77" s="97">
        <f t="shared" si="73"/>
        <v>-1.159105544261918E-2</v>
      </c>
      <c r="G77" s="327">
        <f t="shared" si="70"/>
        <v>1.0495305785220732E-2</v>
      </c>
      <c r="H77" s="306">
        <f t="shared" si="71"/>
        <v>1.0495305785220732E-2</v>
      </c>
      <c r="I77" s="306">
        <f t="shared" si="71"/>
        <v>1.0495305785220732E-2</v>
      </c>
      <c r="J77" s="306">
        <f t="shared" ref="J77:K77" si="82">I77</f>
        <v>1.0495305785220732E-2</v>
      </c>
      <c r="K77" s="306">
        <f t="shared" si="82"/>
        <v>1.0495305785220732E-2</v>
      </c>
    </row>
    <row r="78" spans="2:11">
      <c r="B78" s="20" t="s">
        <v>103</v>
      </c>
      <c r="D78" s="97">
        <f t="shared" si="73"/>
        <v>-6.17634454681808E-2</v>
      </c>
      <c r="E78" s="97">
        <f t="shared" si="73"/>
        <v>2.083928061661422E-2</v>
      </c>
      <c r="F78" s="97">
        <f t="shared" si="73"/>
        <v>2.3601789709172261E-2</v>
      </c>
      <c r="G78" s="327">
        <f t="shared" si="70"/>
        <v>-5.7741250474647732E-3</v>
      </c>
      <c r="H78" s="306">
        <f t="shared" si="71"/>
        <v>-5.7741250474647732E-3</v>
      </c>
      <c r="I78" s="306">
        <f t="shared" si="71"/>
        <v>-5.7741250474647732E-3</v>
      </c>
      <c r="J78" s="306">
        <f t="shared" ref="J78:K78" si="83">I78</f>
        <v>-5.7741250474647732E-3</v>
      </c>
      <c r="K78" s="306">
        <f t="shared" si="83"/>
        <v>-5.7741250474647732E-3</v>
      </c>
    </row>
    <row r="79" spans="2:11">
      <c r="B79" s="29" t="s">
        <v>86</v>
      </c>
      <c r="D79" s="97">
        <f t="shared" si="73"/>
        <v>1.2152061510434908E-2</v>
      </c>
      <c r="E79" s="97">
        <f t="shared" si="73"/>
        <v>0.11898699332461637</v>
      </c>
      <c r="F79" s="97">
        <f t="shared" si="73"/>
        <v>6.6704513198967419E-4</v>
      </c>
      <c r="G79" s="327">
        <f t="shared" si="70"/>
        <v>4.3935366655680319E-2</v>
      </c>
      <c r="H79" s="306">
        <f t="shared" si="71"/>
        <v>4.3935366655680319E-2</v>
      </c>
      <c r="I79" s="306">
        <f t="shared" si="71"/>
        <v>4.3935366655680319E-2</v>
      </c>
      <c r="J79" s="306">
        <f t="shared" ref="J79:K79" si="84">I79</f>
        <v>4.3935366655680319E-2</v>
      </c>
      <c r="K79" s="306">
        <f t="shared" si="84"/>
        <v>4.3935366655680319E-2</v>
      </c>
    </row>
    <row r="80" spans="2:11">
      <c r="B80" s="27" t="s">
        <v>98</v>
      </c>
      <c r="D80" s="97">
        <f t="shared" si="73"/>
        <v>-0.20173805090006203</v>
      </c>
      <c r="E80" s="97">
        <f t="shared" si="73"/>
        <v>1.1664074650077794E-2</v>
      </c>
      <c r="F80" s="97">
        <f t="shared" si="73"/>
        <v>-0.26518063028439665</v>
      </c>
      <c r="G80" s="327">
        <f t="shared" si="70"/>
        <v>-0.15175153551146028</v>
      </c>
      <c r="H80" s="306">
        <f t="shared" si="71"/>
        <v>-0.15175153551146028</v>
      </c>
      <c r="I80" s="306">
        <f t="shared" si="71"/>
        <v>-0.15175153551146028</v>
      </c>
      <c r="J80" s="306">
        <f t="shared" ref="J80:K80" si="85">I80</f>
        <v>-0.15175153551146028</v>
      </c>
      <c r="K80" s="306">
        <f t="shared" si="85"/>
        <v>-0.15175153551146028</v>
      </c>
    </row>
    <row r="81" spans="2:11">
      <c r="B81" s="27" t="s">
        <v>105</v>
      </c>
      <c r="D81" s="97">
        <f t="shared" si="73"/>
        <v>-0.41485925242270416</v>
      </c>
      <c r="E81" s="97">
        <f t="shared" si="73"/>
        <v>2.1458990536277605</v>
      </c>
      <c r="F81" s="97">
        <f t="shared" si="73"/>
        <v>-0.50689395838556028</v>
      </c>
      <c r="G81" s="327">
        <f t="shared" si="70"/>
        <v>0.40804861427316536</v>
      </c>
      <c r="H81" s="306">
        <f t="shared" si="71"/>
        <v>0.40804861427316536</v>
      </c>
      <c r="I81" s="306">
        <f t="shared" si="71"/>
        <v>0.40804861427316536</v>
      </c>
      <c r="J81" s="306">
        <f t="shared" ref="J81:K81" si="86">I81</f>
        <v>0.40804861427316536</v>
      </c>
      <c r="K81" s="306">
        <f t="shared" si="86"/>
        <v>0.40804861427316536</v>
      </c>
    </row>
    <row r="82" spans="2:11">
      <c r="B82" s="20" t="s">
        <v>106</v>
      </c>
      <c r="D82" s="97">
        <f t="shared" si="73"/>
        <v>-0.22204376631198552</v>
      </c>
      <c r="E82" s="97">
        <f t="shared" si="73"/>
        <v>6.7096774193549091E-3</v>
      </c>
      <c r="F82" s="97">
        <f t="shared" si="73"/>
        <v>-1.0253781081773772E-3</v>
      </c>
      <c r="G82" s="327">
        <f t="shared" si="70"/>
        <v>-7.2119822333602659E-2</v>
      </c>
      <c r="H82" s="306">
        <f t="shared" si="71"/>
        <v>-7.2119822333602659E-2</v>
      </c>
      <c r="I82" s="306">
        <f t="shared" si="71"/>
        <v>-7.2119822333602659E-2</v>
      </c>
      <c r="J82" s="306">
        <f t="shared" ref="J82:K82" si="87">I82</f>
        <v>-7.2119822333602659E-2</v>
      </c>
      <c r="K82" s="306">
        <f t="shared" si="87"/>
        <v>-7.2119822333602659E-2</v>
      </c>
    </row>
    <row r="83" spans="2:11">
      <c r="B83" s="27" t="s">
        <v>107</v>
      </c>
      <c r="D83" s="97">
        <f t="shared" si="73"/>
        <v>0.46652572233967593</v>
      </c>
      <c r="E83" s="97">
        <f t="shared" si="73"/>
        <v>0.27582892839980788</v>
      </c>
      <c r="F83" s="97">
        <f t="shared" si="73"/>
        <v>0.78154425612052725</v>
      </c>
      <c r="G83" s="327">
        <f t="shared" si="70"/>
        <v>0.50796630228667039</v>
      </c>
      <c r="H83" s="306">
        <f t="shared" si="71"/>
        <v>0.50796630228667039</v>
      </c>
      <c r="I83" s="306">
        <f t="shared" si="71"/>
        <v>0.50796630228667039</v>
      </c>
      <c r="J83" s="306">
        <f t="shared" ref="J83:K83" si="88">I83</f>
        <v>0.50796630228667039</v>
      </c>
      <c r="K83" s="306">
        <f t="shared" si="88"/>
        <v>0.50796630228667039</v>
      </c>
    </row>
    <row r="84" spans="2:11">
      <c r="B84" s="29" t="s">
        <v>104</v>
      </c>
      <c r="D84" s="97">
        <f t="shared" si="73"/>
        <v>-0.16388288465317347</v>
      </c>
      <c r="E84" s="97">
        <f t="shared" si="73"/>
        <v>0.39200940070505297</v>
      </c>
      <c r="F84" s="97">
        <f t="shared" si="73"/>
        <v>-2.4987337497889617E-2</v>
      </c>
      <c r="G84" s="327">
        <f t="shared" si="70"/>
        <v>6.7713059517996624E-2</v>
      </c>
      <c r="H84" s="306">
        <f t="shared" si="71"/>
        <v>6.7713059517996624E-2</v>
      </c>
      <c r="I84" s="306">
        <f t="shared" si="71"/>
        <v>6.7713059517996624E-2</v>
      </c>
      <c r="J84" s="306">
        <f t="shared" ref="J84:K84" si="89">I84</f>
        <v>6.7713059517996624E-2</v>
      </c>
      <c r="K84" s="306">
        <f t="shared" si="89"/>
        <v>6.7713059517996624E-2</v>
      </c>
    </row>
    <row r="85" spans="2:11">
      <c r="G85" s="327"/>
      <c r="H85" s="306"/>
      <c r="I85" s="306"/>
      <c r="J85" s="306"/>
      <c r="K85" s="306"/>
    </row>
    <row r="86" spans="2:11">
      <c r="B86" s="20" t="s">
        <v>113</v>
      </c>
      <c r="C86" s="17"/>
      <c r="D86" s="328">
        <f>D32/C32-1</f>
        <v>-9.6279515552844863E-2</v>
      </c>
      <c r="E86" s="328">
        <f t="shared" ref="E86:F86" si="90">E32/D32-1</f>
        <v>6.0595834940223581E-2</v>
      </c>
      <c r="F86" s="328">
        <f t="shared" si="90"/>
        <v>-0.22462615335666558</v>
      </c>
      <c r="G86" s="327">
        <f t="shared" si="70"/>
        <v>-8.6769944656428954E-2</v>
      </c>
      <c r="H86" s="306">
        <f t="shared" si="71"/>
        <v>-8.6769944656428954E-2</v>
      </c>
      <c r="I86" s="306">
        <f t="shared" si="71"/>
        <v>-8.6769944656428954E-2</v>
      </c>
      <c r="J86" s="306">
        <f t="shared" ref="J86:K86" si="91">I86</f>
        <v>-8.6769944656428954E-2</v>
      </c>
      <c r="K86" s="306">
        <f t="shared" si="91"/>
        <v>-8.6769944656428954E-2</v>
      </c>
    </row>
    <row r="87" spans="2:11">
      <c r="B87" s="20" t="s">
        <v>112</v>
      </c>
      <c r="C87" s="17"/>
      <c r="D87" s="328">
        <f t="shared" ref="D87:F94" si="92">D33/C33-1</f>
        <v>1.9294035105732465E-3</v>
      </c>
      <c r="E87" s="328">
        <f t="shared" si="92"/>
        <v>6.0147507991676896E-3</v>
      </c>
      <c r="F87" s="328">
        <f t="shared" si="92"/>
        <v>5.9349322045407771E-3</v>
      </c>
      <c r="G87" s="327">
        <f t="shared" si="70"/>
        <v>4.626362171427238E-3</v>
      </c>
      <c r="H87" s="306">
        <f t="shared" si="71"/>
        <v>4.626362171427238E-3</v>
      </c>
      <c r="I87" s="306">
        <f t="shared" si="71"/>
        <v>4.626362171427238E-3</v>
      </c>
      <c r="J87" s="306">
        <f t="shared" ref="J87:K87" si="93">I87</f>
        <v>4.626362171427238E-3</v>
      </c>
      <c r="K87" s="306">
        <f t="shared" si="93"/>
        <v>4.626362171427238E-3</v>
      </c>
    </row>
    <row r="88" spans="2:11">
      <c r="B88" s="20" t="s">
        <v>111</v>
      </c>
      <c r="C88" s="17"/>
      <c r="D88" s="328">
        <f t="shared" si="92"/>
        <v>1.8558853325301827E-2</v>
      </c>
      <c r="E88" s="328">
        <f t="shared" si="92"/>
        <v>-1.1482944262660832E-2</v>
      </c>
      <c r="F88" s="328">
        <f t="shared" si="92"/>
        <v>1.7743003482112885E-2</v>
      </c>
      <c r="G88" s="327">
        <f t="shared" si="70"/>
        <v>8.2729708482512931E-3</v>
      </c>
      <c r="H88" s="306">
        <f t="shared" si="71"/>
        <v>8.2729708482512931E-3</v>
      </c>
      <c r="I88" s="306">
        <f t="shared" si="71"/>
        <v>8.2729708482512931E-3</v>
      </c>
      <c r="J88" s="306">
        <f t="shared" ref="J88:K88" si="94">I88</f>
        <v>8.2729708482512931E-3</v>
      </c>
      <c r="K88" s="306">
        <f t="shared" si="94"/>
        <v>8.2729708482512931E-3</v>
      </c>
    </row>
    <row r="89" spans="2:11">
      <c r="B89" s="20" t="s">
        <v>83</v>
      </c>
      <c r="C89" s="17"/>
      <c r="D89" s="328">
        <f t="shared" si="92"/>
        <v>0.15510871859826891</v>
      </c>
      <c r="E89" s="328">
        <f t="shared" si="92"/>
        <v>4.0252204504957367E-2</v>
      </c>
      <c r="F89" s="328">
        <f t="shared" si="92"/>
        <v>4.5458538299367524E-2</v>
      </c>
      <c r="G89" s="327">
        <f t="shared" si="70"/>
        <v>8.0273153800864597E-2</v>
      </c>
      <c r="H89" s="306">
        <f t="shared" si="71"/>
        <v>8.0273153800864597E-2</v>
      </c>
      <c r="I89" s="306">
        <f t="shared" si="71"/>
        <v>8.0273153800864597E-2</v>
      </c>
      <c r="J89" s="306">
        <f t="shared" ref="J89:K89" si="95">I89</f>
        <v>8.0273153800864597E-2</v>
      </c>
      <c r="K89" s="306">
        <f t="shared" si="95"/>
        <v>8.0273153800864597E-2</v>
      </c>
    </row>
    <row r="90" spans="2:11">
      <c r="B90" s="20" t="s">
        <v>110</v>
      </c>
      <c r="C90" s="17"/>
      <c r="D90" s="328">
        <f t="shared" si="92"/>
        <v>-0.17272270817367408</v>
      </c>
      <c r="E90" s="328">
        <f t="shared" si="92"/>
        <v>1.0057179364318798</v>
      </c>
      <c r="F90" s="328">
        <f t="shared" si="92"/>
        <v>5.2397712975202682E-2</v>
      </c>
      <c r="G90" s="327">
        <f t="shared" si="70"/>
        <v>0.29513098041113611</v>
      </c>
      <c r="H90" s="306">
        <f t="shared" si="71"/>
        <v>0.29513098041113611</v>
      </c>
      <c r="I90" s="306">
        <f t="shared" si="71"/>
        <v>0.29513098041113611</v>
      </c>
      <c r="J90" s="306">
        <f t="shared" ref="J90:K90" si="96">I90</f>
        <v>0.29513098041113611</v>
      </c>
      <c r="K90" s="306">
        <f t="shared" si="96"/>
        <v>0.29513098041113611</v>
      </c>
    </row>
    <row r="91" spans="2:11">
      <c r="B91" s="27" t="s">
        <v>114</v>
      </c>
      <c r="C91" s="17"/>
      <c r="D91" s="328" t="s">
        <v>2</v>
      </c>
      <c r="E91" s="328" t="s">
        <v>2</v>
      </c>
      <c r="F91" s="328" t="s">
        <v>2</v>
      </c>
      <c r="G91" s="327"/>
      <c r="H91" s="306"/>
      <c r="I91" s="306"/>
      <c r="J91" s="306"/>
      <c r="K91" s="306"/>
    </row>
    <row r="92" spans="2:11">
      <c r="B92" s="27" t="s">
        <v>115</v>
      </c>
      <c r="C92" s="17"/>
      <c r="D92" s="328">
        <f t="shared" si="92"/>
        <v>-0.10027319357716324</v>
      </c>
      <c r="E92" s="328">
        <f t="shared" si="92"/>
        <v>-0.10360960495739735</v>
      </c>
      <c r="F92" s="328">
        <f t="shared" si="92"/>
        <v>-0.10383325844250113</v>
      </c>
      <c r="G92" s="327">
        <f t="shared" si="70"/>
        <v>-0.10257201899235391</v>
      </c>
      <c r="H92" s="306">
        <f t="shared" si="71"/>
        <v>-0.10257201899235391</v>
      </c>
      <c r="I92" s="306">
        <f t="shared" si="71"/>
        <v>-0.10257201899235391</v>
      </c>
      <c r="J92" s="306">
        <f t="shared" ref="J92:K92" si="97">I92</f>
        <v>-0.10257201899235391</v>
      </c>
      <c r="K92" s="306">
        <f t="shared" si="97"/>
        <v>-0.10257201899235391</v>
      </c>
    </row>
    <row r="93" spans="2:11">
      <c r="B93" s="50" t="s">
        <v>109</v>
      </c>
      <c r="C93" s="51"/>
      <c r="D93" s="328">
        <f t="shared" si="92"/>
        <v>5.5169731989330728E-3</v>
      </c>
      <c r="E93" s="328">
        <f t="shared" si="92"/>
        <v>7.5174567110685153E-3</v>
      </c>
      <c r="F93" s="328">
        <f t="shared" si="92"/>
        <v>1.1426595912849002E-2</v>
      </c>
      <c r="G93" s="327">
        <f t="shared" si="70"/>
        <v>8.1536752742835308E-3</v>
      </c>
      <c r="H93" s="306">
        <f t="shared" si="71"/>
        <v>8.1536752742835308E-3</v>
      </c>
      <c r="I93" s="306">
        <f t="shared" si="71"/>
        <v>8.1536752742835308E-3</v>
      </c>
      <c r="J93" s="306">
        <f t="shared" ref="J93:K93" si="98">I93</f>
        <v>8.1536752742835308E-3</v>
      </c>
      <c r="K93" s="306">
        <f t="shared" si="98"/>
        <v>8.1536752742835308E-3</v>
      </c>
    </row>
    <row r="94" spans="2:11">
      <c r="B94" s="20" t="s">
        <v>82</v>
      </c>
      <c r="C94" s="19"/>
      <c r="D94" s="328">
        <f t="shared" si="92"/>
        <v>7.6030330668036106E-2</v>
      </c>
      <c r="E94" s="328">
        <f t="shared" si="92"/>
        <v>7.865323670490465E-2</v>
      </c>
      <c r="F94" s="328">
        <f t="shared" si="92"/>
        <v>7.2990052513573378E-2</v>
      </c>
      <c r="G94" s="327">
        <f t="shared" si="70"/>
        <v>7.589120662883804E-2</v>
      </c>
      <c r="H94" s="306">
        <f t="shared" si="71"/>
        <v>7.589120662883804E-2</v>
      </c>
      <c r="I94" s="306">
        <f t="shared" si="71"/>
        <v>7.589120662883804E-2</v>
      </c>
      <c r="J94" s="306">
        <f t="shared" ref="J94:K94" si="99">I94</f>
        <v>7.589120662883804E-2</v>
      </c>
      <c r="K94" s="306">
        <f t="shared" si="99"/>
        <v>7.589120662883804E-2</v>
      </c>
    </row>
    <row r="95" spans="2:11">
      <c r="G95" s="327"/>
      <c r="H95" s="306"/>
      <c r="I95" s="306"/>
      <c r="J95" s="306"/>
      <c r="K95" s="306"/>
    </row>
    <row r="96" spans="2:11">
      <c r="G96" s="327"/>
      <c r="H96" s="306"/>
      <c r="I96" s="306"/>
      <c r="J96" s="306"/>
      <c r="K96" s="306"/>
    </row>
    <row r="97" spans="1:11">
      <c r="B97" s="20" t="s">
        <v>5</v>
      </c>
      <c r="C97" s="25"/>
      <c r="D97" s="329">
        <f>D44/C44-1</f>
        <v>5.5673991472613871E-2</v>
      </c>
      <c r="E97" s="329">
        <f t="shared" ref="E97:F97" si="100">E44/D44-1</f>
        <v>0.29592233009708746</v>
      </c>
      <c r="F97" s="329">
        <f t="shared" si="100"/>
        <v>-0.19868145040455498</v>
      </c>
      <c r="G97" s="327">
        <f t="shared" si="70"/>
        <v>5.0971623721715452E-2</v>
      </c>
      <c r="H97" s="306">
        <f t="shared" si="71"/>
        <v>5.0971623721715452E-2</v>
      </c>
      <c r="I97" s="306">
        <f t="shared" si="71"/>
        <v>5.0971623721715452E-2</v>
      </c>
      <c r="J97" s="306">
        <f t="shared" ref="J97:K97" si="101">I97</f>
        <v>5.0971623721715452E-2</v>
      </c>
      <c r="K97" s="306">
        <f t="shared" si="101"/>
        <v>5.0971623721715452E-2</v>
      </c>
    </row>
    <row r="98" spans="1:11">
      <c r="B98" s="20" t="s">
        <v>6</v>
      </c>
      <c r="C98" s="25"/>
      <c r="D98" s="329">
        <f t="shared" ref="D98:F103" si="102">D45/C45-1</f>
        <v>-0.57801232365331856</v>
      </c>
      <c r="E98" s="329">
        <f t="shared" si="102"/>
        <v>2.1139020144242737E-2</v>
      </c>
      <c r="F98" s="329">
        <f t="shared" si="102"/>
        <v>0.34141674204996164</v>
      </c>
      <c r="G98" s="327">
        <f t="shared" si="70"/>
        <v>-7.1818853819704723E-2</v>
      </c>
      <c r="H98" s="306">
        <f t="shared" si="71"/>
        <v>-7.1818853819704723E-2</v>
      </c>
      <c r="I98" s="306">
        <f t="shared" si="71"/>
        <v>-7.1818853819704723E-2</v>
      </c>
      <c r="J98" s="306">
        <f t="shared" ref="J98:K98" si="103">I98</f>
        <v>-7.1818853819704723E-2</v>
      </c>
      <c r="K98" s="306">
        <f t="shared" si="103"/>
        <v>-7.1818853819704723E-2</v>
      </c>
    </row>
    <row r="99" spans="1:11">
      <c r="B99" s="20" t="s">
        <v>7</v>
      </c>
      <c r="C99" s="25"/>
      <c r="D99" s="329">
        <f t="shared" si="102"/>
        <v>2.5418388429752068</v>
      </c>
      <c r="E99" s="329">
        <f t="shared" si="102"/>
        <v>-0.14248213504448004</v>
      </c>
      <c r="F99" s="329">
        <f t="shared" si="102"/>
        <v>0</v>
      </c>
      <c r="G99" s="327">
        <f t="shared" si="70"/>
        <v>0.79978556931024214</v>
      </c>
      <c r="H99" s="306">
        <f t="shared" si="71"/>
        <v>0.79978556931024214</v>
      </c>
      <c r="I99" s="306">
        <f t="shared" si="71"/>
        <v>0.79978556931024214</v>
      </c>
      <c r="J99" s="306">
        <f t="shared" ref="J99:K99" si="104">I99</f>
        <v>0.79978556931024214</v>
      </c>
      <c r="K99" s="306">
        <f t="shared" si="104"/>
        <v>0.79978556931024214</v>
      </c>
    </row>
    <row r="100" spans="1:11">
      <c r="B100" s="20" t="s">
        <v>8</v>
      </c>
      <c r="C100" s="25"/>
      <c r="D100" s="329">
        <f t="shared" si="102"/>
        <v>0.10615977489601169</v>
      </c>
      <c r="E100" s="329">
        <f t="shared" si="102"/>
        <v>0.13495728149970976</v>
      </c>
      <c r="F100" s="329">
        <f t="shared" si="102"/>
        <v>0.10597349444552728</v>
      </c>
      <c r="G100" s="327">
        <f t="shared" si="70"/>
        <v>0.11569685028041625</v>
      </c>
      <c r="H100" s="306">
        <f t="shared" si="71"/>
        <v>0.11569685028041625</v>
      </c>
      <c r="I100" s="306">
        <f t="shared" si="71"/>
        <v>0.11569685028041625</v>
      </c>
      <c r="J100" s="306">
        <f t="shared" ref="J100:K100" si="105">I100</f>
        <v>0.11569685028041625</v>
      </c>
      <c r="K100" s="306">
        <f t="shared" si="105"/>
        <v>0.11569685028041625</v>
      </c>
    </row>
    <row r="101" spans="1:11">
      <c r="B101" s="20" t="s">
        <v>9</v>
      </c>
      <c r="C101" s="25"/>
      <c r="D101" s="329">
        <f t="shared" si="102"/>
        <v>0.10126167458626911</v>
      </c>
      <c r="E101" s="329">
        <f t="shared" si="102"/>
        <v>0.26737092694539499</v>
      </c>
      <c r="F101" s="329">
        <f t="shared" si="102"/>
        <v>-2.817562808170937E-2</v>
      </c>
      <c r="G101" s="327">
        <f t="shared" si="70"/>
        <v>0.11348565781665158</v>
      </c>
      <c r="H101" s="306">
        <f t="shared" si="71"/>
        <v>0.11348565781665158</v>
      </c>
      <c r="I101" s="306">
        <f t="shared" si="71"/>
        <v>0.11348565781665158</v>
      </c>
      <c r="J101" s="306">
        <f t="shared" ref="J101:K101" si="106">I101</f>
        <v>0.11348565781665158</v>
      </c>
      <c r="K101" s="306">
        <f t="shared" si="106"/>
        <v>0.11348565781665158</v>
      </c>
    </row>
    <row r="102" spans="1:11">
      <c r="B102" s="20" t="s">
        <v>10</v>
      </c>
      <c r="C102" s="25"/>
      <c r="D102" s="329">
        <f t="shared" si="102"/>
        <v>0.32332674794005678</v>
      </c>
      <c r="E102" s="329">
        <f t="shared" si="102"/>
        <v>0.15049339110803617</v>
      </c>
      <c r="F102" s="329">
        <f t="shared" si="102"/>
        <v>0.11580579820230419</v>
      </c>
      <c r="G102" s="327">
        <f t="shared" si="70"/>
        <v>0.19654197908346571</v>
      </c>
      <c r="H102" s="306">
        <f t="shared" si="71"/>
        <v>0.19654197908346571</v>
      </c>
      <c r="I102" s="306">
        <f t="shared" si="71"/>
        <v>0.19654197908346571</v>
      </c>
      <c r="J102" s="306">
        <f t="shared" ref="J102:K102" si="107">I102</f>
        <v>0.19654197908346571</v>
      </c>
      <c r="K102" s="306">
        <f t="shared" si="107"/>
        <v>0.19654197908346571</v>
      </c>
    </row>
    <row r="103" spans="1:11">
      <c r="B103" s="30" t="s">
        <v>79</v>
      </c>
      <c r="C103" s="28"/>
      <c r="D103" s="329">
        <f t="shared" si="102"/>
        <v>-1.6681406071734739E-2</v>
      </c>
      <c r="E103" s="329">
        <f t="shared" si="102"/>
        <v>7.0926416674676362E-2</v>
      </c>
      <c r="F103" s="329">
        <f t="shared" si="102"/>
        <v>9.146157741892047E-2</v>
      </c>
      <c r="G103" s="327">
        <f t="shared" si="70"/>
        <v>4.8568862673954029E-2</v>
      </c>
      <c r="H103" s="306">
        <f t="shared" si="71"/>
        <v>4.8568862673954029E-2</v>
      </c>
      <c r="I103" s="306">
        <f t="shared" si="71"/>
        <v>4.8568862673954029E-2</v>
      </c>
      <c r="J103" s="306">
        <f t="shared" ref="J103:K103" si="108">I103</f>
        <v>4.8568862673954029E-2</v>
      </c>
      <c r="K103" s="306">
        <f t="shared" si="108"/>
        <v>4.8568862673954029E-2</v>
      </c>
    </row>
    <row r="104" spans="1:11">
      <c r="G104" s="327"/>
      <c r="H104" s="306"/>
      <c r="I104" s="306"/>
      <c r="J104" s="306"/>
      <c r="K104" s="306"/>
    </row>
    <row r="105" spans="1:11">
      <c r="B105" s="27" t="s">
        <v>2</v>
      </c>
      <c r="D105" s="306" t="s">
        <v>2</v>
      </c>
      <c r="E105" s="306" t="s">
        <v>2</v>
      </c>
      <c r="F105" s="306" t="s">
        <v>2</v>
      </c>
      <c r="G105" s="327"/>
      <c r="H105" s="306"/>
      <c r="I105" s="306"/>
      <c r="J105" s="306"/>
      <c r="K105" s="306"/>
    </row>
    <row r="106" spans="1:11">
      <c r="B106" s="27" t="s">
        <v>2</v>
      </c>
      <c r="D106" s="306" t="s">
        <v>2</v>
      </c>
      <c r="E106" s="306" t="s">
        <v>2</v>
      </c>
      <c r="F106" s="306" t="s">
        <v>2</v>
      </c>
      <c r="G106" s="327"/>
      <c r="H106" s="306"/>
      <c r="I106" s="306"/>
      <c r="J106" s="306"/>
      <c r="K106" s="306"/>
    </row>
    <row r="107" spans="1:11">
      <c r="B107" s="20" t="s">
        <v>14</v>
      </c>
      <c r="D107" s="306">
        <f t="shared" ref="D107:F107" si="109">D57/C57-1</f>
        <v>0.40878038682202633</v>
      </c>
      <c r="E107" s="306">
        <f t="shared" si="109"/>
        <v>0.29440135190452699</v>
      </c>
      <c r="F107" s="306">
        <f t="shared" si="109"/>
        <v>0.23718897353665014</v>
      </c>
      <c r="G107" s="327">
        <f t="shared" si="70"/>
        <v>0.31345690408773447</v>
      </c>
      <c r="H107" s="306">
        <f t="shared" si="71"/>
        <v>0.31345690408773447</v>
      </c>
      <c r="I107" s="306">
        <f t="shared" si="71"/>
        <v>0.31345690408773447</v>
      </c>
      <c r="J107" s="306">
        <f t="shared" ref="J107:K107" si="110">I107</f>
        <v>0.31345690408773447</v>
      </c>
      <c r="K107" s="306">
        <f t="shared" si="110"/>
        <v>0.31345690408773447</v>
      </c>
    </row>
    <row r="108" spans="1:11">
      <c r="A108" s="3" t="s">
        <v>2</v>
      </c>
      <c r="B108" s="27" t="s">
        <v>2</v>
      </c>
      <c r="C108" s="3" t="s">
        <v>2</v>
      </c>
      <c r="D108" s="306" t="s">
        <v>2</v>
      </c>
      <c r="E108" s="306" t="s">
        <v>2</v>
      </c>
      <c r="F108" s="306" t="s">
        <v>2</v>
      </c>
      <c r="G108" s="327"/>
      <c r="H108" s="306"/>
      <c r="I108" s="306"/>
      <c r="J108" s="306"/>
      <c r="K108" s="306"/>
    </row>
    <row r="109" spans="1:11">
      <c r="B109" s="20" t="s">
        <v>16</v>
      </c>
      <c r="D109" s="306">
        <f t="shared" ref="D109:F109" si="111">D59/C59-1</f>
        <v>0.10304014539434614</v>
      </c>
      <c r="E109" s="306">
        <f t="shared" si="111"/>
        <v>-7.5070249636006947E-2</v>
      </c>
      <c r="F109" s="306">
        <f t="shared" si="111"/>
        <v>0.24781515939856247</v>
      </c>
      <c r="G109" s="327">
        <f t="shared" si="70"/>
        <v>9.1928351718967224E-2</v>
      </c>
      <c r="H109" s="306">
        <f t="shared" si="71"/>
        <v>9.1928351718967224E-2</v>
      </c>
      <c r="I109" s="306">
        <f t="shared" si="71"/>
        <v>9.1928351718967224E-2</v>
      </c>
      <c r="J109" s="306">
        <f t="shared" ref="J109:K109" si="112">I109</f>
        <v>9.1928351718967224E-2</v>
      </c>
      <c r="K109" s="306">
        <f t="shared" si="112"/>
        <v>9.1928351718967224E-2</v>
      </c>
    </row>
    <row r="110" spans="1:11">
      <c r="G110" s="327"/>
    </row>
    <row r="111" spans="1:11">
      <c r="G111" s="327"/>
    </row>
    <row r="112" spans="1:11">
      <c r="G112" s="327"/>
    </row>
    <row r="113" spans="7:7">
      <c r="G113" s="327"/>
    </row>
    <row r="114" spans="7:7">
      <c r="G114" s="327"/>
    </row>
    <row r="115" spans="7:7">
      <c r="G115" s="327"/>
    </row>
    <row r="116" spans="7:7">
      <c r="G116" s="327"/>
    </row>
    <row r="117" spans="7:7">
      <c r="G117" s="327"/>
    </row>
    <row r="118" spans="7:7">
      <c r="G118" s="327"/>
    </row>
    <row r="119" spans="7:7">
      <c r="G119" s="327"/>
    </row>
    <row r="120" spans="7:7">
      <c r="G120" s="327"/>
    </row>
    <row r="121" spans="7:7">
      <c r="G121" s="32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4:K58"/>
  <sheetViews>
    <sheetView showGridLines="0" workbookViewId="0">
      <pane ySplit="6" topLeftCell="A7" activePane="bottomLeft" state="frozen"/>
      <selection pane="bottomLeft" activeCell="A7" sqref="A7"/>
    </sheetView>
  </sheetViews>
  <sheetFormatPr defaultRowHeight="15"/>
  <cols>
    <col min="2" max="2" width="41.85546875" bestFit="1" customWidth="1"/>
    <col min="3" max="5" width="10.7109375" bestFit="1" customWidth="1"/>
    <col min="6" max="6" width="11.140625" customWidth="1"/>
    <col min="7" max="7" width="9.85546875" bestFit="1" customWidth="1"/>
  </cols>
  <sheetData>
    <row r="4" spans="2:11">
      <c r="B4" s="52"/>
      <c r="C4" s="52"/>
      <c r="D4" s="52"/>
      <c r="E4" s="52"/>
      <c r="F4" s="53"/>
      <c r="G4" s="54"/>
      <c r="H4" s="54"/>
      <c r="I4" s="54"/>
      <c r="J4" s="54"/>
      <c r="K4" s="54"/>
    </row>
    <row r="5" spans="2:11">
      <c r="B5" s="55" t="s">
        <v>93</v>
      </c>
      <c r="C5" s="42">
        <v>2010</v>
      </c>
      <c r="D5" s="42">
        <v>2011</v>
      </c>
      <c r="E5" s="42">
        <v>2012</v>
      </c>
      <c r="F5" s="42">
        <v>2013</v>
      </c>
      <c r="G5" s="56" t="s">
        <v>258</v>
      </c>
      <c r="H5" s="56" t="s">
        <v>259</v>
      </c>
      <c r="I5" s="56" t="s">
        <v>260</v>
      </c>
      <c r="J5" s="56" t="s">
        <v>261</v>
      </c>
      <c r="K5" s="56" t="s">
        <v>262</v>
      </c>
    </row>
    <row r="6" spans="2:11">
      <c r="B6" s="55" t="s">
        <v>116</v>
      </c>
      <c r="C6" s="56" t="s">
        <v>2</v>
      </c>
      <c r="D6" s="56" t="s">
        <v>2</v>
      </c>
      <c r="E6" s="56"/>
      <c r="F6" s="57" t="s">
        <v>2</v>
      </c>
      <c r="G6" s="56">
        <v>12</v>
      </c>
      <c r="H6" s="56">
        <v>12</v>
      </c>
      <c r="I6" s="56">
        <v>12</v>
      </c>
      <c r="J6" s="56">
        <v>12</v>
      </c>
      <c r="K6" s="56">
        <v>12</v>
      </c>
    </row>
    <row r="7" spans="2:11">
      <c r="B7" s="58"/>
      <c r="C7" s="59"/>
      <c r="D7" s="59"/>
      <c r="E7" s="59"/>
      <c r="F7" s="60"/>
      <c r="G7" s="59"/>
      <c r="H7" s="59"/>
      <c r="I7" s="59"/>
      <c r="J7" s="59"/>
      <c r="K7" s="59"/>
    </row>
    <row r="8" spans="2:11">
      <c r="B8" s="62" t="s">
        <v>117</v>
      </c>
      <c r="C8" s="63">
        <f>[4]Sheet2!B73</f>
        <v>968426</v>
      </c>
      <c r="D8" s="63">
        <f>[4]Sheet2!C73</f>
        <v>1034779</v>
      </c>
      <c r="E8" s="63">
        <f>[4]Sheet2!D73</f>
        <v>1047915</v>
      </c>
      <c r="F8" s="63">
        <f>[4]Sheet2!E73</f>
        <v>1050609</v>
      </c>
      <c r="G8" s="64">
        <f>F8*(1+G43)</f>
        <v>1079949.5858767114</v>
      </c>
      <c r="H8" s="64">
        <f t="shared" ref="H8:K8" si="0">G8*(1+H43)</f>
        <v>1095498.1724893854</v>
      </c>
      <c r="I8" s="64">
        <f t="shared" si="0"/>
        <v>1111892.5027739909</v>
      </c>
      <c r="J8" s="64">
        <f t="shared" si="0"/>
        <v>1133125.9104863256</v>
      </c>
      <c r="K8" s="64">
        <f t="shared" si="0"/>
        <v>1151429.4184905547</v>
      </c>
    </row>
    <row r="9" spans="2:11">
      <c r="B9" s="65" t="s">
        <v>118</v>
      </c>
      <c r="C9" s="66"/>
      <c r="D9" s="66">
        <f>D8/C8-1</f>
        <v>6.8516334753507158E-2</v>
      </c>
      <c r="E9" s="66">
        <f t="shared" ref="E9:K9" si="1">E8/D8-1</f>
        <v>1.269449805224121E-2</v>
      </c>
      <c r="F9" s="66">
        <f t="shared" si="1"/>
        <v>2.5708191981219652E-3</v>
      </c>
      <c r="G9" s="66">
        <f t="shared" si="1"/>
        <v>2.7927217334623444E-2</v>
      </c>
      <c r="H9" s="66">
        <f t="shared" si="1"/>
        <v>1.4397511528328799E-2</v>
      </c>
      <c r="I9" s="66">
        <f t="shared" si="1"/>
        <v>1.4965182687024736E-2</v>
      </c>
      <c r="J9" s="66">
        <f t="shared" si="1"/>
        <v>1.909663718332566E-2</v>
      </c>
      <c r="K9" s="66">
        <f t="shared" si="1"/>
        <v>1.6153110466226472E-2</v>
      </c>
    </row>
    <row r="10" spans="2:11">
      <c r="B10" s="65" t="s">
        <v>119</v>
      </c>
      <c r="C10" s="67">
        <f>[4]Sheet2!B74</f>
        <v>-411666</v>
      </c>
      <c r="D10" s="67">
        <f>[4]Sheet2!C74</f>
        <v>-425531</v>
      </c>
      <c r="E10" s="67">
        <f>[4]Sheet2!D74</f>
        <v>-433986</v>
      </c>
      <c r="F10" s="67">
        <f>[4]Sheet2!E74</f>
        <v>-406582</v>
      </c>
      <c r="G10" s="68">
        <f>-G$8*G44</f>
        <v>-436432.01072708372</v>
      </c>
      <c r="H10" s="68">
        <f t="shared" ref="H10:K10" si="2">-H$8*H44</f>
        <v>-440120.5685916557</v>
      </c>
      <c r="I10" s="68">
        <f t="shared" si="2"/>
        <v>-442115.47289851477</v>
      </c>
      <c r="J10" s="68">
        <f t="shared" si="2"/>
        <v>-454572.60387409024</v>
      </c>
      <c r="K10" s="68">
        <f t="shared" si="2"/>
        <v>-460780.94549379084</v>
      </c>
    </row>
    <row r="11" spans="2:11">
      <c r="B11" s="62" t="s">
        <v>120</v>
      </c>
      <c r="C11" s="69">
        <f t="shared" ref="C11:K11" si="3">C8+C10</f>
        <v>556760</v>
      </c>
      <c r="D11" s="69">
        <f t="shared" si="3"/>
        <v>609248</v>
      </c>
      <c r="E11" s="69">
        <f t="shared" si="3"/>
        <v>613929</v>
      </c>
      <c r="F11" s="69">
        <f t="shared" si="3"/>
        <v>644027</v>
      </c>
      <c r="G11" s="70">
        <f t="shared" si="3"/>
        <v>643517.57514962764</v>
      </c>
      <c r="H11" s="70">
        <f t="shared" si="3"/>
        <v>655377.60389772966</v>
      </c>
      <c r="I11" s="70">
        <f t="shared" si="3"/>
        <v>669777.02987547615</v>
      </c>
      <c r="J11" s="70">
        <f t="shared" si="3"/>
        <v>678553.30661223538</v>
      </c>
      <c r="K11" s="70">
        <f t="shared" si="3"/>
        <v>690648.47299676389</v>
      </c>
    </row>
    <row r="12" spans="2:11">
      <c r="B12" s="62" t="s">
        <v>70</v>
      </c>
      <c r="C12" s="71">
        <f t="shared" ref="C12:K12" si="4">C11/C8</f>
        <v>0.57491228033943742</v>
      </c>
      <c r="D12" s="71">
        <f t="shared" si="4"/>
        <v>0.58877112890771843</v>
      </c>
      <c r="E12" s="71">
        <f t="shared" si="4"/>
        <v>0.5858576315827142</v>
      </c>
      <c r="F12" s="71">
        <f t="shared" si="4"/>
        <v>0.61300350558580785</v>
      </c>
      <c r="G12" s="72">
        <f t="shared" si="4"/>
        <v>0.59587742202541338</v>
      </c>
      <c r="H12" s="72">
        <f t="shared" si="4"/>
        <v>0.59824618639797855</v>
      </c>
      <c r="I12" s="72">
        <f t="shared" si="4"/>
        <v>0.60237570466973334</v>
      </c>
      <c r="J12" s="72">
        <f t="shared" si="4"/>
        <v>0.59883310436437509</v>
      </c>
      <c r="K12" s="72">
        <f t="shared" si="4"/>
        <v>0.59981833181069566</v>
      </c>
    </row>
    <row r="13" spans="2:11">
      <c r="B13" s="65" t="s">
        <v>118</v>
      </c>
      <c r="C13" s="66"/>
      <c r="D13" s="66">
        <f t="shared" ref="D13:K13" si="5">D11/C11-1</f>
        <v>9.4274013937782897E-2</v>
      </c>
      <c r="E13" s="66">
        <f t="shared" si="5"/>
        <v>7.6832422921371268E-3</v>
      </c>
      <c r="F13" s="66">
        <f t="shared" si="5"/>
        <v>4.902521301323115E-2</v>
      </c>
      <c r="G13" s="66">
        <f t="shared" si="5"/>
        <v>-7.9099921334413459E-4</v>
      </c>
      <c r="H13" s="66">
        <f t="shared" si="5"/>
        <v>1.8429999748405201E-2</v>
      </c>
      <c r="I13" s="66">
        <f t="shared" si="5"/>
        <v>2.1971190184267408E-2</v>
      </c>
      <c r="J13" s="66">
        <f t="shared" si="5"/>
        <v>1.3103281159688285E-2</v>
      </c>
      <c r="K13" s="66">
        <f t="shared" si="5"/>
        <v>1.7824931758000151E-2</v>
      </c>
    </row>
    <row r="14" spans="2:11">
      <c r="B14" s="73" t="s">
        <v>20</v>
      </c>
      <c r="C14" s="74">
        <v>-1491</v>
      </c>
      <c r="D14" s="74">
        <v>-4120</v>
      </c>
      <c r="E14" s="74">
        <v>-4103</v>
      </c>
      <c r="F14" s="75">
        <v>-4050</v>
      </c>
      <c r="G14" s="75">
        <v>-4050</v>
      </c>
      <c r="H14" s="75">
        <v>-4050</v>
      </c>
      <c r="I14" s="75">
        <v>-4050</v>
      </c>
      <c r="J14" s="75">
        <v>-4050</v>
      </c>
      <c r="K14" s="75">
        <v>-4050</v>
      </c>
    </row>
    <row r="15" spans="2:11">
      <c r="B15" s="65" t="s">
        <v>21</v>
      </c>
      <c r="C15" s="67">
        <v>-7850</v>
      </c>
      <c r="D15" s="67">
        <v>-7239</v>
      </c>
      <c r="E15" s="67">
        <v>-5791</v>
      </c>
      <c r="F15" s="75">
        <v>-11236</v>
      </c>
      <c r="G15" s="76">
        <f>(F15*G46)+F15</f>
        <v>-13716.871692441522</v>
      </c>
      <c r="H15" s="76">
        <f t="shared" ref="H15:K15" si="6">(G15*H46)+G15</f>
        <v>-18110.939787037612</v>
      </c>
      <c r="I15" s="76">
        <f t="shared" si="6"/>
        <v>-27054.056700862027</v>
      </c>
      <c r="J15" s="76">
        <f t="shared" si="6"/>
        <v>-36387.106518316687</v>
      </c>
      <c r="K15" s="76">
        <f t="shared" si="6"/>
        <v>-50446.049010061455</v>
      </c>
    </row>
    <row r="16" spans="2:11">
      <c r="B16" s="73" t="s">
        <v>22</v>
      </c>
      <c r="C16" s="67">
        <v>-12342</v>
      </c>
      <c r="D16" s="67">
        <v>-8129</v>
      </c>
      <c r="E16" s="67">
        <v>-7111</v>
      </c>
      <c r="F16" s="75">
        <v>-6156</v>
      </c>
      <c r="G16" s="76">
        <f t="shared" ref="G16:K16" si="7">F16</f>
        <v>-6156</v>
      </c>
      <c r="H16" s="76">
        <f t="shared" si="7"/>
        <v>-6156</v>
      </c>
      <c r="I16" s="77">
        <f t="shared" si="7"/>
        <v>-6156</v>
      </c>
      <c r="J16" s="76">
        <f t="shared" si="7"/>
        <v>-6156</v>
      </c>
      <c r="K16" s="76">
        <f t="shared" si="7"/>
        <v>-6156</v>
      </c>
    </row>
    <row r="17" spans="2:11">
      <c r="B17" s="78" t="s">
        <v>23</v>
      </c>
      <c r="C17" s="74">
        <v>-16468</v>
      </c>
      <c r="D17" s="74">
        <v>-18003</v>
      </c>
      <c r="E17" s="74">
        <v>-17180</v>
      </c>
      <c r="F17" s="75">
        <v>-16312</v>
      </c>
      <c r="G17" s="75">
        <f>F17*(1+G48)</f>
        <v>-16295.53906026778</v>
      </c>
      <c r="H17" s="75">
        <f t="shared" ref="H17:K17" si="8">G17*(1+H48)</f>
        <v>-15767.305045532312</v>
      </c>
      <c r="I17" s="75">
        <f t="shared" si="8"/>
        <v>-15326.089274267673</v>
      </c>
      <c r="J17" s="75">
        <f t="shared" si="8"/>
        <v>-15012.374695019131</v>
      </c>
      <c r="K17" s="75">
        <f t="shared" si="8"/>
        <v>-14607.70043622097</v>
      </c>
    </row>
    <row r="18" spans="2:11">
      <c r="B18" s="78" t="s">
        <v>121</v>
      </c>
      <c r="C18" s="74">
        <f>SUM(C14:C17)</f>
        <v>-38151</v>
      </c>
      <c r="D18" s="74">
        <f t="shared" ref="D18:K18" si="9">SUM(D14:D17)</f>
        <v>-37491</v>
      </c>
      <c r="E18" s="74">
        <f t="shared" si="9"/>
        <v>-34185</v>
      </c>
      <c r="F18" s="74">
        <f t="shared" si="9"/>
        <v>-37754</v>
      </c>
      <c r="G18" s="74">
        <f t="shared" si="9"/>
        <v>-40218.4107527093</v>
      </c>
      <c r="H18" s="74">
        <f t="shared" si="9"/>
        <v>-44084.244832569922</v>
      </c>
      <c r="I18" s="74">
        <f t="shared" si="9"/>
        <v>-52586.145975129701</v>
      </c>
      <c r="J18" s="74">
        <f t="shared" si="9"/>
        <v>-61605.481213335821</v>
      </c>
      <c r="K18" s="74">
        <f t="shared" si="9"/>
        <v>-75259.749446282425</v>
      </c>
    </row>
    <row r="19" spans="2:11">
      <c r="B19" s="79" t="s">
        <v>122</v>
      </c>
      <c r="C19" s="80">
        <f>C11+C18</f>
        <v>518609</v>
      </c>
      <c r="D19" s="80">
        <f t="shared" ref="D19:F19" si="10">D11+D18</f>
        <v>571757</v>
      </c>
      <c r="E19" s="80">
        <f t="shared" si="10"/>
        <v>579744</v>
      </c>
      <c r="F19" s="80">
        <f t="shared" si="10"/>
        <v>606273</v>
      </c>
      <c r="G19" s="80">
        <f t="shared" ref="G19:K19" si="11">G11+G18</f>
        <v>603299.16439691838</v>
      </c>
      <c r="H19" s="80">
        <f t="shared" si="11"/>
        <v>611293.35906515969</v>
      </c>
      <c r="I19" s="80">
        <f t="shared" si="11"/>
        <v>617190.88390034647</v>
      </c>
      <c r="J19" s="80">
        <f t="shared" si="11"/>
        <v>616947.82539889961</v>
      </c>
      <c r="K19" s="80">
        <f t="shared" si="11"/>
        <v>615388.72355048149</v>
      </c>
    </row>
    <row r="20" spans="2:11">
      <c r="B20" s="79" t="s">
        <v>123</v>
      </c>
      <c r="C20" s="81">
        <f t="shared" ref="C20:F20" si="12">C19/C8</f>
        <v>0.53551742724792606</v>
      </c>
      <c r="D20" s="81">
        <f t="shared" si="12"/>
        <v>0.55254020423684669</v>
      </c>
      <c r="E20" s="81">
        <f t="shared" si="12"/>
        <v>0.55323571091166746</v>
      </c>
      <c r="F20" s="82">
        <f t="shared" si="12"/>
        <v>0.57706815761144248</v>
      </c>
      <c r="G20" s="82">
        <f t="shared" ref="G20:K20" si="13">G19/G8</f>
        <v>0.55863641440924805</v>
      </c>
      <c r="H20" s="82">
        <f t="shared" si="13"/>
        <v>0.55800490992702478</v>
      </c>
      <c r="I20" s="82">
        <f t="shared" si="13"/>
        <v>0.5550814331066678</v>
      </c>
      <c r="J20" s="82">
        <f t="shared" si="13"/>
        <v>0.54446537643297921</v>
      </c>
      <c r="K20" s="82">
        <f t="shared" si="13"/>
        <v>0.53445631461910537</v>
      </c>
    </row>
    <row r="21" spans="2:11">
      <c r="B21" s="83" t="s">
        <v>118</v>
      </c>
      <c r="C21" s="66"/>
      <c r="D21" s="66">
        <f t="shared" ref="D21:E21" si="14">D19/C19-1</f>
        <v>0.10248183120616883</v>
      </c>
      <c r="E21" s="66">
        <f t="shared" si="14"/>
        <v>1.3969221190121006E-2</v>
      </c>
      <c r="F21" s="84">
        <f>F19/D19-1</f>
        <v>6.0368303317668071E-2</v>
      </c>
      <c r="G21" s="84">
        <f t="shared" ref="G21:K21" si="15">G19/E19-1</f>
        <v>4.0630285775994812E-2</v>
      </c>
      <c r="H21" s="84">
        <f t="shared" si="15"/>
        <v>8.2806904895313949E-3</v>
      </c>
      <c r="I21" s="84">
        <f t="shared" si="15"/>
        <v>2.3026253512740791E-2</v>
      </c>
      <c r="J21" s="84">
        <f t="shared" si="15"/>
        <v>9.2500045189223279E-3</v>
      </c>
      <c r="K21" s="84">
        <f t="shared" si="15"/>
        <v>-2.9199400005330833E-3</v>
      </c>
    </row>
    <row r="22" spans="2:11">
      <c r="B22" s="83" t="s">
        <v>24</v>
      </c>
      <c r="C22" s="74">
        <v>12126</v>
      </c>
      <c r="D22" s="74">
        <v>4305</v>
      </c>
      <c r="E22" s="74">
        <v>5329</v>
      </c>
      <c r="F22" s="75">
        <v>3650</v>
      </c>
      <c r="G22" s="75">
        <f>F22*(1+G49)</f>
        <v>2771.3436797865538</v>
      </c>
      <c r="H22" s="75">
        <f t="shared" ref="H22:K22" si="16">G22*(1+H49)</f>
        <v>2477.642864038437</v>
      </c>
      <c r="I22" s="75">
        <f t="shared" si="16"/>
        <v>1931.0963050606013</v>
      </c>
      <c r="J22" s="75">
        <f t="shared" si="16"/>
        <v>1565.9280110380446</v>
      </c>
      <c r="K22" s="75">
        <f t="shared" si="16"/>
        <v>1296.7616565220451</v>
      </c>
    </row>
    <row r="23" spans="2:11">
      <c r="B23" s="83" t="s">
        <v>25</v>
      </c>
      <c r="C23" s="74">
        <v>-7862</v>
      </c>
      <c r="D23" s="74" t="s">
        <v>3</v>
      </c>
      <c r="E23" s="74" t="s">
        <v>3</v>
      </c>
      <c r="F23" s="75" t="s">
        <v>3</v>
      </c>
      <c r="G23" s="75"/>
      <c r="H23" s="75"/>
      <c r="I23" s="75"/>
      <c r="J23" s="75"/>
      <c r="K23" s="75"/>
    </row>
    <row r="24" spans="2:11">
      <c r="B24" s="83" t="s">
        <v>26</v>
      </c>
      <c r="C24" s="67" t="s">
        <v>3</v>
      </c>
      <c r="D24" s="67">
        <v>5739</v>
      </c>
      <c r="E24" s="67">
        <v>7810</v>
      </c>
      <c r="F24" s="75">
        <v>10737</v>
      </c>
      <c r="G24" s="75">
        <f>F24*(1+G50)</f>
        <v>14686.28436196708</v>
      </c>
      <c r="H24" s="75">
        <f t="shared" ref="H24:K24" si="17">G24*(1+H50)</f>
        <v>20088.194873852917</v>
      </c>
      <c r="I24" s="75">
        <f t="shared" si="17"/>
        <v>27523.613334760576</v>
      </c>
      <c r="J24" s="75">
        <f t="shared" si="17"/>
        <v>37668.623595864527</v>
      </c>
      <c r="K24" s="75">
        <f t="shared" si="17"/>
        <v>51562.717595139271</v>
      </c>
    </row>
    <row r="25" spans="2:11">
      <c r="B25" s="85" t="s">
        <v>124</v>
      </c>
      <c r="C25" s="67">
        <f>SUM(C22:C24)</f>
        <v>4264</v>
      </c>
      <c r="D25" s="67">
        <f t="shared" ref="D25:K25" si="18">SUM(D22:D24)</f>
        <v>10044</v>
      </c>
      <c r="E25" s="67">
        <f t="shared" si="18"/>
        <v>13139</v>
      </c>
      <c r="F25" s="67">
        <f t="shared" si="18"/>
        <v>14387</v>
      </c>
      <c r="G25" s="67">
        <f t="shared" si="18"/>
        <v>17457.628041753633</v>
      </c>
      <c r="H25" s="67">
        <f t="shared" si="18"/>
        <v>22565.837737891354</v>
      </c>
      <c r="I25" s="67">
        <f t="shared" si="18"/>
        <v>29454.709639821176</v>
      </c>
      <c r="J25" s="67">
        <f t="shared" si="18"/>
        <v>39234.551606902569</v>
      </c>
      <c r="K25" s="67">
        <f t="shared" si="18"/>
        <v>52859.479251661316</v>
      </c>
    </row>
    <row r="26" spans="2:11">
      <c r="B26" s="79" t="s">
        <v>125</v>
      </c>
      <c r="C26" s="80">
        <f>C19+C25</f>
        <v>522873</v>
      </c>
      <c r="D26" s="80">
        <f t="shared" ref="D26:K26" si="19">D19+D25</f>
        <v>581801</v>
      </c>
      <c r="E26" s="80">
        <f t="shared" si="19"/>
        <v>592883</v>
      </c>
      <c r="F26" s="80">
        <f t="shared" si="19"/>
        <v>620660</v>
      </c>
      <c r="G26" s="80">
        <f t="shared" si="19"/>
        <v>620756.79243867204</v>
      </c>
      <c r="H26" s="80">
        <f t="shared" si="19"/>
        <v>633859.19680305105</v>
      </c>
      <c r="I26" s="80">
        <f t="shared" si="19"/>
        <v>646645.59354016767</v>
      </c>
      <c r="J26" s="80">
        <f t="shared" si="19"/>
        <v>656182.37700580223</v>
      </c>
      <c r="K26" s="80">
        <f t="shared" si="19"/>
        <v>668248.20280214283</v>
      </c>
    </row>
    <row r="27" spans="2:11">
      <c r="B27" s="85" t="s">
        <v>27</v>
      </c>
      <c r="C27" s="74">
        <v>22475</v>
      </c>
      <c r="D27" s="74">
        <v>28937</v>
      </c>
      <c r="E27" s="74">
        <v>31946</v>
      </c>
      <c r="F27" s="74">
        <v>35646</v>
      </c>
      <c r="G27" s="75">
        <f>F27*(1+G52)</f>
        <v>37768.111950293394</v>
      </c>
      <c r="H27" s="75">
        <f t="shared" ref="H27:K28" si="20">G27*(1+H52)</f>
        <v>39347.214831445424</v>
      </c>
      <c r="I27" s="75">
        <f t="shared" si="20"/>
        <v>41290.890767946439</v>
      </c>
      <c r="J27" s="75">
        <f t="shared" si="20"/>
        <v>43365.641007769918</v>
      </c>
      <c r="K27" s="75">
        <f t="shared" si="20"/>
        <v>45410.413406215805</v>
      </c>
    </row>
    <row r="28" spans="2:11">
      <c r="B28" s="85" t="s">
        <v>28</v>
      </c>
      <c r="C28" s="74">
        <v>-162</v>
      </c>
      <c r="D28" s="74">
        <v>-36</v>
      </c>
      <c r="E28" s="74">
        <v>-29</v>
      </c>
      <c r="F28" s="74">
        <v>9</v>
      </c>
      <c r="G28" s="75">
        <f>F28*(1+G53)</f>
        <v>10.52197329350628</v>
      </c>
      <c r="H28" s="75">
        <f t="shared" si="20"/>
        <v>11.886017741666373</v>
      </c>
      <c r="I28" s="75">
        <f t="shared" si="20"/>
        <v>13.528531848872642</v>
      </c>
      <c r="J28" s="75">
        <f t="shared" si="20"/>
        <v>15.498893116784672</v>
      </c>
      <c r="K28" s="75">
        <f t="shared" si="20"/>
        <v>17.635009141111553</v>
      </c>
    </row>
    <row r="29" spans="2:11">
      <c r="B29" s="86" t="s">
        <v>29</v>
      </c>
      <c r="C29" s="87">
        <f>C26-C27-C28</f>
        <v>500560</v>
      </c>
      <c r="D29" s="87">
        <f t="shared" ref="D29:K29" si="21">D26-D27-D28</f>
        <v>552900</v>
      </c>
      <c r="E29" s="87">
        <f t="shared" si="21"/>
        <v>560966</v>
      </c>
      <c r="F29" s="87">
        <f t="shared" si="21"/>
        <v>585005</v>
      </c>
      <c r="G29" s="87">
        <f t="shared" si="21"/>
        <v>582978.15851508512</v>
      </c>
      <c r="H29" s="87">
        <f t="shared" si="21"/>
        <v>594500.09595386405</v>
      </c>
      <c r="I29" s="87">
        <f t="shared" si="21"/>
        <v>605341.17424037226</v>
      </c>
      <c r="J29" s="87">
        <f t="shared" si="21"/>
        <v>612801.23710491543</v>
      </c>
      <c r="K29" s="87">
        <f t="shared" si="21"/>
        <v>622820.15438678593</v>
      </c>
    </row>
    <row r="30" spans="2:11">
      <c r="B30" s="65" t="s">
        <v>30</v>
      </c>
      <c r="C30" s="88">
        <f>C26</f>
        <v>522873</v>
      </c>
      <c r="D30" s="88">
        <f t="shared" ref="D30:K30" si="22">D26</f>
        <v>581801</v>
      </c>
      <c r="E30" s="88">
        <f t="shared" si="22"/>
        <v>592883</v>
      </c>
      <c r="F30" s="88">
        <f t="shared" si="22"/>
        <v>620660</v>
      </c>
      <c r="G30" s="88">
        <f t="shared" si="22"/>
        <v>620756.79243867204</v>
      </c>
      <c r="H30" s="88">
        <f t="shared" si="22"/>
        <v>633859.19680305105</v>
      </c>
      <c r="I30" s="88">
        <f t="shared" si="22"/>
        <v>646645.59354016767</v>
      </c>
      <c r="J30" s="88">
        <f t="shared" si="22"/>
        <v>656182.37700580223</v>
      </c>
      <c r="K30" s="88">
        <f t="shared" si="22"/>
        <v>668248.20280214283</v>
      </c>
    </row>
    <row r="31" spans="2:11">
      <c r="B31" s="65" t="s">
        <v>31</v>
      </c>
      <c r="C31" s="88">
        <f>C30+C22-C28</f>
        <v>535161</v>
      </c>
      <c r="D31" s="88">
        <f t="shared" ref="D31:E31" si="23">D30+D22-D28</f>
        <v>586142</v>
      </c>
      <c r="E31" s="88">
        <f t="shared" si="23"/>
        <v>598241</v>
      </c>
      <c r="F31" s="88">
        <f>F30+F22+F28</f>
        <v>624319</v>
      </c>
      <c r="G31" s="88">
        <f t="shared" ref="G31:K31" si="24">G30+G22+G28</f>
        <v>623538.65809175209</v>
      </c>
      <c r="H31" s="88">
        <f t="shared" si="24"/>
        <v>636348.72568483115</v>
      </c>
      <c r="I31" s="88">
        <f t="shared" si="24"/>
        <v>648590.21837707714</v>
      </c>
      <c r="J31" s="88">
        <f t="shared" si="24"/>
        <v>657763.80390995706</v>
      </c>
      <c r="K31" s="88">
        <f t="shared" si="24"/>
        <v>669562.59946780594</v>
      </c>
    </row>
    <row r="32" spans="2:11">
      <c r="B32" s="62" t="s">
        <v>32</v>
      </c>
      <c r="C32" s="87">
        <f>C31-C27</f>
        <v>512686</v>
      </c>
      <c r="D32" s="87">
        <f t="shared" ref="D32:K32" si="25">D31-D27</f>
        <v>557205</v>
      </c>
      <c r="E32" s="87">
        <f t="shared" si="25"/>
        <v>566295</v>
      </c>
      <c r="F32" s="87">
        <f t="shared" si="25"/>
        <v>588673</v>
      </c>
      <c r="G32" s="87">
        <f t="shared" si="25"/>
        <v>585770.54614145868</v>
      </c>
      <c r="H32" s="87">
        <f t="shared" si="25"/>
        <v>597001.51085338579</v>
      </c>
      <c r="I32" s="87">
        <f t="shared" si="25"/>
        <v>607299.32760913065</v>
      </c>
      <c r="J32" s="87">
        <f t="shared" si="25"/>
        <v>614398.16290218709</v>
      </c>
      <c r="K32" s="87">
        <f t="shared" si="25"/>
        <v>624152.1860615901</v>
      </c>
    </row>
    <row r="33" spans="2:11">
      <c r="B33" s="65" t="s">
        <v>1</v>
      </c>
      <c r="C33" s="74">
        <v>-162</v>
      </c>
      <c r="D33" s="74">
        <v>-36</v>
      </c>
      <c r="E33" s="74">
        <v>-29</v>
      </c>
      <c r="F33" s="74">
        <v>9</v>
      </c>
      <c r="G33" s="74">
        <f>G28</f>
        <v>10.52197329350628</v>
      </c>
      <c r="H33" s="74">
        <f t="shared" ref="H33:K33" si="26">H28</f>
        <v>11.886017741666373</v>
      </c>
      <c r="I33" s="74">
        <f t="shared" si="26"/>
        <v>13.528531848872642</v>
      </c>
      <c r="J33" s="74">
        <f t="shared" si="26"/>
        <v>15.498893116784672</v>
      </c>
      <c r="K33" s="74">
        <f t="shared" si="26"/>
        <v>17.635009141111553</v>
      </c>
    </row>
    <row r="34" spans="2:11">
      <c r="B34" s="79" t="s">
        <v>126</v>
      </c>
      <c r="C34" s="80">
        <f>C32+C33</f>
        <v>512524</v>
      </c>
      <c r="D34" s="80">
        <f t="shared" ref="D34:F34" si="27">D32+D33</f>
        <v>557169</v>
      </c>
      <c r="E34" s="80">
        <f t="shared" si="27"/>
        <v>566266</v>
      </c>
      <c r="F34" s="80">
        <f t="shared" si="27"/>
        <v>588682</v>
      </c>
      <c r="G34" s="80">
        <f t="shared" ref="G34:K34" si="28">G32+G33</f>
        <v>585781.06811475218</v>
      </c>
      <c r="H34" s="80">
        <f t="shared" si="28"/>
        <v>597013.39687112742</v>
      </c>
      <c r="I34" s="80">
        <f t="shared" si="28"/>
        <v>607312.85614097957</v>
      </c>
      <c r="J34" s="80">
        <f t="shared" si="28"/>
        <v>614413.66179530392</v>
      </c>
      <c r="K34" s="80">
        <f t="shared" si="28"/>
        <v>624169.82107073115</v>
      </c>
    </row>
    <row r="35" spans="2:11">
      <c r="B35" s="79" t="s">
        <v>71</v>
      </c>
      <c r="C35" s="81">
        <f>C34/C8</f>
        <v>0.52923403543481895</v>
      </c>
      <c r="D35" s="81">
        <f t="shared" ref="D35:F35" si="29">D34/D8</f>
        <v>0.53844250801378846</v>
      </c>
      <c r="E35" s="81">
        <f t="shared" si="29"/>
        <v>0.5403739807140846</v>
      </c>
      <c r="F35" s="81">
        <f t="shared" si="29"/>
        <v>0.56032453557888806</v>
      </c>
      <c r="G35" s="81">
        <f t="shared" ref="G35:K35" si="30">G34/G8</f>
        <v>0.54241519768648327</v>
      </c>
      <c r="H35" s="81">
        <f t="shared" si="30"/>
        <v>0.54496977892212051</v>
      </c>
      <c r="I35" s="81">
        <f t="shared" si="30"/>
        <v>0.54619745580245649</v>
      </c>
      <c r="J35" s="81">
        <f t="shared" si="30"/>
        <v>0.54222894041104763</v>
      </c>
      <c r="K35" s="81">
        <f t="shared" si="30"/>
        <v>0.54208257236381463</v>
      </c>
    </row>
    <row r="36" spans="2:11">
      <c r="B36" s="83" t="s">
        <v>118</v>
      </c>
      <c r="C36" s="66"/>
      <c r="D36" s="66">
        <f t="shared" ref="D36:F36" si="31">D34/C34-1</f>
        <v>8.7108115912620576E-2</v>
      </c>
      <c r="E36" s="66">
        <f t="shared" si="31"/>
        <v>1.6327182596303835E-2</v>
      </c>
      <c r="F36" s="66">
        <f t="shared" si="31"/>
        <v>3.9585636432348137E-2</v>
      </c>
      <c r="G36" s="66">
        <f t="shared" ref="G36" si="32">G34/F34-1</f>
        <v>-4.9278420017051516E-3</v>
      </c>
      <c r="H36" s="66">
        <f t="shared" ref="H36" si="33">H34/G34-1</f>
        <v>1.9174960352550841E-2</v>
      </c>
      <c r="I36" s="66">
        <f t="shared" ref="I36" si="34">I34/H34-1</f>
        <v>1.7251638445352047E-2</v>
      </c>
      <c r="J36" s="66">
        <f t="shared" ref="J36" si="35">J34/I34-1</f>
        <v>1.1692170818587089E-2</v>
      </c>
      <c r="K36" s="66">
        <f t="shared" ref="K36" si="36">K34/J34-1</f>
        <v>1.5878812406156406E-2</v>
      </c>
    </row>
    <row r="37" spans="2:11">
      <c r="B37" s="89" t="s">
        <v>127</v>
      </c>
      <c r="C37" s="67">
        <f>-472500000/1000</f>
        <v>-472500</v>
      </c>
      <c r="D37" s="67">
        <f t="shared" ref="D37:K37" si="37">-472500000/1000</f>
        <v>-472500</v>
      </c>
      <c r="E37" s="67">
        <f t="shared" si="37"/>
        <v>-472500</v>
      </c>
      <c r="F37" s="67">
        <f t="shared" si="37"/>
        <v>-472500</v>
      </c>
      <c r="G37" s="67">
        <f t="shared" si="37"/>
        <v>-472500</v>
      </c>
      <c r="H37" s="67">
        <f t="shared" si="37"/>
        <v>-472500</v>
      </c>
      <c r="I37" s="67">
        <f t="shared" si="37"/>
        <v>-472500</v>
      </c>
      <c r="J37" s="67">
        <f t="shared" si="37"/>
        <v>-472500</v>
      </c>
      <c r="K37" s="67">
        <f t="shared" si="37"/>
        <v>-472500</v>
      </c>
    </row>
    <row r="38" spans="2:11">
      <c r="B38" s="90" t="s">
        <v>128</v>
      </c>
      <c r="C38" s="91">
        <f t="shared" ref="C38:F38" si="38">C34+C37</f>
        <v>40024</v>
      </c>
      <c r="D38" s="91">
        <f t="shared" si="38"/>
        <v>84669</v>
      </c>
      <c r="E38" s="91">
        <f t="shared" si="38"/>
        <v>93766</v>
      </c>
      <c r="F38" s="91">
        <f t="shared" si="38"/>
        <v>116182</v>
      </c>
      <c r="G38" s="91">
        <f t="shared" ref="G38:K38" si="39">G34+G37</f>
        <v>113281.06811475218</v>
      </c>
      <c r="H38" s="91">
        <f t="shared" si="39"/>
        <v>124513.39687112742</v>
      </c>
      <c r="I38" s="91">
        <f t="shared" si="39"/>
        <v>134812.85614097957</v>
      </c>
      <c r="J38" s="91">
        <f t="shared" si="39"/>
        <v>141913.66179530392</v>
      </c>
      <c r="K38" s="91">
        <f t="shared" si="39"/>
        <v>151669.82107073115</v>
      </c>
    </row>
    <row r="39" spans="2:11">
      <c r="B39" s="92"/>
      <c r="C39" s="61"/>
      <c r="D39" s="93"/>
      <c r="E39" s="93"/>
      <c r="F39" s="93"/>
      <c r="G39" s="61"/>
      <c r="H39" s="61"/>
      <c r="I39" s="61"/>
      <c r="J39" s="61"/>
      <c r="K39" s="92"/>
    </row>
    <row r="40" spans="2:11">
      <c r="B40" s="98"/>
      <c r="C40" s="99"/>
      <c r="D40" s="98"/>
      <c r="E40" s="98"/>
      <c r="F40" s="98"/>
      <c r="G40" s="100"/>
      <c r="H40" s="98"/>
      <c r="I40" s="98"/>
      <c r="J40" s="98"/>
      <c r="K40" s="98"/>
    </row>
    <row r="41" spans="2:11">
      <c r="B41" s="305" t="s">
        <v>129</v>
      </c>
      <c r="C41" s="94">
        <f>C5</f>
        <v>2010</v>
      </c>
      <c r="D41" s="94">
        <f>D5</f>
        <v>2011</v>
      </c>
      <c r="E41" s="95">
        <f>E5</f>
        <v>2012</v>
      </c>
      <c r="F41" s="95">
        <f t="shared" ref="F41" si="40">F5</f>
        <v>2013</v>
      </c>
      <c r="G41" s="95"/>
      <c r="H41" s="95"/>
      <c r="I41" s="95"/>
      <c r="J41" s="95"/>
      <c r="K41" s="95"/>
    </row>
    <row r="42" spans="2:11">
      <c r="B42" s="307"/>
      <c r="C42" s="308"/>
      <c r="D42" s="308"/>
      <c r="E42" s="309"/>
      <c r="F42" s="310"/>
      <c r="G42" s="311"/>
      <c r="H42" s="310"/>
      <c r="I42" s="310"/>
      <c r="J42" s="310"/>
      <c r="K42" s="310"/>
    </row>
    <row r="43" spans="2:11">
      <c r="B43" s="307" t="s">
        <v>130</v>
      </c>
      <c r="C43" s="312"/>
      <c r="D43" s="313">
        <f>D8/C8-1</f>
        <v>6.8516334753507158E-2</v>
      </c>
      <c r="E43" s="313">
        <f>E8/D8-1</f>
        <v>1.269449805224121E-2</v>
      </c>
      <c r="F43" s="313">
        <f>F8/E8-1</f>
        <v>2.5708191981219652E-3</v>
      </c>
      <c r="G43" s="314">
        <f>AVERAGE(D43:F43)</f>
        <v>2.7927217334623444E-2</v>
      </c>
      <c r="H43" s="314">
        <f t="shared" ref="H43:K58" si="41">AVERAGE(E43:G43)</f>
        <v>1.4397511528328874E-2</v>
      </c>
      <c r="I43" s="314">
        <f t="shared" si="41"/>
        <v>1.4965182687024762E-2</v>
      </c>
      <c r="J43" s="314">
        <f t="shared" si="41"/>
        <v>1.9096637183325695E-2</v>
      </c>
      <c r="K43" s="314">
        <f t="shared" si="41"/>
        <v>1.6153110466226445E-2</v>
      </c>
    </row>
    <row r="44" spans="2:11">
      <c r="B44" s="308" t="s">
        <v>131</v>
      </c>
      <c r="C44" s="315">
        <f>-C10/C8</f>
        <v>0.42508771966056258</v>
      </c>
      <c r="D44" s="315">
        <f t="shared" ref="D44:F44" si="42">-D10/D8</f>
        <v>0.41122887109228157</v>
      </c>
      <c r="E44" s="315">
        <f t="shared" si="42"/>
        <v>0.41414236841728574</v>
      </c>
      <c r="F44" s="315">
        <f t="shared" si="42"/>
        <v>0.38699649441419215</v>
      </c>
      <c r="G44" s="314">
        <f t="shared" ref="G44:G58" si="43">AVERAGE(D44:F44)</f>
        <v>0.40412257797458651</v>
      </c>
      <c r="H44" s="314">
        <f t="shared" si="41"/>
        <v>0.4017538136020215</v>
      </c>
      <c r="I44" s="314">
        <f t="shared" si="41"/>
        <v>0.39762429533026672</v>
      </c>
      <c r="J44" s="314">
        <f t="shared" si="41"/>
        <v>0.40116689563562491</v>
      </c>
      <c r="K44" s="314">
        <f t="shared" si="41"/>
        <v>0.4001816681893044</v>
      </c>
    </row>
    <row r="45" spans="2:11">
      <c r="B45" s="316" t="s">
        <v>20</v>
      </c>
      <c r="C45" s="310"/>
      <c r="D45" s="315">
        <f>D14/C14-1</f>
        <v>1.7632461435278337</v>
      </c>
      <c r="E45" s="315">
        <f t="shared" ref="E45:F45" si="44">E14/D14-1</f>
        <v>-4.1262135922329746E-3</v>
      </c>
      <c r="F45" s="315">
        <f t="shared" si="44"/>
        <v>-1.291737752863753E-2</v>
      </c>
      <c r="G45" s="314">
        <f t="shared" si="43"/>
        <v>0.58206751746898766</v>
      </c>
      <c r="H45" s="314">
        <f t="shared" si="41"/>
        <v>0.18834130878270572</v>
      </c>
      <c r="I45" s="314">
        <f t="shared" si="41"/>
        <v>0.25249714957435193</v>
      </c>
      <c r="J45" s="314">
        <f t="shared" si="41"/>
        <v>0.34096865860868175</v>
      </c>
      <c r="K45" s="314">
        <f t="shared" si="41"/>
        <v>0.26060237232191313</v>
      </c>
    </row>
    <row r="46" spans="2:11">
      <c r="B46" s="317" t="s">
        <v>21</v>
      </c>
      <c r="C46" s="251"/>
      <c r="D46" s="289">
        <f>D15/C15-1</f>
        <v>-7.7834394904458648E-2</v>
      </c>
      <c r="E46" s="289">
        <f t="shared" ref="E46:F46" si="45">E15/D15-1</f>
        <v>-0.20002762812543173</v>
      </c>
      <c r="F46" s="289">
        <f t="shared" si="45"/>
        <v>0.9402521153514074</v>
      </c>
      <c r="G46" s="314">
        <f t="shared" si="43"/>
        <v>0.22079669744050567</v>
      </c>
      <c r="H46" s="314">
        <f t="shared" si="41"/>
        <v>0.3203403948888271</v>
      </c>
      <c r="I46" s="314">
        <f t="shared" si="41"/>
        <v>0.49379640256024665</v>
      </c>
      <c r="J46" s="314">
        <f t="shared" si="41"/>
        <v>0.34497783162985979</v>
      </c>
      <c r="K46" s="314">
        <f t="shared" si="41"/>
        <v>0.38637154302631121</v>
      </c>
    </row>
    <row r="47" spans="2:11">
      <c r="B47" s="316" t="s">
        <v>22</v>
      </c>
      <c r="C47" s="251"/>
      <c r="D47" s="289">
        <f>D16/C16-1</f>
        <v>-0.34135472370766484</v>
      </c>
      <c r="E47" s="289">
        <f t="shared" ref="E47:F47" si="46">E16/D16-1</f>
        <v>-0.12523065567720504</v>
      </c>
      <c r="F47" s="289">
        <f t="shared" si="46"/>
        <v>-0.13429897342145969</v>
      </c>
      <c r="G47" s="314">
        <f t="shared" si="43"/>
        <v>-0.20029478426877653</v>
      </c>
      <c r="H47" s="314">
        <f t="shared" si="41"/>
        <v>-0.15327480445581376</v>
      </c>
      <c r="I47" s="314">
        <f t="shared" si="41"/>
        <v>-0.16262285404868335</v>
      </c>
      <c r="J47" s="314">
        <f t="shared" si="41"/>
        <v>-0.17206414759109123</v>
      </c>
      <c r="K47" s="314">
        <f t="shared" si="41"/>
        <v>-0.16265393536519612</v>
      </c>
    </row>
    <row r="48" spans="2:11">
      <c r="B48" s="318" t="s">
        <v>23</v>
      </c>
      <c r="C48" s="251"/>
      <c r="D48" s="289">
        <f>D17/C17-1</f>
        <v>9.3211076026232798E-2</v>
      </c>
      <c r="E48" s="289">
        <f t="shared" ref="E48:F48" si="47">E17/D17-1</f>
        <v>-4.5714603121701947E-2</v>
      </c>
      <c r="F48" s="289">
        <f t="shared" si="47"/>
        <v>-5.0523864959254983E-2</v>
      </c>
      <c r="G48" s="314">
        <f t="shared" si="43"/>
        <v>-1.0091306849080439E-3</v>
      </c>
      <c r="H48" s="314">
        <f t="shared" si="41"/>
        <v>-3.2415866255288327E-2</v>
      </c>
      <c r="I48" s="314">
        <f t="shared" si="41"/>
        <v>-2.7982953966483787E-2</v>
      </c>
      <c r="J48" s="314">
        <f t="shared" si="41"/>
        <v>-2.0469316968893387E-2</v>
      </c>
      <c r="K48" s="314">
        <f t="shared" si="41"/>
        <v>-2.6956045730221836E-2</v>
      </c>
    </row>
    <row r="49" spans="2:11">
      <c r="B49" s="319" t="s">
        <v>24</v>
      </c>
      <c r="C49" s="251"/>
      <c r="D49" s="289">
        <f>D22/C22-1</f>
        <v>-0.644977733795151</v>
      </c>
      <c r="E49" s="289">
        <f t="shared" ref="E49:F49" si="48">E22/D22-1</f>
        <v>0.23786295005807201</v>
      </c>
      <c r="F49" s="289">
        <f t="shared" si="48"/>
        <v>-0.31506849315068497</v>
      </c>
      <c r="G49" s="314">
        <f t="shared" si="43"/>
        <v>-0.240727758962588</v>
      </c>
      <c r="H49" s="314">
        <f t="shared" si="41"/>
        <v>-0.10597776735173366</v>
      </c>
      <c r="I49" s="314">
        <f t="shared" si="41"/>
        <v>-0.2205913398216689</v>
      </c>
      <c r="J49" s="314">
        <f t="shared" si="41"/>
        <v>-0.1890989553786635</v>
      </c>
      <c r="K49" s="314">
        <f t="shared" si="41"/>
        <v>-0.17188935418402199</v>
      </c>
    </row>
    <row r="50" spans="2:11">
      <c r="B50" s="319" t="s">
        <v>26</v>
      </c>
      <c r="C50" s="251"/>
      <c r="D50" s="251"/>
      <c r="E50" s="289">
        <f>E24/D24-1</f>
        <v>0.36086426206656208</v>
      </c>
      <c r="F50" s="289">
        <f>F24/E24-1</f>
        <v>0.37477592829705508</v>
      </c>
      <c r="G50" s="314">
        <f t="shared" si="43"/>
        <v>0.36782009518180858</v>
      </c>
      <c r="H50" s="314">
        <f t="shared" si="41"/>
        <v>0.36782009518180853</v>
      </c>
      <c r="I50" s="314">
        <f t="shared" si="41"/>
        <v>0.3701387062202241</v>
      </c>
      <c r="J50" s="314">
        <f t="shared" si="41"/>
        <v>0.36859296552794713</v>
      </c>
      <c r="K50" s="314">
        <f t="shared" si="41"/>
        <v>0.36885058897665995</v>
      </c>
    </row>
    <row r="51" spans="2:11">
      <c r="B51" s="320" t="s">
        <v>124</v>
      </c>
      <c r="C51" s="251"/>
      <c r="D51" s="289">
        <f>D25/C25-1</f>
        <v>1.3555347091932459</v>
      </c>
      <c r="E51" s="289">
        <f t="shared" ref="E51:F51" si="49">E25/D25-1</f>
        <v>0.3081441656710473</v>
      </c>
      <c r="F51" s="289">
        <f t="shared" si="49"/>
        <v>9.4984397594946257E-2</v>
      </c>
      <c r="G51" s="314">
        <f t="shared" si="43"/>
        <v>0.58622109081974649</v>
      </c>
      <c r="H51" s="314">
        <f t="shared" si="41"/>
        <v>0.32978321802858002</v>
      </c>
      <c r="I51" s="314">
        <f t="shared" si="41"/>
        <v>0.33699623548109092</v>
      </c>
      <c r="J51" s="314">
        <f t="shared" si="41"/>
        <v>0.41766684810980581</v>
      </c>
      <c r="K51" s="314">
        <f t="shared" si="41"/>
        <v>0.3614821005398256</v>
      </c>
    </row>
    <row r="52" spans="2:11">
      <c r="B52" s="320" t="s">
        <v>27</v>
      </c>
      <c r="C52" s="251"/>
      <c r="D52" s="289">
        <f t="shared" ref="D52:F58" si="50">D26/C26-1</f>
        <v>0.11270040717344365</v>
      </c>
      <c r="E52" s="289">
        <f t="shared" si="50"/>
        <v>1.904775000386727E-2</v>
      </c>
      <c r="F52" s="289">
        <f t="shared" si="50"/>
        <v>4.6850727715249008E-2</v>
      </c>
      <c r="G52" s="314">
        <f t="shared" si="43"/>
        <v>5.9532961630853309E-2</v>
      </c>
      <c r="H52" s="314">
        <f t="shared" si="41"/>
        <v>4.1810479783323196E-2</v>
      </c>
      <c r="I52" s="314">
        <f t="shared" si="41"/>
        <v>4.9398056376475173E-2</v>
      </c>
      <c r="J52" s="314">
        <f t="shared" si="41"/>
        <v>5.0247165930217226E-2</v>
      </c>
      <c r="K52" s="314">
        <f t="shared" si="41"/>
        <v>4.7151900696671863E-2</v>
      </c>
    </row>
    <row r="53" spans="2:11">
      <c r="B53" s="320" t="s">
        <v>28</v>
      </c>
      <c r="C53" s="251"/>
      <c r="D53" s="289">
        <f t="shared" si="50"/>
        <v>0.28751946607341483</v>
      </c>
      <c r="E53" s="289">
        <f t="shared" si="50"/>
        <v>0.10398451809102527</v>
      </c>
      <c r="F53" s="289">
        <f t="shared" si="50"/>
        <v>0.11582044700431982</v>
      </c>
      <c r="G53" s="314">
        <f t="shared" si="43"/>
        <v>0.16910814372291996</v>
      </c>
      <c r="H53" s="314">
        <f t="shared" si="41"/>
        <v>0.12963770293942167</v>
      </c>
      <c r="I53" s="314">
        <f t="shared" si="41"/>
        <v>0.13818876455555382</v>
      </c>
      <c r="J53" s="314">
        <f t="shared" si="41"/>
        <v>0.14564487040596516</v>
      </c>
      <c r="K53" s="314">
        <f t="shared" si="41"/>
        <v>0.13782377930031356</v>
      </c>
    </row>
    <row r="54" spans="2:11">
      <c r="B54" s="321" t="s">
        <v>29</v>
      </c>
      <c r="C54" s="251"/>
      <c r="D54" s="289">
        <f t="shared" si="50"/>
        <v>-0.77777777777777779</v>
      </c>
      <c r="E54" s="289">
        <f t="shared" si="50"/>
        <v>-0.19444444444444442</v>
      </c>
      <c r="F54" s="289">
        <f t="shared" si="50"/>
        <v>-1.3103448275862069</v>
      </c>
      <c r="G54" s="314">
        <f t="shared" si="43"/>
        <v>-0.76085568326947639</v>
      </c>
      <c r="H54" s="314">
        <f t="shared" si="41"/>
        <v>-0.75521498510004259</v>
      </c>
      <c r="I54" s="314">
        <f t="shared" si="41"/>
        <v>-0.94213849865190857</v>
      </c>
      <c r="J54" s="314">
        <f t="shared" si="41"/>
        <v>-0.81940305567380911</v>
      </c>
      <c r="K54" s="314">
        <f t="shared" si="41"/>
        <v>-0.83891884647525339</v>
      </c>
    </row>
    <row r="55" spans="2:11">
      <c r="B55" s="317" t="s">
        <v>30</v>
      </c>
      <c r="C55" s="251"/>
      <c r="D55" s="289">
        <f t="shared" si="50"/>
        <v>0.10456288956368875</v>
      </c>
      <c r="E55" s="289">
        <f t="shared" si="50"/>
        <v>1.4588533188641728E-2</v>
      </c>
      <c r="F55" s="289">
        <f t="shared" si="50"/>
        <v>4.2852864522983536E-2</v>
      </c>
      <c r="G55" s="314">
        <f t="shared" si="43"/>
        <v>5.4001429091771337E-2</v>
      </c>
      <c r="H55" s="314">
        <f t="shared" si="41"/>
        <v>3.7147608934465531E-2</v>
      </c>
      <c r="I55" s="314">
        <f t="shared" si="41"/>
        <v>4.4667300849740132E-2</v>
      </c>
      <c r="J55" s="314">
        <f t="shared" si="41"/>
        <v>4.5272112958658996E-2</v>
      </c>
      <c r="K55" s="314">
        <f t="shared" si="41"/>
        <v>4.236234091428822E-2</v>
      </c>
    </row>
    <row r="56" spans="2:11">
      <c r="B56" s="317" t="s">
        <v>31</v>
      </c>
      <c r="C56" s="251"/>
      <c r="D56" s="289">
        <f t="shared" si="50"/>
        <v>0.11270040717344365</v>
      </c>
      <c r="E56" s="289">
        <f t="shared" si="50"/>
        <v>1.904775000386727E-2</v>
      </c>
      <c r="F56" s="289">
        <f t="shared" si="50"/>
        <v>4.6850727715249008E-2</v>
      </c>
      <c r="G56" s="314">
        <f t="shared" si="43"/>
        <v>5.9532961630853309E-2</v>
      </c>
      <c r="H56" s="314">
        <f t="shared" si="41"/>
        <v>4.1810479783323196E-2</v>
      </c>
      <c r="I56" s="314">
        <f t="shared" si="41"/>
        <v>4.9398056376475173E-2</v>
      </c>
      <c r="J56" s="314">
        <f t="shared" si="41"/>
        <v>5.0247165930217226E-2</v>
      </c>
      <c r="K56" s="314">
        <f t="shared" si="41"/>
        <v>4.7151900696671863E-2</v>
      </c>
    </row>
    <row r="57" spans="2:11">
      <c r="B57" s="322" t="s">
        <v>32</v>
      </c>
      <c r="C57" s="251"/>
      <c r="D57" s="289">
        <f t="shared" si="50"/>
        <v>9.5262920878016244E-2</v>
      </c>
      <c r="E57" s="289">
        <f t="shared" si="50"/>
        <v>2.0641755752019098E-2</v>
      </c>
      <c r="F57" s="289">
        <f t="shared" si="50"/>
        <v>4.3591127990224576E-2</v>
      </c>
      <c r="G57" s="314">
        <f t="shared" si="43"/>
        <v>5.3165268206753304E-2</v>
      </c>
      <c r="H57" s="314">
        <f t="shared" si="41"/>
        <v>3.9132717316332326E-2</v>
      </c>
      <c r="I57" s="314">
        <f t="shared" si="41"/>
        <v>4.5296371171103404E-2</v>
      </c>
      <c r="J57" s="314">
        <f t="shared" si="41"/>
        <v>4.5864785564729678E-2</v>
      </c>
      <c r="K57" s="314">
        <f t="shared" si="41"/>
        <v>4.3431291350721803E-2</v>
      </c>
    </row>
    <row r="58" spans="2:11">
      <c r="B58" s="317" t="s">
        <v>1</v>
      </c>
      <c r="C58" s="251"/>
      <c r="D58" s="289">
        <f t="shared" si="50"/>
        <v>8.6834826775063156E-2</v>
      </c>
      <c r="E58" s="289">
        <f t="shared" si="50"/>
        <v>1.6313565025439569E-2</v>
      </c>
      <c r="F58" s="289">
        <f t="shared" si="50"/>
        <v>3.9516506414501329E-2</v>
      </c>
      <c r="G58" s="314">
        <f t="shared" si="43"/>
        <v>4.7554966071668016E-2</v>
      </c>
      <c r="H58" s="314">
        <f t="shared" si="41"/>
        <v>3.4461679170536302E-2</v>
      </c>
      <c r="I58" s="314">
        <f t="shared" si="41"/>
        <v>4.0511050552235216E-2</v>
      </c>
      <c r="J58" s="314">
        <f t="shared" si="41"/>
        <v>4.0842565264813176E-2</v>
      </c>
      <c r="K58" s="314">
        <f t="shared" si="41"/>
        <v>3.8605098329194898E-2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B1:K71"/>
  <sheetViews>
    <sheetView showGridLines="0" workbookViewId="0">
      <pane xSplit="2" ySplit="6" topLeftCell="C7" activePane="bottomRight" state="frozen"/>
      <selection pane="topRight" activeCell="C1" sqref="C1"/>
      <selection pane="bottomLeft" activeCell="A7" sqref="A7"/>
      <selection pane="bottomRight" activeCell="C7" sqref="C7"/>
    </sheetView>
  </sheetViews>
  <sheetFormatPr defaultRowHeight="11.25" outlineLevelRow="1"/>
  <cols>
    <col min="1" max="1" width="1.7109375" style="105" customWidth="1"/>
    <col min="2" max="2" width="32.85546875" style="105" customWidth="1"/>
    <col min="3" max="5" width="9.7109375" style="105" customWidth="1"/>
    <col min="6" max="7" width="9.7109375" style="214" customWidth="1"/>
    <col min="8" max="8" width="9.7109375" style="105" customWidth="1"/>
    <col min="9" max="10" width="11" style="105" bestFit="1" customWidth="1"/>
    <col min="11" max="251" width="9.140625" style="105"/>
    <col min="252" max="252" width="1.7109375" style="105" customWidth="1"/>
    <col min="253" max="253" width="30.7109375" style="105" customWidth="1"/>
    <col min="254" max="264" width="9.7109375" style="105" customWidth="1"/>
    <col min="265" max="266" width="8.7109375" style="105" customWidth="1"/>
    <col min="267" max="507" width="9.140625" style="105"/>
    <col min="508" max="508" width="1.7109375" style="105" customWidth="1"/>
    <col min="509" max="509" width="30.7109375" style="105" customWidth="1"/>
    <col min="510" max="520" width="9.7109375" style="105" customWidth="1"/>
    <col min="521" max="522" width="8.7109375" style="105" customWidth="1"/>
    <col min="523" max="763" width="9.140625" style="105"/>
    <col min="764" max="764" width="1.7109375" style="105" customWidth="1"/>
    <col min="765" max="765" width="30.7109375" style="105" customWidth="1"/>
    <col min="766" max="776" width="9.7109375" style="105" customWidth="1"/>
    <col min="777" max="778" width="8.7109375" style="105" customWidth="1"/>
    <col min="779" max="1019" width="9.140625" style="105"/>
    <col min="1020" max="1020" width="1.7109375" style="105" customWidth="1"/>
    <col min="1021" max="1021" width="30.7109375" style="105" customWidth="1"/>
    <col min="1022" max="1032" width="9.7109375" style="105" customWidth="1"/>
    <col min="1033" max="1034" width="8.7109375" style="105" customWidth="1"/>
    <col min="1035" max="1275" width="9.140625" style="105"/>
    <col min="1276" max="1276" width="1.7109375" style="105" customWidth="1"/>
    <col min="1277" max="1277" width="30.7109375" style="105" customWidth="1"/>
    <col min="1278" max="1288" width="9.7109375" style="105" customWidth="1"/>
    <col min="1289" max="1290" width="8.7109375" style="105" customWidth="1"/>
    <col min="1291" max="1531" width="9.140625" style="105"/>
    <col min="1532" max="1532" width="1.7109375" style="105" customWidth="1"/>
    <col min="1533" max="1533" width="30.7109375" style="105" customWidth="1"/>
    <col min="1534" max="1544" width="9.7109375" style="105" customWidth="1"/>
    <col min="1545" max="1546" width="8.7109375" style="105" customWidth="1"/>
    <col min="1547" max="1787" width="9.140625" style="105"/>
    <col min="1788" max="1788" width="1.7109375" style="105" customWidth="1"/>
    <col min="1789" max="1789" width="30.7109375" style="105" customWidth="1"/>
    <col min="1790" max="1800" width="9.7109375" style="105" customWidth="1"/>
    <col min="1801" max="1802" width="8.7109375" style="105" customWidth="1"/>
    <col min="1803" max="2043" width="9.140625" style="105"/>
    <col min="2044" max="2044" width="1.7109375" style="105" customWidth="1"/>
    <col min="2045" max="2045" width="30.7109375" style="105" customWidth="1"/>
    <col min="2046" max="2056" width="9.7109375" style="105" customWidth="1"/>
    <col min="2057" max="2058" width="8.7109375" style="105" customWidth="1"/>
    <col min="2059" max="2299" width="9.140625" style="105"/>
    <col min="2300" max="2300" width="1.7109375" style="105" customWidth="1"/>
    <col min="2301" max="2301" width="30.7109375" style="105" customWidth="1"/>
    <col min="2302" max="2312" width="9.7109375" style="105" customWidth="1"/>
    <col min="2313" max="2314" width="8.7109375" style="105" customWidth="1"/>
    <col min="2315" max="2555" width="9.140625" style="105"/>
    <col min="2556" max="2556" width="1.7109375" style="105" customWidth="1"/>
    <col min="2557" max="2557" width="30.7109375" style="105" customWidth="1"/>
    <col min="2558" max="2568" width="9.7109375" style="105" customWidth="1"/>
    <col min="2569" max="2570" width="8.7109375" style="105" customWidth="1"/>
    <col min="2571" max="2811" width="9.140625" style="105"/>
    <col min="2812" max="2812" width="1.7109375" style="105" customWidth="1"/>
    <col min="2813" max="2813" width="30.7109375" style="105" customWidth="1"/>
    <col min="2814" max="2824" width="9.7109375" style="105" customWidth="1"/>
    <col min="2825" max="2826" width="8.7109375" style="105" customWidth="1"/>
    <col min="2827" max="3067" width="9.140625" style="105"/>
    <col min="3068" max="3068" width="1.7109375" style="105" customWidth="1"/>
    <col min="3069" max="3069" width="30.7109375" style="105" customWidth="1"/>
    <col min="3070" max="3080" width="9.7109375" style="105" customWidth="1"/>
    <col min="3081" max="3082" width="8.7109375" style="105" customWidth="1"/>
    <col min="3083" max="3323" width="9.140625" style="105"/>
    <col min="3324" max="3324" width="1.7109375" style="105" customWidth="1"/>
    <col min="3325" max="3325" width="30.7109375" style="105" customWidth="1"/>
    <col min="3326" max="3336" width="9.7109375" style="105" customWidth="1"/>
    <col min="3337" max="3338" width="8.7109375" style="105" customWidth="1"/>
    <col min="3339" max="3579" width="9.140625" style="105"/>
    <col min="3580" max="3580" width="1.7109375" style="105" customWidth="1"/>
    <col min="3581" max="3581" width="30.7109375" style="105" customWidth="1"/>
    <col min="3582" max="3592" width="9.7109375" style="105" customWidth="1"/>
    <col min="3593" max="3594" width="8.7109375" style="105" customWidth="1"/>
    <col min="3595" max="3835" width="9.140625" style="105"/>
    <col min="3836" max="3836" width="1.7109375" style="105" customWidth="1"/>
    <col min="3837" max="3837" width="30.7109375" style="105" customWidth="1"/>
    <col min="3838" max="3848" width="9.7109375" style="105" customWidth="1"/>
    <col min="3849" max="3850" width="8.7109375" style="105" customWidth="1"/>
    <col min="3851" max="4091" width="9.140625" style="105"/>
    <col min="4092" max="4092" width="1.7109375" style="105" customWidth="1"/>
    <col min="4093" max="4093" width="30.7109375" style="105" customWidth="1"/>
    <col min="4094" max="4104" width="9.7109375" style="105" customWidth="1"/>
    <col min="4105" max="4106" width="8.7109375" style="105" customWidth="1"/>
    <col min="4107" max="4347" width="9.140625" style="105"/>
    <col min="4348" max="4348" width="1.7109375" style="105" customWidth="1"/>
    <col min="4349" max="4349" width="30.7109375" style="105" customWidth="1"/>
    <col min="4350" max="4360" width="9.7109375" style="105" customWidth="1"/>
    <col min="4361" max="4362" width="8.7109375" style="105" customWidth="1"/>
    <col min="4363" max="4603" width="9.140625" style="105"/>
    <col min="4604" max="4604" width="1.7109375" style="105" customWidth="1"/>
    <col min="4605" max="4605" width="30.7109375" style="105" customWidth="1"/>
    <col min="4606" max="4616" width="9.7109375" style="105" customWidth="1"/>
    <col min="4617" max="4618" width="8.7109375" style="105" customWidth="1"/>
    <col min="4619" max="4859" width="9.140625" style="105"/>
    <col min="4860" max="4860" width="1.7109375" style="105" customWidth="1"/>
    <col min="4861" max="4861" width="30.7109375" style="105" customWidth="1"/>
    <col min="4862" max="4872" width="9.7109375" style="105" customWidth="1"/>
    <col min="4873" max="4874" width="8.7109375" style="105" customWidth="1"/>
    <col min="4875" max="5115" width="9.140625" style="105"/>
    <col min="5116" max="5116" width="1.7109375" style="105" customWidth="1"/>
    <col min="5117" max="5117" width="30.7109375" style="105" customWidth="1"/>
    <col min="5118" max="5128" width="9.7109375" style="105" customWidth="1"/>
    <col min="5129" max="5130" width="8.7109375" style="105" customWidth="1"/>
    <col min="5131" max="5371" width="9.140625" style="105"/>
    <col min="5372" max="5372" width="1.7109375" style="105" customWidth="1"/>
    <col min="5373" max="5373" width="30.7109375" style="105" customWidth="1"/>
    <col min="5374" max="5384" width="9.7109375" style="105" customWidth="1"/>
    <col min="5385" max="5386" width="8.7109375" style="105" customWidth="1"/>
    <col min="5387" max="5627" width="9.140625" style="105"/>
    <col min="5628" max="5628" width="1.7109375" style="105" customWidth="1"/>
    <col min="5629" max="5629" width="30.7109375" style="105" customWidth="1"/>
    <col min="5630" max="5640" width="9.7109375" style="105" customWidth="1"/>
    <col min="5641" max="5642" width="8.7109375" style="105" customWidth="1"/>
    <col min="5643" max="5883" width="9.140625" style="105"/>
    <col min="5884" max="5884" width="1.7109375" style="105" customWidth="1"/>
    <col min="5885" max="5885" width="30.7109375" style="105" customWidth="1"/>
    <col min="5886" max="5896" width="9.7109375" style="105" customWidth="1"/>
    <col min="5897" max="5898" width="8.7109375" style="105" customWidth="1"/>
    <col min="5899" max="6139" width="9.140625" style="105"/>
    <col min="6140" max="6140" width="1.7109375" style="105" customWidth="1"/>
    <col min="6141" max="6141" width="30.7109375" style="105" customWidth="1"/>
    <col min="6142" max="6152" width="9.7109375" style="105" customWidth="1"/>
    <col min="6153" max="6154" width="8.7109375" style="105" customWidth="1"/>
    <col min="6155" max="6395" width="9.140625" style="105"/>
    <col min="6396" max="6396" width="1.7109375" style="105" customWidth="1"/>
    <col min="6397" max="6397" width="30.7109375" style="105" customWidth="1"/>
    <col min="6398" max="6408" width="9.7109375" style="105" customWidth="1"/>
    <col min="6409" max="6410" width="8.7109375" style="105" customWidth="1"/>
    <col min="6411" max="6651" width="9.140625" style="105"/>
    <col min="6652" max="6652" width="1.7109375" style="105" customWidth="1"/>
    <col min="6653" max="6653" width="30.7109375" style="105" customWidth="1"/>
    <col min="6654" max="6664" width="9.7109375" style="105" customWidth="1"/>
    <col min="6665" max="6666" width="8.7109375" style="105" customWidth="1"/>
    <col min="6667" max="6907" width="9.140625" style="105"/>
    <col min="6908" max="6908" width="1.7109375" style="105" customWidth="1"/>
    <col min="6909" max="6909" width="30.7109375" style="105" customWidth="1"/>
    <col min="6910" max="6920" width="9.7109375" style="105" customWidth="1"/>
    <col min="6921" max="6922" width="8.7109375" style="105" customWidth="1"/>
    <col min="6923" max="7163" width="9.140625" style="105"/>
    <col min="7164" max="7164" width="1.7109375" style="105" customWidth="1"/>
    <col min="7165" max="7165" width="30.7109375" style="105" customWidth="1"/>
    <col min="7166" max="7176" width="9.7109375" style="105" customWidth="1"/>
    <col min="7177" max="7178" width="8.7109375" style="105" customWidth="1"/>
    <col min="7179" max="7419" width="9.140625" style="105"/>
    <col min="7420" max="7420" width="1.7109375" style="105" customWidth="1"/>
    <col min="7421" max="7421" width="30.7109375" style="105" customWidth="1"/>
    <col min="7422" max="7432" width="9.7109375" style="105" customWidth="1"/>
    <col min="7433" max="7434" width="8.7109375" style="105" customWidth="1"/>
    <col min="7435" max="7675" width="9.140625" style="105"/>
    <col min="7676" max="7676" width="1.7109375" style="105" customWidth="1"/>
    <col min="7677" max="7677" width="30.7109375" style="105" customWidth="1"/>
    <col min="7678" max="7688" width="9.7109375" style="105" customWidth="1"/>
    <col min="7689" max="7690" width="8.7109375" style="105" customWidth="1"/>
    <col min="7691" max="7931" width="9.140625" style="105"/>
    <col min="7932" max="7932" width="1.7109375" style="105" customWidth="1"/>
    <col min="7933" max="7933" width="30.7109375" style="105" customWidth="1"/>
    <col min="7934" max="7944" width="9.7109375" style="105" customWidth="1"/>
    <col min="7945" max="7946" width="8.7109375" style="105" customWidth="1"/>
    <col min="7947" max="8187" width="9.140625" style="105"/>
    <col min="8188" max="8188" width="1.7109375" style="105" customWidth="1"/>
    <col min="8189" max="8189" width="30.7109375" style="105" customWidth="1"/>
    <col min="8190" max="8200" width="9.7109375" style="105" customWidth="1"/>
    <col min="8201" max="8202" width="8.7109375" style="105" customWidth="1"/>
    <col min="8203" max="8443" width="9.140625" style="105"/>
    <col min="8444" max="8444" width="1.7109375" style="105" customWidth="1"/>
    <col min="8445" max="8445" width="30.7109375" style="105" customWidth="1"/>
    <col min="8446" max="8456" width="9.7109375" style="105" customWidth="1"/>
    <col min="8457" max="8458" width="8.7109375" style="105" customWidth="1"/>
    <col min="8459" max="8699" width="9.140625" style="105"/>
    <col min="8700" max="8700" width="1.7109375" style="105" customWidth="1"/>
    <col min="8701" max="8701" width="30.7109375" style="105" customWidth="1"/>
    <col min="8702" max="8712" width="9.7109375" style="105" customWidth="1"/>
    <col min="8713" max="8714" width="8.7109375" style="105" customWidth="1"/>
    <col min="8715" max="8955" width="9.140625" style="105"/>
    <col min="8956" max="8956" width="1.7109375" style="105" customWidth="1"/>
    <col min="8957" max="8957" width="30.7109375" style="105" customWidth="1"/>
    <col min="8958" max="8968" width="9.7109375" style="105" customWidth="1"/>
    <col min="8969" max="8970" width="8.7109375" style="105" customWidth="1"/>
    <col min="8971" max="9211" width="9.140625" style="105"/>
    <col min="9212" max="9212" width="1.7109375" style="105" customWidth="1"/>
    <col min="9213" max="9213" width="30.7109375" style="105" customWidth="1"/>
    <col min="9214" max="9224" width="9.7109375" style="105" customWidth="1"/>
    <col min="9225" max="9226" width="8.7109375" style="105" customWidth="1"/>
    <col min="9227" max="9467" width="9.140625" style="105"/>
    <col min="9468" max="9468" width="1.7109375" style="105" customWidth="1"/>
    <col min="9469" max="9469" width="30.7109375" style="105" customWidth="1"/>
    <col min="9470" max="9480" width="9.7109375" style="105" customWidth="1"/>
    <col min="9481" max="9482" width="8.7109375" style="105" customWidth="1"/>
    <col min="9483" max="9723" width="9.140625" style="105"/>
    <col min="9724" max="9724" width="1.7109375" style="105" customWidth="1"/>
    <col min="9725" max="9725" width="30.7109375" style="105" customWidth="1"/>
    <col min="9726" max="9736" width="9.7109375" style="105" customWidth="1"/>
    <col min="9737" max="9738" width="8.7109375" style="105" customWidth="1"/>
    <col min="9739" max="9979" width="9.140625" style="105"/>
    <col min="9980" max="9980" width="1.7109375" style="105" customWidth="1"/>
    <col min="9981" max="9981" width="30.7109375" style="105" customWidth="1"/>
    <col min="9982" max="9992" width="9.7109375" style="105" customWidth="1"/>
    <col min="9993" max="9994" width="8.7109375" style="105" customWidth="1"/>
    <col min="9995" max="10235" width="9.140625" style="105"/>
    <col min="10236" max="10236" width="1.7109375" style="105" customWidth="1"/>
    <col min="10237" max="10237" width="30.7109375" style="105" customWidth="1"/>
    <col min="10238" max="10248" width="9.7109375" style="105" customWidth="1"/>
    <col min="10249" max="10250" width="8.7109375" style="105" customWidth="1"/>
    <col min="10251" max="10491" width="9.140625" style="105"/>
    <col min="10492" max="10492" width="1.7109375" style="105" customWidth="1"/>
    <col min="10493" max="10493" width="30.7109375" style="105" customWidth="1"/>
    <col min="10494" max="10504" width="9.7109375" style="105" customWidth="1"/>
    <col min="10505" max="10506" width="8.7109375" style="105" customWidth="1"/>
    <col min="10507" max="10747" width="9.140625" style="105"/>
    <col min="10748" max="10748" width="1.7109375" style="105" customWidth="1"/>
    <col min="10749" max="10749" width="30.7109375" style="105" customWidth="1"/>
    <col min="10750" max="10760" width="9.7109375" style="105" customWidth="1"/>
    <col min="10761" max="10762" width="8.7109375" style="105" customWidth="1"/>
    <col min="10763" max="11003" width="9.140625" style="105"/>
    <col min="11004" max="11004" width="1.7109375" style="105" customWidth="1"/>
    <col min="11005" max="11005" width="30.7109375" style="105" customWidth="1"/>
    <col min="11006" max="11016" width="9.7109375" style="105" customWidth="1"/>
    <col min="11017" max="11018" width="8.7109375" style="105" customWidth="1"/>
    <col min="11019" max="11259" width="9.140625" style="105"/>
    <col min="11260" max="11260" width="1.7109375" style="105" customWidth="1"/>
    <col min="11261" max="11261" width="30.7109375" style="105" customWidth="1"/>
    <col min="11262" max="11272" width="9.7109375" style="105" customWidth="1"/>
    <col min="11273" max="11274" width="8.7109375" style="105" customWidth="1"/>
    <col min="11275" max="11515" width="9.140625" style="105"/>
    <col min="11516" max="11516" width="1.7109375" style="105" customWidth="1"/>
    <col min="11517" max="11517" width="30.7109375" style="105" customWidth="1"/>
    <col min="11518" max="11528" width="9.7109375" style="105" customWidth="1"/>
    <col min="11529" max="11530" width="8.7109375" style="105" customWidth="1"/>
    <col min="11531" max="11771" width="9.140625" style="105"/>
    <col min="11772" max="11772" width="1.7109375" style="105" customWidth="1"/>
    <col min="11773" max="11773" width="30.7109375" style="105" customWidth="1"/>
    <col min="11774" max="11784" width="9.7109375" style="105" customWidth="1"/>
    <col min="11785" max="11786" width="8.7109375" style="105" customWidth="1"/>
    <col min="11787" max="12027" width="9.140625" style="105"/>
    <col min="12028" max="12028" width="1.7109375" style="105" customWidth="1"/>
    <col min="12029" max="12029" width="30.7109375" style="105" customWidth="1"/>
    <col min="12030" max="12040" width="9.7109375" style="105" customWidth="1"/>
    <col min="12041" max="12042" width="8.7109375" style="105" customWidth="1"/>
    <col min="12043" max="12283" width="9.140625" style="105"/>
    <col min="12284" max="12284" width="1.7109375" style="105" customWidth="1"/>
    <col min="12285" max="12285" width="30.7109375" style="105" customWidth="1"/>
    <col min="12286" max="12296" width="9.7109375" style="105" customWidth="1"/>
    <col min="12297" max="12298" width="8.7109375" style="105" customWidth="1"/>
    <col min="12299" max="12539" width="9.140625" style="105"/>
    <col min="12540" max="12540" width="1.7109375" style="105" customWidth="1"/>
    <col min="12541" max="12541" width="30.7109375" style="105" customWidth="1"/>
    <col min="12542" max="12552" width="9.7109375" style="105" customWidth="1"/>
    <col min="12553" max="12554" width="8.7109375" style="105" customWidth="1"/>
    <col min="12555" max="12795" width="9.140625" style="105"/>
    <col min="12796" max="12796" width="1.7109375" style="105" customWidth="1"/>
    <col min="12797" max="12797" width="30.7109375" style="105" customWidth="1"/>
    <col min="12798" max="12808" width="9.7109375" style="105" customWidth="1"/>
    <col min="12809" max="12810" width="8.7109375" style="105" customWidth="1"/>
    <col min="12811" max="13051" width="9.140625" style="105"/>
    <col min="13052" max="13052" width="1.7109375" style="105" customWidth="1"/>
    <col min="13053" max="13053" width="30.7109375" style="105" customWidth="1"/>
    <col min="13054" max="13064" width="9.7109375" style="105" customWidth="1"/>
    <col min="13065" max="13066" width="8.7109375" style="105" customWidth="1"/>
    <col min="13067" max="13307" width="9.140625" style="105"/>
    <col min="13308" max="13308" width="1.7109375" style="105" customWidth="1"/>
    <col min="13309" max="13309" width="30.7109375" style="105" customWidth="1"/>
    <col min="13310" max="13320" width="9.7109375" style="105" customWidth="1"/>
    <col min="13321" max="13322" width="8.7109375" style="105" customWidth="1"/>
    <col min="13323" max="13563" width="9.140625" style="105"/>
    <col min="13564" max="13564" width="1.7109375" style="105" customWidth="1"/>
    <col min="13565" max="13565" width="30.7109375" style="105" customWidth="1"/>
    <col min="13566" max="13576" width="9.7109375" style="105" customWidth="1"/>
    <col min="13577" max="13578" width="8.7109375" style="105" customWidth="1"/>
    <col min="13579" max="13819" width="9.140625" style="105"/>
    <col min="13820" max="13820" width="1.7109375" style="105" customWidth="1"/>
    <col min="13821" max="13821" width="30.7109375" style="105" customWidth="1"/>
    <col min="13822" max="13832" width="9.7109375" style="105" customWidth="1"/>
    <col min="13833" max="13834" width="8.7109375" style="105" customWidth="1"/>
    <col min="13835" max="14075" width="9.140625" style="105"/>
    <col min="14076" max="14076" width="1.7109375" style="105" customWidth="1"/>
    <col min="14077" max="14077" width="30.7109375" style="105" customWidth="1"/>
    <col min="14078" max="14088" width="9.7109375" style="105" customWidth="1"/>
    <col min="14089" max="14090" width="8.7109375" style="105" customWidth="1"/>
    <col min="14091" max="14331" width="9.140625" style="105"/>
    <col min="14332" max="14332" width="1.7109375" style="105" customWidth="1"/>
    <col min="14333" max="14333" width="30.7109375" style="105" customWidth="1"/>
    <col min="14334" max="14344" width="9.7109375" style="105" customWidth="1"/>
    <col min="14345" max="14346" width="8.7109375" style="105" customWidth="1"/>
    <col min="14347" max="14587" width="9.140625" style="105"/>
    <col min="14588" max="14588" width="1.7109375" style="105" customWidth="1"/>
    <col min="14589" max="14589" width="30.7109375" style="105" customWidth="1"/>
    <col min="14590" max="14600" width="9.7109375" style="105" customWidth="1"/>
    <col min="14601" max="14602" width="8.7109375" style="105" customWidth="1"/>
    <col min="14603" max="14843" width="9.140625" style="105"/>
    <col min="14844" max="14844" width="1.7109375" style="105" customWidth="1"/>
    <col min="14845" max="14845" width="30.7109375" style="105" customWidth="1"/>
    <col min="14846" max="14856" width="9.7109375" style="105" customWidth="1"/>
    <col min="14857" max="14858" width="8.7109375" style="105" customWidth="1"/>
    <col min="14859" max="15099" width="9.140625" style="105"/>
    <col min="15100" max="15100" width="1.7109375" style="105" customWidth="1"/>
    <col min="15101" max="15101" width="30.7109375" style="105" customWidth="1"/>
    <col min="15102" max="15112" width="9.7109375" style="105" customWidth="1"/>
    <col min="15113" max="15114" width="8.7109375" style="105" customWidth="1"/>
    <col min="15115" max="15355" width="9.140625" style="105"/>
    <col min="15356" max="15356" width="1.7109375" style="105" customWidth="1"/>
    <col min="15357" max="15357" width="30.7109375" style="105" customWidth="1"/>
    <col min="15358" max="15368" width="9.7109375" style="105" customWidth="1"/>
    <col min="15369" max="15370" width="8.7109375" style="105" customWidth="1"/>
    <col min="15371" max="15611" width="9.140625" style="105"/>
    <col min="15612" max="15612" width="1.7109375" style="105" customWidth="1"/>
    <col min="15613" max="15613" width="30.7109375" style="105" customWidth="1"/>
    <col min="15614" max="15624" width="9.7109375" style="105" customWidth="1"/>
    <col min="15625" max="15626" width="8.7109375" style="105" customWidth="1"/>
    <col min="15627" max="15867" width="9.140625" style="105"/>
    <col min="15868" max="15868" width="1.7109375" style="105" customWidth="1"/>
    <col min="15869" max="15869" width="30.7109375" style="105" customWidth="1"/>
    <col min="15870" max="15880" width="9.7109375" style="105" customWidth="1"/>
    <col min="15881" max="15882" width="8.7109375" style="105" customWidth="1"/>
    <col min="15883" max="16123" width="9.140625" style="105"/>
    <col min="16124" max="16124" width="1.7109375" style="105" customWidth="1"/>
    <col min="16125" max="16125" width="30.7109375" style="105" customWidth="1"/>
    <col min="16126" max="16136" width="9.7109375" style="105" customWidth="1"/>
    <col min="16137" max="16138" width="8.7109375" style="105" customWidth="1"/>
    <col min="16139" max="16384" width="9.140625" style="105"/>
  </cols>
  <sheetData>
    <row r="1" spans="2:11" ht="11.25" customHeight="1"/>
    <row r="2" spans="2:11" ht="11.25" customHeight="1">
      <c r="C2" s="215"/>
    </row>
    <row r="3" spans="2:11" ht="11.25" customHeight="1">
      <c r="C3" s="215"/>
    </row>
    <row r="4" spans="2:11" s="221" customFormat="1" ht="11.25" customHeight="1">
      <c r="B4" s="216" t="s">
        <v>209</v>
      </c>
      <c r="C4" s="217"/>
      <c r="D4" s="217"/>
      <c r="E4" s="218"/>
      <c r="F4" s="217"/>
      <c r="G4" s="219"/>
      <c r="H4" s="220"/>
      <c r="I4" s="220"/>
      <c r="J4" s="219"/>
    </row>
    <row r="5" spans="2:11" s="221" customFormat="1" ht="11.25" customHeight="1">
      <c r="B5" s="222" t="s">
        <v>93</v>
      </c>
      <c r="C5" s="42">
        <v>2011</v>
      </c>
      <c r="D5" s="42">
        <v>2012</v>
      </c>
      <c r="E5" s="42">
        <v>2013</v>
      </c>
      <c r="F5" s="217" t="s">
        <v>258</v>
      </c>
      <c r="G5" s="217" t="s">
        <v>259</v>
      </c>
      <c r="H5" s="217" t="s">
        <v>260</v>
      </c>
      <c r="I5" s="217" t="s">
        <v>261</v>
      </c>
      <c r="J5" s="217" t="s">
        <v>262</v>
      </c>
    </row>
    <row r="6" spans="2:11" s="221" customFormat="1" ht="11.25" customHeight="1">
      <c r="B6" s="222" t="str">
        <f>'[3]Income Statement'!B6</f>
        <v>Months</v>
      </c>
      <c r="C6" s="217">
        <v>12</v>
      </c>
      <c r="D6" s="217">
        <v>12</v>
      </c>
      <c r="E6" s="218">
        <v>12</v>
      </c>
      <c r="F6" s="217">
        <f>'[3]Income Statement'!F6</f>
        <v>12</v>
      </c>
      <c r="G6" s="217">
        <f>'[3]Income Statement'!G6</f>
        <v>12</v>
      </c>
      <c r="H6" s="217">
        <f>'[3]Income Statement'!H6</f>
        <v>12</v>
      </c>
      <c r="I6" s="217">
        <f>'[3]Income Statement'!I6</f>
        <v>12</v>
      </c>
      <c r="J6" s="217">
        <f>'[3]Income Statement'!J6</f>
        <v>12</v>
      </c>
    </row>
    <row r="7" spans="2:11">
      <c r="B7" s="223"/>
      <c r="C7" s="224"/>
      <c r="D7" s="224"/>
      <c r="E7" s="225"/>
      <c r="F7" s="224"/>
      <c r="G7" s="224"/>
      <c r="H7" s="224"/>
      <c r="I7" s="224"/>
      <c r="J7" s="224"/>
    </row>
    <row r="8" spans="2:11" s="214" customFormat="1" ht="12.75" customHeight="1">
      <c r="B8" s="226" t="s">
        <v>210</v>
      </c>
      <c r="C8" s="227"/>
      <c r="D8" s="227"/>
      <c r="E8" s="228"/>
      <c r="F8" s="227"/>
      <c r="G8" s="227"/>
      <c r="H8" s="227"/>
      <c r="I8" s="227"/>
      <c r="J8" s="227"/>
    </row>
    <row r="9" spans="2:11" hidden="1" outlineLevel="1">
      <c r="B9" s="231" t="s">
        <v>18</v>
      </c>
      <c r="C9" s="230">
        <v>1034779</v>
      </c>
      <c r="D9" s="230">
        <v>1047915</v>
      </c>
      <c r="E9" s="230">
        <v>1050609</v>
      </c>
      <c r="F9" s="227">
        <f>'[3]Income Statement'!F35</f>
        <v>4033458.5434210557</v>
      </c>
      <c r="G9" s="227">
        <f>'[3]Income Statement'!G35</f>
        <v>4021032.8641903391</v>
      </c>
      <c r="H9" s="227">
        <f>'[3]Income Statement'!H35</f>
        <v>4205847.0250702985</v>
      </c>
      <c r="I9" s="227">
        <f>'[3]Income Statement'!I35</f>
        <v>4587363.2875164431</v>
      </c>
      <c r="J9" s="227">
        <f>'[3]Income Statement'!J35</f>
        <v>4990353.9366281833</v>
      </c>
      <c r="K9" s="214"/>
    </row>
    <row r="10" spans="2:11" hidden="1" outlineLevel="1">
      <c r="B10" s="231" t="s">
        <v>33</v>
      </c>
      <c r="C10" s="230">
        <v>4618</v>
      </c>
      <c r="D10" s="230">
        <v>7505</v>
      </c>
      <c r="E10" s="230">
        <v>4208</v>
      </c>
      <c r="F10" s="227">
        <f>-('[3]Income Statement'!F17+'[3]Income Statement'!F16)</f>
        <v>261145.48</v>
      </c>
      <c r="G10" s="227">
        <f>-('[3]Income Statement'!G17+'[3]Income Statement'!G16)</f>
        <v>302039.03587200004</v>
      </c>
      <c r="H10" s="227">
        <f>-('[3]Income Statement'!H17+'[3]Income Statement'!H16)</f>
        <v>336144.15250931203</v>
      </c>
      <c r="I10" s="227">
        <f>-('[3]Income Statement'!I17+'[3]Income Statement'!I16)</f>
        <v>353064.53993887105</v>
      </c>
      <c r="J10" s="227">
        <f>-('[3]Income Statement'!J17+'[3]Income Statement'!J16)</f>
        <v>358656.43565909553</v>
      </c>
      <c r="K10" s="214"/>
    </row>
    <row r="11" spans="2:11" hidden="1" outlineLevel="1">
      <c r="B11" s="231" t="s">
        <v>34</v>
      </c>
      <c r="C11" s="230">
        <v>-145</v>
      </c>
      <c r="D11" s="230">
        <v>-729</v>
      </c>
      <c r="E11" s="230">
        <v>638</v>
      </c>
      <c r="F11" s="227">
        <f>E11*(1+((E11-D11)/E11))</f>
        <v>2005</v>
      </c>
      <c r="G11" s="227">
        <f t="shared" ref="G11:J11" si="0">F11*(1+((F11-E11)/F11))</f>
        <v>3372</v>
      </c>
      <c r="H11" s="227">
        <f t="shared" si="0"/>
        <v>4739</v>
      </c>
      <c r="I11" s="227">
        <f t="shared" si="0"/>
        <v>6106</v>
      </c>
      <c r="J11" s="227">
        <f t="shared" si="0"/>
        <v>7473.0000000000009</v>
      </c>
      <c r="K11" s="214"/>
    </row>
    <row r="12" spans="2:11" hidden="1" outlineLevel="1">
      <c r="B12" s="231" t="s">
        <v>35</v>
      </c>
      <c r="C12" s="230">
        <v>0</v>
      </c>
      <c r="D12" s="230">
        <v>271</v>
      </c>
      <c r="E12" s="230">
        <v>1822</v>
      </c>
      <c r="F12" s="227">
        <f t="shared" ref="F12:F35" si="1">E12*(1+((E12-D12)/E12))</f>
        <v>3373.0000000000005</v>
      </c>
      <c r="G12" s="227">
        <f t="shared" ref="G12:G35" si="2">F12*(1+((F12-E12)/F12))</f>
        <v>4924.0000000000009</v>
      </c>
      <c r="H12" s="227">
        <f t="shared" ref="H12:H35" si="3">G12*(1+((G12-F12)/G12))</f>
        <v>6475.0000000000009</v>
      </c>
      <c r="I12" s="227">
        <f t="shared" ref="I12:I35" si="4">H12*(1+((H12-G12)/H12))</f>
        <v>8026.0000000000009</v>
      </c>
      <c r="J12" s="227">
        <f t="shared" ref="J12:J35" si="5">I12*(1+((I12-H12)/I12))</f>
        <v>9577</v>
      </c>
      <c r="K12" s="214"/>
    </row>
    <row r="13" spans="2:11" collapsed="1">
      <c r="B13" s="249" t="s">
        <v>36</v>
      </c>
      <c r="C13" s="230">
        <f>SUM(C9:C12)</f>
        <v>1039252</v>
      </c>
      <c r="D13" s="230">
        <f t="shared" ref="D13:E13" si="6">SUM(D9:D12)</f>
        <v>1054962</v>
      </c>
      <c r="E13" s="230">
        <f t="shared" si="6"/>
        <v>1057277</v>
      </c>
      <c r="F13" s="227">
        <f t="shared" si="1"/>
        <v>1059592</v>
      </c>
      <c r="G13" s="227">
        <f t="shared" si="2"/>
        <v>1061907</v>
      </c>
      <c r="H13" s="227">
        <f t="shared" si="3"/>
        <v>1064222</v>
      </c>
      <c r="I13" s="227">
        <f t="shared" si="4"/>
        <v>1066537.0000000002</v>
      </c>
      <c r="J13" s="227">
        <f t="shared" si="5"/>
        <v>1068852.0000000005</v>
      </c>
      <c r="K13" s="214"/>
    </row>
    <row r="14" spans="2:11" hidden="1" outlineLevel="1">
      <c r="B14" s="226" t="s">
        <v>19</v>
      </c>
      <c r="C14" s="230">
        <v>-425531</v>
      </c>
      <c r="D14" s="230">
        <v>-433986</v>
      </c>
      <c r="E14" s="230">
        <v>-406582</v>
      </c>
      <c r="F14" s="227">
        <f t="shared" si="1"/>
        <v>-379178</v>
      </c>
      <c r="G14" s="227">
        <f t="shared" si="2"/>
        <v>-351774</v>
      </c>
      <c r="H14" s="227">
        <f t="shared" si="3"/>
        <v>-324370</v>
      </c>
      <c r="I14" s="227">
        <f t="shared" si="4"/>
        <v>-296966</v>
      </c>
      <c r="J14" s="227">
        <f t="shared" si="5"/>
        <v>-269562</v>
      </c>
      <c r="K14" s="214"/>
    </row>
    <row r="15" spans="2:11" hidden="1" outlineLevel="1">
      <c r="B15" s="226" t="s">
        <v>37</v>
      </c>
      <c r="C15" s="230">
        <v>2665</v>
      </c>
      <c r="D15" s="230">
        <v>1558</v>
      </c>
      <c r="E15" s="230">
        <v>5503</v>
      </c>
      <c r="F15" s="227">
        <f t="shared" si="1"/>
        <v>9448</v>
      </c>
      <c r="G15" s="227">
        <f t="shared" si="2"/>
        <v>13393</v>
      </c>
      <c r="H15" s="227">
        <f t="shared" si="3"/>
        <v>17338</v>
      </c>
      <c r="I15" s="227">
        <f t="shared" si="4"/>
        <v>21283</v>
      </c>
      <c r="J15" s="227">
        <f t="shared" si="5"/>
        <v>25228</v>
      </c>
      <c r="K15" s="214"/>
    </row>
    <row r="16" spans="2:11" hidden="1" outlineLevel="1">
      <c r="B16" s="226" t="s">
        <v>38</v>
      </c>
      <c r="C16" s="230">
        <v>304</v>
      </c>
      <c r="D16" s="230">
        <v>-17475</v>
      </c>
      <c r="E16" s="230">
        <v>-8030</v>
      </c>
      <c r="F16" s="227">
        <f t="shared" si="1"/>
        <v>1415.0000000000002</v>
      </c>
      <c r="G16" s="227">
        <f t="shared" si="2"/>
        <v>10860</v>
      </c>
      <c r="H16" s="227">
        <f t="shared" si="3"/>
        <v>20305</v>
      </c>
      <c r="I16" s="227">
        <f t="shared" si="4"/>
        <v>29750</v>
      </c>
      <c r="J16" s="227">
        <f t="shared" si="5"/>
        <v>39195</v>
      </c>
      <c r="K16" s="214"/>
    </row>
    <row r="17" spans="2:11" hidden="1" outlineLevel="1">
      <c r="B17" s="226" t="s">
        <v>39</v>
      </c>
      <c r="C17" s="230">
        <v>-3203</v>
      </c>
      <c r="D17" s="230">
        <v>-833</v>
      </c>
      <c r="E17" s="230">
        <v>-272</v>
      </c>
      <c r="F17" s="227">
        <f t="shared" si="1"/>
        <v>289</v>
      </c>
      <c r="G17" s="227">
        <f t="shared" si="2"/>
        <v>850.00000000000011</v>
      </c>
      <c r="H17" s="227">
        <f t="shared" si="3"/>
        <v>1411.0000000000002</v>
      </c>
      <c r="I17" s="227">
        <f t="shared" si="4"/>
        <v>1972.0000000000005</v>
      </c>
      <c r="J17" s="227">
        <f t="shared" si="5"/>
        <v>2533.0000000000009</v>
      </c>
      <c r="K17" s="214"/>
    </row>
    <row r="18" spans="2:11" hidden="1" outlineLevel="1">
      <c r="B18" s="226" t="s">
        <v>40</v>
      </c>
      <c r="C18" s="230">
        <v>-881</v>
      </c>
      <c r="D18" s="230">
        <v>-5692</v>
      </c>
      <c r="E18" s="230">
        <v>1949</v>
      </c>
      <c r="F18" s="227">
        <f t="shared" si="1"/>
        <v>9590</v>
      </c>
      <c r="G18" s="227">
        <f t="shared" si="2"/>
        <v>17231</v>
      </c>
      <c r="H18" s="227">
        <f t="shared" si="3"/>
        <v>24872</v>
      </c>
      <c r="I18" s="227">
        <f t="shared" si="4"/>
        <v>32512.999999999996</v>
      </c>
      <c r="J18" s="227">
        <f t="shared" si="5"/>
        <v>40153.999999999993</v>
      </c>
      <c r="K18" s="214"/>
    </row>
    <row r="19" spans="2:11" hidden="1" outlineLevel="1">
      <c r="B19" s="226" t="s">
        <v>41</v>
      </c>
      <c r="C19" s="230">
        <v>-1153</v>
      </c>
      <c r="D19" s="230">
        <v>365</v>
      </c>
      <c r="E19" s="230">
        <v>422</v>
      </c>
      <c r="F19" s="227">
        <f t="shared" si="1"/>
        <v>479.00000000000006</v>
      </c>
      <c r="G19" s="227">
        <f t="shared" si="2"/>
        <v>536.00000000000011</v>
      </c>
      <c r="H19" s="227">
        <f t="shared" si="3"/>
        <v>593.00000000000023</v>
      </c>
      <c r="I19" s="227">
        <f t="shared" si="4"/>
        <v>650.00000000000034</v>
      </c>
      <c r="J19" s="227">
        <f t="shared" si="5"/>
        <v>707.00000000000045</v>
      </c>
      <c r="K19" s="214"/>
    </row>
    <row r="20" spans="2:11" hidden="1" outlineLevel="1">
      <c r="B20" s="226" t="s">
        <v>42</v>
      </c>
      <c r="C20" s="230">
        <v>679</v>
      </c>
      <c r="D20" s="230">
        <v>3810</v>
      </c>
      <c r="E20" s="230">
        <v>-3315</v>
      </c>
      <c r="F20" s="227">
        <f t="shared" si="1"/>
        <v>-10440</v>
      </c>
      <c r="G20" s="227">
        <f t="shared" si="2"/>
        <v>-17565</v>
      </c>
      <c r="H20" s="227">
        <f t="shared" si="3"/>
        <v>-24689.999999999996</v>
      </c>
      <c r="I20" s="227">
        <f t="shared" si="4"/>
        <v>-31814.999999999993</v>
      </c>
      <c r="J20" s="227">
        <f t="shared" si="5"/>
        <v>-38939.999999999993</v>
      </c>
      <c r="K20" s="214"/>
    </row>
    <row r="21" spans="2:11" hidden="1" outlineLevel="1">
      <c r="B21" s="226" t="s">
        <v>43</v>
      </c>
      <c r="C21" s="230">
        <v>-38554</v>
      </c>
      <c r="D21" s="230">
        <v>595</v>
      </c>
      <c r="E21" s="230">
        <v>9813</v>
      </c>
      <c r="F21" s="227">
        <f t="shared" si="1"/>
        <v>19031</v>
      </c>
      <c r="G21" s="227">
        <f t="shared" si="2"/>
        <v>28249</v>
      </c>
      <c r="H21" s="227">
        <f t="shared" si="3"/>
        <v>37467</v>
      </c>
      <c r="I21" s="227">
        <f t="shared" si="4"/>
        <v>46685</v>
      </c>
      <c r="J21" s="227">
        <f t="shared" si="5"/>
        <v>55903</v>
      </c>
      <c r="K21" s="214"/>
    </row>
    <row r="22" spans="2:11" hidden="1" outlineLevel="1">
      <c r="B22" s="226" t="s">
        <v>44</v>
      </c>
      <c r="C22" s="230">
        <v>24605</v>
      </c>
      <c r="D22" s="230">
        <v>-4885</v>
      </c>
      <c r="E22" s="230">
        <v>-1081</v>
      </c>
      <c r="F22" s="227">
        <f t="shared" si="1"/>
        <v>2723</v>
      </c>
      <c r="G22" s="227">
        <f t="shared" si="2"/>
        <v>6527.0000000000009</v>
      </c>
      <c r="H22" s="227">
        <f t="shared" si="3"/>
        <v>10331.000000000002</v>
      </c>
      <c r="I22" s="227">
        <f t="shared" si="4"/>
        <v>14135.000000000004</v>
      </c>
      <c r="J22" s="227">
        <f t="shared" si="5"/>
        <v>17939.000000000007</v>
      </c>
      <c r="K22" s="214"/>
    </row>
    <row r="23" spans="2:11" hidden="1" outlineLevel="1">
      <c r="B23" s="226" t="s">
        <v>20</v>
      </c>
      <c r="C23" s="230">
        <v>-4120</v>
      </c>
      <c r="D23" s="230">
        <v>-4103</v>
      </c>
      <c r="E23" s="230">
        <v>-4050</v>
      </c>
      <c r="F23" s="227">
        <f t="shared" si="1"/>
        <v>-3997</v>
      </c>
      <c r="G23" s="227">
        <f t="shared" si="2"/>
        <v>-3944</v>
      </c>
      <c r="H23" s="227">
        <f t="shared" si="3"/>
        <v>-3891</v>
      </c>
      <c r="I23" s="227">
        <f t="shared" si="4"/>
        <v>-3838</v>
      </c>
      <c r="J23" s="227">
        <f t="shared" si="5"/>
        <v>-3785</v>
      </c>
      <c r="K23" s="214"/>
    </row>
    <row r="24" spans="2:11" hidden="1" outlineLevel="1">
      <c r="B24" s="226" t="s">
        <v>21</v>
      </c>
      <c r="C24" s="230">
        <v>-7239</v>
      </c>
      <c r="D24" s="230">
        <v>-5791</v>
      </c>
      <c r="E24" s="230">
        <v>-11236</v>
      </c>
      <c r="F24" s="227">
        <f t="shared" si="1"/>
        <v>-16681</v>
      </c>
      <c r="G24" s="227">
        <f t="shared" si="2"/>
        <v>-22125.999999999996</v>
      </c>
      <c r="H24" s="227">
        <f t="shared" si="3"/>
        <v>-27570.999999999993</v>
      </c>
      <c r="I24" s="227">
        <f t="shared" si="4"/>
        <v>-33015.999999999985</v>
      </c>
      <c r="J24" s="227">
        <f t="shared" si="5"/>
        <v>-38460.999999999978</v>
      </c>
      <c r="K24" s="214"/>
    </row>
    <row r="25" spans="2:11" hidden="1" outlineLevel="1">
      <c r="B25" s="226" t="s">
        <v>23</v>
      </c>
      <c r="C25" s="230">
        <v>-18003</v>
      </c>
      <c r="D25" s="230">
        <v>-17180</v>
      </c>
      <c r="E25" s="230">
        <v>-16312</v>
      </c>
      <c r="F25" s="227">
        <f t="shared" si="1"/>
        <v>-15444</v>
      </c>
      <c r="G25" s="227">
        <f t="shared" si="2"/>
        <v>-14576</v>
      </c>
      <c r="H25" s="227">
        <f t="shared" si="3"/>
        <v>-13708</v>
      </c>
      <c r="I25" s="227">
        <f t="shared" si="4"/>
        <v>-12840</v>
      </c>
      <c r="J25" s="227">
        <f t="shared" si="5"/>
        <v>-11972</v>
      </c>
      <c r="K25" s="214"/>
    </row>
    <row r="26" spans="2:11" hidden="1" outlineLevel="1">
      <c r="B26" s="226" t="s">
        <v>45</v>
      </c>
      <c r="C26" s="230">
        <v>1106</v>
      </c>
      <c r="D26" s="230">
        <v>448</v>
      </c>
      <c r="E26" s="230">
        <v>-170</v>
      </c>
      <c r="F26" s="227">
        <f t="shared" si="1"/>
        <v>-787.99999999999989</v>
      </c>
      <c r="G26" s="227">
        <f t="shared" si="2"/>
        <v>-1405.9999999999998</v>
      </c>
      <c r="H26" s="227">
        <f t="shared" si="3"/>
        <v>-2023.9999999999998</v>
      </c>
      <c r="I26" s="227">
        <f t="shared" si="4"/>
        <v>-2642</v>
      </c>
      <c r="J26" s="227">
        <f t="shared" si="5"/>
        <v>-3260</v>
      </c>
      <c r="K26" s="214"/>
    </row>
    <row r="27" spans="2:11" hidden="1" outlineLevel="1">
      <c r="B27" s="226" t="s">
        <v>46</v>
      </c>
      <c r="C27" s="230">
        <v>3597</v>
      </c>
      <c r="D27" s="230">
        <v>3344</v>
      </c>
      <c r="E27" s="230">
        <v>3004</v>
      </c>
      <c r="F27" s="227">
        <f t="shared" si="1"/>
        <v>2664</v>
      </c>
      <c r="G27" s="227">
        <f t="shared" si="2"/>
        <v>2324</v>
      </c>
      <c r="H27" s="227">
        <f t="shared" si="3"/>
        <v>1984</v>
      </c>
      <c r="I27" s="227">
        <f t="shared" si="4"/>
        <v>1644</v>
      </c>
      <c r="J27" s="227">
        <f t="shared" si="5"/>
        <v>1304</v>
      </c>
      <c r="K27" s="214"/>
    </row>
    <row r="28" spans="2:11" hidden="1" outlineLevel="1">
      <c r="B28" s="226" t="s">
        <v>47</v>
      </c>
      <c r="C28" s="230">
        <v>1044</v>
      </c>
      <c r="D28" s="230">
        <v>-2866</v>
      </c>
      <c r="E28" s="230">
        <v>2758</v>
      </c>
      <c r="F28" s="227">
        <f t="shared" si="1"/>
        <v>8382</v>
      </c>
      <c r="G28" s="227">
        <f t="shared" si="2"/>
        <v>14006</v>
      </c>
      <c r="H28" s="227">
        <f t="shared" si="3"/>
        <v>19630</v>
      </c>
      <c r="I28" s="227">
        <f t="shared" si="4"/>
        <v>25253.999999999996</v>
      </c>
      <c r="J28" s="227">
        <f t="shared" si="5"/>
        <v>30877.999999999989</v>
      </c>
      <c r="K28" s="214"/>
    </row>
    <row r="29" spans="2:11" hidden="1" outlineLevel="1">
      <c r="B29" s="226" t="s">
        <v>48</v>
      </c>
      <c r="C29" s="230">
        <v>618</v>
      </c>
      <c r="D29" s="230">
        <v>1797</v>
      </c>
      <c r="E29" s="230">
        <v>-240</v>
      </c>
      <c r="F29" s="227">
        <f t="shared" si="1"/>
        <v>-2277</v>
      </c>
      <c r="G29" s="227">
        <f t="shared" si="2"/>
        <v>-4314</v>
      </c>
      <c r="H29" s="227">
        <f t="shared" si="3"/>
        <v>-6351</v>
      </c>
      <c r="I29" s="227">
        <f t="shared" si="4"/>
        <v>-8388</v>
      </c>
      <c r="J29" s="227">
        <f t="shared" si="5"/>
        <v>-10425</v>
      </c>
      <c r="K29" s="214"/>
    </row>
    <row r="30" spans="2:11" hidden="1" outlineLevel="1">
      <c r="B30" s="226" t="s">
        <v>49</v>
      </c>
      <c r="C30" s="230">
        <v>1945</v>
      </c>
      <c r="D30" s="230">
        <v>3914</v>
      </c>
      <c r="E30" s="230">
        <v>2129</v>
      </c>
      <c r="F30" s="227">
        <f t="shared" si="1"/>
        <v>343.99999999999994</v>
      </c>
      <c r="G30" s="227">
        <f t="shared" si="2"/>
        <v>-1441</v>
      </c>
      <c r="H30" s="227">
        <f t="shared" si="3"/>
        <v>-3226.0000000000005</v>
      </c>
      <c r="I30" s="227">
        <f t="shared" si="4"/>
        <v>-5011.0000000000009</v>
      </c>
      <c r="J30" s="227">
        <f t="shared" si="5"/>
        <v>-6796.0000000000018</v>
      </c>
      <c r="K30" s="214"/>
    </row>
    <row r="31" spans="2:11" collapsed="1">
      <c r="B31" s="249" t="s">
        <v>50</v>
      </c>
      <c r="C31" s="230">
        <f>SUM(C14:C30)</f>
        <v>-462121</v>
      </c>
      <c r="D31" s="230">
        <f t="shared" ref="D31:E31" si="7">SUM(D14:D30)</f>
        <v>-476980</v>
      </c>
      <c r="E31" s="230">
        <f t="shared" si="7"/>
        <v>-425710</v>
      </c>
      <c r="F31" s="227">
        <f t="shared" si="1"/>
        <v>-374440</v>
      </c>
      <c r="G31" s="227">
        <f t="shared" si="2"/>
        <v>-323170</v>
      </c>
      <c r="H31" s="227">
        <f t="shared" si="3"/>
        <v>-271900</v>
      </c>
      <c r="I31" s="227">
        <f t="shared" si="4"/>
        <v>-220630</v>
      </c>
      <c r="J31" s="227">
        <f t="shared" si="5"/>
        <v>-169360</v>
      </c>
      <c r="K31" s="214"/>
    </row>
    <row r="32" spans="2:11" hidden="1" outlineLevel="1">
      <c r="B32" s="229" t="s">
        <v>27</v>
      </c>
      <c r="C32" s="230">
        <v>-28937</v>
      </c>
      <c r="D32" s="230">
        <v>-31946</v>
      </c>
      <c r="E32" s="230">
        <v>-35646</v>
      </c>
      <c r="F32" s="227">
        <f t="shared" si="1"/>
        <v>-39346</v>
      </c>
      <c r="G32" s="227">
        <f t="shared" si="2"/>
        <v>-43045.999999999993</v>
      </c>
      <c r="H32" s="227">
        <f t="shared" si="3"/>
        <v>-46745.999999999985</v>
      </c>
      <c r="I32" s="227">
        <f t="shared" si="4"/>
        <v>-50445.999999999978</v>
      </c>
      <c r="J32" s="227">
        <f t="shared" si="5"/>
        <v>-54145.999999999971</v>
      </c>
      <c r="K32" s="214"/>
    </row>
    <row r="33" spans="2:11" hidden="1" outlineLevel="1">
      <c r="B33" s="229" t="s">
        <v>51</v>
      </c>
      <c r="C33" s="230">
        <v>6710</v>
      </c>
      <c r="D33" s="230">
        <v>4133</v>
      </c>
      <c r="E33" s="230">
        <v>3659</v>
      </c>
      <c r="F33" s="227">
        <f t="shared" si="1"/>
        <v>3185</v>
      </c>
      <c r="G33" s="227">
        <f t="shared" si="2"/>
        <v>2711</v>
      </c>
      <c r="H33" s="227">
        <f t="shared" si="3"/>
        <v>2237</v>
      </c>
      <c r="I33" s="227">
        <f t="shared" si="4"/>
        <v>1763</v>
      </c>
      <c r="J33" s="227">
        <f t="shared" si="5"/>
        <v>1289</v>
      </c>
      <c r="K33" s="214"/>
    </row>
    <row r="34" spans="2:11" collapsed="1">
      <c r="B34" s="241" t="s">
        <v>52</v>
      </c>
      <c r="C34" s="230">
        <f>C32+C33</f>
        <v>-22227</v>
      </c>
      <c r="D34" s="230">
        <f t="shared" ref="D34:E34" si="8">D32+D33</f>
        <v>-27813</v>
      </c>
      <c r="E34" s="230">
        <f t="shared" si="8"/>
        <v>-31987</v>
      </c>
      <c r="F34" s="227">
        <f t="shared" si="1"/>
        <v>-36161</v>
      </c>
      <c r="G34" s="227">
        <f t="shared" si="2"/>
        <v>-40335</v>
      </c>
      <c r="H34" s="227">
        <f t="shared" si="3"/>
        <v>-44509.000000000007</v>
      </c>
      <c r="I34" s="227">
        <f t="shared" si="4"/>
        <v>-48683.000000000015</v>
      </c>
      <c r="J34" s="227">
        <f t="shared" si="5"/>
        <v>-52857.000000000022</v>
      </c>
      <c r="K34" s="214"/>
    </row>
    <row r="35" spans="2:11">
      <c r="B35" s="241" t="s">
        <v>221</v>
      </c>
      <c r="C35" s="230">
        <v>4305</v>
      </c>
      <c r="D35" s="230">
        <v>5329</v>
      </c>
      <c r="E35" s="230">
        <v>3650</v>
      </c>
      <c r="F35" s="227">
        <f t="shared" si="1"/>
        <v>1971.0000000000002</v>
      </c>
      <c r="G35" s="227">
        <f t="shared" si="2"/>
        <v>292.00000000000045</v>
      </c>
      <c r="H35" s="227">
        <f t="shared" si="3"/>
        <v>-1386.9999999999993</v>
      </c>
      <c r="I35" s="227">
        <f t="shared" si="4"/>
        <v>-3065.9999999999995</v>
      </c>
      <c r="J35" s="227">
        <f t="shared" si="5"/>
        <v>-4745</v>
      </c>
      <c r="K35" s="214"/>
    </row>
    <row r="36" spans="2:11" s="221" customFormat="1">
      <c r="B36" s="216" t="s">
        <v>211</v>
      </c>
      <c r="C36" s="233">
        <f>C13+C31+C34+C35</f>
        <v>559209</v>
      </c>
      <c r="D36" s="233">
        <f t="shared" ref="D36:J36" si="9">D13+D31+D34+D35</f>
        <v>555498</v>
      </c>
      <c r="E36" s="233">
        <f t="shared" si="9"/>
        <v>603230</v>
      </c>
      <c r="F36" s="233">
        <f t="shared" si="9"/>
        <v>650962</v>
      </c>
      <c r="G36" s="233">
        <f t="shared" si="9"/>
        <v>698694</v>
      </c>
      <c r="H36" s="233">
        <f t="shared" si="9"/>
        <v>746426</v>
      </c>
      <c r="I36" s="233">
        <f t="shared" si="9"/>
        <v>794158.00000000023</v>
      </c>
      <c r="J36" s="233">
        <f t="shared" si="9"/>
        <v>841890.00000000047</v>
      </c>
      <c r="K36" s="214"/>
    </row>
    <row r="37" spans="2:11">
      <c r="B37" s="234"/>
      <c r="C37" s="227"/>
      <c r="D37" s="227"/>
      <c r="E37" s="228"/>
      <c r="F37" s="227"/>
      <c r="G37" s="227"/>
      <c r="H37" s="227"/>
      <c r="I37" s="227"/>
      <c r="J37" s="227"/>
      <c r="K37" s="214"/>
    </row>
    <row r="38" spans="2:11" ht="12.75" customHeight="1">
      <c r="B38" s="226" t="s">
        <v>212</v>
      </c>
      <c r="C38" s="227"/>
      <c r="D38" s="227"/>
      <c r="E38" s="228"/>
      <c r="F38" s="227"/>
      <c r="G38" s="227"/>
      <c r="H38" s="227"/>
      <c r="I38" s="227"/>
      <c r="J38" s="227"/>
      <c r="K38" s="214"/>
    </row>
    <row r="39" spans="2:11" ht="12.75" hidden="1" customHeight="1" outlineLevel="1">
      <c r="B39" s="226" t="s">
        <v>53</v>
      </c>
      <c r="C39" s="230">
        <v>2210</v>
      </c>
      <c r="D39" s="230">
        <v>-1257</v>
      </c>
      <c r="E39" s="230">
        <v>4942</v>
      </c>
      <c r="F39" s="227">
        <f t="shared" ref="F39:F51" si="10">E39*(1+((E39-D39)/E39))</f>
        <v>11141</v>
      </c>
      <c r="G39" s="227">
        <f t="shared" ref="G39:G51" si="11">F39*(1+((F39-E39)/F39))</f>
        <v>17340</v>
      </c>
      <c r="H39" s="227">
        <f t="shared" ref="H39:H51" si="12">G39*(1+((G39-F39)/G39))</f>
        <v>23539</v>
      </c>
      <c r="I39" s="227">
        <f t="shared" ref="I39:I51" si="13">H39*(1+((H39-G39)/H39))</f>
        <v>29738</v>
      </c>
      <c r="J39" s="227">
        <f t="shared" ref="J39:J51" si="14">I39*(1+((I39-H39)/I39))</f>
        <v>35937</v>
      </c>
      <c r="K39" s="214"/>
    </row>
    <row r="40" spans="2:11" ht="12.75" hidden="1" customHeight="1" outlineLevel="1">
      <c r="B40" s="226" t="s">
        <v>54</v>
      </c>
      <c r="C40" s="230">
        <v>-1353</v>
      </c>
      <c r="D40" s="230">
        <v>-4226</v>
      </c>
      <c r="E40" s="230">
        <v>-4195</v>
      </c>
      <c r="F40" s="227">
        <f t="shared" si="10"/>
        <v>-4164</v>
      </c>
      <c r="G40" s="227">
        <f t="shared" si="11"/>
        <v>-4133</v>
      </c>
      <c r="H40" s="227">
        <f t="shared" si="12"/>
        <v>-4102</v>
      </c>
      <c r="I40" s="227">
        <f t="shared" si="13"/>
        <v>-4071</v>
      </c>
      <c r="J40" s="227">
        <f t="shared" si="14"/>
        <v>-4040</v>
      </c>
      <c r="K40" s="214"/>
    </row>
    <row r="41" spans="2:11" ht="12.75" hidden="1" customHeight="1" outlineLevel="1">
      <c r="B41" s="226" t="s">
        <v>55</v>
      </c>
      <c r="C41" s="230">
        <v>-27113</v>
      </c>
      <c r="D41" s="230">
        <v>17087</v>
      </c>
      <c r="E41" s="230">
        <v>-26099</v>
      </c>
      <c r="F41" s="227">
        <f t="shared" si="10"/>
        <v>-69285</v>
      </c>
      <c r="G41" s="227">
        <f t="shared" si="11"/>
        <v>-112471</v>
      </c>
      <c r="H41" s="227">
        <f t="shared" si="12"/>
        <v>-155657</v>
      </c>
      <c r="I41" s="227">
        <f t="shared" si="13"/>
        <v>-198843</v>
      </c>
      <c r="J41" s="227">
        <f t="shared" si="14"/>
        <v>-242029</v>
      </c>
      <c r="K41" s="214"/>
    </row>
    <row r="42" spans="2:11" ht="12.75" hidden="1" customHeight="1" outlineLevel="1">
      <c r="B42" s="226" t="s">
        <v>56</v>
      </c>
      <c r="C42" s="230">
        <v>-2939</v>
      </c>
      <c r="D42" s="230">
        <v>-881</v>
      </c>
      <c r="E42" s="230">
        <v>-1035</v>
      </c>
      <c r="F42" s="227">
        <f t="shared" si="10"/>
        <v>-1189</v>
      </c>
      <c r="G42" s="227">
        <f t="shared" si="11"/>
        <v>-1343</v>
      </c>
      <c r="H42" s="227">
        <f t="shared" si="12"/>
        <v>-1497</v>
      </c>
      <c r="I42" s="227">
        <f t="shared" si="13"/>
        <v>-1651</v>
      </c>
      <c r="J42" s="227">
        <f t="shared" si="14"/>
        <v>-1805</v>
      </c>
      <c r="K42" s="214"/>
    </row>
    <row r="43" spans="2:11" ht="12.75" hidden="1" customHeight="1" outlineLevel="1">
      <c r="B43" s="226" t="s">
        <v>57</v>
      </c>
      <c r="C43" s="230">
        <v>6536</v>
      </c>
      <c r="D43" s="230">
        <v>-31484</v>
      </c>
      <c r="E43" s="230">
        <v>-3290</v>
      </c>
      <c r="F43" s="227">
        <f t="shared" si="10"/>
        <v>24904.000000000004</v>
      </c>
      <c r="G43" s="227">
        <f t="shared" si="11"/>
        <v>53098.000000000007</v>
      </c>
      <c r="H43" s="227">
        <f t="shared" si="12"/>
        <v>81292.000000000015</v>
      </c>
      <c r="I43" s="227">
        <f t="shared" si="13"/>
        <v>109486.00000000003</v>
      </c>
      <c r="J43" s="227">
        <f t="shared" si="14"/>
        <v>137680.00000000006</v>
      </c>
      <c r="K43" s="214"/>
    </row>
    <row r="44" spans="2:11" ht="12.75" hidden="1" customHeight="1" outlineLevel="1">
      <c r="B44" s="226" t="s">
        <v>58</v>
      </c>
      <c r="C44" s="230">
        <v>77277</v>
      </c>
      <c r="D44" s="230">
        <v>86021</v>
      </c>
      <c r="E44" s="230">
        <v>86106</v>
      </c>
      <c r="F44" s="227">
        <f t="shared" si="10"/>
        <v>86191</v>
      </c>
      <c r="G44" s="227">
        <f t="shared" si="11"/>
        <v>86276</v>
      </c>
      <c r="H44" s="227">
        <f t="shared" si="12"/>
        <v>86361</v>
      </c>
      <c r="I44" s="227">
        <f t="shared" si="13"/>
        <v>86446</v>
      </c>
      <c r="J44" s="227">
        <f t="shared" si="14"/>
        <v>86531</v>
      </c>
      <c r="K44" s="214"/>
    </row>
    <row r="45" spans="2:11" ht="12.75" hidden="1" customHeight="1" outlineLevel="1">
      <c r="B45" s="226" t="s">
        <v>22</v>
      </c>
      <c r="C45" s="230">
        <v>-8129</v>
      </c>
      <c r="D45" s="230">
        <v>-7111</v>
      </c>
      <c r="E45" s="230">
        <v>-6156</v>
      </c>
      <c r="F45" s="227">
        <f t="shared" si="10"/>
        <v>-5201</v>
      </c>
      <c r="G45" s="227">
        <f t="shared" si="11"/>
        <v>-4246</v>
      </c>
      <c r="H45" s="227">
        <f t="shared" si="12"/>
        <v>-3291</v>
      </c>
      <c r="I45" s="227">
        <f t="shared" si="13"/>
        <v>-2336</v>
      </c>
      <c r="J45" s="227">
        <f t="shared" si="14"/>
        <v>-1381.0000000000002</v>
      </c>
      <c r="K45" s="214"/>
    </row>
    <row r="46" spans="2:11" ht="12.75" hidden="1" customHeight="1" outlineLevel="1">
      <c r="B46" s="226" t="s">
        <v>26</v>
      </c>
      <c r="C46" s="230">
        <v>5739</v>
      </c>
      <c r="D46" s="230">
        <v>7810</v>
      </c>
      <c r="E46" s="230">
        <v>10737</v>
      </c>
      <c r="F46" s="227">
        <f t="shared" si="10"/>
        <v>13663.999999999998</v>
      </c>
      <c r="G46" s="227">
        <f t="shared" si="11"/>
        <v>16590.999999999996</v>
      </c>
      <c r="H46" s="227">
        <f t="shared" si="12"/>
        <v>19517.999999999996</v>
      </c>
      <c r="I46" s="227">
        <f t="shared" si="13"/>
        <v>22444.999999999996</v>
      </c>
      <c r="J46" s="227">
        <f t="shared" si="14"/>
        <v>25371.999999999993</v>
      </c>
      <c r="K46" s="214"/>
    </row>
    <row r="47" spans="2:11" ht="12.75" customHeight="1" collapsed="1">
      <c r="B47" s="250" t="s">
        <v>222</v>
      </c>
      <c r="C47" s="230">
        <f>SUM(C39:C46)</f>
        <v>52228</v>
      </c>
      <c r="D47" s="230">
        <f t="shared" ref="D47:J47" si="15">SUM(D39:D46)</f>
        <v>65959</v>
      </c>
      <c r="E47" s="230">
        <f t="shared" si="15"/>
        <v>61010</v>
      </c>
      <c r="F47" s="230">
        <f t="shared" si="15"/>
        <v>56061</v>
      </c>
      <c r="G47" s="230">
        <f t="shared" si="15"/>
        <v>51112</v>
      </c>
      <c r="H47" s="230">
        <f t="shared" si="15"/>
        <v>46163.000000000015</v>
      </c>
      <c r="I47" s="230">
        <f t="shared" si="15"/>
        <v>41214.000000000029</v>
      </c>
      <c r="J47" s="230">
        <f t="shared" si="15"/>
        <v>36265.000000000051</v>
      </c>
      <c r="K47" s="214"/>
    </row>
    <row r="48" spans="2:11" ht="12.75" hidden="1" customHeight="1" outlineLevel="1">
      <c r="B48" s="232" t="s">
        <v>59</v>
      </c>
      <c r="C48" s="230">
        <v>0</v>
      </c>
      <c r="D48" s="230">
        <v>-199085</v>
      </c>
      <c r="E48" s="230">
        <v>199085</v>
      </c>
      <c r="F48" s="227">
        <v>0</v>
      </c>
      <c r="G48" s="227">
        <v>0</v>
      </c>
      <c r="H48" s="227">
        <v>0</v>
      </c>
      <c r="I48" s="227">
        <v>0</v>
      </c>
      <c r="J48" s="227">
        <v>0</v>
      </c>
      <c r="K48" s="214"/>
    </row>
    <row r="49" spans="2:11" ht="12.75" hidden="1" customHeight="1" outlineLevel="1">
      <c r="B49" s="232" t="s">
        <v>60</v>
      </c>
      <c r="C49" s="230">
        <v>55887</v>
      </c>
      <c r="D49" s="230">
        <v>-97864</v>
      </c>
      <c r="E49" s="230">
        <v>-116053</v>
      </c>
      <c r="F49" s="227">
        <f t="shared" si="10"/>
        <v>-134242</v>
      </c>
      <c r="G49" s="227">
        <f t="shared" si="11"/>
        <v>-152431</v>
      </c>
      <c r="H49" s="227">
        <f t="shared" si="12"/>
        <v>-170620</v>
      </c>
      <c r="I49" s="227">
        <f t="shared" si="13"/>
        <v>-188809</v>
      </c>
      <c r="J49" s="227">
        <f t="shared" si="14"/>
        <v>-206998.00000000003</v>
      </c>
      <c r="K49" s="214"/>
    </row>
    <row r="50" spans="2:11" ht="12.75" hidden="1" customHeight="1" outlineLevel="1">
      <c r="B50" s="232" t="s">
        <v>61</v>
      </c>
      <c r="C50" s="230">
        <v>325</v>
      </c>
      <c r="D50" s="230">
        <v>-15</v>
      </c>
      <c r="E50" s="230">
        <v>504</v>
      </c>
      <c r="F50" s="227">
        <f t="shared" si="10"/>
        <v>1023</v>
      </c>
      <c r="G50" s="227">
        <f t="shared" si="11"/>
        <v>1542</v>
      </c>
      <c r="H50" s="227">
        <f t="shared" si="12"/>
        <v>2061</v>
      </c>
      <c r="I50" s="227">
        <f t="shared" si="13"/>
        <v>2580</v>
      </c>
      <c r="J50" s="227">
        <f t="shared" si="14"/>
        <v>3099.0000000000005</v>
      </c>
      <c r="K50" s="214"/>
    </row>
    <row r="51" spans="2:11" ht="12.75" hidden="1" customHeight="1" outlineLevel="1">
      <c r="B51" s="232" t="s">
        <v>62</v>
      </c>
      <c r="C51" s="230">
        <v>-662</v>
      </c>
      <c r="D51" s="230">
        <v>-574</v>
      </c>
      <c r="E51" s="230">
        <v>-2075</v>
      </c>
      <c r="F51" s="227">
        <f t="shared" si="10"/>
        <v>-3576.0000000000005</v>
      </c>
      <c r="G51" s="227">
        <f t="shared" si="11"/>
        <v>-5077.0000000000009</v>
      </c>
      <c r="H51" s="227">
        <f t="shared" si="12"/>
        <v>-6578.0000000000018</v>
      </c>
      <c r="I51" s="227">
        <f t="shared" si="13"/>
        <v>-8079.0000000000027</v>
      </c>
      <c r="J51" s="227">
        <f t="shared" si="14"/>
        <v>-9580.0000000000036</v>
      </c>
      <c r="K51" s="214"/>
    </row>
    <row r="52" spans="2:11" ht="12.75" hidden="1" customHeight="1" outlineLevel="1">
      <c r="B52" s="232" t="s">
        <v>63</v>
      </c>
      <c r="C52" s="230">
        <v>6350</v>
      </c>
      <c r="D52" s="230">
        <v>0</v>
      </c>
      <c r="E52" s="230">
        <v>0</v>
      </c>
      <c r="F52" s="227"/>
      <c r="G52" s="227"/>
      <c r="H52" s="227"/>
      <c r="I52" s="227"/>
      <c r="J52" s="227"/>
      <c r="K52" s="214"/>
    </row>
    <row r="53" spans="2:11" ht="12.75" customHeight="1" collapsed="1">
      <c r="B53" s="250" t="s">
        <v>223</v>
      </c>
      <c r="C53" s="230">
        <f>SUM(C48:C52)</f>
        <v>61900</v>
      </c>
      <c r="D53" s="230">
        <f t="shared" ref="D53:J53" si="16">SUM(D48:D52)</f>
        <v>-297538</v>
      </c>
      <c r="E53" s="230">
        <f t="shared" si="16"/>
        <v>81461</v>
      </c>
      <c r="F53" s="230">
        <f t="shared" si="16"/>
        <v>-136795</v>
      </c>
      <c r="G53" s="230">
        <f t="shared" si="16"/>
        <v>-155966</v>
      </c>
      <c r="H53" s="230">
        <f t="shared" si="16"/>
        <v>-175137</v>
      </c>
      <c r="I53" s="230">
        <f t="shared" si="16"/>
        <v>-194308</v>
      </c>
      <c r="J53" s="230">
        <f t="shared" si="16"/>
        <v>-213479.00000000003</v>
      </c>
      <c r="K53" s="214"/>
    </row>
    <row r="54" spans="2:11" s="221" customFormat="1">
      <c r="B54" s="222" t="s">
        <v>213</v>
      </c>
      <c r="C54" s="235">
        <f>C47+C53</f>
        <v>114128</v>
      </c>
      <c r="D54" s="235">
        <f t="shared" ref="D54:J54" si="17">D47+D53</f>
        <v>-231579</v>
      </c>
      <c r="E54" s="235">
        <f t="shared" si="17"/>
        <v>142471</v>
      </c>
      <c r="F54" s="235">
        <f t="shared" si="17"/>
        <v>-80734</v>
      </c>
      <c r="G54" s="235">
        <f t="shared" si="17"/>
        <v>-104854</v>
      </c>
      <c r="H54" s="235">
        <f t="shared" si="17"/>
        <v>-128973.99999999999</v>
      </c>
      <c r="I54" s="235">
        <f t="shared" si="17"/>
        <v>-153093.99999999997</v>
      </c>
      <c r="J54" s="235">
        <f t="shared" si="17"/>
        <v>-177213.99999999997</v>
      </c>
      <c r="K54" s="214"/>
    </row>
    <row r="55" spans="2:11">
      <c r="B55" s="234"/>
      <c r="C55" s="227"/>
      <c r="D55" s="227"/>
      <c r="E55" s="228"/>
      <c r="F55" s="227"/>
      <c r="G55" s="227"/>
      <c r="H55" s="227"/>
      <c r="I55" s="227"/>
      <c r="J55" s="227"/>
      <c r="K55" s="214"/>
    </row>
    <row r="56" spans="2:11">
      <c r="B56" s="237" t="s">
        <v>214</v>
      </c>
      <c r="C56" s="235">
        <f t="shared" ref="C56:J56" si="18">C36+C54</f>
        <v>673337</v>
      </c>
      <c r="D56" s="235">
        <f t="shared" si="18"/>
        <v>323919</v>
      </c>
      <c r="E56" s="236">
        <f t="shared" si="18"/>
        <v>745701</v>
      </c>
      <c r="F56" s="236">
        <f t="shared" si="18"/>
        <v>570228</v>
      </c>
      <c r="G56" s="236">
        <f t="shared" si="18"/>
        <v>593840</v>
      </c>
      <c r="H56" s="236">
        <f t="shared" si="18"/>
        <v>617452</v>
      </c>
      <c r="I56" s="236">
        <f t="shared" si="18"/>
        <v>641064.00000000023</v>
      </c>
      <c r="J56" s="236">
        <f t="shared" si="18"/>
        <v>664676.00000000047</v>
      </c>
      <c r="K56" s="214"/>
    </row>
    <row r="57" spans="2:11" ht="12.75" customHeight="1">
      <c r="B57" s="226" t="s">
        <v>215</v>
      </c>
      <c r="C57" s="227"/>
      <c r="D57" s="227"/>
      <c r="E57" s="228"/>
      <c r="F57" s="227"/>
      <c r="G57" s="227"/>
      <c r="H57" s="227"/>
      <c r="I57" s="227"/>
      <c r="J57" s="227"/>
      <c r="K57" s="214"/>
    </row>
    <row r="58" spans="2:11" hidden="1" outlineLevel="1">
      <c r="B58" s="238" t="s">
        <v>64</v>
      </c>
      <c r="C58" s="230">
        <v>-507090</v>
      </c>
      <c r="D58" s="230">
        <v>-597780</v>
      </c>
      <c r="E58" s="230">
        <v>-472601</v>
      </c>
      <c r="F58" s="227">
        <f t="shared" ref="F58:F62" si="19">E58*(1+((E58-D58)/E58))</f>
        <v>-347422</v>
      </c>
      <c r="G58" s="227">
        <f t="shared" ref="G58:G62" si="20">F58*(1+((F58-E58)/F58))</f>
        <v>-222243</v>
      </c>
      <c r="H58" s="227">
        <f t="shared" ref="H58:H62" si="21">G58*(1+((G58-F58)/G58))</f>
        <v>-97064</v>
      </c>
      <c r="I58" s="227">
        <f t="shared" ref="I58:I62" si="22">H58*(1+((H58-G58)/H58))</f>
        <v>28114.999999999996</v>
      </c>
      <c r="J58" s="227">
        <f t="shared" ref="J58:J62" si="23">I58*(1+((I58-H58)/I58))</f>
        <v>153294</v>
      </c>
      <c r="K58" s="214"/>
    </row>
    <row r="59" spans="2:11" hidden="1" outlineLevel="1">
      <c r="B59" s="238" t="s">
        <v>65</v>
      </c>
      <c r="C59" s="230">
        <v>3471</v>
      </c>
      <c r="D59" s="230">
        <v>4881</v>
      </c>
      <c r="E59" s="230">
        <v>4350</v>
      </c>
      <c r="F59" s="227">
        <f t="shared" si="19"/>
        <v>3819</v>
      </c>
      <c r="G59" s="227">
        <f t="shared" si="20"/>
        <v>3288</v>
      </c>
      <c r="H59" s="227">
        <f t="shared" si="21"/>
        <v>2757</v>
      </c>
      <c r="I59" s="227">
        <f t="shared" si="22"/>
        <v>2226</v>
      </c>
      <c r="J59" s="227">
        <f t="shared" si="23"/>
        <v>1695</v>
      </c>
      <c r="K59" s="214"/>
    </row>
    <row r="60" spans="2:11" hidden="1" outlineLevel="1">
      <c r="B60" s="238" t="s">
        <v>66</v>
      </c>
      <c r="C60" s="230">
        <v>0</v>
      </c>
      <c r="D60" s="230">
        <v>0</v>
      </c>
      <c r="E60" s="230">
        <v>-150000</v>
      </c>
      <c r="F60" s="227">
        <f t="shared" si="19"/>
        <v>-300000</v>
      </c>
      <c r="G60" s="227">
        <f t="shared" si="20"/>
        <v>-450000</v>
      </c>
      <c r="H60" s="227">
        <f t="shared" si="21"/>
        <v>-600000</v>
      </c>
      <c r="I60" s="227">
        <f t="shared" si="22"/>
        <v>-750000</v>
      </c>
      <c r="J60" s="227">
        <f t="shared" si="23"/>
        <v>-900000</v>
      </c>
      <c r="K60" s="214"/>
    </row>
    <row r="61" spans="2:11" hidden="1" outlineLevel="1">
      <c r="B61" s="238" t="s">
        <v>67</v>
      </c>
      <c r="C61" s="230">
        <v>55290</v>
      </c>
      <c r="D61" s="230">
        <v>56097</v>
      </c>
      <c r="E61" s="230">
        <v>58501</v>
      </c>
      <c r="F61" s="227">
        <f t="shared" si="19"/>
        <v>60905</v>
      </c>
      <c r="G61" s="227">
        <f t="shared" si="20"/>
        <v>63308.999999999993</v>
      </c>
      <c r="H61" s="227">
        <f t="shared" si="21"/>
        <v>65712.999999999985</v>
      </c>
      <c r="I61" s="227">
        <f t="shared" si="22"/>
        <v>68116.999999999985</v>
      </c>
      <c r="J61" s="227">
        <f t="shared" si="23"/>
        <v>70520.999999999985</v>
      </c>
      <c r="K61" s="214"/>
    </row>
    <row r="62" spans="2:11" hidden="1" outlineLevel="1">
      <c r="B62" s="238" t="s">
        <v>68</v>
      </c>
      <c r="C62" s="230">
        <v>-36</v>
      </c>
      <c r="D62" s="230">
        <v>-29</v>
      </c>
      <c r="E62" s="230">
        <v>9</v>
      </c>
      <c r="F62" s="227">
        <f t="shared" si="19"/>
        <v>47</v>
      </c>
      <c r="G62" s="227">
        <f t="shared" si="20"/>
        <v>85</v>
      </c>
      <c r="H62" s="227">
        <f t="shared" si="21"/>
        <v>123</v>
      </c>
      <c r="I62" s="227">
        <f t="shared" si="22"/>
        <v>161.00000000000003</v>
      </c>
      <c r="J62" s="227">
        <f t="shared" si="23"/>
        <v>199.00000000000009</v>
      </c>
      <c r="K62" s="214"/>
    </row>
    <row r="63" spans="2:11" hidden="1" outlineLevel="1">
      <c r="B63" s="238" t="s">
        <v>28</v>
      </c>
      <c r="C63" s="230">
        <v>36</v>
      </c>
      <c r="D63" s="230">
        <v>29</v>
      </c>
      <c r="E63" s="230">
        <v>-9</v>
      </c>
      <c r="F63" s="227">
        <f t="shared" ref="F63" si="24">E63*(1+((E63-D63)/E63))</f>
        <v>-47</v>
      </c>
      <c r="G63" s="227">
        <f t="shared" ref="G63" si="25">F63*(1+((F63-E63)/F63))</f>
        <v>-85</v>
      </c>
      <c r="H63" s="227">
        <f t="shared" ref="H63" si="26">G63*(1+((G63-F63)/G63))</f>
        <v>-123</v>
      </c>
      <c r="I63" s="227">
        <f t="shared" ref="I63" si="27">H63*(1+((H63-G63)/H63))</f>
        <v>-161.00000000000003</v>
      </c>
      <c r="J63" s="227">
        <f t="shared" ref="J63" si="28">I63*(1+((I63-H63)/I63))</f>
        <v>-199.00000000000009</v>
      </c>
      <c r="K63" s="214"/>
    </row>
    <row r="64" spans="2:11" s="221" customFormat="1" collapsed="1">
      <c r="B64" s="237" t="s">
        <v>216</v>
      </c>
      <c r="C64" s="235">
        <f>SUM(C58:C63)</f>
        <v>-448329</v>
      </c>
      <c r="D64" s="235">
        <f t="shared" ref="D64:J64" si="29">SUM(D58:D63)</f>
        <v>-536802</v>
      </c>
      <c r="E64" s="235">
        <f t="shared" si="29"/>
        <v>-559750</v>
      </c>
      <c r="F64" s="235">
        <f t="shared" si="29"/>
        <v>-582698</v>
      </c>
      <c r="G64" s="235">
        <f t="shared" si="29"/>
        <v>-605646</v>
      </c>
      <c r="H64" s="235">
        <f t="shared" si="29"/>
        <v>-628594</v>
      </c>
      <c r="I64" s="235">
        <f t="shared" si="29"/>
        <v>-651542</v>
      </c>
      <c r="J64" s="235">
        <f t="shared" si="29"/>
        <v>-674490</v>
      </c>
      <c r="K64" s="214"/>
    </row>
    <row r="65" spans="2:11">
      <c r="B65" s="234"/>
      <c r="C65" s="227"/>
      <c r="D65" s="227"/>
      <c r="E65" s="228"/>
      <c r="F65" s="227"/>
      <c r="G65" s="227"/>
      <c r="H65" s="227"/>
      <c r="I65" s="227"/>
      <c r="J65" s="227"/>
      <c r="K65" s="214"/>
    </row>
    <row r="66" spans="2:11" s="221" customFormat="1">
      <c r="B66" s="241" t="s">
        <v>217</v>
      </c>
      <c r="C66" s="239">
        <f t="shared" ref="C66:J66" si="30">C64+C54+C36</f>
        <v>225008</v>
      </c>
      <c r="D66" s="239">
        <f t="shared" si="30"/>
        <v>-212883</v>
      </c>
      <c r="E66" s="240">
        <f t="shared" si="30"/>
        <v>185951</v>
      </c>
      <c r="F66" s="240">
        <f t="shared" si="30"/>
        <v>-12470</v>
      </c>
      <c r="G66" s="240">
        <f t="shared" si="30"/>
        <v>-11806</v>
      </c>
      <c r="H66" s="240">
        <f t="shared" si="30"/>
        <v>-11142</v>
      </c>
      <c r="I66" s="240">
        <f t="shared" si="30"/>
        <v>-10477.999999999767</v>
      </c>
      <c r="J66" s="240">
        <f t="shared" si="30"/>
        <v>-9813.9999999995343</v>
      </c>
      <c r="K66" s="214"/>
    </row>
    <row r="67" spans="2:11" s="221" customFormat="1">
      <c r="B67" s="241" t="s">
        <v>218</v>
      </c>
      <c r="C67" s="242">
        <v>244726</v>
      </c>
      <c r="D67" s="239">
        <f t="shared" ref="D67:E67" si="31">C68</f>
        <v>19718</v>
      </c>
      <c r="E67" s="240">
        <f t="shared" si="31"/>
        <v>232601</v>
      </c>
      <c r="F67" s="240">
        <f t="shared" ref="F67" si="32">E68</f>
        <v>46650</v>
      </c>
      <c r="G67" s="240">
        <f t="shared" ref="G67" si="33">F68</f>
        <v>59120</v>
      </c>
      <c r="H67" s="240">
        <f t="shared" ref="H67" si="34">G68</f>
        <v>70926</v>
      </c>
      <c r="I67" s="240">
        <f t="shared" ref="I67" si="35">H68</f>
        <v>82068</v>
      </c>
      <c r="J67" s="240">
        <f t="shared" ref="J67" si="36">I68</f>
        <v>92545.999999999767</v>
      </c>
      <c r="K67" s="214"/>
    </row>
    <row r="68" spans="2:11" s="221" customFormat="1">
      <c r="B68" s="243" t="s">
        <v>219</v>
      </c>
      <c r="C68" s="235">
        <f>C67-C66</f>
        <v>19718</v>
      </c>
      <c r="D68" s="235">
        <f t="shared" ref="D68:J68" si="37">D67-D66</f>
        <v>232601</v>
      </c>
      <c r="E68" s="235">
        <f t="shared" si="37"/>
        <v>46650</v>
      </c>
      <c r="F68" s="235">
        <f t="shared" si="37"/>
        <v>59120</v>
      </c>
      <c r="G68" s="235">
        <f t="shared" si="37"/>
        <v>70926</v>
      </c>
      <c r="H68" s="235">
        <f t="shared" si="37"/>
        <v>82068</v>
      </c>
      <c r="I68" s="235">
        <f t="shared" si="37"/>
        <v>92545.999999999767</v>
      </c>
      <c r="J68" s="235">
        <f t="shared" si="37"/>
        <v>102359.9999999993</v>
      </c>
      <c r="K68" s="214"/>
    </row>
    <row r="69" spans="2:11" s="246" customFormat="1">
      <c r="B69" s="244" t="s">
        <v>220</v>
      </c>
      <c r="C69" s="245">
        <f>'Balance Sheet'!C11</f>
        <v>19718</v>
      </c>
      <c r="D69" s="245">
        <f>'[3]Balance Sheet'!D11-D68</f>
        <v>2023325</v>
      </c>
      <c r="E69" s="245">
        <f>'[3]Balance Sheet'!E11-E68</f>
        <v>3214422</v>
      </c>
      <c r="F69" s="245"/>
      <c r="G69" s="245"/>
      <c r="H69" s="245"/>
      <c r="I69" s="245"/>
      <c r="J69" s="245"/>
      <c r="K69" s="214"/>
    </row>
    <row r="70" spans="2:11">
      <c r="F70" s="247"/>
      <c r="G70" s="247"/>
      <c r="H70" s="247"/>
      <c r="I70" s="247"/>
      <c r="J70" s="247"/>
    </row>
    <row r="71" spans="2:11">
      <c r="B71" s="24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2:P70"/>
  <sheetViews>
    <sheetView workbookViewId="0"/>
  </sheetViews>
  <sheetFormatPr defaultRowHeight="15"/>
  <cols>
    <col min="1" max="1" width="30.42578125" bestFit="1" customWidth="1"/>
    <col min="4" max="4" width="30.42578125" bestFit="1" customWidth="1"/>
    <col min="14" max="14" width="11.140625" bestFit="1" customWidth="1"/>
  </cols>
  <sheetData>
    <row r="2" spans="1:16">
      <c r="A2" s="101" t="s">
        <v>132</v>
      </c>
      <c r="B2" s="102">
        <v>41274</v>
      </c>
    </row>
    <row r="3" spans="1:16">
      <c r="A3" s="101" t="s">
        <v>133</v>
      </c>
      <c r="B3" s="103">
        <v>41428</v>
      </c>
    </row>
    <row r="4" spans="1:16" ht="15.75" thickBot="1"/>
    <row r="5" spans="1:16" ht="15.75" thickBot="1">
      <c r="B5" s="104">
        <v>5</v>
      </c>
      <c r="C5" s="332" t="s">
        <v>134</v>
      </c>
      <c r="D5" s="332"/>
      <c r="E5" s="332"/>
      <c r="F5" s="333"/>
      <c r="G5" s="105"/>
      <c r="H5" s="105"/>
      <c r="I5" s="105"/>
    </row>
    <row r="6" spans="1:16">
      <c r="B6" s="106">
        <v>1</v>
      </c>
      <c r="C6" s="106">
        <v>2</v>
      </c>
      <c r="D6" s="106">
        <v>3</v>
      </c>
      <c r="E6" s="106">
        <v>4</v>
      </c>
      <c r="F6" s="106">
        <v>5</v>
      </c>
    </row>
    <row r="7" spans="1:16">
      <c r="A7" s="107" t="s">
        <v>135</v>
      </c>
      <c r="B7" s="108" t="s">
        <v>136</v>
      </c>
      <c r="C7" s="108" t="s">
        <v>137</v>
      </c>
      <c r="D7" s="108" t="s">
        <v>138</v>
      </c>
      <c r="E7" s="108" t="s">
        <v>139</v>
      </c>
      <c r="F7" s="108" t="s">
        <v>140</v>
      </c>
    </row>
    <row r="8" spans="1:16">
      <c r="A8" s="1" t="s">
        <v>134</v>
      </c>
      <c r="B8" s="109">
        <v>0.57499999999999996</v>
      </c>
      <c r="C8" s="109">
        <v>1.575</v>
      </c>
      <c r="D8" s="109">
        <v>2.5750000000000002</v>
      </c>
      <c r="E8" s="109">
        <v>3.5750000000000002</v>
      </c>
      <c r="F8" s="109">
        <v>4.5750000000000002</v>
      </c>
    </row>
    <row r="9" spans="1:16">
      <c r="A9" s="1" t="s">
        <v>141</v>
      </c>
      <c r="B9" s="110"/>
      <c r="C9" s="110"/>
      <c r="D9" s="110"/>
      <c r="E9" s="110"/>
      <c r="F9" s="110"/>
    </row>
    <row r="10" spans="1:16">
      <c r="A10" s="111" t="s">
        <v>142</v>
      </c>
      <c r="B10" s="112">
        <v>613087.24100000004</v>
      </c>
      <c r="C10" s="112">
        <f>'Income Statement'!G26</f>
        <v>620756.79243867204</v>
      </c>
      <c r="D10" s="112">
        <f>'Income Statement'!H26</f>
        <v>633859.19680305105</v>
      </c>
      <c r="E10" s="112">
        <f>'Income Statement'!I26</f>
        <v>646645.59354016767</v>
      </c>
      <c r="F10" s="112">
        <f>'Income Statement'!J26</f>
        <v>656182.37700580223</v>
      </c>
    </row>
    <row r="11" spans="1:16">
      <c r="A11" s="111" t="s">
        <v>143</v>
      </c>
      <c r="B11" s="113">
        <v>2.5000000000000001E-2</v>
      </c>
      <c r="C11" s="113">
        <v>2.5000000000000001E-2</v>
      </c>
      <c r="D11" s="113">
        <v>2.5000000000000001E-2</v>
      </c>
      <c r="E11" s="113">
        <v>2.5000000000000001E-2</v>
      </c>
      <c r="F11" s="113">
        <v>2.5000000000000001E-2</v>
      </c>
    </row>
    <row r="12" spans="1:16">
      <c r="A12" s="114" t="s">
        <v>144</v>
      </c>
      <c r="B12" s="115">
        <v>597760.05997499998</v>
      </c>
      <c r="C12" s="115">
        <f>'Income Statement'!G29</f>
        <v>582978.15851508512</v>
      </c>
      <c r="D12" s="115">
        <f>'Income Statement'!H29</f>
        <v>594500.09595386405</v>
      </c>
      <c r="E12" s="115">
        <f>'Income Statement'!I29</f>
        <v>605341.17424037226</v>
      </c>
      <c r="F12" s="115">
        <f>'Income Statement'!J29</f>
        <v>612801.23710491543</v>
      </c>
    </row>
    <row r="13" spans="1:16">
      <c r="A13" s="111" t="s">
        <v>145</v>
      </c>
      <c r="B13" s="116">
        <v>66639.927724000008</v>
      </c>
      <c r="C13" s="116">
        <f>'Income Statement'!G16</f>
        <v>-6156</v>
      </c>
      <c r="D13" s="116">
        <f>'Income Statement'!H16</f>
        <v>-6156</v>
      </c>
      <c r="E13" s="116">
        <f>'Income Statement'!I16</f>
        <v>-6156</v>
      </c>
      <c r="F13" s="116">
        <f>'Income Statement'!J16</f>
        <v>-6156</v>
      </c>
      <c r="I13" s="106"/>
      <c r="J13" s="106"/>
      <c r="K13" s="117" t="s">
        <v>146</v>
      </c>
      <c r="L13" s="106"/>
      <c r="M13" s="106"/>
      <c r="N13" s="106"/>
      <c r="O13" s="106"/>
      <c r="P13" s="106"/>
    </row>
    <row r="14" spans="1:16">
      <c r="A14" s="111" t="s">
        <v>147</v>
      </c>
      <c r="B14" s="116">
        <v>-42280.039999999979</v>
      </c>
      <c r="C14" s="116">
        <f>'Balance Sheet'!G63-'Balance Sheet'!F63</f>
        <v>69418.818833798636</v>
      </c>
      <c r="D14" s="116">
        <f>'Balance Sheet'!H63-'Balance Sheet'!G63</f>
        <v>78406.937202873989</v>
      </c>
      <c r="E14" s="116">
        <f>'Balance Sheet'!I63-'Balance Sheet'!H63</f>
        <v>88262.204444316565</v>
      </c>
      <c r="F14" s="116">
        <f>'Balance Sheet'!J63-'Balance Sheet'!I63</f>
        <v>99107.086572150816</v>
      </c>
      <c r="I14" s="106"/>
      <c r="J14" s="106"/>
      <c r="K14" s="106"/>
      <c r="L14" s="106"/>
      <c r="M14" s="106"/>
      <c r="N14" s="106"/>
      <c r="O14" s="106"/>
      <c r="P14" s="106"/>
    </row>
    <row r="15" spans="1:16">
      <c r="A15" s="111" t="s">
        <v>148</v>
      </c>
      <c r="B15" s="116">
        <v>-32055.571000000004</v>
      </c>
      <c r="C15" s="116">
        <f>'Balance Sheet'!G39-'Balance Sheet'!F39</f>
        <v>19250.533790273592</v>
      </c>
      <c r="D15" s="116">
        <f>'Balance Sheet'!H39-'Balance Sheet'!G39</f>
        <v>19407.496391655877</v>
      </c>
      <c r="E15" s="116">
        <f>'Balance Sheet'!I39-'Balance Sheet'!H39</f>
        <v>19565.738815120421</v>
      </c>
      <c r="F15" s="116">
        <f>'Balance Sheet'!J39-'Balance Sheet'!I39</f>
        <v>19725.27149592014</v>
      </c>
      <c r="I15" s="118"/>
      <c r="J15" s="119"/>
      <c r="K15" s="334" t="s">
        <v>149</v>
      </c>
      <c r="L15" s="335"/>
      <c r="M15" s="335"/>
      <c r="N15" s="335"/>
      <c r="O15" s="335"/>
      <c r="P15" s="336"/>
    </row>
    <row r="16" spans="1:16">
      <c r="A16" s="114" t="s">
        <v>150</v>
      </c>
      <c r="B16" s="120">
        <v>590064.3766989999</v>
      </c>
      <c r="C16" s="120">
        <f>C12+C13-C14-C15</f>
        <v>488152.80589101289</v>
      </c>
      <c r="D16" s="120">
        <f t="shared" ref="D16:F16" si="0">D12+D13-D14-D15</f>
        <v>490529.66235933418</v>
      </c>
      <c r="E16" s="120">
        <f t="shared" si="0"/>
        <v>491357.23098093527</v>
      </c>
      <c r="F16" s="120">
        <f t="shared" si="0"/>
        <v>487812.87903684448</v>
      </c>
      <c r="I16" s="121"/>
      <c r="J16" s="122">
        <v>90.043557672003601</v>
      </c>
      <c r="K16" s="123">
        <v>-4.9999999999999992E-3</v>
      </c>
      <c r="L16" s="124">
        <v>5.000000000000001E-3</v>
      </c>
      <c r="M16" s="124">
        <v>1.5000000000000001E-2</v>
      </c>
      <c r="N16" s="125">
        <v>2.5000000000000001E-2</v>
      </c>
      <c r="O16" s="124">
        <v>3.5000000000000003E-2</v>
      </c>
      <c r="P16" s="126">
        <v>4.5000000000000005E-2</v>
      </c>
    </row>
    <row r="17" spans="1:16">
      <c r="A17" s="127" t="s">
        <v>151</v>
      </c>
      <c r="B17" s="128">
        <f>(1/1.093)^B6</f>
        <v>0.91491308325709064</v>
      </c>
      <c r="C17" s="128">
        <f t="shared" ref="C17:F17" si="1">(1/1.093)^C6</f>
        <v>0.83706594991499605</v>
      </c>
      <c r="D17" s="128">
        <f t="shared" si="1"/>
        <v>0.76584258912625447</v>
      </c>
      <c r="E17" s="128">
        <f t="shared" si="1"/>
        <v>0.70067940450709465</v>
      </c>
      <c r="F17" s="128">
        <f t="shared" si="1"/>
        <v>0.64106075435232823</v>
      </c>
      <c r="H17" s="129"/>
      <c r="I17" s="337" t="s">
        <v>152</v>
      </c>
      <c r="J17" s="130">
        <v>7.2916000000000009E-2</v>
      </c>
      <c r="K17" s="131"/>
      <c r="L17" s="132"/>
      <c r="M17" s="132"/>
      <c r="N17" s="132"/>
      <c r="O17" s="132"/>
      <c r="P17" s="133"/>
    </row>
    <row r="18" spans="1:16">
      <c r="A18" s="111" t="s">
        <v>153</v>
      </c>
      <c r="B18" s="116">
        <v>560676.03764076333</v>
      </c>
      <c r="C18" s="116">
        <f>C16*C17</f>
        <v>408616.09216683137</v>
      </c>
      <c r="D18" s="116">
        <f t="shared" ref="D18:F18" si="2">D16*D17</f>
        <v>375668.50666449987</v>
      </c>
      <c r="E18" s="116">
        <f t="shared" si="2"/>
        <v>344283.89200397668</v>
      </c>
      <c r="F18" s="116">
        <f t="shared" si="2"/>
        <v>312717.69221814058</v>
      </c>
      <c r="I18" s="338"/>
      <c r="J18" s="134">
        <v>8.2916000000000004E-2</v>
      </c>
      <c r="K18" s="135"/>
      <c r="L18" s="136"/>
      <c r="M18" s="136"/>
      <c r="N18" s="136"/>
      <c r="O18" s="136"/>
      <c r="P18" s="137"/>
    </row>
    <row r="19" spans="1:16">
      <c r="A19" s="138" t="s">
        <v>154</v>
      </c>
      <c r="B19" s="139">
        <f>SUM(B18:F18)</f>
        <v>2001962.2206942118</v>
      </c>
      <c r="C19" s="140"/>
      <c r="D19" s="140"/>
      <c r="E19" s="140"/>
      <c r="F19" s="140"/>
      <c r="I19" s="338"/>
      <c r="J19" s="141">
        <v>9.2915999999999999E-2</v>
      </c>
      <c r="K19" s="135"/>
      <c r="L19" s="136"/>
      <c r="M19" s="136"/>
      <c r="N19" s="330">
        <f>B28</f>
        <v>2322497.8552178056</v>
      </c>
      <c r="O19" s="136"/>
      <c r="P19" s="137"/>
    </row>
    <row r="20" spans="1:16">
      <c r="I20" s="338"/>
      <c r="J20" s="134">
        <v>0.10291599999999999</v>
      </c>
      <c r="K20" s="135"/>
      <c r="L20" s="136"/>
      <c r="M20" s="136"/>
      <c r="N20" s="136"/>
      <c r="O20" s="136"/>
      <c r="P20" s="137"/>
    </row>
    <row r="21" spans="1:16">
      <c r="A21" s="107" t="s">
        <v>155</v>
      </c>
      <c r="B21" s="108"/>
      <c r="D21" s="107" t="s">
        <v>156</v>
      </c>
      <c r="E21" s="143"/>
      <c r="I21" s="339"/>
      <c r="J21" s="144">
        <v>0.11291599999999999</v>
      </c>
      <c r="K21" s="145"/>
      <c r="L21" s="146"/>
      <c r="M21" s="146"/>
      <c r="N21" s="146"/>
      <c r="O21" s="146"/>
      <c r="P21" s="147"/>
    </row>
    <row r="22" spans="1:16">
      <c r="A22" s="111" t="s">
        <v>157</v>
      </c>
      <c r="B22" s="148">
        <v>2.5000000000000001E-2</v>
      </c>
      <c r="D22" s="149" t="s">
        <v>158</v>
      </c>
      <c r="E22" s="150">
        <v>12.171045757911509</v>
      </c>
      <c r="I22" s="151"/>
      <c r="J22" s="106"/>
      <c r="K22" s="106"/>
      <c r="L22" s="106"/>
      <c r="M22" s="106"/>
      <c r="N22" s="106"/>
      <c r="O22" s="106"/>
      <c r="P22" s="106"/>
    </row>
    <row r="23" spans="1:16">
      <c r="A23" s="111" t="s">
        <v>159</v>
      </c>
      <c r="B23" s="152">
        <v>584970.09017746698</v>
      </c>
      <c r="D23" s="111" t="s">
        <v>160</v>
      </c>
      <c r="E23" s="152">
        <f>B24</f>
        <v>500008.20101276552</v>
      </c>
      <c r="I23" s="106"/>
      <c r="J23" s="106"/>
      <c r="K23" s="106"/>
      <c r="L23" s="106"/>
      <c r="M23" s="106"/>
      <c r="N23" s="106"/>
      <c r="O23" s="106"/>
      <c r="P23" s="106"/>
    </row>
    <row r="24" spans="1:16">
      <c r="A24" s="111" t="s">
        <v>161</v>
      </c>
      <c r="B24" s="152">
        <f>F16*(1+B22)</f>
        <v>500008.20101276552</v>
      </c>
      <c r="D24" s="111"/>
      <c r="E24" s="152"/>
      <c r="I24" s="106"/>
      <c r="J24" s="106"/>
      <c r="K24" s="106"/>
      <c r="L24" s="106"/>
      <c r="M24" s="106"/>
      <c r="N24" s="106"/>
      <c r="O24" s="106"/>
      <c r="P24" s="106"/>
    </row>
    <row r="25" spans="1:16">
      <c r="A25" s="138" t="s">
        <v>162</v>
      </c>
      <c r="B25" s="153">
        <f>B24/(1.093^5)</f>
        <v>320535.634523594</v>
      </c>
      <c r="D25" s="138" t="s">
        <v>162</v>
      </c>
      <c r="E25" s="153">
        <f>E23/(1.093^5)</f>
        <v>320535.634523594</v>
      </c>
      <c r="I25" s="106"/>
      <c r="J25" s="106"/>
      <c r="K25" s="117" t="s">
        <v>146</v>
      </c>
      <c r="L25" s="106"/>
      <c r="M25" s="106"/>
      <c r="N25" s="106"/>
      <c r="O25" s="106"/>
      <c r="P25" s="106"/>
    </row>
    <row r="26" spans="1:16">
      <c r="A26" s="105"/>
      <c r="B26" s="154"/>
      <c r="E26" s="155"/>
      <c r="I26" s="106"/>
      <c r="J26" s="106"/>
      <c r="K26" s="106"/>
      <c r="L26" s="106"/>
      <c r="M26" s="106"/>
      <c r="N26" s="106"/>
      <c r="O26" s="106"/>
      <c r="P26" s="106"/>
    </row>
    <row r="27" spans="1:16">
      <c r="A27" s="107" t="s">
        <v>163</v>
      </c>
      <c r="B27" s="108"/>
      <c r="D27" s="107" t="s">
        <v>163</v>
      </c>
      <c r="E27" s="108"/>
      <c r="I27" s="118"/>
      <c r="J27" s="119"/>
      <c r="K27" s="334" t="s">
        <v>164</v>
      </c>
      <c r="L27" s="335"/>
      <c r="M27" s="335"/>
      <c r="N27" s="335"/>
      <c r="O27" s="335"/>
      <c r="P27" s="336"/>
    </row>
    <row r="28" spans="1:16">
      <c r="A28" s="156" t="s">
        <v>165</v>
      </c>
      <c r="B28" s="157">
        <f>B25+B19</f>
        <v>2322497.8552178056</v>
      </c>
      <c r="D28" s="156" t="s">
        <v>165</v>
      </c>
      <c r="E28" s="157">
        <f>E25+B19</f>
        <v>2322497.8552178056</v>
      </c>
      <c r="I28" s="121"/>
      <c r="J28" s="122">
        <v>88.507500773654016</v>
      </c>
      <c r="K28" s="158">
        <v>7.1101381715359881</v>
      </c>
      <c r="L28" s="159">
        <v>8.1101381715359881</v>
      </c>
      <c r="M28" s="159">
        <v>9.1101381715359881</v>
      </c>
      <c r="N28" s="160">
        <v>10.110138171535988</v>
      </c>
      <c r="O28" s="159">
        <v>11.110138171535988</v>
      </c>
      <c r="P28" s="161">
        <v>12.110138171535988</v>
      </c>
    </row>
    <row r="29" spans="1:16">
      <c r="A29" s="162" t="s">
        <v>69</v>
      </c>
      <c r="B29" s="163"/>
      <c r="D29" s="111" t="s">
        <v>166</v>
      </c>
      <c r="E29" s="152">
        <v>0</v>
      </c>
      <c r="I29" s="337" t="s">
        <v>152</v>
      </c>
      <c r="J29" s="130">
        <v>7.2916000000000009E-2</v>
      </c>
      <c r="K29" s="131"/>
      <c r="L29" s="132"/>
      <c r="M29" s="132"/>
      <c r="N29" s="132"/>
      <c r="O29" s="132"/>
      <c r="P29" s="133"/>
    </row>
    <row r="30" spans="1:16">
      <c r="A30" s="111" t="s">
        <v>166</v>
      </c>
      <c r="B30" s="152">
        <v>0</v>
      </c>
      <c r="D30" s="111" t="s">
        <v>167</v>
      </c>
      <c r="E30" s="152">
        <f>B32</f>
        <v>26129</v>
      </c>
      <c r="I30" s="338"/>
      <c r="J30" s="134">
        <v>8.2916000000000004E-2</v>
      </c>
      <c r="K30" s="135"/>
      <c r="L30" s="136"/>
      <c r="M30" s="136"/>
      <c r="N30" s="136"/>
      <c r="O30" s="136"/>
      <c r="P30" s="137"/>
    </row>
    <row r="31" spans="1:16">
      <c r="A31" s="162" t="s">
        <v>168</v>
      </c>
      <c r="B31" s="163"/>
      <c r="D31" s="111" t="s">
        <v>169</v>
      </c>
      <c r="E31" s="152">
        <f>B33</f>
        <v>-1315</v>
      </c>
      <c r="I31" s="338"/>
      <c r="J31" s="141">
        <v>9.2915999999999999E-2</v>
      </c>
      <c r="K31" s="135"/>
      <c r="L31" s="136"/>
      <c r="M31" s="136"/>
      <c r="N31" s="142"/>
      <c r="O31" s="136"/>
      <c r="P31" s="137"/>
    </row>
    <row r="32" spans="1:16">
      <c r="A32" s="111" t="s">
        <v>73</v>
      </c>
      <c r="B32" s="152">
        <f>'Balance Sheet'!E53</f>
        <v>26129</v>
      </c>
      <c r="D32" s="164" t="s">
        <v>170</v>
      </c>
      <c r="E32" s="165">
        <f>E28-E30-E31</f>
        <v>2297683.8552178056</v>
      </c>
      <c r="I32" s="338"/>
      <c r="J32" s="134">
        <v>0.10291599999999999</v>
      </c>
      <c r="K32" s="135"/>
      <c r="L32" s="136"/>
      <c r="M32" s="136"/>
      <c r="N32" s="136"/>
      <c r="O32" s="136"/>
      <c r="P32" s="137"/>
    </row>
    <row r="33" spans="1:16">
      <c r="A33" s="111" t="s">
        <v>171</v>
      </c>
      <c r="B33" s="152">
        <f>'Balance Sheet'!F58</f>
        <v>-1315</v>
      </c>
      <c r="D33" s="111"/>
      <c r="E33" s="152"/>
      <c r="I33" s="339"/>
      <c r="J33" s="144">
        <v>0.11291599999999999</v>
      </c>
      <c r="K33" s="145"/>
      <c r="L33" s="146"/>
      <c r="M33" s="146"/>
      <c r="N33" s="146"/>
      <c r="O33" s="146"/>
      <c r="P33" s="147"/>
    </row>
    <row r="34" spans="1:16">
      <c r="A34" s="164" t="s">
        <v>170</v>
      </c>
      <c r="B34" s="165">
        <f>SUM(B28:B33)</f>
        <v>2347311.8552178056</v>
      </c>
      <c r="D34" s="111" t="s">
        <v>172</v>
      </c>
      <c r="E34" s="152">
        <v>90000</v>
      </c>
    </row>
    <row r="35" spans="1:16">
      <c r="A35" s="111"/>
      <c r="B35" s="152"/>
      <c r="D35" s="166" t="s">
        <v>173</v>
      </c>
      <c r="E35" s="167">
        <f>E32/E34</f>
        <v>25.529820613531172</v>
      </c>
    </row>
    <row r="36" spans="1:16">
      <c r="A36" s="111" t="s">
        <v>172</v>
      </c>
      <c r="B36" s="152">
        <v>90000</v>
      </c>
    </row>
    <row r="37" spans="1:16">
      <c r="A37" s="166" t="s">
        <v>173</v>
      </c>
      <c r="B37" s="167">
        <f>B34/B36</f>
        <v>26.081242835753397</v>
      </c>
    </row>
    <row r="38" spans="1:16">
      <c r="A38" s="105"/>
      <c r="B38" s="105"/>
    </row>
    <row r="39" spans="1:16">
      <c r="A39" s="105"/>
      <c r="B39" s="105"/>
    </row>
    <row r="40" spans="1:16">
      <c r="A40" s="168" t="s">
        <v>174</v>
      </c>
      <c r="B40" s="169"/>
    </row>
    <row r="41" spans="1:16">
      <c r="A41" s="170" t="s">
        <v>175</v>
      </c>
      <c r="B41" s="171">
        <v>4.2999999999999997E-2</v>
      </c>
      <c r="G41" s="168" t="s">
        <v>176</v>
      </c>
      <c r="H41" s="172" t="s">
        <v>177</v>
      </c>
      <c r="I41" s="173" t="s">
        <v>178</v>
      </c>
      <c r="J41" s="174" t="s">
        <v>179</v>
      </c>
    </row>
    <row r="42" spans="1:16">
      <c r="A42" s="170" t="s">
        <v>180</v>
      </c>
      <c r="B42" s="175">
        <v>1.0500000000000001E-2</v>
      </c>
      <c r="G42" s="176" t="s">
        <v>181</v>
      </c>
      <c r="H42" s="177">
        <v>90.043557672003601</v>
      </c>
      <c r="I42" s="178">
        <v>0.7</v>
      </c>
      <c r="J42" s="179">
        <v>63.030490370402518</v>
      </c>
    </row>
    <row r="43" spans="1:16">
      <c r="A43" s="170" t="s">
        <v>182</v>
      </c>
      <c r="B43" s="175">
        <v>5.2000000000000005E-2</v>
      </c>
      <c r="G43" s="176" t="s">
        <v>183</v>
      </c>
      <c r="H43" s="177">
        <v>88.507500773654016</v>
      </c>
      <c r="I43" s="180"/>
      <c r="J43" s="179"/>
    </row>
    <row r="44" spans="1:16">
      <c r="A44" s="170" t="s">
        <v>184</v>
      </c>
      <c r="B44" s="181">
        <v>0.75800000000000001</v>
      </c>
      <c r="G44" s="176" t="s">
        <v>185</v>
      </c>
      <c r="H44" s="177">
        <v>96.693933037104344</v>
      </c>
      <c r="I44" s="180"/>
      <c r="J44" s="179"/>
    </row>
    <row r="45" spans="1:16">
      <c r="A45" s="170" t="s">
        <v>186</v>
      </c>
      <c r="B45" s="175">
        <v>9.2915999999999999E-2</v>
      </c>
      <c r="G45" s="176" t="s">
        <v>187</v>
      </c>
      <c r="H45" s="182">
        <v>90</v>
      </c>
      <c r="I45" s="178">
        <v>0.30000000000000004</v>
      </c>
      <c r="J45" s="179">
        <v>27.000000000000004</v>
      </c>
    </row>
    <row r="46" spans="1:16">
      <c r="A46" s="170"/>
      <c r="B46" s="183"/>
      <c r="G46" s="184"/>
      <c r="H46" s="185"/>
      <c r="I46" s="185"/>
      <c r="J46" s="186"/>
    </row>
    <row r="47" spans="1:16">
      <c r="A47" s="170" t="s">
        <v>188</v>
      </c>
      <c r="B47" s="187">
        <v>0</v>
      </c>
      <c r="G47" s="166" t="s">
        <v>189</v>
      </c>
      <c r="H47" s="188"/>
      <c r="I47" s="189"/>
      <c r="J47" s="190">
        <v>90.030490370402518</v>
      </c>
    </row>
    <row r="48" spans="1:16">
      <c r="A48" s="170" t="s">
        <v>190</v>
      </c>
      <c r="B48" s="183">
        <v>0</v>
      </c>
    </row>
    <row r="49" spans="1:6">
      <c r="A49" s="170" t="s">
        <v>191</v>
      </c>
      <c r="B49" s="183">
        <v>0</v>
      </c>
    </row>
    <row r="50" spans="1:6">
      <c r="A50" s="170" t="s">
        <v>192</v>
      </c>
      <c r="B50" s="191">
        <v>0</v>
      </c>
    </row>
    <row r="51" spans="1:6">
      <c r="A51" s="192" t="s">
        <v>193</v>
      </c>
      <c r="B51" s="193">
        <v>9.2915999999999999E-2</v>
      </c>
    </row>
    <row r="53" spans="1:6">
      <c r="A53" s="194" t="s">
        <v>194</v>
      </c>
      <c r="B53" s="195">
        <v>3.5999999999999997E-2</v>
      </c>
      <c r="C53" s="196" t="s">
        <v>195</v>
      </c>
      <c r="D53" s="197"/>
      <c r="E53" s="198"/>
    </row>
    <row r="54" spans="1:6">
      <c r="A54" s="199" t="s">
        <v>196</v>
      </c>
      <c r="B54" s="200">
        <v>7.0000000000000001E-3</v>
      </c>
      <c r="C54" s="201" t="s">
        <v>197</v>
      </c>
      <c r="D54" s="202"/>
      <c r="E54" s="203"/>
    </row>
    <row r="55" spans="1:6">
      <c r="A55" s="199" t="s">
        <v>198</v>
      </c>
      <c r="B55" s="200">
        <v>4.2000000000000003E-2</v>
      </c>
      <c r="C55" s="201" t="s">
        <v>199</v>
      </c>
      <c r="D55" s="202"/>
      <c r="E55" s="203"/>
    </row>
    <row r="56" spans="1:6">
      <c r="A56" s="199" t="s">
        <v>200</v>
      </c>
      <c r="B56" s="200">
        <v>0.01</v>
      </c>
      <c r="C56" s="201" t="s">
        <v>201</v>
      </c>
      <c r="D56" s="202"/>
      <c r="E56" s="203"/>
    </row>
    <row r="57" spans="1:6">
      <c r="A57" s="204" t="s">
        <v>202</v>
      </c>
      <c r="B57" s="205">
        <v>1.5</v>
      </c>
      <c r="C57" s="206" t="s">
        <v>203</v>
      </c>
      <c r="D57" s="207"/>
      <c r="E57" s="208"/>
    </row>
    <row r="61" spans="1:6">
      <c r="A61" s="107" t="s">
        <v>204</v>
      </c>
      <c r="B61" s="108" t="s">
        <v>136</v>
      </c>
      <c r="C61" s="108" t="s">
        <v>137</v>
      </c>
      <c r="D61" s="108" t="s">
        <v>138</v>
      </c>
      <c r="E61" s="108" t="s">
        <v>139</v>
      </c>
      <c r="F61" s="143" t="s">
        <v>140</v>
      </c>
    </row>
    <row r="62" spans="1:6">
      <c r="A62" s="1" t="s">
        <v>134</v>
      </c>
      <c r="B62" s="109">
        <v>0.57499999999999996</v>
      </c>
      <c r="C62" s="109">
        <v>1.575</v>
      </c>
      <c r="D62" s="109">
        <v>2.5750000000000002</v>
      </c>
      <c r="E62" s="109">
        <v>3.5750000000000002</v>
      </c>
      <c r="F62" s="209">
        <v>4.5750000000000002</v>
      </c>
    </row>
    <row r="63" spans="1:6">
      <c r="A63" s="1" t="s">
        <v>205</v>
      </c>
      <c r="B63" s="110"/>
      <c r="C63" s="110"/>
      <c r="D63" s="110"/>
      <c r="E63" s="110"/>
      <c r="F63" s="210"/>
    </row>
    <row r="64" spans="1:6">
      <c r="A64" s="111" t="s">
        <v>206</v>
      </c>
      <c r="B64" s="211">
        <v>6.25</v>
      </c>
      <c r="C64" s="211">
        <v>6.25</v>
      </c>
      <c r="D64" s="211">
        <v>6.25</v>
      </c>
      <c r="E64" s="211">
        <v>6.25</v>
      </c>
      <c r="F64" s="211">
        <v>6.25</v>
      </c>
    </row>
    <row r="65" spans="1:6">
      <c r="A65" s="127" t="s">
        <v>151</v>
      </c>
      <c r="B65" s="128">
        <f>B17</f>
        <v>0.91491308325709064</v>
      </c>
      <c r="C65" s="128">
        <f t="shared" ref="C65:F65" si="3">C17</f>
        <v>0.83706594991499605</v>
      </c>
      <c r="D65" s="128">
        <f t="shared" si="3"/>
        <v>0.76584258912625447</v>
      </c>
      <c r="E65" s="128">
        <f t="shared" si="3"/>
        <v>0.70067940450709465</v>
      </c>
      <c r="F65" s="128">
        <f t="shared" si="3"/>
        <v>0.64106075435232823</v>
      </c>
    </row>
    <row r="66" spans="1:6">
      <c r="A66" s="111" t="s">
        <v>207</v>
      </c>
      <c r="B66" s="212">
        <f>B64*B65</f>
        <v>5.7182067703568169</v>
      </c>
      <c r="C66" s="212">
        <f t="shared" ref="C66:F66" si="4">C64*C65</f>
        <v>5.231662186968725</v>
      </c>
      <c r="D66" s="212">
        <f t="shared" si="4"/>
        <v>4.7865161820390902</v>
      </c>
      <c r="E66" s="212">
        <f t="shared" si="4"/>
        <v>4.379246278169342</v>
      </c>
      <c r="F66" s="212">
        <f t="shared" si="4"/>
        <v>4.0066297147020515</v>
      </c>
    </row>
    <row r="67" spans="1:6">
      <c r="A67" s="166" t="s">
        <v>208</v>
      </c>
      <c r="B67" s="167">
        <f>SUM(B66:F66)</f>
        <v>24.122261132236027</v>
      </c>
      <c r="C67" s="140"/>
      <c r="D67" s="140"/>
      <c r="E67" s="140"/>
      <c r="F67" s="213"/>
    </row>
    <row r="70" spans="1:6">
      <c r="A70" s="107" t="s">
        <v>155</v>
      </c>
      <c r="B70" s="108"/>
    </row>
  </sheetData>
  <mergeCells count="5">
    <mergeCell ref="C5:F5"/>
    <mergeCell ref="K15:P15"/>
    <mergeCell ref="I17:I21"/>
    <mergeCell ref="K27:P27"/>
    <mergeCell ref="I29:I3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E123"/>
  <sheetViews>
    <sheetView workbookViewId="0"/>
  </sheetViews>
  <sheetFormatPr defaultRowHeight="15"/>
  <cols>
    <col min="1" max="1" width="10.7109375" bestFit="1" customWidth="1"/>
    <col min="2" max="2" width="11.7109375" bestFit="1" customWidth="1"/>
    <col min="3" max="3" width="7.85546875" bestFit="1" customWidth="1"/>
    <col min="4" max="4" width="14" bestFit="1" customWidth="1"/>
    <col min="5" max="5" width="7.85546875" bestFit="1" customWidth="1"/>
    <col min="6" max="6" width="14" bestFit="1" customWidth="1"/>
    <col min="7" max="7" width="7.85546875" bestFit="1" customWidth="1"/>
    <col min="8" max="8" width="14.7109375" bestFit="1" customWidth="1"/>
    <col min="9" max="9" width="7.85546875" bestFit="1" customWidth="1"/>
    <col min="10" max="10" width="14" bestFit="1" customWidth="1"/>
    <col min="11" max="11" width="7.85546875" bestFit="1" customWidth="1"/>
    <col min="12" max="12" width="18.28515625" bestFit="1" customWidth="1"/>
    <col min="13" max="13" width="7.85546875" bestFit="1" customWidth="1"/>
    <col min="14" max="14" width="14" bestFit="1" customWidth="1"/>
    <col min="15" max="15" width="7.85546875" bestFit="1" customWidth="1"/>
    <col min="16" max="16" width="14" bestFit="1" customWidth="1"/>
    <col min="17" max="17" width="7.85546875" bestFit="1" customWidth="1"/>
    <col min="18" max="18" width="14" bestFit="1" customWidth="1"/>
    <col min="19" max="19" width="7.85546875" bestFit="1" customWidth="1"/>
    <col min="20" max="20" width="14" bestFit="1" customWidth="1"/>
    <col min="21" max="21" width="7.85546875" bestFit="1" customWidth="1"/>
    <col min="22" max="22" width="14" bestFit="1" customWidth="1"/>
    <col min="23" max="23" width="7.85546875" bestFit="1" customWidth="1"/>
    <col min="24" max="24" width="14" bestFit="1" customWidth="1"/>
    <col min="25" max="25" width="7.85546875" bestFit="1" customWidth="1"/>
    <col min="26" max="26" width="14" bestFit="1" customWidth="1"/>
    <col min="27" max="27" width="7.85546875" bestFit="1" customWidth="1"/>
    <col min="30" max="30" width="20.28515625" bestFit="1" customWidth="1"/>
    <col min="31" max="31" width="14.42578125" bestFit="1" customWidth="1"/>
  </cols>
  <sheetData>
    <row r="1" spans="1:31" ht="33.75" customHeight="1">
      <c r="A1" s="251"/>
      <c r="B1" s="253" t="s">
        <v>224</v>
      </c>
      <c r="C1" s="254"/>
      <c r="D1" s="258" t="s">
        <v>225</v>
      </c>
      <c r="E1" s="259"/>
      <c r="F1" s="264" t="s">
        <v>252</v>
      </c>
      <c r="G1" s="265"/>
      <c r="H1" s="269" t="s">
        <v>226</v>
      </c>
      <c r="I1" s="269"/>
      <c r="J1" s="271" t="s">
        <v>246</v>
      </c>
      <c r="K1" s="272"/>
      <c r="L1" s="276" t="s">
        <v>227</v>
      </c>
      <c r="M1" s="276"/>
      <c r="N1" s="282" t="s">
        <v>245</v>
      </c>
      <c r="O1" s="274"/>
      <c r="P1" s="285" t="s">
        <v>250</v>
      </c>
      <c r="Q1" s="278"/>
      <c r="R1" s="286" t="s">
        <v>247</v>
      </c>
      <c r="S1" s="287"/>
      <c r="T1" s="283" t="s">
        <v>228</v>
      </c>
      <c r="U1" s="267"/>
      <c r="V1" s="261" t="s">
        <v>248</v>
      </c>
      <c r="W1" s="262"/>
      <c r="X1" s="284" t="s">
        <v>229</v>
      </c>
      <c r="Y1" s="280"/>
      <c r="Z1" s="253" t="s">
        <v>249</v>
      </c>
      <c r="AA1" s="254"/>
      <c r="AD1" s="303" t="s">
        <v>257</v>
      </c>
      <c r="AE1" s="304" t="s">
        <v>256</v>
      </c>
    </row>
    <row r="2" spans="1:31">
      <c r="A2" s="251" t="s">
        <v>230</v>
      </c>
      <c r="B2" s="254" t="s">
        <v>231</v>
      </c>
      <c r="C2" s="254" t="s">
        <v>232</v>
      </c>
      <c r="D2" s="259" t="s">
        <v>233</v>
      </c>
      <c r="E2" s="259" t="s">
        <v>232</v>
      </c>
      <c r="F2" s="265" t="s">
        <v>234</v>
      </c>
      <c r="G2" s="265" t="s">
        <v>232</v>
      </c>
      <c r="H2" s="269" t="s">
        <v>235</v>
      </c>
      <c r="I2" s="269" t="s">
        <v>232</v>
      </c>
      <c r="J2" s="272" t="s">
        <v>236</v>
      </c>
      <c r="K2" s="272" t="s">
        <v>232</v>
      </c>
      <c r="L2" s="276" t="s">
        <v>237</v>
      </c>
      <c r="M2" s="276" t="s">
        <v>232</v>
      </c>
      <c r="N2" s="274" t="s">
        <v>238</v>
      </c>
      <c r="O2" s="274" t="s">
        <v>232</v>
      </c>
      <c r="P2" s="278" t="s">
        <v>239</v>
      </c>
      <c r="Q2" s="278" t="s">
        <v>232</v>
      </c>
      <c r="R2" s="287" t="s">
        <v>240</v>
      </c>
      <c r="S2" s="287" t="s">
        <v>232</v>
      </c>
      <c r="T2" s="267" t="s">
        <v>241</v>
      </c>
      <c r="U2" s="267" t="s">
        <v>232</v>
      </c>
      <c r="V2" s="262" t="s">
        <v>242</v>
      </c>
      <c r="W2" s="262" t="s">
        <v>232</v>
      </c>
      <c r="X2" s="280" t="s">
        <v>243</v>
      </c>
      <c r="Y2" s="280" t="s">
        <v>232</v>
      </c>
      <c r="Z2" s="254" t="s">
        <v>244</v>
      </c>
      <c r="AA2" s="254" t="s">
        <v>232</v>
      </c>
      <c r="AD2" s="290" t="s">
        <v>251</v>
      </c>
      <c r="AE2" s="302">
        <f>SLOPE(E3:E122,C3:C122)</f>
        <v>0.7854786315736173</v>
      </c>
    </row>
    <row r="3" spans="1:31">
      <c r="A3" s="252">
        <v>41790</v>
      </c>
      <c r="B3" s="255">
        <v>9660.1299999999992</v>
      </c>
      <c r="C3" s="256">
        <f>B3/B4-1</f>
        <v>7.8151570855964358E-3</v>
      </c>
      <c r="D3" s="259">
        <v>91</v>
      </c>
      <c r="E3" s="260">
        <f>D3/D4-1</f>
        <v>5.5248618784531356E-3</v>
      </c>
      <c r="F3" s="265">
        <v>27.4</v>
      </c>
      <c r="G3" s="266">
        <f>F3/F4-1</f>
        <v>7.3529411764705621E-3</v>
      </c>
      <c r="H3" s="269">
        <v>25.5</v>
      </c>
      <c r="I3" s="270">
        <f>H3/H4-1</f>
        <v>3.238866396761142E-2</v>
      </c>
      <c r="J3" s="272">
        <v>24.7</v>
      </c>
      <c r="K3" s="273">
        <f>J3/J4-1</f>
        <v>1.4373716632443356E-2</v>
      </c>
      <c r="L3" s="276">
        <v>68.5</v>
      </c>
      <c r="M3" s="277">
        <f>L3/L4-1</f>
        <v>5.7915057915058021E-2</v>
      </c>
      <c r="N3" s="274">
        <v>65.5</v>
      </c>
      <c r="O3" s="275">
        <f>N3/N4-1</f>
        <v>6.938775510204076E-2</v>
      </c>
      <c r="P3" s="278">
        <v>109.5</v>
      </c>
      <c r="Q3" s="279">
        <f>P3/P4-1</f>
        <v>1.388888888888884E-2</v>
      </c>
      <c r="R3" s="287">
        <v>112.25</v>
      </c>
      <c r="S3" s="288">
        <f>R3/R4-1</f>
        <v>2.2321428571427937E-3</v>
      </c>
      <c r="T3" s="267">
        <v>71.5</v>
      </c>
      <c r="U3" s="268">
        <f>T3/T4-1</f>
        <v>1.7793594306049876E-2</v>
      </c>
      <c r="V3" s="262">
        <v>61.25</v>
      </c>
      <c r="W3" s="263">
        <f>V3/V4-1</f>
        <v>1.6597510373443924E-2</v>
      </c>
      <c r="X3" s="280">
        <v>29.6</v>
      </c>
      <c r="Y3" s="281">
        <f>X3/X4-1</f>
        <v>1.3698630136986356E-2</v>
      </c>
      <c r="Z3" s="254">
        <v>18.45</v>
      </c>
      <c r="AA3" s="256">
        <f>Z3/Z4-1</f>
        <v>8.1967213114753079E-3</v>
      </c>
      <c r="AD3" s="291" t="s">
        <v>253</v>
      </c>
      <c r="AE3" s="302">
        <f>SLOPE(G3:G26,C3:C26)</f>
        <v>0.98669179332103241</v>
      </c>
    </row>
    <row r="4" spans="1:31">
      <c r="A4" s="252">
        <v>41759</v>
      </c>
      <c r="B4" s="255">
        <v>9585.2199999999993</v>
      </c>
      <c r="C4" s="256">
        <f t="shared" ref="C4:C67" si="0">B4/B5-1</f>
        <v>1.1770467958170494E-2</v>
      </c>
      <c r="D4" s="259">
        <v>90.5</v>
      </c>
      <c r="E4" s="260">
        <f t="shared" ref="E4:E67" si="1">D4/D5-1</f>
        <v>0</v>
      </c>
      <c r="F4" s="265">
        <v>27.2</v>
      </c>
      <c r="G4" s="266">
        <f t="shared" ref="G4:G26" si="2">F4/F5-1</f>
        <v>9.2369477911646625E-2</v>
      </c>
      <c r="H4" s="269">
        <v>24.7</v>
      </c>
      <c r="I4" s="270">
        <f t="shared" ref="I4:I21" si="3">H4/H5-1</f>
        <v>6.2365591397849363E-2</v>
      </c>
      <c r="J4" s="272">
        <v>24.35</v>
      </c>
      <c r="K4" s="273">
        <f t="shared" ref="K4:K17" si="4">J4/J5-1</f>
        <v>1.6701461377870652E-2</v>
      </c>
      <c r="L4" s="276">
        <v>64.75</v>
      </c>
      <c r="M4" s="277">
        <f t="shared" ref="M4:M67" si="5">L4/L5-1</f>
        <v>-1.5957446808510634E-2</v>
      </c>
      <c r="N4" s="274">
        <v>61.25</v>
      </c>
      <c r="O4" s="275">
        <f t="shared" ref="O4:O67" si="6">N4/N5-1</f>
        <v>5.1502145922746712E-2</v>
      </c>
      <c r="P4" s="278">
        <v>108</v>
      </c>
      <c r="Q4" s="279">
        <f t="shared" ref="Q4:Q67" si="7">P4/P5-1</f>
        <v>1.4084507042253502E-2</v>
      </c>
      <c r="R4" s="287">
        <v>112</v>
      </c>
      <c r="S4" s="288">
        <f t="shared" ref="S4:S67" si="8">R4/R5-1</f>
        <v>2.2371364653244186E-3</v>
      </c>
      <c r="T4" s="267">
        <v>70.25</v>
      </c>
      <c r="U4" s="268">
        <f t="shared" ref="U4:U67" si="9">T4/T5-1</f>
        <v>0</v>
      </c>
      <c r="V4" s="262">
        <v>60.25</v>
      </c>
      <c r="W4" s="263">
        <f t="shared" ref="W4:W67" si="10">V4/V5-1</f>
        <v>4.7826086956521685E-2</v>
      </c>
      <c r="X4" s="280">
        <v>29.2</v>
      </c>
      <c r="Y4" s="281">
        <f t="shared" ref="Y4:Y67" si="11">X4/X5-1</f>
        <v>-2.3411371237458178E-2</v>
      </c>
      <c r="Z4" s="254">
        <v>18.3</v>
      </c>
      <c r="AA4" s="256">
        <f t="shared" ref="AA4:AA47" si="12">Z4/Z5-1</f>
        <v>2.2346368715083997E-2</v>
      </c>
      <c r="AD4" s="292" t="s">
        <v>226</v>
      </c>
      <c r="AE4" s="302">
        <f>SLOPE(I3:I21,C3:C21)</f>
        <v>0.64631935479260738</v>
      </c>
    </row>
    <row r="5" spans="1:31">
      <c r="A5" s="252">
        <v>41729</v>
      </c>
      <c r="B5" s="255">
        <v>9473.7099999999991</v>
      </c>
      <c r="C5" s="256">
        <f t="shared" si="0"/>
        <v>4.0318232481016292E-2</v>
      </c>
      <c r="D5" s="259">
        <v>90.5</v>
      </c>
      <c r="E5" s="260">
        <f t="shared" si="1"/>
        <v>-4.2328042328042326E-2</v>
      </c>
      <c r="F5" s="265">
        <v>24.9</v>
      </c>
      <c r="G5" s="266">
        <f t="shared" si="2"/>
        <v>1.6326530612244872E-2</v>
      </c>
      <c r="H5" s="269">
        <v>23.25</v>
      </c>
      <c r="I5" s="270">
        <f t="shared" si="3"/>
        <v>2.1551724137931494E-3</v>
      </c>
      <c r="J5" s="272">
        <v>23.95</v>
      </c>
      <c r="K5" s="273">
        <f t="shared" si="4"/>
        <v>-4.2000000000000037E-2</v>
      </c>
      <c r="L5" s="276">
        <v>65.8</v>
      </c>
      <c r="M5" s="277">
        <f t="shared" si="5"/>
        <v>0.15438596491228074</v>
      </c>
      <c r="N5" s="274">
        <v>58.25</v>
      </c>
      <c r="O5" s="275">
        <f t="shared" si="6"/>
        <v>0</v>
      </c>
      <c r="P5" s="278">
        <v>106.5</v>
      </c>
      <c r="Q5" s="279">
        <f t="shared" si="7"/>
        <v>-6.5789473684210509E-2</v>
      </c>
      <c r="R5" s="287">
        <v>111.75</v>
      </c>
      <c r="S5" s="288">
        <f t="shared" si="8"/>
        <v>-8.5889570552147187E-2</v>
      </c>
      <c r="T5" s="267">
        <v>70.25</v>
      </c>
      <c r="U5" s="268">
        <f t="shared" si="9"/>
        <v>-1.7482517482517501E-2</v>
      </c>
      <c r="V5" s="262">
        <v>57.5</v>
      </c>
      <c r="W5" s="263">
        <f t="shared" si="10"/>
        <v>-7.999999999999996E-2</v>
      </c>
      <c r="X5" s="280">
        <v>29.9</v>
      </c>
      <c r="Y5" s="281">
        <f t="shared" si="11"/>
        <v>3.819444444444442E-2</v>
      </c>
      <c r="Z5" s="254">
        <v>17.899999999999999</v>
      </c>
      <c r="AA5" s="256">
        <f t="shared" si="12"/>
        <v>5.6179775280897903E-3</v>
      </c>
      <c r="AD5" s="293" t="s">
        <v>246</v>
      </c>
      <c r="AE5" s="302">
        <f>SLOPE(K3:K17,C3:C17)</f>
        <v>2.5234503131763759</v>
      </c>
    </row>
    <row r="6" spans="1:31">
      <c r="A6" s="252">
        <v>41698</v>
      </c>
      <c r="B6" s="255">
        <v>9106.5499999999993</v>
      </c>
      <c r="C6" s="256">
        <f t="shared" si="0"/>
        <v>3.9486931290251048E-2</v>
      </c>
      <c r="D6" s="259">
        <v>94.5</v>
      </c>
      <c r="E6" s="260">
        <f t="shared" si="1"/>
        <v>5.2924791086351064E-2</v>
      </c>
      <c r="F6" s="265">
        <v>24.5</v>
      </c>
      <c r="G6" s="266">
        <f t="shared" si="2"/>
        <v>-2.3904382470119612E-2</v>
      </c>
      <c r="H6" s="269">
        <v>23.2</v>
      </c>
      <c r="I6" s="270">
        <f t="shared" si="3"/>
        <v>-8.5470085470085166E-3</v>
      </c>
      <c r="J6" s="272">
        <v>25</v>
      </c>
      <c r="K6" s="273">
        <f t="shared" si="4"/>
        <v>6.3829787234042534E-2</v>
      </c>
      <c r="L6" s="276">
        <v>57</v>
      </c>
      <c r="M6" s="277">
        <f t="shared" si="5"/>
        <v>4.014598540145986E-2</v>
      </c>
      <c r="N6" s="274">
        <v>58.25</v>
      </c>
      <c r="O6" s="275">
        <f t="shared" si="6"/>
        <v>3.0973451327433565E-2</v>
      </c>
      <c r="P6" s="278">
        <v>114</v>
      </c>
      <c r="Q6" s="279">
        <f t="shared" si="7"/>
        <v>6.2937062937062915E-2</v>
      </c>
      <c r="R6" s="287">
        <v>122.25</v>
      </c>
      <c r="S6" s="288">
        <f t="shared" si="8"/>
        <v>6.5359477124182996E-2</v>
      </c>
      <c r="T6" s="267">
        <v>71.5</v>
      </c>
      <c r="U6" s="268">
        <f t="shared" si="9"/>
        <v>0.10000000000000009</v>
      </c>
      <c r="V6" s="262">
        <v>62.5</v>
      </c>
      <c r="W6" s="263">
        <f t="shared" si="10"/>
        <v>6.8376068376068355E-2</v>
      </c>
      <c r="X6" s="280">
        <v>28.8</v>
      </c>
      <c r="Y6" s="281">
        <f t="shared" si="11"/>
        <v>2.8571428571428692E-2</v>
      </c>
      <c r="Z6" s="254">
        <v>17.8</v>
      </c>
      <c r="AA6" s="256">
        <f t="shared" si="12"/>
        <v>2.8901734104046284E-2</v>
      </c>
      <c r="AD6" s="294" t="s">
        <v>227</v>
      </c>
      <c r="AE6" s="302">
        <f>SLOPE(M3:M122,C3:C122)</f>
        <v>0.94811222270027584</v>
      </c>
    </row>
    <row r="7" spans="1:31">
      <c r="A7" s="252">
        <v>41670</v>
      </c>
      <c r="B7" s="255">
        <v>8760.6200000000008</v>
      </c>
      <c r="C7" s="256">
        <f t="shared" si="0"/>
        <v>2.6362528703313126E-2</v>
      </c>
      <c r="D7" s="259">
        <v>89.75</v>
      </c>
      <c r="E7" s="260">
        <f t="shared" si="1"/>
        <v>2.7932960893854997E-3</v>
      </c>
      <c r="F7" s="265">
        <v>25.1</v>
      </c>
      <c r="G7" s="266">
        <f t="shared" si="2"/>
        <v>3.7190082644628086E-2</v>
      </c>
      <c r="H7" s="269">
        <v>23.4</v>
      </c>
      <c r="I7" s="270">
        <f t="shared" si="3"/>
        <v>1.9607843137254832E-2</v>
      </c>
      <c r="J7" s="272">
        <v>23.5</v>
      </c>
      <c r="K7" s="273">
        <f t="shared" si="4"/>
        <v>1.5118790496760237E-2</v>
      </c>
      <c r="L7" s="276">
        <v>54.8</v>
      </c>
      <c r="M7" s="277">
        <f t="shared" si="5"/>
        <v>6.6147859922178975E-2</v>
      </c>
      <c r="N7" s="274">
        <v>56.5</v>
      </c>
      <c r="O7" s="275">
        <f t="shared" si="6"/>
        <v>-1.3100436681222738E-2</v>
      </c>
      <c r="P7" s="278">
        <v>107.25</v>
      </c>
      <c r="Q7" s="279">
        <f t="shared" si="7"/>
        <v>5.6650246305418817E-2</v>
      </c>
      <c r="R7" s="287">
        <v>114.75</v>
      </c>
      <c r="S7" s="288">
        <f t="shared" si="8"/>
        <v>4.081632653061229E-2</v>
      </c>
      <c r="T7" s="267">
        <v>65</v>
      </c>
      <c r="U7" s="268">
        <f t="shared" si="9"/>
        <v>-2.6217228464419429E-2</v>
      </c>
      <c r="V7" s="262">
        <v>58.5</v>
      </c>
      <c r="W7" s="263">
        <f t="shared" si="10"/>
        <v>-1.6806722689075682E-2</v>
      </c>
      <c r="X7" s="280">
        <v>28</v>
      </c>
      <c r="Y7" s="281">
        <f t="shared" si="11"/>
        <v>-1.0600706713780994E-2</v>
      </c>
      <c r="Z7" s="254">
        <v>17.3</v>
      </c>
      <c r="AA7" s="256">
        <f t="shared" si="12"/>
        <v>-1.7045454545454586E-2</v>
      </c>
      <c r="AD7" s="295" t="s">
        <v>245</v>
      </c>
      <c r="AE7" s="302">
        <f>SLOPE(O3:O122,C3:C122)</f>
        <v>0.91391485766952052</v>
      </c>
    </row>
    <row r="8" spans="1:31">
      <c r="A8" s="252">
        <v>41639</v>
      </c>
      <c r="B8" s="255">
        <v>8535.6</v>
      </c>
      <c r="C8" s="256">
        <f t="shared" si="0"/>
        <v>2.5262813983433663E-2</v>
      </c>
      <c r="D8" s="259">
        <v>89.5</v>
      </c>
      <c r="E8" s="260">
        <f t="shared" si="1"/>
        <v>-4.0214477211796273E-2</v>
      </c>
      <c r="F8" s="265">
        <v>24.2</v>
      </c>
      <c r="G8" s="266">
        <f t="shared" si="2"/>
        <v>-9.0225563909774542E-2</v>
      </c>
      <c r="H8" s="269">
        <v>22.95</v>
      </c>
      <c r="I8" s="270">
        <f t="shared" si="3"/>
        <v>-6.4935064935065512E-3</v>
      </c>
      <c r="J8" s="272">
        <v>23.15</v>
      </c>
      <c r="K8" s="273">
        <f t="shared" si="4"/>
        <v>-6.4377682403434777E-3</v>
      </c>
      <c r="L8" s="276">
        <v>51.4</v>
      </c>
      <c r="M8" s="277">
        <f t="shared" si="5"/>
        <v>0</v>
      </c>
      <c r="N8" s="274">
        <v>57.25</v>
      </c>
      <c r="O8" s="275">
        <f t="shared" si="6"/>
        <v>-1.7167381974248941E-2</v>
      </c>
      <c r="P8" s="278">
        <v>101.5</v>
      </c>
      <c r="Q8" s="279">
        <f t="shared" si="7"/>
        <v>-6.2355658198614328E-2</v>
      </c>
      <c r="R8" s="287">
        <v>110.25</v>
      </c>
      <c r="S8" s="288">
        <f t="shared" si="8"/>
        <v>-0.12845849802371545</v>
      </c>
      <c r="T8" s="267">
        <v>66.75</v>
      </c>
      <c r="U8" s="268">
        <f t="shared" si="9"/>
        <v>-5.6537102473498191E-2</v>
      </c>
      <c r="V8" s="262">
        <v>59.5</v>
      </c>
      <c r="W8" s="263">
        <f t="shared" si="10"/>
        <v>-2.0576131687242816E-2</v>
      </c>
      <c r="X8" s="280">
        <v>28.3</v>
      </c>
      <c r="Y8" s="281">
        <f t="shared" si="11"/>
        <v>-1.0489510489510523E-2</v>
      </c>
      <c r="Z8" s="254">
        <v>17.600000000000001</v>
      </c>
      <c r="AA8" s="256">
        <f t="shared" si="12"/>
        <v>-2.2222222222222143E-2</v>
      </c>
      <c r="AD8" s="296" t="s">
        <v>250</v>
      </c>
      <c r="AE8" s="302">
        <f>SLOPE(Q3:Q122,C3:C122)</f>
        <v>0.64767703685107469</v>
      </c>
    </row>
    <row r="9" spans="1:31">
      <c r="A9" s="252">
        <v>41608</v>
      </c>
      <c r="B9" s="255">
        <v>8325.2800000000007</v>
      </c>
      <c r="C9" s="256">
        <f t="shared" si="0"/>
        <v>3.4907209548920015E-2</v>
      </c>
      <c r="D9" s="259">
        <v>93.25</v>
      </c>
      <c r="E9" s="260">
        <f t="shared" si="1"/>
        <v>9.0643274853801081E-2</v>
      </c>
      <c r="F9" s="265">
        <v>26.6</v>
      </c>
      <c r="G9" s="266">
        <f t="shared" si="2"/>
        <v>2.7027027027027195E-2</v>
      </c>
      <c r="H9" s="269">
        <v>23.1</v>
      </c>
      <c r="I9" s="270">
        <f t="shared" si="3"/>
        <v>-7.2289156626505924E-2</v>
      </c>
      <c r="J9" s="272">
        <v>23.3</v>
      </c>
      <c r="K9" s="273">
        <f t="shared" si="4"/>
        <v>1.304347826086949E-2</v>
      </c>
      <c r="L9" s="276">
        <v>51.4</v>
      </c>
      <c r="M9" s="277">
        <f t="shared" si="5"/>
        <v>-6.2043795620437936E-2</v>
      </c>
      <c r="N9" s="274">
        <v>58.25</v>
      </c>
      <c r="O9" s="275">
        <f t="shared" si="6"/>
        <v>8.8785046728971917E-2</v>
      </c>
      <c r="P9" s="278">
        <v>108.25</v>
      </c>
      <c r="Q9" s="279">
        <f t="shared" si="7"/>
        <v>-4.5977011494252595E-3</v>
      </c>
      <c r="R9" s="287">
        <v>126.5</v>
      </c>
      <c r="S9" s="288">
        <f t="shared" si="8"/>
        <v>0.18779342723004699</v>
      </c>
      <c r="T9" s="267">
        <v>70.75</v>
      </c>
      <c r="U9" s="268">
        <f t="shared" si="9"/>
        <v>-1.0489510489510523E-2</v>
      </c>
      <c r="V9" s="262">
        <v>60.75</v>
      </c>
      <c r="W9" s="263">
        <f t="shared" si="10"/>
        <v>3.8461538461538547E-2</v>
      </c>
      <c r="X9" s="280">
        <v>28.6</v>
      </c>
      <c r="Y9" s="281">
        <f t="shared" si="11"/>
        <v>7.0422535211267512E-3</v>
      </c>
      <c r="Z9" s="254">
        <v>18</v>
      </c>
      <c r="AA9" s="256">
        <f t="shared" si="12"/>
        <v>-1.9073569482288888E-2</v>
      </c>
      <c r="AD9" s="297" t="s">
        <v>247</v>
      </c>
      <c r="AE9" s="302">
        <f>SLOPE(S3:S122,C3:C122)</f>
        <v>0.63133156616882502</v>
      </c>
    </row>
    <row r="10" spans="1:31">
      <c r="A10" s="252">
        <v>41578</v>
      </c>
      <c r="B10" s="255">
        <v>8044.47</v>
      </c>
      <c r="C10" s="256">
        <f t="shared" si="0"/>
        <v>9.9888134329202405E-3</v>
      </c>
      <c r="D10" s="259">
        <v>85.5</v>
      </c>
      <c r="E10" s="260">
        <f t="shared" si="1"/>
        <v>2.0895522388059806E-2</v>
      </c>
      <c r="F10" s="265">
        <v>25.9</v>
      </c>
      <c r="G10" s="266">
        <f t="shared" si="2"/>
        <v>-1.8939393939393923E-2</v>
      </c>
      <c r="H10" s="269">
        <v>24.9</v>
      </c>
      <c r="I10" s="270">
        <f t="shared" si="3"/>
        <v>-3.1128404669260701E-2</v>
      </c>
      <c r="J10" s="272">
        <v>23</v>
      </c>
      <c r="K10" s="273">
        <f t="shared" si="4"/>
        <v>8.7719298245614308E-3</v>
      </c>
      <c r="L10" s="276">
        <v>54.8</v>
      </c>
      <c r="M10" s="277">
        <f t="shared" si="5"/>
        <v>-1.7921146953404965E-2</v>
      </c>
      <c r="N10" s="274">
        <v>53.5</v>
      </c>
      <c r="O10" s="275">
        <f t="shared" si="6"/>
        <v>9.4339622641510523E-3</v>
      </c>
      <c r="P10" s="278">
        <v>108.75</v>
      </c>
      <c r="Q10" s="279">
        <f t="shared" si="7"/>
        <v>6.9444444444444198E-3</v>
      </c>
      <c r="R10" s="287">
        <v>106.5</v>
      </c>
      <c r="S10" s="288">
        <f t="shared" si="8"/>
        <v>-2.3419203747072626E-3</v>
      </c>
      <c r="T10" s="267">
        <v>71.5</v>
      </c>
      <c r="U10" s="268">
        <f t="shared" si="9"/>
        <v>-3.050847457627115E-2</v>
      </c>
      <c r="V10" s="262">
        <v>58.5</v>
      </c>
      <c r="W10" s="263">
        <f t="shared" si="10"/>
        <v>1.7391304347825987E-2</v>
      </c>
      <c r="X10" s="280">
        <v>28.4</v>
      </c>
      <c r="Y10" s="281">
        <f t="shared" si="11"/>
        <v>-4.3771043771043794E-2</v>
      </c>
      <c r="Z10" s="254">
        <v>18.350000000000001</v>
      </c>
      <c r="AA10" s="256">
        <f t="shared" si="12"/>
        <v>-3.4210526315789358E-2</v>
      </c>
      <c r="AD10" s="298" t="s">
        <v>254</v>
      </c>
      <c r="AE10" s="302">
        <f>SLOPE(U3:U122,C3:C122)</f>
        <v>0.70212668783133125</v>
      </c>
    </row>
    <row r="11" spans="1:31">
      <c r="A11" s="252">
        <v>41547</v>
      </c>
      <c r="B11" s="255">
        <v>7964.91</v>
      </c>
      <c r="C11" s="256">
        <f t="shared" si="0"/>
        <v>2.554425920489467E-2</v>
      </c>
      <c r="D11" s="259">
        <v>83.75</v>
      </c>
      <c r="E11" s="260">
        <f t="shared" si="1"/>
        <v>-1.179941002949858E-2</v>
      </c>
      <c r="F11" s="265">
        <v>26.4</v>
      </c>
      <c r="G11" s="266">
        <f t="shared" si="2"/>
        <v>-2.583025830258312E-2</v>
      </c>
      <c r="H11" s="269">
        <v>25.7</v>
      </c>
      <c r="I11" s="270">
        <f t="shared" si="3"/>
        <v>0</v>
      </c>
      <c r="J11" s="272">
        <v>22.8</v>
      </c>
      <c r="K11" s="273">
        <f t="shared" si="4"/>
        <v>3.4013605442176909E-2</v>
      </c>
      <c r="L11" s="276">
        <v>55.8</v>
      </c>
      <c r="M11" s="277">
        <f t="shared" si="5"/>
        <v>-2.1052631578947434E-2</v>
      </c>
      <c r="N11" s="274">
        <v>53</v>
      </c>
      <c r="O11" s="275">
        <f t="shared" si="6"/>
        <v>-9.3457943925233655E-3</v>
      </c>
      <c r="P11" s="278">
        <v>108</v>
      </c>
      <c r="Q11" s="279">
        <f t="shared" si="7"/>
        <v>2.3696682464454888E-2</v>
      </c>
      <c r="R11" s="287">
        <v>106.75</v>
      </c>
      <c r="S11" s="288">
        <f t="shared" si="8"/>
        <v>-2.3364485981308691E-3</v>
      </c>
      <c r="T11" s="267">
        <v>73.75</v>
      </c>
      <c r="U11" s="268">
        <f t="shared" si="9"/>
        <v>-2.960526315789469E-2</v>
      </c>
      <c r="V11" s="262">
        <v>57.5</v>
      </c>
      <c r="W11" s="263">
        <f t="shared" si="10"/>
        <v>-8.6206896551723755E-3</v>
      </c>
      <c r="X11" s="280">
        <v>29.7</v>
      </c>
      <c r="Y11" s="281">
        <f t="shared" si="11"/>
        <v>-1.3289036544850585E-2</v>
      </c>
      <c r="Z11" s="254">
        <v>19</v>
      </c>
      <c r="AA11" s="256">
        <f t="shared" si="12"/>
        <v>2.9810298102981081E-2</v>
      </c>
      <c r="AD11" s="299" t="s">
        <v>248</v>
      </c>
      <c r="AE11" s="302">
        <f>SLOPE(W3:W122,C3:C122)</f>
        <v>0.76576772730433618</v>
      </c>
    </row>
    <row r="12" spans="1:31">
      <c r="A12" s="252">
        <v>41517</v>
      </c>
      <c r="B12" s="255">
        <v>7766.52</v>
      </c>
      <c r="C12" s="256">
        <f t="shared" si="0"/>
        <v>-1.8772954513582185E-2</v>
      </c>
      <c r="D12" s="259">
        <v>84.75</v>
      </c>
      <c r="E12" s="260">
        <f t="shared" si="1"/>
        <v>0</v>
      </c>
      <c r="F12" s="265">
        <v>27.1</v>
      </c>
      <c r="G12" s="266">
        <f t="shared" si="2"/>
        <v>-3.214285714285714E-2</v>
      </c>
      <c r="H12" s="269">
        <v>25.7</v>
      </c>
      <c r="I12" s="270">
        <f t="shared" si="3"/>
        <v>3.0060120240480881E-2</v>
      </c>
      <c r="J12" s="272">
        <v>22.05</v>
      </c>
      <c r="K12" s="273">
        <f t="shared" si="4"/>
        <v>-0.11267605633802824</v>
      </c>
      <c r="L12" s="276">
        <v>57</v>
      </c>
      <c r="M12" s="277">
        <f t="shared" si="5"/>
        <v>-1.0416666666666741E-2</v>
      </c>
      <c r="N12" s="274">
        <v>53.5</v>
      </c>
      <c r="O12" s="275">
        <f t="shared" si="6"/>
        <v>5.4187192118226646E-2</v>
      </c>
      <c r="P12" s="278">
        <v>105.5</v>
      </c>
      <c r="Q12" s="279">
        <f t="shared" si="7"/>
        <v>2.3752969121140222E-3</v>
      </c>
      <c r="R12" s="287">
        <v>107</v>
      </c>
      <c r="S12" s="288">
        <f t="shared" si="8"/>
        <v>3.6319612590798966E-2</v>
      </c>
      <c r="T12" s="267">
        <v>76</v>
      </c>
      <c r="U12" s="268">
        <f t="shared" si="9"/>
        <v>5.555555555555558E-2</v>
      </c>
      <c r="V12" s="262">
        <v>58</v>
      </c>
      <c r="W12" s="263">
        <f t="shared" si="10"/>
        <v>-2.5210084033613467E-2</v>
      </c>
      <c r="X12" s="280">
        <v>30.1</v>
      </c>
      <c r="Y12" s="281">
        <f t="shared" si="11"/>
        <v>3.082191780821919E-2</v>
      </c>
      <c r="Z12" s="254">
        <v>18.45</v>
      </c>
      <c r="AA12" s="256">
        <f t="shared" si="12"/>
        <v>6.3400576368875861E-2</v>
      </c>
      <c r="AD12" s="300" t="s">
        <v>255</v>
      </c>
      <c r="AE12" s="302">
        <f>SLOPE(Y3:Y122,C3:C122)</f>
        <v>0.84299175335579701</v>
      </c>
    </row>
    <row r="13" spans="1:31">
      <c r="A13" s="252">
        <v>41486</v>
      </c>
      <c r="B13" s="255">
        <v>7915.11</v>
      </c>
      <c r="C13" s="256">
        <f t="shared" si="0"/>
        <v>5.5830866649681177E-2</v>
      </c>
      <c r="D13" s="259">
        <v>84.75</v>
      </c>
      <c r="E13" s="260">
        <f t="shared" si="1"/>
        <v>3.039513677811545E-2</v>
      </c>
      <c r="F13" s="265">
        <v>28</v>
      </c>
      <c r="G13" s="266">
        <f t="shared" si="2"/>
        <v>4.0892193308550207E-2</v>
      </c>
      <c r="H13" s="269">
        <v>24.95</v>
      </c>
      <c r="I13" s="270">
        <f t="shared" si="3"/>
        <v>0.16861826697892268</v>
      </c>
      <c r="J13" s="272">
        <v>24.85</v>
      </c>
      <c r="K13" s="273">
        <f t="shared" si="4"/>
        <v>0.19471153846153855</v>
      </c>
      <c r="L13" s="276">
        <v>57.6</v>
      </c>
      <c r="M13" s="277">
        <f t="shared" si="5"/>
        <v>6.2730627306273101E-2</v>
      </c>
      <c r="N13" s="274">
        <v>50.75</v>
      </c>
      <c r="O13" s="275">
        <f t="shared" si="6"/>
        <v>4.9504950495049549E-3</v>
      </c>
      <c r="P13" s="278">
        <v>105.25</v>
      </c>
      <c r="Q13" s="279">
        <f t="shared" si="7"/>
        <v>4.2079207920792117E-2</v>
      </c>
      <c r="R13" s="287">
        <v>103.25</v>
      </c>
      <c r="S13" s="288">
        <f t="shared" si="8"/>
        <v>-7.2115384615384359E-3</v>
      </c>
      <c r="T13" s="267">
        <v>72</v>
      </c>
      <c r="U13" s="268">
        <f t="shared" si="9"/>
        <v>7.0631970260222943E-2</v>
      </c>
      <c r="V13" s="262">
        <v>59.5</v>
      </c>
      <c r="W13" s="263">
        <f t="shared" si="10"/>
        <v>1.2765957446808418E-2</v>
      </c>
      <c r="X13" s="280">
        <v>29.2</v>
      </c>
      <c r="Y13" s="281">
        <f t="shared" si="11"/>
        <v>6.8965517241379448E-3</v>
      </c>
      <c r="Z13" s="254">
        <v>17.350000000000001</v>
      </c>
      <c r="AA13" s="256">
        <f t="shared" si="12"/>
        <v>2.662721893491149E-2</v>
      </c>
      <c r="AD13" s="301" t="s">
        <v>249</v>
      </c>
      <c r="AE13" s="302">
        <f>SLOPE(AA3:AA47,C3:C47)</f>
        <v>0.98837655881949138</v>
      </c>
    </row>
    <row r="14" spans="1:31">
      <c r="A14" s="252">
        <v>41455</v>
      </c>
      <c r="B14" s="255">
        <v>7496.57</v>
      </c>
      <c r="C14" s="256">
        <f t="shared" si="0"/>
        <v>1.2486291416130557E-2</v>
      </c>
      <c r="D14" s="259">
        <v>82.25</v>
      </c>
      <c r="E14" s="260">
        <f t="shared" si="1"/>
        <v>2.8124999999999956E-2</v>
      </c>
      <c r="F14" s="265">
        <v>26.9</v>
      </c>
      <c r="G14" s="266">
        <f t="shared" si="2"/>
        <v>3.0651340996168397E-2</v>
      </c>
      <c r="H14" s="269">
        <v>21.35</v>
      </c>
      <c r="I14" s="270">
        <f t="shared" si="3"/>
        <v>-0.15277777777777768</v>
      </c>
      <c r="J14" s="272">
        <v>20.8</v>
      </c>
      <c r="K14" s="273">
        <f t="shared" si="4"/>
        <v>0</v>
      </c>
      <c r="L14" s="276">
        <v>54.2</v>
      </c>
      <c r="M14" s="277">
        <f t="shared" si="5"/>
        <v>-7.3260073260073E-3</v>
      </c>
      <c r="N14" s="274">
        <v>50.5</v>
      </c>
      <c r="O14" s="275">
        <f t="shared" si="6"/>
        <v>3.0612244897959107E-2</v>
      </c>
      <c r="P14" s="278">
        <v>101</v>
      </c>
      <c r="Q14" s="279">
        <f t="shared" si="7"/>
        <v>2.7989821882951738E-2</v>
      </c>
      <c r="R14" s="287">
        <v>104</v>
      </c>
      <c r="S14" s="288">
        <f t="shared" si="8"/>
        <v>4.7858942065491128E-2</v>
      </c>
      <c r="T14" s="267">
        <v>67.25</v>
      </c>
      <c r="U14" s="268">
        <f t="shared" si="9"/>
        <v>-1.46520146520146E-2</v>
      </c>
      <c r="V14" s="262">
        <v>58.75</v>
      </c>
      <c r="W14" s="263">
        <f t="shared" si="10"/>
        <v>-4.237288135593209E-3</v>
      </c>
      <c r="X14" s="280">
        <v>29</v>
      </c>
      <c r="Y14" s="281">
        <f t="shared" si="11"/>
        <v>-0.11585365853658525</v>
      </c>
      <c r="Z14" s="254">
        <v>16.899999999999999</v>
      </c>
      <c r="AA14" s="256">
        <f t="shared" si="12"/>
        <v>-5.8495821727019504E-2</v>
      </c>
    </row>
    <row r="15" spans="1:31">
      <c r="A15" s="252">
        <v>41425</v>
      </c>
      <c r="B15" s="255">
        <v>7404.12</v>
      </c>
      <c r="C15" s="256">
        <f t="shared" si="0"/>
        <v>3.124321011727349E-2</v>
      </c>
      <c r="D15" s="259">
        <v>80</v>
      </c>
      <c r="E15" s="260">
        <f t="shared" si="1"/>
        <v>-3.1152647975077885E-3</v>
      </c>
      <c r="F15" s="265">
        <v>26.1</v>
      </c>
      <c r="G15" s="266">
        <f t="shared" si="2"/>
        <v>-2.9739776951672736E-2</v>
      </c>
      <c r="H15" s="269">
        <v>25.2</v>
      </c>
      <c r="I15" s="270">
        <f t="shared" si="3"/>
        <v>3.7037037037036979E-2</v>
      </c>
      <c r="J15" s="272">
        <v>20.8</v>
      </c>
      <c r="K15" s="273">
        <f t="shared" si="4"/>
        <v>3.4825870646766122E-2</v>
      </c>
      <c r="L15" s="276">
        <v>54.6</v>
      </c>
      <c r="M15" s="277">
        <f t="shared" si="5"/>
        <v>2.2471910112359605E-2</v>
      </c>
      <c r="N15" s="274">
        <v>49</v>
      </c>
      <c r="O15" s="275">
        <f t="shared" si="6"/>
        <v>-1.8036072144288595E-2</v>
      </c>
      <c r="P15" s="278">
        <v>98.25</v>
      </c>
      <c r="Q15" s="279">
        <f t="shared" si="7"/>
        <v>-7.575757575757569E-3</v>
      </c>
      <c r="R15" s="287">
        <v>99.25</v>
      </c>
      <c r="S15" s="288">
        <f t="shared" si="8"/>
        <v>-2.5125628140703071E-3</v>
      </c>
      <c r="T15" s="267">
        <v>68.25</v>
      </c>
      <c r="U15" s="268">
        <f t="shared" si="9"/>
        <v>2.2471910112359605E-2</v>
      </c>
      <c r="V15" s="262">
        <v>59</v>
      </c>
      <c r="W15" s="263">
        <f t="shared" si="10"/>
        <v>-4.2194092827003704E-3</v>
      </c>
      <c r="X15" s="280">
        <v>32.799999999999997</v>
      </c>
      <c r="Y15" s="281">
        <f t="shared" si="11"/>
        <v>0.15901060070671358</v>
      </c>
      <c r="Z15" s="254">
        <v>17.95</v>
      </c>
      <c r="AA15" s="256">
        <f t="shared" si="12"/>
        <v>-1.1019283746556474E-2</v>
      </c>
    </row>
    <row r="16" spans="1:31">
      <c r="A16" s="252">
        <v>41394</v>
      </c>
      <c r="B16" s="255">
        <v>7179.8</v>
      </c>
      <c r="C16" s="256">
        <f t="shared" si="0"/>
        <v>7.5879944931958043E-3</v>
      </c>
      <c r="D16" s="259">
        <v>80.25</v>
      </c>
      <c r="E16" s="260">
        <f t="shared" si="1"/>
        <v>2.5559105431310014E-2</v>
      </c>
      <c r="F16" s="265">
        <v>26.9</v>
      </c>
      <c r="G16" s="266">
        <f t="shared" si="2"/>
        <v>0.17982456140350878</v>
      </c>
      <c r="H16" s="269">
        <v>24.3</v>
      </c>
      <c r="I16" s="270">
        <f t="shared" si="3"/>
        <v>0.38461538461538458</v>
      </c>
      <c r="J16" s="272">
        <v>20.100000000000001</v>
      </c>
      <c r="K16" s="273">
        <f t="shared" si="4"/>
        <v>6.6312997347480085E-2</v>
      </c>
      <c r="L16" s="276">
        <v>53.4</v>
      </c>
      <c r="M16" s="277">
        <f t="shared" si="5"/>
        <v>0.18141592920353977</v>
      </c>
      <c r="N16" s="274">
        <v>49.9</v>
      </c>
      <c r="O16" s="275">
        <f t="shared" si="6"/>
        <v>7.7753779697624203E-2</v>
      </c>
      <c r="P16" s="278">
        <v>99</v>
      </c>
      <c r="Q16" s="279">
        <f t="shared" si="7"/>
        <v>0.10000000000000009</v>
      </c>
      <c r="R16" s="287">
        <v>99.5</v>
      </c>
      <c r="S16" s="288">
        <f t="shared" si="8"/>
        <v>-9.9502487562188602E-3</v>
      </c>
      <c r="T16" s="267">
        <v>66.75</v>
      </c>
      <c r="U16" s="268">
        <f t="shared" si="9"/>
        <v>0.14592274678111594</v>
      </c>
      <c r="V16" s="262">
        <v>59.25</v>
      </c>
      <c r="W16" s="263">
        <f t="shared" si="10"/>
        <v>5.3333333333333233E-2</v>
      </c>
      <c r="X16" s="280">
        <v>28.3</v>
      </c>
      <c r="Y16" s="281">
        <f t="shared" si="11"/>
        <v>0.11417322834645671</v>
      </c>
      <c r="Z16" s="254">
        <v>18.149999999999999</v>
      </c>
      <c r="AA16" s="256">
        <f t="shared" si="12"/>
        <v>0.11009174311926584</v>
      </c>
    </row>
    <row r="17" spans="1:27">
      <c r="A17" s="252">
        <v>41364</v>
      </c>
      <c r="B17" s="255">
        <v>7125.73</v>
      </c>
      <c r="C17" s="256">
        <f t="shared" si="0"/>
        <v>1.8204343036124282E-2</v>
      </c>
      <c r="D17" s="259">
        <v>78.25</v>
      </c>
      <c r="E17" s="260">
        <f t="shared" si="1"/>
        <v>-3.3950617283950657E-2</v>
      </c>
      <c r="F17" s="265">
        <v>22.8</v>
      </c>
      <c r="G17" s="266">
        <f t="shared" si="2"/>
        <v>8.0568720379146974E-2</v>
      </c>
      <c r="H17" s="269">
        <v>17.55</v>
      </c>
      <c r="I17" s="270">
        <f t="shared" si="3"/>
        <v>8.6206896551725976E-3</v>
      </c>
      <c r="J17" s="272">
        <v>18.850000000000001</v>
      </c>
      <c r="K17" s="273">
        <f t="shared" si="4"/>
        <v>-0.15848214285714279</v>
      </c>
      <c r="L17" s="276">
        <v>45.2</v>
      </c>
      <c r="M17" s="277">
        <f t="shared" si="5"/>
        <v>5.6074766355140415E-2</v>
      </c>
      <c r="N17" s="274">
        <v>46.3</v>
      </c>
      <c r="O17" s="275">
        <f t="shared" si="6"/>
        <v>2.207505518763786E-2</v>
      </c>
      <c r="P17" s="278">
        <v>90</v>
      </c>
      <c r="Q17" s="279">
        <f t="shared" si="7"/>
        <v>-4.7619047619047672E-2</v>
      </c>
      <c r="R17" s="287">
        <v>100.5</v>
      </c>
      <c r="S17" s="288">
        <f t="shared" si="8"/>
        <v>-2.8985507246376829E-2</v>
      </c>
      <c r="T17" s="267">
        <v>58.25</v>
      </c>
      <c r="U17" s="268">
        <f t="shared" si="9"/>
        <v>-3.9887918246250265E-2</v>
      </c>
      <c r="V17" s="262">
        <v>56.25</v>
      </c>
      <c r="W17" s="263">
        <f t="shared" si="10"/>
        <v>-0.10358565737051795</v>
      </c>
      <c r="X17" s="280">
        <v>25.4</v>
      </c>
      <c r="Y17" s="281">
        <f t="shared" si="11"/>
        <v>3.6734693877551017E-2</v>
      </c>
      <c r="Z17" s="254">
        <v>16.350000000000001</v>
      </c>
      <c r="AA17" s="256">
        <f t="shared" si="12"/>
        <v>0</v>
      </c>
    </row>
    <row r="18" spans="1:27">
      <c r="A18" s="252">
        <v>41333</v>
      </c>
      <c r="B18" s="255">
        <v>6998.33</v>
      </c>
      <c r="C18" s="256">
        <f t="shared" si="0"/>
        <v>-6.4200580673098306E-3</v>
      </c>
      <c r="D18" s="259">
        <v>81</v>
      </c>
      <c r="E18" s="260">
        <f t="shared" si="1"/>
        <v>6.2111801242235032E-3</v>
      </c>
      <c r="F18" s="265">
        <v>21.1</v>
      </c>
      <c r="G18" s="266">
        <f t="shared" si="2"/>
        <v>5.2369077306733125E-2</v>
      </c>
      <c r="H18" s="269">
        <v>17.399999999999999</v>
      </c>
      <c r="I18" s="270">
        <f t="shared" si="3"/>
        <v>-5.7142857142857828E-3</v>
      </c>
      <c r="J18" s="272">
        <v>22.4</v>
      </c>
      <c r="K18" s="272" t="s">
        <v>2</v>
      </c>
      <c r="L18" s="276">
        <v>42.8</v>
      </c>
      <c r="M18" s="277">
        <f t="shared" si="5"/>
        <v>0.12394957983193278</v>
      </c>
      <c r="N18" s="274">
        <v>45.3</v>
      </c>
      <c r="O18" s="275">
        <f t="shared" si="6"/>
        <v>-4.0254237288135708E-2</v>
      </c>
      <c r="P18" s="278">
        <v>94.5</v>
      </c>
      <c r="Q18" s="279">
        <f t="shared" si="7"/>
        <v>-5.0251256281407031E-2</v>
      </c>
      <c r="R18" s="287">
        <v>103.5</v>
      </c>
      <c r="S18" s="288">
        <f t="shared" si="8"/>
        <v>3.499999999999992E-2</v>
      </c>
      <c r="T18" s="267">
        <v>60.67</v>
      </c>
      <c r="U18" s="268">
        <f t="shared" si="9"/>
        <v>4.2977479800584417E-2</v>
      </c>
      <c r="V18" s="262">
        <v>62.75</v>
      </c>
      <c r="W18" s="263">
        <f t="shared" si="10"/>
        <v>7.2649572649572614E-2</v>
      </c>
      <c r="X18" s="280">
        <v>24.5</v>
      </c>
      <c r="Y18" s="281">
        <f t="shared" si="11"/>
        <v>-2.3904382470119612E-2</v>
      </c>
      <c r="Z18" s="254">
        <v>16.350000000000001</v>
      </c>
      <c r="AA18" s="256">
        <f t="shared" si="12"/>
        <v>-3.0487804878046587E-3</v>
      </c>
    </row>
    <row r="19" spans="1:27">
      <c r="A19" s="252">
        <v>41305</v>
      </c>
      <c r="B19" s="255">
        <v>7043.55</v>
      </c>
      <c r="C19" s="256">
        <f t="shared" si="0"/>
        <v>3.5630372197929194E-2</v>
      </c>
      <c r="D19" s="259">
        <v>80.5</v>
      </c>
      <c r="E19" s="260">
        <f t="shared" si="1"/>
        <v>0</v>
      </c>
      <c r="F19" s="265">
        <v>20.05</v>
      </c>
      <c r="G19" s="266">
        <f t="shared" si="2"/>
        <v>6.0846560846560926E-2</v>
      </c>
      <c r="H19" s="269">
        <v>17.5</v>
      </c>
      <c r="I19" s="270">
        <f t="shared" si="3"/>
        <v>1.449275362318847E-2</v>
      </c>
      <c r="J19" s="272"/>
      <c r="K19" s="272"/>
      <c r="L19" s="276">
        <v>38.08</v>
      </c>
      <c r="M19" s="277">
        <f t="shared" si="5"/>
        <v>-4.8000000000000043E-2</v>
      </c>
      <c r="N19" s="274">
        <v>47.2</v>
      </c>
      <c r="O19" s="275">
        <f t="shared" si="6"/>
        <v>-6.3157894736841635E-3</v>
      </c>
      <c r="P19" s="278">
        <v>99.5</v>
      </c>
      <c r="Q19" s="279">
        <f t="shared" si="7"/>
        <v>4.7368421052631504E-2</v>
      </c>
      <c r="R19" s="287">
        <v>100</v>
      </c>
      <c r="S19" s="288">
        <f t="shared" si="8"/>
        <v>0</v>
      </c>
      <c r="T19" s="267">
        <v>58.17</v>
      </c>
      <c r="U19" s="268">
        <f t="shared" si="9"/>
        <v>0.11159946493407236</v>
      </c>
      <c r="V19" s="262">
        <v>58.5</v>
      </c>
      <c r="W19" s="263">
        <f t="shared" si="10"/>
        <v>1.7391304347825987E-2</v>
      </c>
      <c r="X19" s="280">
        <v>25.1</v>
      </c>
      <c r="Y19" s="281">
        <f t="shared" si="11"/>
        <v>3.292181069958855E-2</v>
      </c>
      <c r="Z19" s="254">
        <v>16.399999999999999</v>
      </c>
      <c r="AA19" s="256">
        <f t="shared" si="12"/>
        <v>3.0581039755350758E-3</v>
      </c>
    </row>
    <row r="20" spans="1:27">
      <c r="A20" s="252">
        <v>41274</v>
      </c>
      <c r="B20" s="255">
        <v>6801.22</v>
      </c>
      <c r="C20" s="256">
        <f t="shared" si="0"/>
        <v>4.1033867328727158E-2</v>
      </c>
      <c r="D20" s="259">
        <v>80.5</v>
      </c>
      <c r="E20" s="260">
        <f t="shared" si="1"/>
        <v>4.5454545454545414E-2</v>
      </c>
      <c r="F20" s="265">
        <v>18.899999999999999</v>
      </c>
      <c r="G20" s="266">
        <f t="shared" si="2"/>
        <v>0.10526315789473673</v>
      </c>
      <c r="H20" s="269">
        <v>17.25</v>
      </c>
      <c r="I20" s="270">
        <f t="shared" si="3"/>
        <v>5.1829268292683084E-2</v>
      </c>
      <c r="J20" s="272"/>
      <c r="K20" s="272"/>
      <c r="L20" s="276">
        <v>40</v>
      </c>
      <c r="M20" s="277">
        <f t="shared" si="5"/>
        <v>0.12866817155756216</v>
      </c>
      <c r="N20" s="274">
        <v>47.5</v>
      </c>
      <c r="O20" s="275">
        <f t="shared" si="6"/>
        <v>7.9545454545454586E-2</v>
      </c>
      <c r="P20" s="278">
        <v>95</v>
      </c>
      <c r="Q20" s="279">
        <f t="shared" si="7"/>
        <v>7.9545454545454586E-2</v>
      </c>
      <c r="R20" s="287">
        <v>100</v>
      </c>
      <c r="S20" s="288">
        <f t="shared" si="8"/>
        <v>8.6956521739130377E-2</v>
      </c>
      <c r="T20" s="267">
        <v>52.33</v>
      </c>
      <c r="U20" s="268">
        <f t="shared" si="9"/>
        <v>2.2669532929450842E-2</v>
      </c>
      <c r="V20" s="262">
        <v>57.5</v>
      </c>
      <c r="W20" s="263">
        <f t="shared" si="10"/>
        <v>9.5238095238095344E-2</v>
      </c>
      <c r="X20" s="280">
        <v>24.3</v>
      </c>
      <c r="Y20" s="281">
        <f t="shared" si="11"/>
        <v>5.8823529411764719E-2</v>
      </c>
      <c r="Z20" s="254">
        <v>16.350000000000001</v>
      </c>
      <c r="AA20" s="256">
        <f t="shared" si="12"/>
        <v>6.514657980456029E-2</v>
      </c>
    </row>
    <row r="21" spans="1:27">
      <c r="A21" s="252">
        <v>41243</v>
      </c>
      <c r="B21" s="255">
        <v>6533.14</v>
      </c>
      <c r="C21" s="256">
        <f t="shared" si="0"/>
        <v>-3.7976510225237958E-2</v>
      </c>
      <c r="D21" s="259">
        <v>77</v>
      </c>
      <c r="E21" s="260">
        <f t="shared" si="1"/>
        <v>-1.9108280254777066E-2</v>
      </c>
      <c r="F21" s="265">
        <v>17.100000000000001</v>
      </c>
      <c r="G21" s="266">
        <f t="shared" si="2"/>
        <v>-9.5238095238095122E-2</v>
      </c>
      <c r="H21" s="269">
        <v>16.399999999999999</v>
      </c>
      <c r="I21" s="270">
        <f t="shared" si="3"/>
        <v>-7.0821529745042522E-2</v>
      </c>
      <c r="J21" s="272"/>
      <c r="K21" s="272"/>
      <c r="L21" s="276">
        <v>35.44</v>
      </c>
      <c r="M21" s="277">
        <f t="shared" si="5"/>
        <v>-7.7083333333333393E-2</v>
      </c>
      <c r="N21" s="274">
        <v>44</v>
      </c>
      <c r="O21" s="275">
        <f t="shared" si="6"/>
        <v>-1.1235955056179803E-2</v>
      </c>
      <c r="P21" s="278">
        <v>88</v>
      </c>
      <c r="Q21" s="279">
        <f t="shared" si="7"/>
        <v>-2.2222222222222254E-2</v>
      </c>
      <c r="R21" s="287">
        <v>92</v>
      </c>
      <c r="S21" s="288">
        <f t="shared" si="8"/>
        <v>-4.166666666666663E-2</v>
      </c>
      <c r="T21" s="267">
        <v>51.17</v>
      </c>
      <c r="U21" s="268">
        <f t="shared" si="9"/>
        <v>6.227942702927125E-2</v>
      </c>
      <c r="V21" s="262">
        <v>52.5</v>
      </c>
      <c r="W21" s="263">
        <f t="shared" si="10"/>
        <v>1.449275362318847E-2</v>
      </c>
      <c r="X21" s="280">
        <v>22.95</v>
      </c>
      <c r="Y21" s="281">
        <f t="shared" si="11"/>
        <v>1.5486725663716783E-2</v>
      </c>
      <c r="Z21" s="254">
        <v>15.35</v>
      </c>
      <c r="AA21" s="256">
        <f t="shared" si="12"/>
        <v>-9.171597633136086E-2</v>
      </c>
    </row>
    <row r="22" spans="1:27">
      <c r="A22" s="252">
        <v>41213</v>
      </c>
      <c r="B22" s="255">
        <v>6791.04</v>
      </c>
      <c r="C22" s="256">
        <f t="shared" si="0"/>
        <v>-7.1332182232599628E-3</v>
      </c>
      <c r="D22" s="259">
        <v>78.5</v>
      </c>
      <c r="E22" s="260">
        <f t="shared" si="1"/>
        <v>3.289473684210531E-2</v>
      </c>
      <c r="F22" s="265">
        <v>18.899999999999999</v>
      </c>
      <c r="G22" s="266">
        <f t="shared" si="2"/>
        <v>-9.1346153846153966E-2</v>
      </c>
      <c r="H22" s="269">
        <v>17.649999999999999</v>
      </c>
      <c r="I22" s="269"/>
      <c r="J22" s="272"/>
      <c r="K22" s="272"/>
      <c r="L22" s="276">
        <v>38.4</v>
      </c>
      <c r="M22" s="277">
        <f t="shared" si="5"/>
        <v>-7.2463768115942018E-2</v>
      </c>
      <c r="N22" s="274">
        <v>44.5</v>
      </c>
      <c r="O22" s="275">
        <f t="shared" si="6"/>
        <v>9.0702947845804349E-3</v>
      </c>
      <c r="P22" s="278">
        <v>90</v>
      </c>
      <c r="Q22" s="279">
        <f t="shared" si="7"/>
        <v>1.9830028328611915E-2</v>
      </c>
      <c r="R22" s="287">
        <v>96</v>
      </c>
      <c r="S22" s="288">
        <f t="shared" si="8"/>
        <v>-2.7848101265822822E-2</v>
      </c>
      <c r="T22" s="267">
        <v>48.17</v>
      </c>
      <c r="U22" s="268">
        <f t="shared" si="9"/>
        <v>-3.0199315482182354E-2</v>
      </c>
      <c r="V22" s="262">
        <v>51.75</v>
      </c>
      <c r="W22" s="263">
        <f t="shared" si="10"/>
        <v>-4.8076923076922906E-3</v>
      </c>
      <c r="X22" s="280">
        <v>22.6</v>
      </c>
      <c r="Y22" s="281">
        <f t="shared" si="11"/>
        <v>-6.6115702479338734E-2</v>
      </c>
      <c r="Z22" s="254">
        <v>16.899999999999999</v>
      </c>
      <c r="AA22" s="256">
        <f t="shared" si="12"/>
        <v>-1.1695906432748648E-2</v>
      </c>
    </row>
    <row r="23" spans="1:27">
      <c r="A23" s="252">
        <v>41182</v>
      </c>
      <c r="B23" s="255">
        <v>6839.83</v>
      </c>
      <c r="C23" s="256">
        <f t="shared" si="0"/>
        <v>-4.1907771525743764E-2</v>
      </c>
      <c r="D23" s="259">
        <v>76</v>
      </c>
      <c r="E23" s="260">
        <f t="shared" si="1"/>
        <v>-1.2987012987012991E-2</v>
      </c>
      <c r="F23" s="265">
        <v>20.8</v>
      </c>
      <c r="G23" s="266">
        <f t="shared" si="2"/>
        <v>-6.9351230425055976E-2</v>
      </c>
      <c r="H23" s="269"/>
      <c r="I23" s="269"/>
      <c r="J23" s="272"/>
      <c r="K23" s="272"/>
      <c r="L23" s="276">
        <v>41.4</v>
      </c>
      <c r="M23" s="277">
        <f t="shared" si="5"/>
        <v>-5.4794520547945202E-2</v>
      </c>
      <c r="N23" s="274">
        <v>44.1</v>
      </c>
      <c r="O23" s="275">
        <f t="shared" si="6"/>
        <v>-6.7653276955602415E-2</v>
      </c>
      <c r="P23" s="278">
        <v>88.25</v>
      </c>
      <c r="Q23" s="279">
        <f t="shared" si="7"/>
        <v>-1.3966480446927387E-2</v>
      </c>
      <c r="R23" s="287">
        <v>98.75</v>
      </c>
      <c r="S23" s="288">
        <f t="shared" si="8"/>
        <v>-6.8396226415094352E-2</v>
      </c>
      <c r="T23" s="267">
        <v>49.67</v>
      </c>
      <c r="U23" s="268">
        <f t="shared" si="9"/>
        <v>-3.2339762322228682E-2</v>
      </c>
      <c r="V23" s="262">
        <v>52</v>
      </c>
      <c r="W23" s="263">
        <f t="shared" si="10"/>
        <v>-1.8867924528301883E-2</v>
      </c>
      <c r="X23" s="280">
        <v>24.2</v>
      </c>
      <c r="Y23" s="281">
        <f t="shared" si="11"/>
        <v>-1.8255578093306246E-2</v>
      </c>
      <c r="Z23" s="254">
        <v>17.100000000000001</v>
      </c>
      <c r="AA23" s="256">
        <f t="shared" si="12"/>
        <v>-5.5248618784530357E-2</v>
      </c>
    </row>
    <row r="24" spans="1:27">
      <c r="A24" s="252">
        <v>41152</v>
      </c>
      <c r="B24" s="255">
        <v>7139.01</v>
      </c>
      <c r="C24" s="256">
        <f t="shared" si="0"/>
        <v>3.7919859730539685E-2</v>
      </c>
      <c r="D24" s="259">
        <v>77</v>
      </c>
      <c r="E24" s="260">
        <f t="shared" si="1"/>
        <v>-3.7499999999999978E-2</v>
      </c>
      <c r="F24" s="265">
        <v>22.35</v>
      </c>
      <c r="G24" s="266">
        <f t="shared" si="2"/>
        <v>2.2883295194507935E-2</v>
      </c>
      <c r="H24" s="269"/>
      <c r="I24" s="269"/>
      <c r="J24" s="272"/>
      <c r="K24" s="272"/>
      <c r="L24" s="276">
        <v>43.8</v>
      </c>
      <c r="M24" s="277">
        <f t="shared" si="5"/>
        <v>2.3364485981308469E-2</v>
      </c>
      <c r="N24" s="274">
        <v>47.3</v>
      </c>
      <c r="O24" s="275">
        <f t="shared" si="6"/>
        <v>3.5010940919037115E-2</v>
      </c>
      <c r="P24" s="278">
        <v>89.5</v>
      </c>
      <c r="Q24" s="279">
        <f t="shared" si="7"/>
        <v>-2.1857923497267784E-2</v>
      </c>
      <c r="R24" s="287">
        <v>106</v>
      </c>
      <c r="S24" s="288">
        <f t="shared" si="8"/>
        <v>6.5326633165829096E-2</v>
      </c>
      <c r="T24" s="267">
        <v>51.33</v>
      </c>
      <c r="U24" s="268">
        <f t="shared" si="9"/>
        <v>-9.6469226316805434E-3</v>
      </c>
      <c r="V24" s="262">
        <v>53</v>
      </c>
      <c r="W24" s="263">
        <f t="shared" si="10"/>
        <v>9.52380952380949E-3</v>
      </c>
      <c r="X24" s="280">
        <v>24.65</v>
      </c>
      <c r="Y24" s="281">
        <f t="shared" si="11"/>
        <v>-1.4000000000000012E-2</v>
      </c>
      <c r="Z24" s="254">
        <v>18.100000000000001</v>
      </c>
      <c r="AA24" s="256">
        <f t="shared" si="12"/>
        <v>7.4183976261127604E-2</v>
      </c>
    </row>
    <row r="25" spans="1:27">
      <c r="A25" s="252">
        <v>41121</v>
      </c>
      <c r="B25" s="255">
        <v>6878.19</v>
      </c>
      <c r="C25" s="256">
        <f t="shared" si="0"/>
        <v>2.5079322971545137E-2</v>
      </c>
      <c r="D25" s="259">
        <v>80</v>
      </c>
      <c r="E25" s="260">
        <f t="shared" si="1"/>
        <v>2.564102564102555E-2</v>
      </c>
      <c r="F25" s="265">
        <v>21.85</v>
      </c>
      <c r="G25" s="266">
        <f t="shared" si="2"/>
        <v>6.9124423963133896E-3</v>
      </c>
      <c r="H25" s="269"/>
      <c r="I25" s="269"/>
      <c r="J25" s="272"/>
      <c r="K25" s="272"/>
      <c r="L25" s="276">
        <v>42.8</v>
      </c>
      <c r="M25" s="277">
        <f t="shared" si="5"/>
        <v>-4.0358744394618951E-2</v>
      </c>
      <c r="N25" s="274">
        <v>45.7</v>
      </c>
      <c r="O25" s="275">
        <f t="shared" si="6"/>
        <v>-8.2329317269076219E-2</v>
      </c>
      <c r="P25" s="278">
        <v>91.5</v>
      </c>
      <c r="Q25" s="279">
        <f t="shared" si="7"/>
        <v>1.3850415512465464E-2</v>
      </c>
      <c r="R25" s="287">
        <v>99.5</v>
      </c>
      <c r="S25" s="288">
        <f t="shared" si="8"/>
        <v>-5.0000000000000044E-3</v>
      </c>
      <c r="T25" s="267">
        <v>51.83</v>
      </c>
      <c r="U25" s="268">
        <f t="shared" si="9"/>
        <v>-6.5171554533257625E-3</v>
      </c>
      <c r="V25" s="262">
        <v>52.5</v>
      </c>
      <c r="W25" s="263">
        <f t="shared" si="10"/>
        <v>-9.4339622641509413E-3</v>
      </c>
      <c r="X25" s="280">
        <v>25</v>
      </c>
      <c r="Y25" s="281">
        <f t="shared" si="11"/>
        <v>6.6098081023454158E-2</v>
      </c>
      <c r="Z25" s="254">
        <v>16.850000000000001</v>
      </c>
      <c r="AA25" s="256">
        <f t="shared" si="12"/>
        <v>1.812688821752273E-2</v>
      </c>
    </row>
    <row r="26" spans="1:27">
      <c r="A26" s="252">
        <v>41090</v>
      </c>
      <c r="B26" s="255">
        <v>6709.91</v>
      </c>
      <c r="C26" s="256">
        <f t="shared" si="0"/>
        <v>-3.8042971813277537E-2</v>
      </c>
      <c r="D26" s="259">
        <v>78</v>
      </c>
      <c r="E26" s="260">
        <f t="shared" si="1"/>
        <v>-2.5000000000000022E-2</v>
      </c>
      <c r="F26" s="265">
        <v>21.7</v>
      </c>
      <c r="G26" s="266">
        <f t="shared" si="2"/>
        <v>-2.4719101123595544E-2</v>
      </c>
      <c r="H26" s="269"/>
      <c r="I26" s="269"/>
      <c r="J26" s="272"/>
      <c r="K26" s="272"/>
      <c r="L26" s="276">
        <v>44.6</v>
      </c>
      <c r="M26" s="277">
        <f t="shared" si="5"/>
        <v>-6.3025210084033612E-2</v>
      </c>
      <c r="N26" s="274">
        <v>49.8</v>
      </c>
      <c r="O26" s="275">
        <f t="shared" si="6"/>
        <v>2.0491803278688492E-2</v>
      </c>
      <c r="P26" s="278">
        <v>90.25</v>
      </c>
      <c r="Q26" s="279">
        <f t="shared" si="7"/>
        <v>-5.5096418732781816E-3</v>
      </c>
      <c r="R26" s="287">
        <v>100</v>
      </c>
      <c r="S26" s="288">
        <f t="shared" si="8"/>
        <v>-2.9126213592232997E-2</v>
      </c>
      <c r="T26" s="267">
        <v>52.17</v>
      </c>
      <c r="U26" s="268">
        <f t="shared" si="9"/>
        <v>0</v>
      </c>
      <c r="V26" s="262">
        <v>53</v>
      </c>
      <c r="W26" s="263">
        <f t="shared" si="10"/>
        <v>-3.1963470319634757E-2</v>
      </c>
      <c r="X26" s="280">
        <v>23.45</v>
      </c>
      <c r="Y26" s="281">
        <f t="shared" si="11"/>
        <v>-3.8934426229508157E-2</v>
      </c>
      <c r="Z26" s="254">
        <v>16.55</v>
      </c>
      <c r="AA26" s="256">
        <f t="shared" si="12"/>
        <v>-9.0659340659340559E-2</v>
      </c>
    </row>
    <row r="27" spans="1:27">
      <c r="A27" s="252">
        <v>41060</v>
      </c>
      <c r="B27" s="255">
        <v>6975.27</v>
      </c>
      <c r="C27" s="256">
        <f t="shared" si="0"/>
        <v>-7.7158472548015666E-2</v>
      </c>
      <c r="D27" s="259">
        <v>80</v>
      </c>
      <c r="E27" s="260">
        <f t="shared" si="1"/>
        <v>-3.3232628398791486E-2</v>
      </c>
      <c r="F27" s="265">
        <v>22.25</v>
      </c>
      <c r="G27" s="265"/>
      <c r="H27" s="269"/>
      <c r="I27" s="269"/>
      <c r="J27" s="272"/>
      <c r="K27" s="272"/>
      <c r="L27" s="276">
        <v>47.6</v>
      </c>
      <c r="M27" s="277">
        <f t="shared" si="5"/>
        <v>0</v>
      </c>
      <c r="N27" s="274">
        <v>48.8</v>
      </c>
      <c r="O27" s="275">
        <f t="shared" si="6"/>
        <v>-3.3663366336633693E-2</v>
      </c>
      <c r="P27" s="278">
        <v>90.75</v>
      </c>
      <c r="Q27" s="279">
        <f t="shared" si="7"/>
        <v>-7.1611253196930957E-2</v>
      </c>
      <c r="R27" s="287">
        <v>103</v>
      </c>
      <c r="S27" s="288">
        <f t="shared" si="8"/>
        <v>-1.4354066985645897E-2</v>
      </c>
      <c r="T27" s="267">
        <v>52.17</v>
      </c>
      <c r="U27" s="268">
        <f t="shared" si="9"/>
        <v>5.033219247030396E-2</v>
      </c>
      <c r="V27" s="262">
        <v>54.75</v>
      </c>
      <c r="W27" s="263">
        <f t="shared" si="10"/>
        <v>-3.9473684210526327E-2</v>
      </c>
      <c r="X27" s="280">
        <v>24.4</v>
      </c>
      <c r="Y27" s="281">
        <f t="shared" si="11"/>
        <v>-5.058365758754868E-2</v>
      </c>
      <c r="Z27" s="254">
        <v>18.2</v>
      </c>
      <c r="AA27" s="256">
        <f t="shared" si="12"/>
        <v>-6.9053708439897776E-2</v>
      </c>
    </row>
    <row r="28" spans="1:27">
      <c r="A28" s="252">
        <v>41029</v>
      </c>
      <c r="B28" s="255">
        <v>7558.47</v>
      </c>
      <c r="C28" s="256">
        <f t="shared" si="0"/>
        <v>-3.5312661531687217E-2</v>
      </c>
      <c r="D28" s="259">
        <v>82.75</v>
      </c>
      <c r="E28" s="260">
        <f t="shared" si="1"/>
        <v>4.4164037854889537E-2</v>
      </c>
      <c r="F28" s="265"/>
      <c r="G28" s="265"/>
      <c r="H28" s="269"/>
      <c r="I28" s="269"/>
      <c r="J28" s="272"/>
      <c r="K28" s="272"/>
      <c r="L28" s="276">
        <v>47.6</v>
      </c>
      <c r="M28" s="277">
        <f t="shared" si="5"/>
        <v>2.5862068965517349E-2</v>
      </c>
      <c r="N28" s="274">
        <v>50.5</v>
      </c>
      <c r="O28" s="275">
        <f t="shared" si="6"/>
        <v>1.4056224899598346E-2</v>
      </c>
      <c r="P28" s="278">
        <v>97.75</v>
      </c>
      <c r="Q28" s="279">
        <f t="shared" si="7"/>
        <v>0.15339233038348077</v>
      </c>
      <c r="R28" s="287">
        <v>104.5</v>
      </c>
      <c r="S28" s="288">
        <f t="shared" si="8"/>
        <v>0.13586956521739135</v>
      </c>
      <c r="T28" s="267">
        <v>49.67</v>
      </c>
      <c r="U28" s="268">
        <f t="shared" si="9"/>
        <v>-4.4807692307692326E-2</v>
      </c>
      <c r="V28" s="262">
        <v>57</v>
      </c>
      <c r="W28" s="263">
        <f t="shared" si="10"/>
        <v>-3.3898305084745783E-2</v>
      </c>
      <c r="X28" s="280">
        <v>25.7</v>
      </c>
      <c r="Y28" s="281">
        <f t="shared" si="11"/>
        <v>-3.7453183520599231E-2</v>
      </c>
      <c r="Z28" s="254">
        <v>19.55</v>
      </c>
      <c r="AA28" s="256">
        <f t="shared" si="12"/>
        <v>-2.9776674937965208E-2</v>
      </c>
    </row>
    <row r="29" spans="1:27">
      <c r="A29" s="252">
        <v>40999</v>
      </c>
      <c r="B29" s="255">
        <v>7835.15</v>
      </c>
      <c r="C29" s="256">
        <f t="shared" si="0"/>
        <v>7.7467539075499747E-2</v>
      </c>
      <c r="D29" s="259">
        <v>79.25</v>
      </c>
      <c r="E29" s="260">
        <f t="shared" si="1"/>
        <v>-7.0381231671554301E-2</v>
      </c>
      <c r="F29" s="265"/>
      <c r="G29" s="265"/>
      <c r="H29" s="269"/>
      <c r="I29" s="269"/>
      <c r="J29" s="272"/>
      <c r="K29" s="272"/>
      <c r="L29" s="276">
        <v>46.4</v>
      </c>
      <c r="M29" s="277">
        <f t="shared" si="5"/>
        <v>7.4074074074073959E-2</v>
      </c>
      <c r="N29" s="274">
        <v>49.8</v>
      </c>
      <c r="O29" s="275">
        <f t="shared" si="6"/>
        <v>-0.11858407079646027</v>
      </c>
      <c r="P29" s="278">
        <v>84.75</v>
      </c>
      <c r="Q29" s="279">
        <f t="shared" si="7"/>
        <v>-5.5710306406685284E-2</v>
      </c>
      <c r="R29" s="287">
        <v>92</v>
      </c>
      <c r="S29" s="288">
        <f t="shared" si="8"/>
        <v>-7.0707070707070718E-2</v>
      </c>
      <c r="T29" s="267">
        <v>52</v>
      </c>
      <c r="U29" s="268">
        <f t="shared" si="9"/>
        <v>0.13043478260869557</v>
      </c>
      <c r="V29" s="262">
        <v>59</v>
      </c>
      <c r="W29" s="263">
        <f t="shared" si="10"/>
        <v>-6.3492063492063489E-2</v>
      </c>
      <c r="X29" s="280">
        <v>26.7</v>
      </c>
      <c r="Y29" s="281">
        <f t="shared" si="11"/>
        <v>1.5209125475285079E-2</v>
      </c>
      <c r="Z29" s="254">
        <v>20.149999999999999</v>
      </c>
      <c r="AA29" s="256">
        <f t="shared" si="12"/>
        <v>0.10714285714285721</v>
      </c>
    </row>
    <row r="30" spans="1:27">
      <c r="A30" s="252">
        <v>40968</v>
      </c>
      <c r="B30" s="255">
        <v>7271.82</v>
      </c>
      <c r="C30" s="256">
        <f t="shared" si="0"/>
        <v>9.746092688845831E-2</v>
      </c>
      <c r="D30" s="259">
        <v>85.25</v>
      </c>
      <c r="E30" s="260">
        <f t="shared" si="1"/>
        <v>0.14814814814814814</v>
      </c>
      <c r="F30" s="265"/>
      <c r="G30" s="265"/>
      <c r="H30" s="269"/>
      <c r="I30" s="269"/>
      <c r="J30" s="272"/>
      <c r="K30" s="272"/>
      <c r="L30" s="276">
        <v>43.2</v>
      </c>
      <c r="M30" s="277">
        <f t="shared" si="5"/>
        <v>0.17391304347826098</v>
      </c>
      <c r="N30" s="274">
        <v>56.5</v>
      </c>
      <c r="O30" s="275">
        <f t="shared" si="6"/>
        <v>0.14534765862558285</v>
      </c>
      <c r="P30" s="278">
        <v>89.75</v>
      </c>
      <c r="Q30" s="279">
        <f t="shared" si="7"/>
        <v>0.12539184952978055</v>
      </c>
      <c r="R30" s="287">
        <v>99</v>
      </c>
      <c r="S30" s="288">
        <f t="shared" si="8"/>
        <v>0.15451895043731789</v>
      </c>
      <c r="T30" s="267">
        <v>46</v>
      </c>
      <c r="U30" s="268">
        <f t="shared" si="9"/>
        <v>5.7471264367816133E-2</v>
      </c>
      <c r="V30" s="262">
        <v>63</v>
      </c>
      <c r="W30" s="263">
        <f t="shared" si="10"/>
        <v>6.7796610169491567E-2</v>
      </c>
      <c r="X30" s="280">
        <v>26.3</v>
      </c>
      <c r="Y30" s="281">
        <f t="shared" si="11"/>
        <v>0.15604395604395616</v>
      </c>
      <c r="Z30" s="254">
        <v>18.2</v>
      </c>
      <c r="AA30" s="256">
        <f t="shared" si="12"/>
        <v>0.1063829787234043</v>
      </c>
    </row>
    <row r="31" spans="1:27">
      <c r="A31" s="252">
        <v>40939</v>
      </c>
      <c r="B31" s="255">
        <v>6626.04</v>
      </c>
      <c r="C31" s="256">
        <f t="shared" si="0"/>
        <v>3.2458517263892483E-2</v>
      </c>
      <c r="D31" s="259">
        <v>74.25</v>
      </c>
      <c r="E31" s="260">
        <f t="shared" si="1"/>
        <v>2.0618556701030855E-2</v>
      </c>
      <c r="F31" s="265"/>
      <c r="G31" s="265"/>
      <c r="H31" s="269"/>
      <c r="I31" s="269"/>
      <c r="J31" s="272"/>
      <c r="K31" s="272"/>
      <c r="L31" s="276">
        <v>36.799999999999997</v>
      </c>
      <c r="M31" s="277">
        <f t="shared" si="5"/>
        <v>2.4498886414253684E-2</v>
      </c>
      <c r="N31" s="274">
        <v>49.33</v>
      </c>
      <c r="O31" s="275">
        <f t="shared" si="6"/>
        <v>5.6995928862224154E-2</v>
      </c>
      <c r="P31" s="278">
        <v>79.75</v>
      </c>
      <c r="Q31" s="279">
        <f t="shared" si="7"/>
        <v>0.10763888888888884</v>
      </c>
      <c r="R31" s="287">
        <v>85.75</v>
      </c>
      <c r="S31" s="288">
        <f t="shared" si="8"/>
        <v>-2.9069767441860517E-3</v>
      </c>
      <c r="T31" s="267">
        <v>43.5</v>
      </c>
      <c r="U31" s="268">
        <f t="shared" si="9"/>
        <v>-4.7514779943069851E-2</v>
      </c>
      <c r="V31" s="262">
        <v>59</v>
      </c>
      <c r="W31" s="263">
        <f t="shared" si="10"/>
        <v>6.3063063063063085E-2</v>
      </c>
      <c r="X31" s="280">
        <v>22.75</v>
      </c>
      <c r="Y31" s="281">
        <f t="shared" si="11"/>
        <v>8.8691796008868451E-3</v>
      </c>
      <c r="Z31" s="254">
        <v>16.45</v>
      </c>
      <c r="AA31" s="256">
        <f t="shared" si="12"/>
        <v>8.9403973509933676E-2</v>
      </c>
    </row>
    <row r="32" spans="1:27">
      <c r="A32" s="252">
        <v>40908</v>
      </c>
      <c r="B32" s="255">
        <v>6417.73</v>
      </c>
      <c r="C32" s="256">
        <f t="shared" si="0"/>
        <v>5.1300994666282129E-2</v>
      </c>
      <c r="D32" s="259">
        <v>72.75</v>
      </c>
      <c r="E32" s="260">
        <f t="shared" si="1"/>
        <v>7.7777777777777724E-2</v>
      </c>
      <c r="F32" s="265"/>
      <c r="G32" s="265"/>
      <c r="H32" s="269"/>
      <c r="I32" s="269"/>
      <c r="J32" s="272"/>
      <c r="K32" s="272"/>
      <c r="L32" s="276">
        <v>35.92</v>
      </c>
      <c r="M32" s="277">
        <f t="shared" si="5"/>
        <v>7.1599045346061985E-2</v>
      </c>
      <c r="N32" s="274">
        <v>46.67</v>
      </c>
      <c r="O32" s="275">
        <f t="shared" si="6"/>
        <v>0.14752889107450207</v>
      </c>
      <c r="P32" s="278">
        <v>72</v>
      </c>
      <c r="Q32" s="279">
        <f t="shared" si="7"/>
        <v>0.15199999999999991</v>
      </c>
      <c r="R32" s="287">
        <v>86</v>
      </c>
      <c r="S32" s="288">
        <f t="shared" si="8"/>
        <v>0.17006802721088432</v>
      </c>
      <c r="T32" s="267">
        <v>45.67</v>
      </c>
      <c r="U32" s="268">
        <f t="shared" si="9"/>
        <v>0.15124779430299973</v>
      </c>
      <c r="V32" s="262">
        <v>55.5</v>
      </c>
      <c r="W32" s="263">
        <f t="shared" si="10"/>
        <v>0.18336886993603407</v>
      </c>
      <c r="X32" s="280">
        <v>22.55</v>
      </c>
      <c r="Y32" s="281">
        <f t="shared" si="11"/>
        <v>8.9371980676328677E-2</v>
      </c>
      <c r="Z32" s="254">
        <v>15.1</v>
      </c>
      <c r="AA32" s="256">
        <f t="shared" si="12"/>
        <v>7.8571428571428514E-2</v>
      </c>
    </row>
    <row r="33" spans="1:27">
      <c r="A33" s="252">
        <v>40877</v>
      </c>
      <c r="B33" s="255">
        <v>6104.56</v>
      </c>
      <c r="C33" s="256">
        <f t="shared" si="0"/>
        <v>-1.9237504618993317E-2</v>
      </c>
      <c r="D33" s="259">
        <v>67.5</v>
      </c>
      <c r="E33" s="260">
        <f t="shared" si="1"/>
        <v>-7.3529411764705621E-3</v>
      </c>
      <c r="F33" s="265"/>
      <c r="G33" s="265"/>
      <c r="H33" s="269"/>
      <c r="I33" s="269"/>
      <c r="J33" s="272"/>
      <c r="K33" s="272"/>
      <c r="L33" s="276">
        <v>33.520000000000003</v>
      </c>
      <c r="M33" s="277">
        <f t="shared" si="5"/>
        <v>-3.4562211981566726E-2</v>
      </c>
      <c r="N33" s="274">
        <v>40.67</v>
      </c>
      <c r="O33" s="275">
        <f t="shared" si="6"/>
        <v>2.1089630931458769E-2</v>
      </c>
      <c r="P33" s="278">
        <v>62.5</v>
      </c>
      <c r="Q33" s="279">
        <f t="shared" si="7"/>
        <v>-1.9607843137254943E-2</v>
      </c>
      <c r="R33" s="287">
        <v>73.5</v>
      </c>
      <c r="S33" s="288">
        <f t="shared" si="8"/>
        <v>-1.0101010101010055E-2</v>
      </c>
      <c r="T33" s="267">
        <v>39.67</v>
      </c>
      <c r="U33" s="268">
        <f t="shared" si="9"/>
        <v>4.3037974683544089E-3</v>
      </c>
      <c r="V33" s="262">
        <v>46.9</v>
      </c>
      <c r="W33" s="263">
        <f t="shared" si="10"/>
        <v>-2.1276595744681437E-3</v>
      </c>
      <c r="X33" s="280">
        <v>20.7</v>
      </c>
      <c r="Y33" s="281">
        <f t="shared" si="11"/>
        <v>-3.7209302325581395E-2</v>
      </c>
      <c r="Z33" s="254">
        <v>14</v>
      </c>
      <c r="AA33" s="256">
        <f t="shared" si="12"/>
        <v>-7.0921985815602939E-3</v>
      </c>
    </row>
    <row r="34" spans="1:27">
      <c r="A34" s="252">
        <v>40847</v>
      </c>
      <c r="B34" s="255">
        <v>6224.3</v>
      </c>
      <c r="C34" s="256">
        <f t="shared" si="0"/>
        <v>1.8312045900362728E-2</v>
      </c>
      <c r="D34" s="259">
        <v>68</v>
      </c>
      <c r="E34" s="260">
        <f t="shared" si="1"/>
        <v>-3.66300366300365E-3</v>
      </c>
      <c r="F34" s="265"/>
      <c r="G34" s="265"/>
      <c r="H34" s="269"/>
      <c r="I34" s="269"/>
      <c r="J34" s="272"/>
      <c r="K34" s="272"/>
      <c r="L34" s="276">
        <v>34.72</v>
      </c>
      <c r="M34" s="277">
        <f t="shared" si="5"/>
        <v>3.8277511961722466E-2</v>
      </c>
      <c r="N34" s="274">
        <v>39.83</v>
      </c>
      <c r="O34" s="275">
        <f t="shared" si="6"/>
        <v>-5.166666666666675E-2</v>
      </c>
      <c r="P34" s="278">
        <v>63.75</v>
      </c>
      <c r="Q34" s="279">
        <f t="shared" si="7"/>
        <v>7.905138339920903E-3</v>
      </c>
      <c r="R34" s="287">
        <v>74.25</v>
      </c>
      <c r="S34" s="288">
        <f t="shared" si="8"/>
        <v>1.3651877133105783E-2</v>
      </c>
      <c r="T34" s="267">
        <v>39.5</v>
      </c>
      <c r="U34" s="268">
        <f t="shared" si="9"/>
        <v>3.9473684210526327E-2</v>
      </c>
      <c r="V34" s="262">
        <v>47</v>
      </c>
      <c r="W34" s="263">
        <f t="shared" si="10"/>
        <v>-1.8789144050104345E-2</v>
      </c>
      <c r="X34" s="280">
        <v>21.5</v>
      </c>
      <c r="Y34" s="281">
        <f t="shared" si="11"/>
        <v>-3.3707865168539297E-2</v>
      </c>
      <c r="Z34" s="254">
        <v>14.1</v>
      </c>
      <c r="AA34" s="256">
        <f t="shared" si="12"/>
        <v>-2.4221453287197159E-2</v>
      </c>
    </row>
    <row r="35" spans="1:27">
      <c r="A35" s="252">
        <v>40816</v>
      </c>
      <c r="B35" s="255">
        <v>6112.37</v>
      </c>
      <c r="C35" s="256">
        <f t="shared" si="0"/>
        <v>2.2255113474821453E-2</v>
      </c>
      <c r="D35" s="259">
        <v>68.25</v>
      </c>
      <c r="E35" s="260">
        <f t="shared" si="1"/>
        <v>3.0188679245283012E-2</v>
      </c>
      <c r="F35" s="265"/>
      <c r="G35" s="265"/>
      <c r="H35" s="269"/>
      <c r="I35" s="269"/>
      <c r="J35" s="272"/>
      <c r="K35" s="272"/>
      <c r="L35" s="276">
        <v>33.44</v>
      </c>
      <c r="M35" s="277">
        <f t="shared" si="5"/>
        <v>2.450980392156854E-2</v>
      </c>
      <c r="N35" s="274">
        <v>42</v>
      </c>
      <c r="O35" s="275">
        <f t="shared" si="6"/>
        <v>2.8655400440852352E-2</v>
      </c>
      <c r="P35" s="278">
        <v>63.25</v>
      </c>
      <c r="Q35" s="279">
        <f t="shared" si="7"/>
        <v>3.688524590163933E-2</v>
      </c>
      <c r="R35" s="287">
        <v>73.25</v>
      </c>
      <c r="S35" s="288">
        <f t="shared" si="8"/>
        <v>2.0905923344947785E-2</v>
      </c>
      <c r="T35" s="267">
        <v>38</v>
      </c>
      <c r="U35" s="268">
        <f t="shared" si="9"/>
        <v>-5.7773369699975152E-2</v>
      </c>
      <c r="V35" s="262">
        <v>47.9</v>
      </c>
      <c r="W35" s="263">
        <f t="shared" si="10"/>
        <v>8.4210526315788847E-3</v>
      </c>
      <c r="X35" s="280">
        <v>22.25</v>
      </c>
      <c r="Y35" s="281">
        <f t="shared" si="11"/>
        <v>2.2988505747126409E-2</v>
      </c>
      <c r="Z35" s="254">
        <v>14.45</v>
      </c>
      <c r="AA35" s="256">
        <f t="shared" si="12"/>
        <v>1.0489510489510412E-2</v>
      </c>
    </row>
    <row r="36" spans="1:27">
      <c r="A36" s="252">
        <v>40786</v>
      </c>
      <c r="B36" s="255">
        <v>5979.3</v>
      </c>
      <c r="C36" s="256">
        <f t="shared" si="0"/>
        <v>-6.4584105767561018E-2</v>
      </c>
      <c r="D36" s="259">
        <v>66.25</v>
      </c>
      <c r="E36" s="260">
        <f t="shared" si="1"/>
        <v>1.1450381679389388E-2</v>
      </c>
      <c r="F36" s="265"/>
      <c r="G36" s="265"/>
      <c r="H36" s="269"/>
      <c r="I36" s="269"/>
      <c r="J36" s="272"/>
      <c r="K36" s="272"/>
      <c r="L36" s="276">
        <v>32.64</v>
      </c>
      <c r="M36" s="277">
        <f t="shared" si="5"/>
        <v>-2.8571428571428581E-2</v>
      </c>
      <c r="N36" s="274">
        <v>40.83</v>
      </c>
      <c r="O36" s="275">
        <f t="shared" si="6"/>
        <v>0</v>
      </c>
      <c r="P36" s="278">
        <v>61</v>
      </c>
      <c r="Q36" s="279">
        <f t="shared" si="7"/>
        <v>1.2448132780082943E-2</v>
      </c>
      <c r="R36" s="287">
        <v>71.75</v>
      </c>
      <c r="S36" s="288">
        <f t="shared" si="8"/>
        <v>3.4965034965035446E-3</v>
      </c>
      <c r="T36" s="267">
        <v>40.33</v>
      </c>
      <c r="U36" s="268">
        <f t="shared" si="9"/>
        <v>3.862992531547782E-2</v>
      </c>
      <c r="V36" s="262">
        <v>47.5</v>
      </c>
      <c r="W36" s="263">
        <f t="shared" si="10"/>
        <v>-1.2474012474012475E-2</v>
      </c>
      <c r="X36" s="280">
        <v>21.75</v>
      </c>
      <c r="Y36" s="281">
        <f t="shared" si="11"/>
        <v>-5.4347826086956541E-2</v>
      </c>
      <c r="Z36" s="254">
        <v>14.3</v>
      </c>
      <c r="AA36" s="256">
        <f t="shared" si="12"/>
        <v>1.4184397163120588E-2</v>
      </c>
    </row>
    <row r="37" spans="1:27">
      <c r="A37" s="252">
        <v>40755</v>
      </c>
      <c r="B37" s="255">
        <v>6392.13</v>
      </c>
      <c r="C37" s="256">
        <f t="shared" si="0"/>
        <v>-2.7960766423357652E-2</v>
      </c>
      <c r="D37" s="259">
        <v>65.5</v>
      </c>
      <c r="E37" s="260">
        <f t="shared" si="1"/>
        <v>-7.4204946996466403E-2</v>
      </c>
      <c r="F37" s="265"/>
      <c r="G37" s="265"/>
      <c r="H37" s="269"/>
      <c r="I37" s="269"/>
      <c r="J37" s="272"/>
      <c r="K37" s="272"/>
      <c r="L37" s="276">
        <v>33.6</v>
      </c>
      <c r="M37" s="277">
        <f t="shared" si="5"/>
        <v>-7.2847682119205337E-2</v>
      </c>
      <c r="N37" s="274">
        <v>40.83</v>
      </c>
      <c r="O37" s="275">
        <f t="shared" si="6"/>
        <v>-6.8446269678302585E-2</v>
      </c>
      <c r="P37" s="278">
        <v>60.25</v>
      </c>
      <c r="Q37" s="279">
        <f t="shared" si="7"/>
        <v>-5.859375E-2</v>
      </c>
      <c r="R37" s="287">
        <v>71.5</v>
      </c>
      <c r="S37" s="288">
        <f t="shared" si="8"/>
        <v>-5.9210526315789491E-2</v>
      </c>
      <c r="T37" s="267">
        <v>38.83</v>
      </c>
      <c r="U37" s="268">
        <f t="shared" si="9"/>
        <v>5.8903736023997677E-2</v>
      </c>
      <c r="V37" s="262">
        <v>48.1</v>
      </c>
      <c r="W37" s="263">
        <f t="shared" si="10"/>
        <v>-2.8282828282828243E-2</v>
      </c>
      <c r="X37" s="280">
        <v>23</v>
      </c>
      <c r="Y37" s="281">
        <f t="shared" si="11"/>
        <v>-4.9586776859504078E-2</v>
      </c>
      <c r="Z37" s="254">
        <v>14.1</v>
      </c>
      <c r="AA37" s="256">
        <f t="shared" si="12"/>
        <v>-0.14024390243902429</v>
      </c>
    </row>
    <row r="38" spans="1:27">
      <c r="A38" s="252">
        <v>40724</v>
      </c>
      <c r="B38" s="257">
        <v>6576</v>
      </c>
      <c r="C38" s="256">
        <f t="shared" si="0"/>
        <v>-2.3750070516836419E-2</v>
      </c>
      <c r="D38" s="259">
        <v>70.75</v>
      </c>
      <c r="E38" s="260">
        <f t="shared" si="1"/>
        <v>3.6630036630036722E-2</v>
      </c>
      <c r="F38" s="265"/>
      <c r="G38" s="265"/>
      <c r="H38" s="269"/>
      <c r="I38" s="269"/>
      <c r="J38" s="272"/>
      <c r="K38" s="272"/>
      <c r="L38" s="276">
        <v>36.24</v>
      </c>
      <c r="M38" s="277">
        <f t="shared" si="5"/>
        <v>3.6613272311212919E-2</v>
      </c>
      <c r="N38" s="274">
        <v>43.83</v>
      </c>
      <c r="O38" s="275">
        <f t="shared" si="6"/>
        <v>3.9364477116433427E-2</v>
      </c>
      <c r="P38" s="278">
        <v>64</v>
      </c>
      <c r="Q38" s="279">
        <f t="shared" si="7"/>
        <v>3.9215686274509665E-3</v>
      </c>
      <c r="R38" s="287">
        <v>76</v>
      </c>
      <c r="S38" s="288">
        <f t="shared" si="8"/>
        <v>7.8014184397163122E-2</v>
      </c>
      <c r="T38" s="267">
        <v>36.67</v>
      </c>
      <c r="U38" s="268">
        <f t="shared" si="9"/>
        <v>4.2649985783338007E-2</v>
      </c>
      <c r="V38" s="262">
        <v>49.5</v>
      </c>
      <c r="W38" s="263">
        <f t="shared" si="10"/>
        <v>0</v>
      </c>
      <c r="X38" s="280">
        <v>24.2</v>
      </c>
      <c r="Y38" s="281">
        <f t="shared" si="11"/>
        <v>-6.9230769230769207E-2</v>
      </c>
      <c r="Z38" s="254">
        <v>16.399999999999999</v>
      </c>
      <c r="AA38" s="256">
        <f t="shared" si="12"/>
        <v>-7.0821529745042522E-2</v>
      </c>
    </row>
    <row r="39" spans="1:27">
      <c r="A39" s="252">
        <v>40694</v>
      </c>
      <c r="B39" s="255">
        <v>6735.98</v>
      </c>
      <c r="C39" s="256">
        <f t="shared" si="0"/>
        <v>3.7880594167996051E-3</v>
      </c>
      <c r="D39" s="259">
        <v>68.25</v>
      </c>
      <c r="E39" s="260">
        <f t="shared" si="1"/>
        <v>0.10526315789473695</v>
      </c>
      <c r="F39" s="265"/>
      <c r="G39" s="265"/>
      <c r="H39" s="269"/>
      <c r="I39" s="269"/>
      <c r="J39" s="272"/>
      <c r="K39" s="272"/>
      <c r="L39" s="276">
        <v>34.96</v>
      </c>
      <c r="M39" s="277">
        <f t="shared" si="5"/>
        <v>7.6354679802955738E-2</v>
      </c>
      <c r="N39" s="274">
        <v>42.17</v>
      </c>
      <c r="O39" s="275">
        <f t="shared" si="6"/>
        <v>8.601596703579717E-2</v>
      </c>
      <c r="P39" s="278">
        <v>63.75</v>
      </c>
      <c r="Q39" s="279">
        <f t="shared" si="7"/>
        <v>0.1333333333333333</v>
      </c>
      <c r="R39" s="287">
        <v>70.5</v>
      </c>
      <c r="S39" s="288">
        <f t="shared" si="8"/>
        <v>9.3023255813953432E-2</v>
      </c>
      <c r="T39" s="267">
        <v>35.17</v>
      </c>
      <c r="U39" s="268">
        <f t="shared" si="9"/>
        <v>0.18537243006403781</v>
      </c>
      <c r="V39" s="262">
        <v>49.5</v>
      </c>
      <c r="W39" s="263">
        <f t="shared" si="10"/>
        <v>7.3752711496746226E-2</v>
      </c>
      <c r="X39" s="280">
        <v>26</v>
      </c>
      <c r="Y39" s="281">
        <f t="shared" si="11"/>
        <v>0.35416666666666674</v>
      </c>
      <c r="Z39" s="254">
        <v>17.649999999999999</v>
      </c>
      <c r="AA39" s="256">
        <f t="shared" si="12"/>
        <v>0.4007936507936507</v>
      </c>
    </row>
    <row r="40" spans="1:27">
      <c r="A40" s="252">
        <v>40663</v>
      </c>
      <c r="B40" s="255">
        <v>6710.56</v>
      </c>
      <c r="C40" s="256">
        <f t="shared" si="0"/>
        <v>2.2506990103384972E-2</v>
      </c>
      <c r="D40" s="259">
        <v>61.75</v>
      </c>
      <c r="E40" s="260">
        <f t="shared" si="1"/>
        <v>2.4896265560165887E-2</v>
      </c>
      <c r="F40" s="265"/>
      <c r="G40" s="265"/>
      <c r="H40" s="269"/>
      <c r="I40" s="269"/>
      <c r="J40" s="272"/>
      <c r="K40" s="272"/>
      <c r="L40" s="276">
        <v>32.479999999999997</v>
      </c>
      <c r="M40" s="277">
        <f t="shared" si="5"/>
        <v>0.28481012658227822</v>
      </c>
      <c r="N40" s="274">
        <v>38.83</v>
      </c>
      <c r="O40" s="275">
        <f t="shared" si="6"/>
        <v>8.8589851415755483E-2</v>
      </c>
      <c r="P40" s="278">
        <v>56.25</v>
      </c>
      <c r="Q40" s="279">
        <f t="shared" si="7"/>
        <v>6.6350710900473953E-2</v>
      </c>
      <c r="R40" s="287">
        <v>64.5</v>
      </c>
      <c r="S40" s="288">
        <f t="shared" si="8"/>
        <v>6.1728395061728447E-2</v>
      </c>
      <c r="T40" s="267">
        <v>29.67</v>
      </c>
      <c r="U40" s="268">
        <f t="shared" si="9"/>
        <v>-1.7549668874172086E-2</v>
      </c>
      <c r="V40" s="262">
        <v>46.1</v>
      </c>
      <c r="W40" s="263">
        <f t="shared" si="10"/>
        <v>-1.2847965738758016E-2</v>
      </c>
      <c r="X40" s="280">
        <v>19.2</v>
      </c>
      <c r="Y40" s="281">
        <f t="shared" si="11"/>
        <v>3.2258064516129004E-2</v>
      </c>
      <c r="Z40" s="254">
        <v>12.6</v>
      </c>
      <c r="AA40" s="256">
        <f t="shared" si="12"/>
        <v>6.3291139240506222E-2</v>
      </c>
    </row>
    <row r="41" spans="1:27">
      <c r="A41" s="252">
        <v>40633</v>
      </c>
      <c r="B41" s="255">
        <v>6562.85</v>
      </c>
      <c r="C41" s="256">
        <f t="shared" si="0"/>
        <v>0.10455380089302091</v>
      </c>
      <c r="D41" s="259">
        <v>60.25</v>
      </c>
      <c r="E41" s="260">
        <f t="shared" si="1"/>
        <v>6.6371681415929196E-2</v>
      </c>
      <c r="F41" s="265"/>
      <c r="G41" s="265"/>
      <c r="H41" s="269"/>
      <c r="I41" s="269"/>
      <c r="J41" s="272"/>
      <c r="K41" s="272"/>
      <c r="L41" s="276">
        <v>25.28</v>
      </c>
      <c r="M41" s="277">
        <f t="shared" si="5"/>
        <v>8.5910652920962116E-2</v>
      </c>
      <c r="N41" s="274">
        <v>35.67</v>
      </c>
      <c r="O41" s="275">
        <f t="shared" si="6"/>
        <v>0.11468750000000005</v>
      </c>
      <c r="P41" s="278">
        <v>52.75</v>
      </c>
      <c r="Q41" s="279">
        <f t="shared" si="7"/>
        <v>4.4554455445544594E-2</v>
      </c>
      <c r="R41" s="287">
        <v>60.75</v>
      </c>
      <c r="S41" s="288">
        <f t="shared" si="8"/>
        <v>2.9661016949152463E-2</v>
      </c>
      <c r="T41" s="267">
        <v>30.2</v>
      </c>
      <c r="U41" s="268">
        <f t="shared" si="9"/>
        <v>0.12393003349460363</v>
      </c>
      <c r="V41" s="262">
        <v>46.7</v>
      </c>
      <c r="W41" s="263">
        <f t="shared" si="10"/>
        <v>2.6373626373626502E-2</v>
      </c>
      <c r="X41" s="280">
        <v>18.600000000000001</v>
      </c>
      <c r="Y41" s="281">
        <f t="shared" si="11"/>
        <v>3.0470914127423754E-2</v>
      </c>
      <c r="Z41" s="254">
        <v>11.85</v>
      </c>
      <c r="AA41" s="256">
        <f t="shared" si="12"/>
        <v>8.7155963302752326E-2</v>
      </c>
    </row>
    <row r="42" spans="1:27">
      <c r="A42" s="252">
        <v>40602</v>
      </c>
      <c r="B42" s="255">
        <v>5941.63</v>
      </c>
      <c r="C42" s="256">
        <f t="shared" si="0"/>
        <v>-6.5491984152323823E-2</v>
      </c>
      <c r="D42" s="259">
        <v>56.5</v>
      </c>
      <c r="E42" s="260">
        <f t="shared" si="1"/>
        <v>-4.2372881355932202E-2</v>
      </c>
      <c r="F42" s="265"/>
      <c r="G42" s="265"/>
      <c r="H42" s="269"/>
      <c r="I42" s="269"/>
      <c r="J42" s="272"/>
      <c r="K42" s="272"/>
      <c r="L42" s="276">
        <v>23.28</v>
      </c>
      <c r="M42" s="277">
        <f t="shared" si="5"/>
        <v>-4.9019607843137192E-2</v>
      </c>
      <c r="N42" s="274">
        <v>32</v>
      </c>
      <c r="O42" s="275">
        <f t="shared" si="6"/>
        <v>-0.10288758059994396</v>
      </c>
      <c r="P42" s="278">
        <v>50.5</v>
      </c>
      <c r="Q42" s="279">
        <f t="shared" si="7"/>
        <v>5.2083333333333259E-2</v>
      </c>
      <c r="R42" s="287">
        <v>59</v>
      </c>
      <c r="S42" s="288">
        <f t="shared" si="8"/>
        <v>-1.6666666666666718E-2</v>
      </c>
      <c r="T42" s="267">
        <v>26.87</v>
      </c>
      <c r="U42" s="268">
        <f t="shared" si="9"/>
        <v>-0.10433333333333328</v>
      </c>
      <c r="V42" s="262">
        <v>45.5</v>
      </c>
      <c r="W42" s="263">
        <f t="shared" si="10"/>
        <v>4.3577981651376163E-2</v>
      </c>
      <c r="X42" s="280">
        <v>18.05</v>
      </c>
      <c r="Y42" s="281">
        <f t="shared" si="11"/>
        <v>-2.7624309392265678E-3</v>
      </c>
      <c r="Z42" s="254">
        <v>10.9</v>
      </c>
      <c r="AA42" s="256">
        <f t="shared" si="12"/>
        <v>-3.1111111111111089E-2</v>
      </c>
    </row>
    <row r="43" spans="1:27">
      <c r="A43" s="252">
        <v>40574</v>
      </c>
      <c r="B43" s="255">
        <v>6358.03</v>
      </c>
      <c r="C43" s="256">
        <f t="shared" si="0"/>
        <v>-3.9681304988105626E-2</v>
      </c>
      <c r="D43" s="259">
        <v>59</v>
      </c>
      <c r="E43" s="260">
        <f t="shared" si="1"/>
        <v>-5.2208835341365445E-2</v>
      </c>
      <c r="F43" s="265"/>
      <c r="G43" s="265"/>
      <c r="H43" s="269"/>
      <c r="I43" s="269"/>
      <c r="J43" s="272"/>
      <c r="K43" s="272"/>
      <c r="L43" s="276">
        <v>24.48</v>
      </c>
      <c r="M43" s="277">
        <f t="shared" si="5"/>
        <v>-0.10526315789473684</v>
      </c>
      <c r="N43" s="274">
        <v>35.67</v>
      </c>
      <c r="O43" s="275">
        <f t="shared" si="6"/>
        <v>3.9032915817069691E-2</v>
      </c>
      <c r="P43" s="278">
        <v>48</v>
      </c>
      <c r="Q43" s="279">
        <f t="shared" si="7"/>
        <v>-3.6144578313252906E-2</v>
      </c>
      <c r="R43" s="287">
        <v>60</v>
      </c>
      <c r="S43" s="288">
        <f t="shared" si="8"/>
        <v>-2.0408163265306145E-2</v>
      </c>
      <c r="T43" s="267">
        <v>30</v>
      </c>
      <c r="U43" s="268">
        <f t="shared" si="9"/>
        <v>5.1524710830704423E-2</v>
      </c>
      <c r="V43" s="262">
        <v>43.6</v>
      </c>
      <c r="W43" s="263">
        <f t="shared" si="10"/>
        <v>-3.7527593818984406E-2</v>
      </c>
      <c r="X43" s="280">
        <v>18.100000000000001</v>
      </c>
      <c r="Y43" s="281">
        <f t="shared" si="11"/>
        <v>-2.6881720430107503E-2</v>
      </c>
      <c r="Z43" s="254">
        <v>11.25</v>
      </c>
      <c r="AA43" s="256">
        <f t="shared" si="12"/>
        <v>-7.7868852459016313E-2</v>
      </c>
    </row>
    <row r="44" spans="1:27">
      <c r="A44" s="252">
        <v>40543</v>
      </c>
      <c r="B44" s="255">
        <v>6620.75</v>
      </c>
      <c r="C44" s="256">
        <f t="shared" si="0"/>
        <v>4.7835720503283996E-2</v>
      </c>
      <c r="D44" s="259">
        <v>62.25</v>
      </c>
      <c r="E44" s="260">
        <f t="shared" si="1"/>
        <v>3.7500000000000089E-2</v>
      </c>
      <c r="F44" s="265"/>
      <c r="G44" s="265"/>
      <c r="H44" s="269"/>
      <c r="I44" s="269"/>
      <c r="J44" s="272"/>
      <c r="K44" s="272"/>
      <c r="L44" s="276">
        <v>27.36</v>
      </c>
      <c r="M44" s="277">
        <f t="shared" si="5"/>
        <v>-5.2631578947368363E-2</v>
      </c>
      <c r="N44" s="274">
        <v>34.33</v>
      </c>
      <c r="O44" s="275">
        <f t="shared" si="6"/>
        <v>3.4036144578313055E-2</v>
      </c>
      <c r="P44" s="278">
        <v>49.8</v>
      </c>
      <c r="Q44" s="279">
        <f t="shared" si="7"/>
        <v>0.13958810068649874</v>
      </c>
      <c r="R44" s="287">
        <v>61.25</v>
      </c>
      <c r="S44" s="288">
        <f t="shared" si="8"/>
        <v>-2.0000000000000018E-2</v>
      </c>
      <c r="T44" s="267">
        <v>28.53</v>
      </c>
      <c r="U44" s="268">
        <f t="shared" si="9"/>
        <v>5.160339107998535E-2</v>
      </c>
      <c r="V44" s="262">
        <v>45.3</v>
      </c>
      <c r="W44" s="263">
        <f t="shared" si="10"/>
        <v>7.6009501187648265E-2</v>
      </c>
      <c r="X44" s="280">
        <v>18.600000000000001</v>
      </c>
      <c r="Y44" s="281">
        <f t="shared" si="11"/>
        <v>2.1978021978022122E-2</v>
      </c>
      <c r="Z44" s="254">
        <v>12.2</v>
      </c>
      <c r="AA44" s="256">
        <f t="shared" si="12"/>
        <v>2.9535864978902815E-2</v>
      </c>
    </row>
    <row r="45" spans="1:27">
      <c r="A45" s="252">
        <v>40512</v>
      </c>
      <c r="B45" s="255">
        <v>6318.5</v>
      </c>
      <c r="C45" s="256">
        <f t="shared" si="0"/>
        <v>-5.5682512102841475E-3</v>
      </c>
      <c r="D45" s="259">
        <v>60</v>
      </c>
      <c r="E45" s="260">
        <f t="shared" si="1"/>
        <v>-2.0408163265306145E-2</v>
      </c>
      <c r="F45" s="265"/>
      <c r="G45" s="265"/>
      <c r="H45" s="269"/>
      <c r="I45" s="269"/>
      <c r="J45" s="272"/>
      <c r="K45" s="272"/>
      <c r="L45" s="276">
        <v>28.88</v>
      </c>
      <c r="M45" s="277">
        <f t="shared" si="5"/>
        <v>5.5710306406684396E-3</v>
      </c>
      <c r="N45" s="274">
        <v>33.200000000000003</v>
      </c>
      <c r="O45" s="275">
        <f t="shared" si="6"/>
        <v>-4.239976925295641E-2</v>
      </c>
      <c r="P45" s="278">
        <v>43.7</v>
      </c>
      <c r="Q45" s="279">
        <f t="shared" si="7"/>
        <v>-6.8181818181817233E-3</v>
      </c>
      <c r="R45" s="287">
        <v>62.5</v>
      </c>
      <c r="S45" s="288">
        <f t="shared" si="8"/>
        <v>-1.9607843137254943E-2</v>
      </c>
      <c r="T45" s="267">
        <v>27.13</v>
      </c>
      <c r="U45" s="268">
        <f t="shared" si="9"/>
        <v>1.4964459408903785E-2</v>
      </c>
      <c r="V45" s="262">
        <v>42.1</v>
      </c>
      <c r="W45" s="263">
        <f t="shared" si="10"/>
        <v>-1.8648018648018572E-2</v>
      </c>
      <c r="X45" s="280">
        <v>18.2</v>
      </c>
      <c r="Y45" s="281">
        <f t="shared" si="11"/>
        <v>0</v>
      </c>
      <c r="Z45" s="254">
        <v>11.85</v>
      </c>
      <c r="AA45" s="256">
        <f t="shared" si="12"/>
        <v>-4.0485829959514219E-2</v>
      </c>
    </row>
    <row r="46" spans="1:27">
      <c r="A46" s="252">
        <v>40482</v>
      </c>
      <c r="B46" s="255">
        <v>6353.88</v>
      </c>
      <c r="C46" s="256">
        <f t="shared" si="0"/>
        <v>-6.0243508296584647E-3</v>
      </c>
      <c r="D46" s="259">
        <v>61.25</v>
      </c>
      <c r="E46" s="260">
        <f t="shared" si="1"/>
        <v>-6.1302681992337127E-2</v>
      </c>
      <c r="F46" s="265"/>
      <c r="G46" s="265"/>
      <c r="H46" s="269"/>
      <c r="I46" s="269"/>
      <c r="J46" s="272"/>
      <c r="K46" s="272"/>
      <c r="L46" s="276">
        <v>28.72</v>
      </c>
      <c r="M46" s="277">
        <f t="shared" si="5"/>
        <v>-2.7777777777778789E-3</v>
      </c>
      <c r="N46" s="274">
        <v>34.67</v>
      </c>
      <c r="O46" s="275">
        <f t="shared" si="6"/>
        <v>1.4632718759145513E-2</v>
      </c>
      <c r="P46" s="278">
        <v>44</v>
      </c>
      <c r="Q46" s="279">
        <f t="shared" si="7"/>
        <v>-6.7720090293452717E-3</v>
      </c>
      <c r="R46" s="287">
        <v>63.75</v>
      </c>
      <c r="S46" s="288">
        <f t="shared" si="8"/>
        <v>-4.8507462686567138E-2</v>
      </c>
      <c r="T46" s="267">
        <v>26.73</v>
      </c>
      <c r="U46" s="268">
        <f t="shared" si="9"/>
        <v>-3.8489208633093575E-2</v>
      </c>
      <c r="V46" s="262">
        <v>42.9</v>
      </c>
      <c r="W46" s="263">
        <f t="shared" si="10"/>
        <v>-4.4543429844097981E-2</v>
      </c>
      <c r="X46" s="280">
        <v>18.2</v>
      </c>
      <c r="Y46" s="281">
        <f t="shared" si="11"/>
        <v>5.5248618784529135E-3</v>
      </c>
      <c r="Z46" s="254">
        <v>12.35</v>
      </c>
      <c r="AA46" s="256">
        <f t="shared" si="12"/>
        <v>-6.7924528301886777E-2</v>
      </c>
    </row>
    <row r="47" spans="1:27">
      <c r="A47" s="252">
        <v>40451</v>
      </c>
      <c r="B47" s="255">
        <v>6392.39</v>
      </c>
      <c r="C47" s="256">
        <f t="shared" si="0"/>
        <v>4.6831040118432865E-2</v>
      </c>
      <c r="D47" s="259">
        <v>65.25</v>
      </c>
      <c r="E47" s="260">
        <f t="shared" si="1"/>
        <v>-2.6119402985074647E-2</v>
      </c>
      <c r="F47" s="265"/>
      <c r="G47" s="265"/>
      <c r="H47" s="269"/>
      <c r="I47" s="269"/>
      <c r="J47" s="272"/>
      <c r="K47" s="272"/>
      <c r="L47" s="276">
        <v>28.8</v>
      </c>
      <c r="M47" s="277">
        <f t="shared" si="5"/>
        <v>1.1235955056179803E-2</v>
      </c>
      <c r="N47" s="274">
        <v>34.17</v>
      </c>
      <c r="O47" s="275">
        <f t="shared" si="6"/>
        <v>1.0050251256281451E-2</v>
      </c>
      <c r="P47" s="278">
        <v>44.3</v>
      </c>
      <c r="Q47" s="279">
        <f t="shared" si="7"/>
        <v>-1.1160714285714302E-2</v>
      </c>
      <c r="R47" s="287">
        <v>67</v>
      </c>
      <c r="S47" s="288">
        <f t="shared" si="8"/>
        <v>7.5187969924812581E-3</v>
      </c>
      <c r="T47" s="267">
        <v>27.8</v>
      </c>
      <c r="U47" s="268">
        <f t="shared" si="9"/>
        <v>-7.1428571428571175E-3</v>
      </c>
      <c r="V47" s="262">
        <v>44.9</v>
      </c>
      <c r="W47" s="263">
        <f t="shared" si="10"/>
        <v>8.9887640449437534E-3</v>
      </c>
      <c r="X47" s="280">
        <v>18.100000000000001</v>
      </c>
      <c r="Y47" s="281">
        <f t="shared" si="11"/>
        <v>8.3565459610028814E-3</v>
      </c>
      <c r="Z47" s="254">
        <v>13.25</v>
      </c>
      <c r="AA47" s="256">
        <f t="shared" si="12"/>
        <v>9.9585062240663769E-2</v>
      </c>
    </row>
    <row r="48" spans="1:27">
      <c r="A48" s="252">
        <v>40421</v>
      </c>
      <c r="B48" s="255">
        <v>6106.42</v>
      </c>
      <c r="C48" s="256">
        <f t="shared" si="0"/>
        <v>-2.8217316784775792E-2</v>
      </c>
      <c r="D48" s="259">
        <v>67</v>
      </c>
      <c r="E48" s="260">
        <f t="shared" si="1"/>
        <v>-1.8315018315018361E-2</v>
      </c>
      <c r="F48" s="265"/>
      <c r="G48" s="265"/>
      <c r="H48" s="269"/>
      <c r="I48" s="269"/>
      <c r="J48" s="272"/>
      <c r="K48" s="272"/>
      <c r="L48" s="276">
        <v>28.48</v>
      </c>
      <c r="M48" s="277">
        <f t="shared" si="5"/>
        <v>-5.0666666666666638E-2</v>
      </c>
      <c r="N48" s="274">
        <v>33.83</v>
      </c>
      <c r="O48" s="275">
        <f t="shared" si="6"/>
        <v>-2.8710881424059753E-2</v>
      </c>
      <c r="P48" s="278">
        <v>44.8</v>
      </c>
      <c r="Q48" s="279">
        <f t="shared" si="7"/>
        <v>-2.2271714922049712E-3</v>
      </c>
      <c r="R48" s="287">
        <v>66.5</v>
      </c>
      <c r="S48" s="288">
        <f t="shared" si="8"/>
        <v>7.575757575757569E-3</v>
      </c>
      <c r="T48" s="267">
        <v>28</v>
      </c>
      <c r="U48" s="268">
        <f t="shared" si="9"/>
        <v>-1.1648429226967849E-2</v>
      </c>
      <c r="V48" s="262">
        <v>44.5</v>
      </c>
      <c r="W48" s="263">
        <f t="shared" si="10"/>
        <v>-3.0501089324618702E-2</v>
      </c>
      <c r="X48" s="280">
        <v>17.95</v>
      </c>
      <c r="Y48" s="281">
        <f t="shared" si="11"/>
        <v>-2.7777777777777679E-3</v>
      </c>
      <c r="Z48" s="254">
        <v>12.05</v>
      </c>
      <c r="AA48" s="254" t="s">
        <v>2</v>
      </c>
    </row>
    <row r="49" spans="1:27">
      <c r="A49" s="252">
        <v>40390</v>
      </c>
      <c r="B49" s="255">
        <v>6283.73</v>
      </c>
      <c r="C49" s="256">
        <f t="shared" si="0"/>
        <v>3.1174512944388999E-2</v>
      </c>
      <c r="D49" s="259">
        <v>68.25</v>
      </c>
      <c r="E49" s="260">
        <f t="shared" si="1"/>
        <v>-3.5335689045936425E-2</v>
      </c>
      <c r="F49" s="265"/>
      <c r="G49" s="265"/>
      <c r="H49" s="269"/>
      <c r="I49" s="269"/>
      <c r="J49" s="272"/>
      <c r="K49" s="272"/>
      <c r="L49" s="276">
        <v>30</v>
      </c>
      <c r="M49" s="277">
        <f t="shared" si="5"/>
        <v>6.2322946175637384E-2</v>
      </c>
      <c r="N49" s="274">
        <v>34.83</v>
      </c>
      <c r="O49" s="275">
        <f t="shared" si="6"/>
        <v>6.6115702479338845E-2</v>
      </c>
      <c r="P49" s="278">
        <v>44.9</v>
      </c>
      <c r="Q49" s="279">
        <f t="shared" si="7"/>
        <v>1.3544018058690765E-2</v>
      </c>
      <c r="R49" s="287">
        <v>66</v>
      </c>
      <c r="S49" s="288">
        <f t="shared" si="8"/>
        <v>-3.6496350364963459E-2</v>
      </c>
      <c r="T49" s="267">
        <v>28.33</v>
      </c>
      <c r="U49" s="268">
        <f t="shared" si="9"/>
        <v>-1.1859086152773091E-2</v>
      </c>
      <c r="V49" s="262">
        <v>45.9</v>
      </c>
      <c r="W49" s="263">
        <f t="shared" si="10"/>
        <v>6.7441860465116354E-2</v>
      </c>
      <c r="X49" s="280">
        <v>18</v>
      </c>
      <c r="Y49" s="281">
        <f t="shared" si="11"/>
        <v>-2.7027027027026973E-2</v>
      </c>
      <c r="Z49" s="254"/>
      <c r="AA49" s="254"/>
    </row>
    <row r="50" spans="1:27">
      <c r="A50" s="252">
        <v>40359</v>
      </c>
      <c r="B50" s="255">
        <v>6093.76</v>
      </c>
      <c r="C50" s="256">
        <f t="shared" si="0"/>
        <v>-4.3721775273997121E-3</v>
      </c>
      <c r="D50" s="259">
        <v>70.75</v>
      </c>
      <c r="E50" s="260">
        <f t="shared" si="1"/>
        <v>4.8148148148148051E-2</v>
      </c>
      <c r="F50" s="265"/>
      <c r="G50" s="265"/>
      <c r="H50" s="269"/>
      <c r="I50" s="269"/>
      <c r="J50" s="272"/>
      <c r="K50" s="272"/>
      <c r="L50" s="276">
        <v>28.24</v>
      </c>
      <c r="M50" s="277">
        <f t="shared" si="5"/>
        <v>5.0595238095238138E-2</v>
      </c>
      <c r="N50" s="274">
        <v>32.67</v>
      </c>
      <c r="O50" s="275">
        <f t="shared" si="6"/>
        <v>4.9469964664311084E-2</v>
      </c>
      <c r="P50" s="278">
        <v>44.3</v>
      </c>
      <c r="Q50" s="279">
        <f t="shared" si="7"/>
        <v>2.0737327188940169E-2</v>
      </c>
      <c r="R50" s="287">
        <v>68.5</v>
      </c>
      <c r="S50" s="288">
        <f t="shared" si="8"/>
        <v>1.1070110701107083E-2</v>
      </c>
      <c r="T50" s="267">
        <v>28.67</v>
      </c>
      <c r="U50" s="268">
        <f t="shared" si="9"/>
        <v>3.6140224069389326E-2</v>
      </c>
      <c r="V50" s="262">
        <v>43</v>
      </c>
      <c r="W50" s="263">
        <f t="shared" si="10"/>
        <v>3.6144578313253017E-2</v>
      </c>
      <c r="X50" s="280">
        <v>18.5</v>
      </c>
      <c r="Y50" s="281">
        <f t="shared" si="11"/>
        <v>5.4131054131054013E-2</v>
      </c>
      <c r="Z50" s="254"/>
      <c r="AA50" s="254"/>
    </row>
    <row r="51" spans="1:27">
      <c r="A51" s="252">
        <v>40329</v>
      </c>
      <c r="B51" s="255">
        <v>6120.52</v>
      </c>
      <c r="C51" s="256">
        <f t="shared" si="0"/>
        <v>-0.10883128493572336</v>
      </c>
      <c r="D51" s="259">
        <v>67.5</v>
      </c>
      <c r="E51" s="260">
        <f t="shared" si="1"/>
        <v>-6.5743944636678209E-2</v>
      </c>
      <c r="F51" s="265"/>
      <c r="G51" s="265"/>
      <c r="H51" s="269"/>
      <c r="I51" s="269"/>
      <c r="J51" s="272"/>
      <c r="K51" s="272"/>
      <c r="L51" s="276">
        <v>26.88</v>
      </c>
      <c r="M51" s="277">
        <f t="shared" si="5"/>
        <v>-0.1744471744471745</v>
      </c>
      <c r="N51" s="274">
        <v>31.13</v>
      </c>
      <c r="O51" s="275">
        <f t="shared" si="6"/>
        <v>-0.11487062837645723</v>
      </c>
      <c r="P51" s="278">
        <v>43.4</v>
      </c>
      <c r="Q51" s="279">
        <f t="shared" si="7"/>
        <v>-0.17064781196254541</v>
      </c>
      <c r="R51" s="287">
        <v>67.75</v>
      </c>
      <c r="S51" s="288">
        <f t="shared" si="8"/>
        <v>-3.214285714285714E-2</v>
      </c>
      <c r="T51" s="267">
        <v>27.67</v>
      </c>
      <c r="U51" s="268">
        <f t="shared" si="9"/>
        <v>-6.9290279179280101E-2</v>
      </c>
      <c r="V51" s="262">
        <v>41.5</v>
      </c>
      <c r="W51" s="263">
        <f t="shared" si="10"/>
        <v>-8.590308370044053E-2</v>
      </c>
      <c r="X51" s="280">
        <v>17.55</v>
      </c>
      <c r="Y51" s="281">
        <f t="shared" si="11"/>
        <v>-5.6451612903225867E-2</v>
      </c>
      <c r="Z51" s="254"/>
      <c r="AA51" s="254"/>
    </row>
    <row r="52" spans="1:27">
      <c r="A52" s="252">
        <v>40298</v>
      </c>
      <c r="B52" s="255">
        <v>6867.97</v>
      </c>
      <c r="C52" s="256">
        <f t="shared" si="0"/>
        <v>9.8455964628783033E-3</v>
      </c>
      <c r="D52" s="259">
        <v>72.25</v>
      </c>
      <c r="E52" s="260">
        <f t="shared" si="1"/>
        <v>-3.0201342281879207E-2</v>
      </c>
      <c r="F52" s="265"/>
      <c r="G52" s="265"/>
      <c r="H52" s="269"/>
      <c r="I52" s="269"/>
      <c r="J52" s="272"/>
      <c r="K52" s="272"/>
      <c r="L52" s="276">
        <v>32.56</v>
      </c>
      <c r="M52" s="277">
        <f t="shared" si="5"/>
        <v>-2.863961813842486E-2</v>
      </c>
      <c r="N52" s="274">
        <v>35.17</v>
      </c>
      <c r="O52" s="275">
        <f t="shared" si="6"/>
        <v>2.9265437518290804E-2</v>
      </c>
      <c r="P52" s="278">
        <v>52.33</v>
      </c>
      <c r="Q52" s="279">
        <f t="shared" si="7"/>
        <v>7.520032874460636E-2</v>
      </c>
      <c r="R52" s="287">
        <v>70</v>
      </c>
      <c r="S52" s="288">
        <f t="shared" si="8"/>
        <v>-7.0921985815602939E-3</v>
      </c>
      <c r="T52" s="267">
        <v>29.73</v>
      </c>
      <c r="U52" s="268">
        <f t="shared" si="9"/>
        <v>-4.7115384615384559E-2</v>
      </c>
      <c r="V52" s="262">
        <v>45.4</v>
      </c>
      <c r="W52" s="263">
        <f t="shared" si="10"/>
        <v>-9.2000000000000082E-2</v>
      </c>
      <c r="X52" s="280">
        <v>18.600000000000001</v>
      </c>
      <c r="Y52" s="281">
        <f t="shared" si="11"/>
        <v>-3.3766233766233666E-2</v>
      </c>
      <c r="Z52" s="254"/>
      <c r="AA52" s="254"/>
    </row>
    <row r="53" spans="1:27">
      <c r="A53" s="252">
        <v>40268</v>
      </c>
      <c r="B53" s="255">
        <v>6801.01</v>
      </c>
      <c r="C53" s="256">
        <f t="shared" si="0"/>
        <v>5.646757281553394E-2</v>
      </c>
      <c r="D53" s="259">
        <v>74.5</v>
      </c>
      <c r="E53" s="260">
        <f t="shared" si="1"/>
        <v>3.114186851211076E-2</v>
      </c>
      <c r="F53" s="265"/>
      <c r="G53" s="265"/>
      <c r="H53" s="269"/>
      <c r="I53" s="269"/>
      <c r="J53" s="272"/>
      <c r="K53" s="272"/>
      <c r="L53" s="276">
        <v>33.520000000000003</v>
      </c>
      <c r="M53" s="277">
        <f t="shared" si="5"/>
        <v>-2.3809523809523725E-3</v>
      </c>
      <c r="N53" s="274">
        <v>34.17</v>
      </c>
      <c r="O53" s="275">
        <f t="shared" si="6"/>
        <v>1.0050251256281451E-2</v>
      </c>
      <c r="P53" s="278">
        <v>48.67</v>
      </c>
      <c r="Q53" s="279">
        <f t="shared" si="7"/>
        <v>7.7485056453398204E-2</v>
      </c>
      <c r="R53" s="287">
        <v>70.5</v>
      </c>
      <c r="S53" s="288">
        <f t="shared" si="8"/>
        <v>-2.083333333333337E-2</v>
      </c>
      <c r="T53" s="267">
        <v>31.2</v>
      </c>
      <c r="U53" s="268">
        <f t="shared" si="9"/>
        <v>-9.5652173913043481E-2</v>
      </c>
      <c r="V53" s="262">
        <v>50</v>
      </c>
      <c r="W53" s="263">
        <f t="shared" si="10"/>
        <v>8.0645161290322509E-3</v>
      </c>
      <c r="X53" s="280">
        <v>19.25</v>
      </c>
      <c r="Y53" s="281">
        <f t="shared" si="11"/>
        <v>2.1220159151193574E-2</v>
      </c>
      <c r="Z53" s="254"/>
      <c r="AA53" s="254"/>
    </row>
    <row r="54" spans="1:27">
      <c r="A54" s="252">
        <v>40237</v>
      </c>
      <c r="B54" s="255">
        <v>6437.5</v>
      </c>
      <c r="C54" s="256">
        <f t="shared" si="0"/>
        <v>2.9579931387993641E-2</v>
      </c>
      <c r="D54" s="259">
        <v>72.25</v>
      </c>
      <c r="E54" s="260">
        <f t="shared" si="1"/>
        <v>5.0909090909091015E-2</v>
      </c>
      <c r="F54" s="265"/>
      <c r="G54" s="265"/>
      <c r="H54" s="269"/>
      <c r="I54" s="269"/>
      <c r="J54" s="272"/>
      <c r="K54" s="272"/>
      <c r="L54" s="276">
        <v>33.6</v>
      </c>
      <c r="M54" s="277">
        <f t="shared" si="5"/>
        <v>0</v>
      </c>
      <c r="N54" s="274">
        <v>33.83</v>
      </c>
      <c r="O54" s="275">
        <f t="shared" si="6"/>
        <v>4.7520047520046571E-3</v>
      </c>
      <c r="P54" s="278">
        <v>45.17</v>
      </c>
      <c r="Q54" s="279">
        <f t="shared" si="7"/>
        <v>0.1732467532467532</v>
      </c>
      <c r="R54" s="287">
        <v>72</v>
      </c>
      <c r="S54" s="288">
        <f t="shared" si="8"/>
        <v>8.2706766917293173E-2</v>
      </c>
      <c r="T54" s="267">
        <v>34.5</v>
      </c>
      <c r="U54" s="268">
        <f t="shared" si="9"/>
        <v>6.4814814814814881E-2</v>
      </c>
      <c r="V54" s="262">
        <v>49.6</v>
      </c>
      <c r="W54" s="263">
        <f t="shared" si="10"/>
        <v>4.6413502109704741E-2</v>
      </c>
      <c r="X54" s="280">
        <v>18.850000000000001</v>
      </c>
      <c r="Y54" s="281">
        <f t="shared" si="11"/>
        <v>-2.6455026455024511E-3</v>
      </c>
      <c r="Z54" s="254"/>
      <c r="AA54" s="254"/>
    </row>
    <row r="55" spans="1:27">
      <c r="A55" s="252">
        <v>40209</v>
      </c>
      <c r="B55" s="255">
        <v>6252.55</v>
      </c>
      <c r="C55" s="256">
        <f t="shared" si="0"/>
        <v>2.1364770915553777E-2</v>
      </c>
      <c r="D55" s="259">
        <v>68.75</v>
      </c>
      <c r="E55" s="260">
        <f t="shared" si="1"/>
        <v>0</v>
      </c>
      <c r="F55" s="265"/>
      <c r="G55" s="265"/>
      <c r="H55" s="269"/>
      <c r="I55" s="269"/>
      <c r="J55" s="272"/>
      <c r="K55" s="272"/>
      <c r="L55" s="276">
        <v>33.6</v>
      </c>
      <c r="M55" s="277">
        <f t="shared" si="5"/>
        <v>-3.2258064516129004E-2</v>
      </c>
      <c r="N55" s="274">
        <v>33.67</v>
      </c>
      <c r="O55" s="275">
        <f t="shared" si="6"/>
        <v>6.9907848744836354E-2</v>
      </c>
      <c r="P55" s="278">
        <v>38.5</v>
      </c>
      <c r="Q55" s="279">
        <f t="shared" si="7"/>
        <v>0</v>
      </c>
      <c r="R55" s="287">
        <v>66.5</v>
      </c>
      <c r="S55" s="288">
        <f t="shared" si="8"/>
        <v>-7.4626865671642006E-3</v>
      </c>
      <c r="T55" s="267">
        <v>32.4</v>
      </c>
      <c r="U55" s="268">
        <f t="shared" si="9"/>
        <v>2.1651716671822197E-3</v>
      </c>
      <c r="V55" s="262">
        <v>47.4</v>
      </c>
      <c r="W55" s="263">
        <f t="shared" si="10"/>
        <v>-4.8192771084337283E-2</v>
      </c>
      <c r="X55" s="280">
        <v>18.899999999999999</v>
      </c>
      <c r="Y55" s="281">
        <f t="shared" si="11"/>
        <v>-2.5773195876288679E-2</v>
      </c>
      <c r="Z55" s="254"/>
      <c r="AA55" s="254"/>
    </row>
    <row r="56" spans="1:27">
      <c r="A56" s="252">
        <v>40178</v>
      </c>
      <c r="B56" s="255">
        <v>6121.76</v>
      </c>
      <c r="C56" s="256">
        <f t="shared" si="0"/>
        <v>-3.6826090103243891E-2</v>
      </c>
      <c r="D56" s="259">
        <v>68.75</v>
      </c>
      <c r="E56" s="260">
        <f t="shared" si="1"/>
        <v>-3.169014084507038E-2</v>
      </c>
      <c r="F56" s="265"/>
      <c r="G56" s="265"/>
      <c r="H56" s="269"/>
      <c r="I56" s="269"/>
      <c r="J56" s="272"/>
      <c r="K56" s="272"/>
      <c r="L56" s="276">
        <v>34.72</v>
      </c>
      <c r="M56" s="277">
        <f t="shared" si="5"/>
        <v>1.1655011655011593E-2</v>
      </c>
      <c r="N56" s="274">
        <v>31.47</v>
      </c>
      <c r="O56" s="275">
        <f t="shared" si="6"/>
        <v>-1.9029495718364542E-3</v>
      </c>
      <c r="P56" s="278">
        <v>38.5</v>
      </c>
      <c r="Q56" s="279">
        <f t="shared" si="7"/>
        <v>3.1342084114653224E-2</v>
      </c>
      <c r="R56" s="287">
        <v>67</v>
      </c>
      <c r="S56" s="288">
        <f t="shared" si="8"/>
        <v>3.8759689922480689E-2</v>
      </c>
      <c r="T56" s="267">
        <v>32.33</v>
      </c>
      <c r="U56" s="268">
        <f t="shared" si="9"/>
        <v>-2.2376776534623555E-2</v>
      </c>
      <c r="V56" s="262">
        <v>49.8</v>
      </c>
      <c r="W56" s="263">
        <f t="shared" si="10"/>
        <v>-8.9552238805971074E-3</v>
      </c>
      <c r="X56" s="280">
        <v>19.399999999999999</v>
      </c>
      <c r="Y56" s="281">
        <f t="shared" si="11"/>
        <v>-3.0000000000000027E-2</v>
      </c>
      <c r="Z56" s="254"/>
      <c r="AA56" s="254"/>
    </row>
    <row r="57" spans="1:27">
      <c r="A57" s="252">
        <v>40147</v>
      </c>
      <c r="B57" s="255">
        <v>6355.82</v>
      </c>
      <c r="C57" s="256">
        <f t="shared" si="0"/>
        <v>1.3921879860573805E-2</v>
      </c>
      <c r="D57" s="259">
        <v>71</v>
      </c>
      <c r="E57" s="260">
        <f t="shared" si="1"/>
        <v>1.067615658362997E-2</v>
      </c>
      <c r="F57" s="265"/>
      <c r="G57" s="265"/>
      <c r="H57" s="269"/>
      <c r="I57" s="269"/>
      <c r="J57" s="272"/>
      <c r="K57" s="272"/>
      <c r="L57" s="276">
        <v>34.32</v>
      </c>
      <c r="M57" s="277">
        <f t="shared" si="5"/>
        <v>-3.811659192825112E-2</v>
      </c>
      <c r="N57" s="274">
        <v>31.53</v>
      </c>
      <c r="O57" s="275">
        <f t="shared" si="6"/>
        <v>2.8040430388001303E-2</v>
      </c>
      <c r="P57" s="278">
        <v>37.33</v>
      </c>
      <c r="Q57" s="279">
        <f t="shared" si="7"/>
        <v>-7.0699527010206653E-2</v>
      </c>
      <c r="R57" s="287">
        <v>64.5</v>
      </c>
      <c r="S57" s="288">
        <f t="shared" si="8"/>
        <v>1.1764705882352899E-2</v>
      </c>
      <c r="T57" s="267">
        <v>33.07</v>
      </c>
      <c r="U57" s="268">
        <f t="shared" si="9"/>
        <v>2.9256146903205549E-2</v>
      </c>
      <c r="V57" s="262">
        <v>50.25</v>
      </c>
      <c r="W57" s="263">
        <f t="shared" si="10"/>
        <v>7.3717948717948678E-2</v>
      </c>
      <c r="X57" s="280">
        <v>20</v>
      </c>
      <c r="Y57" s="281">
        <f t="shared" si="11"/>
        <v>-1.2345679012345734E-2</v>
      </c>
      <c r="Z57" s="254"/>
      <c r="AA57" s="254"/>
    </row>
    <row r="58" spans="1:27">
      <c r="A58" s="252">
        <v>40117</v>
      </c>
      <c r="B58" s="255">
        <v>6268.55</v>
      </c>
      <c r="C58" s="256">
        <f t="shared" si="0"/>
        <v>-8.4608765525051588E-3</v>
      </c>
      <c r="D58" s="259">
        <v>70.25</v>
      </c>
      <c r="E58" s="260">
        <f t="shared" si="1"/>
        <v>1.6201359756979672E-2</v>
      </c>
      <c r="F58" s="265"/>
      <c r="G58" s="265"/>
      <c r="H58" s="269"/>
      <c r="I58" s="269"/>
      <c r="J58" s="272"/>
      <c r="K58" s="272"/>
      <c r="L58" s="276">
        <v>35.68</v>
      </c>
      <c r="M58" s="277">
        <f t="shared" si="5"/>
        <v>-3.0434782608695587E-2</v>
      </c>
      <c r="N58" s="274">
        <v>30.67</v>
      </c>
      <c r="O58" s="275">
        <f t="shared" si="6"/>
        <v>-4.1562499999999947E-2</v>
      </c>
      <c r="P58" s="278">
        <v>40.17</v>
      </c>
      <c r="Q58" s="279">
        <f t="shared" si="7"/>
        <v>-6.5813953488372046E-2</v>
      </c>
      <c r="R58" s="287">
        <v>63.75</v>
      </c>
      <c r="S58" s="288">
        <f t="shared" si="8"/>
        <v>-1.1627906976744207E-2</v>
      </c>
      <c r="T58" s="267">
        <v>32.130000000000003</v>
      </c>
      <c r="U58" s="268">
        <f t="shared" si="9"/>
        <v>-0.1506740681998413</v>
      </c>
      <c r="V58" s="262">
        <v>46.8</v>
      </c>
      <c r="W58" s="263">
        <f t="shared" si="10"/>
        <v>2.631578947368407E-2</v>
      </c>
      <c r="X58" s="280">
        <v>20.25</v>
      </c>
      <c r="Y58" s="281">
        <f t="shared" si="11"/>
        <v>-1.937046004842613E-2</v>
      </c>
      <c r="Z58" s="254"/>
      <c r="AA58" s="254"/>
    </row>
    <row r="59" spans="1:27">
      <c r="A59" s="252">
        <v>40086</v>
      </c>
      <c r="B59" s="255">
        <v>6322.04</v>
      </c>
      <c r="C59" s="256">
        <f t="shared" si="0"/>
        <v>0.11679061633309207</v>
      </c>
      <c r="D59" s="259">
        <v>69.13</v>
      </c>
      <c r="E59" s="260">
        <f t="shared" si="1"/>
        <v>2.414814814814803E-2</v>
      </c>
      <c r="F59" s="265"/>
      <c r="G59" s="265"/>
      <c r="H59" s="269"/>
      <c r="I59" s="269"/>
      <c r="J59" s="272"/>
      <c r="K59" s="272"/>
      <c r="L59" s="276">
        <v>36.799999999999997</v>
      </c>
      <c r="M59" s="277">
        <f t="shared" si="5"/>
        <v>3.8374717832957206E-2</v>
      </c>
      <c r="N59" s="274">
        <v>32</v>
      </c>
      <c r="O59" s="275">
        <f t="shared" si="6"/>
        <v>0.12399016508605554</v>
      </c>
      <c r="P59" s="278">
        <v>43</v>
      </c>
      <c r="Q59" s="279">
        <f t="shared" si="7"/>
        <v>4.0406484393902709E-2</v>
      </c>
      <c r="R59" s="287">
        <v>64.5</v>
      </c>
      <c r="S59" s="288">
        <f t="shared" si="8"/>
        <v>5.7377049180327822E-2</v>
      </c>
      <c r="T59" s="267">
        <v>37.83</v>
      </c>
      <c r="U59" s="268">
        <f t="shared" si="9"/>
        <v>0.10195164579085358</v>
      </c>
      <c r="V59" s="262">
        <v>45.6</v>
      </c>
      <c r="W59" s="263">
        <f t="shared" si="10"/>
        <v>3.8724373576309867E-2</v>
      </c>
      <c r="X59" s="280">
        <v>20.65</v>
      </c>
      <c r="Y59" s="281">
        <f t="shared" si="11"/>
        <v>5.8974358974358987E-2</v>
      </c>
      <c r="Z59" s="254"/>
      <c r="AA59" s="254"/>
    </row>
    <row r="60" spans="1:27">
      <c r="A60" s="252">
        <v>40056</v>
      </c>
      <c r="B60" s="255">
        <v>5660.9</v>
      </c>
      <c r="C60" s="256">
        <f t="shared" si="0"/>
        <v>-2.0290266417913094E-2</v>
      </c>
      <c r="D60" s="259">
        <v>67.5</v>
      </c>
      <c r="E60" s="260">
        <f t="shared" si="1"/>
        <v>-2.7097146151628615E-2</v>
      </c>
      <c r="F60" s="265"/>
      <c r="G60" s="265"/>
      <c r="H60" s="269"/>
      <c r="I60" s="269"/>
      <c r="J60" s="272"/>
      <c r="K60" s="272"/>
      <c r="L60" s="276">
        <v>35.44</v>
      </c>
      <c r="M60" s="277">
        <f t="shared" si="5"/>
        <v>-5.5437100213219792E-2</v>
      </c>
      <c r="N60" s="274">
        <v>28.47</v>
      </c>
      <c r="O60" s="275">
        <f t="shared" si="6"/>
        <v>6.7491563554555656E-2</v>
      </c>
      <c r="P60" s="278">
        <v>41.33</v>
      </c>
      <c r="Q60" s="279">
        <f t="shared" si="7"/>
        <v>3.3250000000000002E-2</v>
      </c>
      <c r="R60" s="287">
        <v>61</v>
      </c>
      <c r="S60" s="288">
        <f t="shared" si="8"/>
        <v>1.6666666666666607E-2</v>
      </c>
      <c r="T60" s="267">
        <v>34.33</v>
      </c>
      <c r="U60" s="268">
        <f t="shared" si="9"/>
        <v>3.1860535016531299E-2</v>
      </c>
      <c r="V60" s="262">
        <v>43.9</v>
      </c>
      <c r="W60" s="263">
        <f t="shared" si="10"/>
        <v>0</v>
      </c>
      <c r="X60" s="280">
        <v>19.5</v>
      </c>
      <c r="Y60" s="281">
        <f t="shared" si="11"/>
        <v>-5.1020408163265918E-3</v>
      </c>
      <c r="Z60" s="254"/>
      <c r="AA60" s="254"/>
    </row>
    <row r="61" spans="1:27">
      <c r="A61" s="252">
        <v>40025</v>
      </c>
      <c r="B61" s="255">
        <v>5778.14</v>
      </c>
      <c r="C61" s="256">
        <f t="shared" si="0"/>
        <v>3.2463378635780638E-2</v>
      </c>
      <c r="D61" s="259">
        <v>69.38</v>
      </c>
      <c r="E61" s="260">
        <f t="shared" si="1"/>
        <v>0.1859829059829059</v>
      </c>
      <c r="F61" s="265"/>
      <c r="G61" s="265"/>
      <c r="H61" s="269"/>
      <c r="I61" s="269"/>
      <c r="J61" s="272"/>
      <c r="K61" s="272"/>
      <c r="L61" s="276">
        <v>37.520000000000003</v>
      </c>
      <c r="M61" s="277">
        <f t="shared" si="5"/>
        <v>3.5320088300220709E-2</v>
      </c>
      <c r="N61" s="274">
        <v>26.67</v>
      </c>
      <c r="O61" s="275">
        <f t="shared" si="6"/>
        <v>0</v>
      </c>
      <c r="P61" s="278">
        <v>40</v>
      </c>
      <c r="Q61" s="279">
        <f t="shared" si="7"/>
        <v>5.2631578947368363E-2</v>
      </c>
      <c r="R61" s="287">
        <v>60</v>
      </c>
      <c r="S61" s="288">
        <f t="shared" si="8"/>
        <v>-2.4390243902439046E-2</v>
      </c>
      <c r="T61" s="267">
        <v>33.270000000000003</v>
      </c>
      <c r="U61" s="268">
        <f t="shared" si="9"/>
        <v>3.5480859010270871E-2</v>
      </c>
      <c r="V61" s="262">
        <v>43.9</v>
      </c>
      <c r="W61" s="263">
        <f t="shared" si="10"/>
        <v>-1.1261261261261257E-2</v>
      </c>
      <c r="X61" s="280">
        <v>19.600000000000001</v>
      </c>
      <c r="Y61" s="281">
        <f t="shared" si="11"/>
        <v>-8.8372093023255771E-2</v>
      </c>
      <c r="Z61" s="254"/>
      <c r="AA61" s="254"/>
    </row>
    <row r="62" spans="1:27">
      <c r="A62" s="252">
        <v>39994</v>
      </c>
      <c r="B62" s="255">
        <v>5596.46</v>
      </c>
      <c r="C62" s="256">
        <f t="shared" si="0"/>
        <v>-5.0375508624990295E-2</v>
      </c>
      <c r="D62" s="259">
        <v>58.5</v>
      </c>
      <c r="E62" s="260">
        <f t="shared" si="1"/>
        <v>8.6206896551723755E-3</v>
      </c>
      <c r="F62" s="265"/>
      <c r="G62" s="265"/>
      <c r="H62" s="269"/>
      <c r="I62" s="269"/>
      <c r="J62" s="272"/>
      <c r="K62" s="272"/>
      <c r="L62" s="276">
        <v>36.24</v>
      </c>
      <c r="M62" s="277">
        <f t="shared" si="5"/>
        <v>-2.1598272138228847E-2</v>
      </c>
      <c r="N62" s="274">
        <v>26.67</v>
      </c>
      <c r="O62" s="275">
        <f t="shared" si="6"/>
        <v>7.5557234605214685E-3</v>
      </c>
      <c r="P62" s="278">
        <v>38</v>
      </c>
      <c r="Q62" s="279">
        <f t="shared" si="7"/>
        <v>-2.5641025641025661E-2</v>
      </c>
      <c r="R62" s="287">
        <v>61.5</v>
      </c>
      <c r="S62" s="288">
        <f t="shared" si="8"/>
        <v>2.4999999999999911E-2</v>
      </c>
      <c r="T62" s="267">
        <v>32.130000000000003</v>
      </c>
      <c r="U62" s="268">
        <f t="shared" si="9"/>
        <v>-1.8331805682859637E-2</v>
      </c>
      <c r="V62" s="262">
        <v>44.4</v>
      </c>
      <c r="W62" s="263">
        <f t="shared" si="10"/>
        <v>-5.1282051282051211E-2</v>
      </c>
      <c r="X62" s="280">
        <v>21.5</v>
      </c>
      <c r="Y62" s="281">
        <f t="shared" si="11"/>
        <v>-4.0178571428571397E-2</v>
      </c>
      <c r="Z62" s="254"/>
      <c r="AA62" s="254"/>
    </row>
    <row r="63" spans="1:27">
      <c r="A63" s="252">
        <v>39964</v>
      </c>
      <c r="B63" s="255">
        <v>5893.34</v>
      </c>
      <c r="C63" s="256">
        <f t="shared" si="0"/>
        <v>4.7609905590781931E-2</v>
      </c>
      <c r="D63" s="259">
        <v>58</v>
      </c>
      <c r="E63" s="260">
        <f t="shared" si="1"/>
        <v>2.6548672566371723E-2</v>
      </c>
      <c r="F63" s="265"/>
      <c r="G63" s="265"/>
      <c r="H63" s="269"/>
      <c r="I63" s="269"/>
      <c r="J63" s="272"/>
      <c r="K63" s="272"/>
      <c r="L63" s="276">
        <v>37.04</v>
      </c>
      <c r="M63" s="277">
        <f t="shared" si="5"/>
        <v>-5.1229508196721341E-2</v>
      </c>
      <c r="N63" s="274">
        <v>26.47</v>
      </c>
      <c r="O63" s="275">
        <f t="shared" si="6"/>
        <v>-5.4642857142857215E-2</v>
      </c>
      <c r="P63" s="278">
        <v>39</v>
      </c>
      <c r="Q63" s="279">
        <f t="shared" si="7"/>
        <v>-0.18187539332913782</v>
      </c>
      <c r="R63" s="287">
        <v>60</v>
      </c>
      <c r="S63" s="288">
        <f t="shared" si="8"/>
        <v>-5.5118110236220486E-2</v>
      </c>
      <c r="T63" s="267">
        <v>32.729999999999997</v>
      </c>
      <c r="U63" s="268">
        <f t="shared" si="9"/>
        <v>-1.6230838593327523E-2</v>
      </c>
      <c r="V63" s="262">
        <v>46.8</v>
      </c>
      <c r="W63" s="263">
        <f t="shared" si="10"/>
        <v>-6.3694267515924663E-3</v>
      </c>
      <c r="X63" s="280">
        <v>22.4</v>
      </c>
      <c r="Y63" s="281">
        <f t="shared" si="11"/>
        <v>9.009009009008917E-3</v>
      </c>
      <c r="Z63" s="254"/>
      <c r="AA63" s="254"/>
    </row>
    <row r="64" spans="1:27">
      <c r="A64" s="252">
        <v>39933</v>
      </c>
      <c r="B64" s="255">
        <v>5625.51</v>
      </c>
      <c r="C64" s="256">
        <f t="shared" si="0"/>
        <v>0.19596279564177532</v>
      </c>
      <c r="D64" s="259">
        <v>56.5</v>
      </c>
      <c r="E64" s="260">
        <f t="shared" si="1"/>
        <v>0.32941176470588229</v>
      </c>
      <c r="F64" s="265"/>
      <c r="G64" s="265"/>
      <c r="H64" s="269"/>
      <c r="I64" s="269"/>
      <c r="J64" s="272"/>
      <c r="K64" s="272"/>
      <c r="L64" s="276">
        <v>39.04</v>
      </c>
      <c r="M64" s="277">
        <f t="shared" si="5"/>
        <v>0.39828080229226348</v>
      </c>
      <c r="N64" s="274">
        <v>28</v>
      </c>
      <c r="O64" s="275">
        <f t="shared" si="6"/>
        <v>0.2105490704712496</v>
      </c>
      <c r="P64" s="278">
        <v>47.67</v>
      </c>
      <c r="Q64" s="279">
        <f t="shared" si="7"/>
        <v>0.24367336290112185</v>
      </c>
      <c r="R64" s="287">
        <v>63.5</v>
      </c>
      <c r="S64" s="288">
        <f t="shared" si="8"/>
        <v>9.9567099567099637E-2</v>
      </c>
      <c r="T64" s="267">
        <v>33.270000000000003</v>
      </c>
      <c r="U64" s="268">
        <f t="shared" si="9"/>
        <v>0.17686593562079955</v>
      </c>
      <c r="V64" s="262">
        <v>47.1</v>
      </c>
      <c r="W64" s="263">
        <f t="shared" si="10"/>
        <v>0.10304449648711933</v>
      </c>
      <c r="X64" s="280">
        <v>22.2</v>
      </c>
      <c r="Y64" s="281">
        <f t="shared" si="11"/>
        <v>0.15324675324675319</v>
      </c>
      <c r="Z64" s="254"/>
      <c r="AA64" s="254"/>
    </row>
    <row r="65" spans="1:27">
      <c r="A65" s="252">
        <v>39903</v>
      </c>
      <c r="B65" s="255">
        <v>4703.75</v>
      </c>
      <c r="C65" s="256">
        <f t="shared" si="0"/>
        <v>7.279129861629019E-2</v>
      </c>
      <c r="D65" s="259">
        <v>42.5</v>
      </c>
      <c r="E65" s="260">
        <f t="shared" si="1"/>
        <v>4.2944785276073594E-2</v>
      </c>
      <c r="F65" s="265"/>
      <c r="G65" s="265"/>
      <c r="H65" s="269"/>
      <c r="I65" s="269"/>
      <c r="J65" s="272"/>
      <c r="K65" s="272"/>
      <c r="L65" s="276">
        <v>27.92</v>
      </c>
      <c r="M65" s="277">
        <f t="shared" si="5"/>
        <v>3.8690476190476275E-2</v>
      </c>
      <c r="N65" s="274">
        <v>23.13</v>
      </c>
      <c r="O65" s="275">
        <f t="shared" si="6"/>
        <v>5.7613168724279795E-2</v>
      </c>
      <c r="P65" s="278">
        <v>38.33</v>
      </c>
      <c r="Q65" s="279">
        <f t="shared" si="7"/>
        <v>0.15001500150015001</v>
      </c>
      <c r="R65" s="287">
        <v>57.75</v>
      </c>
      <c r="S65" s="288">
        <f t="shared" si="8"/>
        <v>0.11057692307692313</v>
      </c>
      <c r="T65" s="267">
        <v>28.27</v>
      </c>
      <c r="U65" s="268">
        <f t="shared" si="9"/>
        <v>-0.10735712030312605</v>
      </c>
      <c r="V65" s="262">
        <v>42.7</v>
      </c>
      <c r="W65" s="263">
        <f t="shared" si="10"/>
        <v>4.4009779951100336E-2</v>
      </c>
      <c r="X65" s="280">
        <v>19.25</v>
      </c>
      <c r="Y65" s="281">
        <f t="shared" si="11"/>
        <v>2.1220159151193574E-2</v>
      </c>
      <c r="Z65" s="254"/>
      <c r="AA65" s="254"/>
    </row>
    <row r="66" spans="1:27">
      <c r="A66" s="252">
        <v>39872</v>
      </c>
      <c r="B66" s="255">
        <v>4384.59</v>
      </c>
      <c r="C66" s="256">
        <f t="shared" si="0"/>
        <v>-8.8234315539936214E-2</v>
      </c>
      <c r="D66" s="259">
        <v>40.75</v>
      </c>
      <c r="E66" s="260">
        <f t="shared" si="1"/>
        <v>-1.8072289156626509E-2</v>
      </c>
      <c r="F66" s="265"/>
      <c r="G66" s="265"/>
      <c r="H66" s="269"/>
      <c r="I66" s="269"/>
      <c r="J66" s="272"/>
      <c r="K66" s="272"/>
      <c r="L66" s="276">
        <v>26.88</v>
      </c>
      <c r="M66" s="277">
        <f t="shared" si="5"/>
        <v>2.4390243902439046E-2</v>
      </c>
      <c r="N66" s="274">
        <v>21.87</v>
      </c>
      <c r="O66" s="275">
        <f t="shared" si="6"/>
        <v>-2.3660714285714146E-2</v>
      </c>
      <c r="P66" s="278">
        <v>33.33</v>
      </c>
      <c r="Q66" s="279">
        <f t="shared" si="7"/>
        <v>-1.970588235294124E-2</v>
      </c>
      <c r="R66" s="287">
        <v>52</v>
      </c>
      <c r="S66" s="288">
        <f t="shared" si="8"/>
        <v>6.3394683026584797E-2</v>
      </c>
      <c r="T66" s="267">
        <v>31.67</v>
      </c>
      <c r="U66" s="268">
        <f t="shared" si="9"/>
        <v>5.3209178583305761E-2</v>
      </c>
      <c r="V66" s="262">
        <v>40.9</v>
      </c>
      <c r="W66" s="263">
        <f t="shared" si="10"/>
        <v>-6.4073226544622552E-2</v>
      </c>
      <c r="X66" s="280">
        <v>18.850000000000001</v>
      </c>
      <c r="Y66" s="281">
        <f t="shared" si="11"/>
        <v>-7.8239608801955907E-2</v>
      </c>
      <c r="Z66" s="254"/>
      <c r="AA66" s="254"/>
    </row>
    <row r="67" spans="1:27">
      <c r="A67" s="252">
        <v>39844</v>
      </c>
      <c r="B67" s="255">
        <v>4808.8999999999996</v>
      </c>
      <c r="C67" s="256">
        <f t="shared" si="0"/>
        <v>1.2304835113126078E-3</v>
      </c>
      <c r="D67" s="259">
        <v>41.5</v>
      </c>
      <c r="E67" s="260">
        <f t="shared" si="1"/>
        <v>2.7736503219415454E-2</v>
      </c>
      <c r="F67" s="265"/>
      <c r="G67" s="265"/>
      <c r="H67" s="269"/>
      <c r="I67" s="269"/>
      <c r="J67" s="272"/>
      <c r="K67" s="272"/>
      <c r="L67" s="276">
        <v>26.24</v>
      </c>
      <c r="M67" s="277">
        <f t="shared" si="5"/>
        <v>5.4662379421221763E-2</v>
      </c>
      <c r="N67" s="274">
        <v>22.4</v>
      </c>
      <c r="O67" s="275">
        <f t="shared" si="6"/>
        <v>-8.8495575221240186E-3</v>
      </c>
      <c r="P67" s="278">
        <v>34</v>
      </c>
      <c r="Q67" s="279">
        <f t="shared" si="7"/>
        <v>-9.7425006636580824E-2</v>
      </c>
      <c r="R67" s="287">
        <v>48.9</v>
      </c>
      <c r="S67" s="288">
        <f t="shared" si="8"/>
        <v>4.7109207708779355E-2</v>
      </c>
      <c r="T67" s="267">
        <v>30.07</v>
      </c>
      <c r="U67" s="268">
        <f t="shared" si="9"/>
        <v>0.14465169394746868</v>
      </c>
      <c r="V67" s="262">
        <v>43.7</v>
      </c>
      <c r="W67" s="263">
        <f t="shared" si="10"/>
        <v>9.2500000000000027E-2</v>
      </c>
      <c r="X67" s="280">
        <v>20.45</v>
      </c>
      <c r="Y67" s="281">
        <f t="shared" si="11"/>
        <v>3.0226700251889005E-2</v>
      </c>
      <c r="Z67" s="254"/>
      <c r="AA67" s="254"/>
    </row>
    <row r="68" spans="1:27">
      <c r="A68" s="252">
        <v>39813</v>
      </c>
      <c r="B68" s="255">
        <v>4802.99</v>
      </c>
      <c r="C68" s="256">
        <f t="shared" ref="C68:C122" si="13">B68/B69-1</f>
        <v>1.3686805370883848E-2</v>
      </c>
      <c r="D68" s="259">
        <v>40.380000000000003</v>
      </c>
      <c r="E68" s="260">
        <f t="shared" ref="E68:E122" si="14">D68/D69-1</f>
        <v>-0.12936610608020693</v>
      </c>
      <c r="F68" s="265"/>
      <c r="G68" s="265"/>
      <c r="H68" s="269"/>
      <c r="I68" s="269"/>
      <c r="J68" s="272"/>
      <c r="K68" s="272"/>
      <c r="L68" s="276">
        <v>24.88</v>
      </c>
      <c r="M68" s="277">
        <f t="shared" ref="M68:M122" si="15">L68/L69-1</f>
        <v>-6.6066066066066131E-2</v>
      </c>
      <c r="N68" s="274">
        <v>22.6</v>
      </c>
      <c r="O68" s="275">
        <f t="shared" ref="O68:O122" si="16">N68/N69-1</f>
        <v>-9.5999999999999974E-2</v>
      </c>
      <c r="P68" s="278">
        <v>37.67</v>
      </c>
      <c r="Q68" s="279">
        <f t="shared" ref="Q68:Q122" si="17">P68/P69-1</f>
        <v>-0.11717834544176231</v>
      </c>
      <c r="R68" s="287">
        <v>46.7</v>
      </c>
      <c r="S68" s="288">
        <f t="shared" ref="S68:S122" si="18">R68/R69-1</f>
        <v>-0.12710280373831773</v>
      </c>
      <c r="T68" s="267">
        <v>26.27</v>
      </c>
      <c r="U68" s="268">
        <f t="shared" ref="U68:U122" si="19">T68/T69-1</f>
        <v>3.7110146071851702E-2</v>
      </c>
      <c r="V68" s="262">
        <v>40</v>
      </c>
      <c r="W68" s="263">
        <f t="shared" ref="W68:W122" si="20">V68/V69-1</f>
        <v>-3.3816425120772875E-2</v>
      </c>
      <c r="X68" s="280">
        <v>19.850000000000001</v>
      </c>
      <c r="Y68" s="281">
        <f t="shared" ref="Y68:Y122" si="21">X68/X69-1</f>
        <v>-5.4761904761904678E-2</v>
      </c>
      <c r="Z68" s="254"/>
      <c r="AA68" s="254"/>
    </row>
    <row r="69" spans="1:27">
      <c r="A69" s="252">
        <v>39782</v>
      </c>
      <c r="B69" s="255">
        <v>4738.1400000000003</v>
      </c>
      <c r="C69" s="256">
        <f t="shared" si="13"/>
        <v>-0.14440339339306796</v>
      </c>
      <c r="D69" s="259">
        <v>46.38</v>
      </c>
      <c r="E69" s="260">
        <f t="shared" si="14"/>
        <v>-4.6267735965453416E-2</v>
      </c>
      <c r="F69" s="265"/>
      <c r="G69" s="265"/>
      <c r="H69" s="269"/>
      <c r="I69" s="269"/>
      <c r="J69" s="272"/>
      <c r="K69" s="272"/>
      <c r="L69" s="276">
        <v>26.64</v>
      </c>
      <c r="M69" s="277">
        <f t="shared" si="15"/>
        <v>-0.27292576419213976</v>
      </c>
      <c r="N69" s="274">
        <v>25</v>
      </c>
      <c r="O69" s="275">
        <f t="shared" si="16"/>
        <v>-0.1049051199427139</v>
      </c>
      <c r="P69" s="278">
        <v>42.67</v>
      </c>
      <c r="Q69" s="279">
        <f t="shared" si="17"/>
        <v>4.9176297024833948E-2</v>
      </c>
      <c r="R69" s="287">
        <v>53.5</v>
      </c>
      <c r="S69" s="288">
        <f t="shared" si="18"/>
        <v>9.4339622641510523E-3</v>
      </c>
      <c r="T69" s="267">
        <v>25.33</v>
      </c>
      <c r="U69" s="268">
        <f t="shared" si="19"/>
        <v>-0.12443829934324235</v>
      </c>
      <c r="V69" s="262">
        <v>41.4</v>
      </c>
      <c r="W69" s="263">
        <f t="shared" si="20"/>
        <v>-8.8105726872246715E-2</v>
      </c>
      <c r="X69" s="280">
        <v>21</v>
      </c>
      <c r="Y69" s="281">
        <f t="shared" si="21"/>
        <v>-4.9773755656108642E-2</v>
      </c>
      <c r="Z69" s="254"/>
      <c r="AA69" s="254"/>
    </row>
    <row r="70" spans="1:27">
      <c r="A70" s="252">
        <v>39752</v>
      </c>
      <c r="B70" s="255">
        <v>5537.82</v>
      </c>
      <c r="C70" s="256">
        <f t="shared" si="13"/>
        <v>-0.25751558624388282</v>
      </c>
      <c r="D70" s="259">
        <v>48.63</v>
      </c>
      <c r="E70" s="260">
        <f t="shared" si="14"/>
        <v>-0.14684210526315788</v>
      </c>
      <c r="F70" s="265"/>
      <c r="G70" s="265"/>
      <c r="H70" s="269"/>
      <c r="I70" s="269"/>
      <c r="J70" s="272"/>
      <c r="K70" s="272"/>
      <c r="L70" s="276">
        <v>36.64</v>
      </c>
      <c r="M70" s="277">
        <f t="shared" si="15"/>
        <v>-0.17104072398190051</v>
      </c>
      <c r="N70" s="274">
        <v>27.93</v>
      </c>
      <c r="O70" s="275">
        <f t="shared" si="16"/>
        <v>-0.18642586658898919</v>
      </c>
      <c r="P70" s="278">
        <v>40.67</v>
      </c>
      <c r="Q70" s="279">
        <f t="shared" si="17"/>
        <v>-0.26054545454545452</v>
      </c>
      <c r="R70" s="287">
        <v>53</v>
      </c>
      <c r="S70" s="288">
        <f t="shared" si="18"/>
        <v>-0.20300751879699253</v>
      </c>
      <c r="T70" s="267">
        <v>28.93</v>
      </c>
      <c r="U70" s="268">
        <f t="shared" si="19"/>
        <v>-0.30839110686110449</v>
      </c>
      <c r="V70" s="262">
        <v>45.4</v>
      </c>
      <c r="W70" s="263">
        <f t="shared" si="20"/>
        <v>-0.25877551020408163</v>
      </c>
      <c r="X70" s="280">
        <v>22.1</v>
      </c>
      <c r="Y70" s="281">
        <f t="shared" si="21"/>
        <v>-0.31366459627329191</v>
      </c>
      <c r="Z70" s="254"/>
      <c r="AA70" s="254"/>
    </row>
    <row r="71" spans="1:27">
      <c r="A71" s="252">
        <v>39721</v>
      </c>
      <c r="B71" s="255">
        <v>7458.5</v>
      </c>
      <c r="C71" s="256">
        <f t="shared" si="13"/>
        <v>-0.14828526534080022</v>
      </c>
      <c r="D71" s="259">
        <v>57</v>
      </c>
      <c r="E71" s="260">
        <f t="shared" si="14"/>
        <v>-0.15090123640697151</v>
      </c>
      <c r="F71" s="265"/>
      <c r="G71" s="265"/>
      <c r="H71" s="269"/>
      <c r="I71" s="269"/>
      <c r="J71" s="272"/>
      <c r="K71" s="272"/>
      <c r="L71" s="276">
        <v>44.2</v>
      </c>
      <c r="M71" s="277">
        <f t="shared" si="15"/>
        <v>-0.22183098591549288</v>
      </c>
      <c r="N71" s="274">
        <v>34.33</v>
      </c>
      <c r="O71" s="275">
        <f t="shared" si="16"/>
        <v>-0.18261904761904768</v>
      </c>
      <c r="P71" s="278">
        <v>55</v>
      </c>
      <c r="Q71" s="279">
        <f t="shared" si="17"/>
        <v>-0.10321213109408123</v>
      </c>
      <c r="R71" s="287">
        <v>66.5</v>
      </c>
      <c r="S71" s="288">
        <f t="shared" si="18"/>
        <v>-4.3165467625899234E-2</v>
      </c>
      <c r="T71" s="267">
        <v>41.83</v>
      </c>
      <c r="U71" s="268">
        <f t="shared" si="19"/>
        <v>-4.5630846452201723E-2</v>
      </c>
      <c r="V71" s="262">
        <v>61.25</v>
      </c>
      <c r="W71" s="263">
        <f t="shared" si="20"/>
        <v>-9.9264705882352922E-2</v>
      </c>
      <c r="X71" s="280">
        <v>32.200000000000003</v>
      </c>
      <c r="Y71" s="281">
        <f t="shared" si="21"/>
        <v>-7.3381294964028676E-2</v>
      </c>
      <c r="Z71" s="254"/>
      <c r="AA71" s="254"/>
    </row>
    <row r="72" spans="1:27">
      <c r="A72" s="252">
        <v>39691</v>
      </c>
      <c r="B72" s="255">
        <v>8757.0400000000009</v>
      </c>
      <c r="C72" s="256">
        <f t="shared" si="13"/>
        <v>1.8648306665112191E-3</v>
      </c>
      <c r="D72" s="259">
        <v>67.13</v>
      </c>
      <c r="E72" s="260">
        <f t="shared" si="14"/>
        <v>-1.8280198888563914E-2</v>
      </c>
      <c r="F72" s="265"/>
      <c r="G72" s="265"/>
      <c r="H72" s="269"/>
      <c r="I72" s="269"/>
      <c r="J72" s="272"/>
      <c r="K72" s="272"/>
      <c r="L72" s="276">
        <v>56.8</v>
      </c>
      <c r="M72" s="277">
        <f t="shared" si="15"/>
        <v>-2.7397260273972601E-2</v>
      </c>
      <c r="N72" s="274">
        <v>42</v>
      </c>
      <c r="O72" s="275">
        <f t="shared" si="16"/>
        <v>-3.0694668820678506E-2</v>
      </c>
      <c r="P72" s="278">
        <v>61.33</v>
      </c>
      <c r="Q72" s="279">
        <f t="shared" si="17"/>
        <v>-0.13619718309859152</v>
      </c>
      <c r="R72" s="287">
        <v>69.5</v>
      </c>
      <c r="S72" s="288">
        <f t="shared" si="18"/>
        <v>0</v>
      </c>
      <c r="T72" s="267">
        <v>43.83</v>
      </c>
      <c r="U72" s="268">
        <f t="shared" si="19"/>
        <v>2.7185376142488726E-2</v>
      </c>
      <c r="V72" s="262">
        <v>68</v>
      </c>
      <c r="W72" s="263">
        <f t="shared" si="20"/>
        <v>-1.0909090909090868E-2</v>
      </c>
      <c r="X72" s="280">
        <v>34.75</v>
      </c>
      <c r="Y72" s="281">
        <f t="shared" si="21"/>
        <v>-2.7972027972028024E-2</v>
      </c>
      <c r="Z72" s="254"/>
      <c r="AA72" s="254"/>
    </row>
    <row r="73" spans="1:27">
      <c r="A73" s="252">
        <v>39660</v>
      </c>
      <c r="B73" s="255">
        <v>8740.74</v>
      </c>
      <c r="C73" s="256">
        <f t="shared" si="13"/>
        <v>-6.5393399712584732E-2</v>
      </c>
      <c r="D73" s="259">
        <v>68.38</v>
      </c>
      <c r="E73" s="260">
        <f t="shared" si="14"/>
        <v>-0.13857394809775758</v>
      </c>
      <c r="F73" s="265"/>
      <c r="G73" s="265"/>
      <c r="H73" s="269"/>
      <c r="I73" s="269"/>
      <c r="J73" s="272"/>
      <c r="K73" s="272"/>
      <c r="L73" s="276">
        <v>58.4</v>
      </c>
      <c r="M73" s="277">
        <f t="shared" si="15"/>
        <v>-9.3167701863354102E-2</v>
      </c>
      <c r="N73" s="274">
        <v>43.33</v>
      </c>
      <c r="O73" s="275">
        <f t="shared" si="16"/>
        <v>-7.1566316691664911E-2</v>
      </c>
      <c r="P73" s="278">
        <v>71</v>
      </c>
      <c r="Q73" s="279">
        <f t="shared" si="17"/>
        <v>-6.9828376785012414E-2</v>
      </c>
      <c r="R73" s="287">
        <v>69.5</v>
      </c>
      <c r="S73" s="288">
        <f t="shared" si="18"/>
        <v>-8.5526315789473673E-2</v>
      </c>
      <c r="T73" s="267">
        <v>42.67</v>
      </c>
      <c r="U73" s="268">
        <f t="shared" si="19"/>
        <v>-0.16611295681063121</v>
      </c>
      <c r="V73" s="262">
        <v>68.75</v>
      </c>
      <c r="W73" s="263">
        <f t="shared" si="20"/>
        <v>-0.13249211356466872</v>
      </c>
      <c r="X73" s="280">
        <v>35.75</v>
      </c>
      <c r="Y73" s="281">
        <f t="shared" si="21"/>
        <v>0</v>
      </c>
      <c r="Z73" s="254"/>
      <c r="AA73" s="254"/>
    </row>
    <row r="74" spans="1:27">
      <c r="A74" s="252">
        <v>39629</v>
      </c>
      <c r="B74" s="255">
        <v>9352.32</v>
      </c>
      <c r="C74" s="256">
        <f t="shared" si="13"/>
        <v>-1.8576312735194667E-2</v>
      </c>
      <c r="D74" s="259">
        <v>79.38</v>
      </c>
      <c r="E74" s="260">
        <f t="shared" si="14"/>
        <v>-0.12893668385822454</v>
      </c>
      <c r="F74" s="265"/>
      <c r="G74" s="265"/>
      <c r="H74" s="269"/>
      <c r="I74" s="269"/>
      <c r="J74" s="272"/>
      <c r="K74" s="272"/>
      <c r="L74" s="276">
        <v>64.400000000000006</v>
      </c>
      <c r="M74" s="277">
        <f t="shared" si="15"/>
        <v>-2.4242424242424176E-2</v>
      </c>
      <c r="N74" s="274">
        <v>46.67</v>
      </c>
      <c r="O74" s="275">
        <f t="shared" si="16"/>
        <v>-6.976280645804267E-2</v>
      </c>
      <c r="P74" s="278">
        <v>76.33</v>
      </c>
      <c r="Q74" s="279">
        <f t="shared" si="17"/>
        <v>-0.10379241516966076</v>
      </c>
      <c r="R74" s="287">
        <v>76</v>
      </c>
      <c r="S74" s="288">
        <f t="shared" si="18"/>
        <v>-8.4337349397590411E-2</v>
      </c>
      <c r="T74" s="267">
        <v>51.17</v>
      </c>
      <c r="U74" s="268">
        <f t="shared" si="19"/>
        <v>-5.5381207310319369E-2</v>
      </c>
      <c r="V74" s="262">
        <v>79.25</v>
      </c>
      <c r="W74" s="263">
        <f t="shared" si="20"/>
        <v>-4.8048048048048075E-2</v>
      </c>
      <c r="X74" s="280">
        <v>35.75</v>
      </c>
      <c r="Y74" s="281">
        <f t="shared" si="21"/>
        <v>-4.0268456375838979E-2</v>
      </c>
      <c r="Z74" s="254"/>
      <c r="AA74" s="254"/>
    </row>
    <row r="75" spans="1:27">
      <c r="A75" s="252">
        <v>39599</v>
      </c>
      <c r="B75" s="255">
        <v>9529.34</v>
      </c>
      <c r="C75" s="256">
        <f t="shared" si="13"/>
        <v>-5.332917418360128E-2</v>
      </c>
      <c r="D75" s="259">
        <v>91.13</v>
      </c>
      <c r="E75" s="260">
        <f t="shared" si="14"/>
        <v>5.0489913544668585E-2</v>
      </c>
      <c r="F75" s="265"/>
      <c r="G75" s="265"/>
      <c r="H75" s="269"/>
      <c r="I75" s="269"/>
      <c r="J75" s="272"/>
      <c r="K75" s="272"/>
      <c r="L75" s="276">
        <v>66</v>
      </c>
      <c r="M75" s="277">
        <f t="shared" si="15"/>
        <v>-6.0240963855422436E-3</v>
      </c>
      <c r="N75" s="274">
        <v>50.17</v>
      </c>
      <c r="O75" s="275">
        <f t="shared" si="16"/>
        <v>-1.298445799724568E-2</v>
      </c>
      <c r="P75" s="278">
        <v>85.17</v>
      </c>
      <c r="Q75" s="279">
        <f t="shared" si="17"/>
        <v>5.5782818891781272E-2</v>
      </c>
      <c r="R75" s="287">
        <v>83</v>
      </c>
      <c r="S75" s="288">
        <f t="shared" si="18"/>
        <v>-5.9880239520958556E-3</v>
      </c>
      <c r="T75" s="267">
        <v>54.17</v>
      </c>
      <c r="U75" s="268">
        <f t="shared" si="19"/>
        <v>-1.2037205909173787E-2</v>
      </c>
      <c r="V75" s="262">
        <v>83.25</v>
      </c>
      <c r="W75" s="263">
        <f t="shared" si="20"/>
        <v>-1.4792899408283988E-2</v>
      </c>
      <c r="X75" s="280">
        <v>37.25</v>
      </c>
      <c r="Y75" s="281">
        <f t="shared" si="21"/>
        <v>-2.6143790849673221E-2</v>
      </c>
      <c r="Z75" s="254"/>
      <c r="AA75" s="254"/>
    </row>
    <row r="76" spans="1:27">
      <c r="A76" s="252">
        <v>39568</v>
      </c>
      <c r="B76" s="255">
        <v>10066.16</v>
      </c>
      <c r="C76" s="256">
        <f t="shared" si="13"/>
        <v>0.11939131701534489</v>
      </c>
      <c r="D76" s="259">
        <v>86.75</v>
      </c>
      <c r="E76" s="260">
        <f t="shared" si="14"/>
        <v>0.11217948717948723</v>
      </c>
      <c r="F76" s="265"/>
      <c r="G76" s="265"/>
      <c r="H76" s="269"/>
      <c r="I76" s="269"/>
      <c r="J76" s="272"/>
      <c r="K76" s="272"/>
      <c r="L76" s="276">
        <v>66.400000000000006</v>
      </c>
      <c r="M76" s="277">
        <f t="shared" si="15"/>
        <v>0.13310580204778155</v>
      </c>
      <c r="N76" s="274">
        <v>50.83</v>
      </c>
      <c r="O76" s="275">
        <f t="shared" si="16"/>
        <v>3.1576869942766539E-3</v>
      </c>
      <c r="P76" s="278">
        <v>80.67</v>
      </c>
      <c r="Q76" s="279">
        <f t="shared" si="17"/>
        <v>7.0888092393468716E-2</v>
      </c>
      <c r="R76" s="287">
        <v>83.5</v>
      </c>
      <c r="S76" s="288">
        <f t="shared" si="18"/>
        <v>0.1477663230240549</v>
      </c>
      <c r="T76" s="267">
        <v>54.83</v>
      </c>
      <c r="U76" s="268">
        <f t="shared" si="19"/>
        <v>3.1220613127703523E-2</v>
      </c>
      <c r="V76" s="262">
        <v>84.5</v>
      </c>
      <c r="W76" s="263">
        <f t="shared" si="20"/>
        <v>2.114803625377637E-2</v>
      </c>
      <c r="X76" s="280">
        <v>38.25</v>
      </c>
      <c r="Y76" s="281">
        <f t="shared" si="21"/>
        <v>0</v>
      </c>
      <c r="Z76" s="254"/>
      <c r="AA76" s="254"/>
    </row>
    <row r="77" spans="1:27">
      <c r="A77" s="252">
        <v>39538</v>
      </c>
      <c r="B77" s="255">
        <v>8992.5300000000007</v>
      </c>
      <c r="C77" s="256">
        <f t="shared" si="13"/>
        <v>-0.11370114407815368</v>
      </c>
      <c r="D77" s="259">
        <v>78</v>
      </c>
      <c r="E77" s="260">
        <f t="shared" si="14"/>
        <v>-0.1174473862864901</v>
      </c>
      <c r="F77" s="265"/>
      <c r="G77" s="265"/>
      <c r="H77" s="269"/>
      <c r="I77" s="269"/>
      <c r="J77" s="272"/>
      <c r="K77" s="272"/>
      <c r="L77" s="276">
        <v>58.6</v>
      </c>
      <c r="M77" s="277">
        <f t="shared" si="15"/>
        <v>-7.2784810126582333E-2</v>
      </c>
      <c r="N77" s="274">
        <v>50.67</v>
      </c>
      <c r="O77" s="275">
        <f t="shared" si="16"/>
        <v>-6.4611408528705949E-2</v>
      </c>
      <c r="P77" s="278">
        <v>75.33</v>
      </c>
      <c r="Q77" s="279">
        <f t="shared" si="17"/>
        <v>2.7273966998500043E-2</v>
      </c>
      <c r="R77" s="287">
        <v>72.75</v>
      </c>
      <c r="S77" s="288">
        <f t="shared" si="18"/>
        <v>-4.9019607843137303E-2</v>
      </c>
      <c r="T77" s="267">
        <v>53.17</v>
      </c>
      <c r="U77" s="268">
        <f t="shared" si="19"/>
        <v>-7.8030171666377712E-2</v>
      </c>
      <c r="V77" s="262">
        <v>82.75</v>
      </c>
      <c r="W77" s="263">
        <f t="shared" si="20"/>
        <v>-8.3102493074792227E-2</v>
      </c>
      <c r="X77" s="280">
        <v>38.25</v>
      </c>
      <c r="Y77" s="281">
        <f t="shared" si="21"/>
        <v>-3.7735849056603765E-2</v>
      </c>
      <c r="Z77" s="254"/>
      <c r="AA77" s="254"/>
    </row>
    <row r="78" spans="1:27">
      <c r="A78" s="252">
        <v>39507</v>
      </c>
      <c r="B78" s="255">
        <v>10146.16</v>
      </c>
      <c r="C78" s="256">
        <f t="shared" si="13"/>
        <v>6.1328239819160579E-2</v>
      </c>
      <c r="D78" s="259">
        <v>88.38</v>
      </c>
      <c r="E78" s="260">
        <f t="shared" si="14"/>
        <v>-1.6688918558077415E-2</v>
      </c>
      <c r="F78" s="265"/>
      <c r="G78" s="265"/>
      <c r="H78" s="269"/>
      <c r="I78" s="269"/>
      <c r="J78" s="272"/>
      <c r="K78" s="272"/>
      <c r="L78" s="276">
        <v>63.2</v>
      </c>
      <c r="M78" s="277">
        <f t="shared" si="15"/>
        <v>7.118644067796609E-2</v>
      </c>
      <c r="N78" s="274">
        <v>54.17</v>
      </c>
      <c r="O78" s="275">
        <f t="shared" si="16"/>
        <v>-1.2037205909173787E-2</v>
      </c>
      <c r="P78" s="278">
        <v>73.33</v>
      </c>
      <c r="Q78" s="279">
        <f t="shared" si="17"/>
        <v>-2.6549847338377841E-2</v>
      </c>
      <c r="R78" s="287">
        <v>76.5</v>
      </c>
      <c r="S78" s="288">
        <f t="shared" si="18"/>
        <v>3.7288135593220417E-2</v>
      </c>
      <c r="T78" s="267">
        <v>57.67</v>
      </c>
      <c r="U78" s="268">
        <f t="shared" si="19"/>
        <v>1.4780925567482006E-2</v>
      </c>
      <c r="V78" s="262">
        <v>90.25</v>
      </c>
      <c r="W78" s="263">
        <f t="shared" si="20"/>
        <v>7.7611940298507376E-2</v>
      </c>
      <c r="X78" s="280">
        <v>39.75</v>
      </c>
      <c r="Y78" s="281">
        <f t="shared" si="21"/>
        <v>1.9230769230769162E-2</v>
      </c>
      <c r="Z78" s="254"/>
      <c r="AA78" s="254"/>
    </row>
    <row r="79" spans="1:27">
      <c r="A79" s="252">
        <v>39478</v>
      </c>
      <c r="B79" s="255">
        <v>9559.8700000000008</v>
      </c>
      <c r="C79" s="256">
        <f t="shared" si="13"/>
        <v>-0.13396462976484458</v>
      </c>
      <c r="D79" s="259">
        <v>89.88</v>
      </c>
      <c r="E79" s="260">
        <f t="shared" si="14"/>
        <v>-6.8508287292817771E-3</v>
      </c>
      <c r="F79" s="265"/>
      <c r="G79" s="265"/>
      <c r="H79" s="269"/>
      <c r="I79" s="269"/>
      <c r="J79" s="272"/>
      <c r="K79" s="272"/>
      <c r="L79" s="276">
        <v>59</v>
      </c>
      <c r="M79" s="277">
        <f t="shared" si="15"/>
        <v>-0.22572178477690297</v>
      </c>
      <c r="N79" s="274">
        <v>54.83</v>
      </c>
      <c r="O79" s="275">
        <f t="shared" si="16"/>
        <v>-0.12732770969282192</v>
      </c>
      <c r="P79" s="278">
        <v>75.33</v>
      </c>
      <c r="Q79" s="279">
        <f t="shared" si="17"/>
        <v>-0.11031061769221684</v>
      </c>
      <c r="R79" s="287">
        <v>73.75</v>
      </c>
      <c r="S79" s="288">
        <f t="shared" si="18"/>
        <v>-0.1547277936962751</v>
      </c>
      <c r="T79" s="267">
        <v>56.83</v>
      </c>
      <c r="U79" s="268">
        <f t="shared" si="19"/>
        <v>-9.5495782269616414E-2</v>
      </c>
      <c r="V79" s="262">
        <v>83.75</v>
      </c>
      <c r="W79" s="263">
        <f t="shared" si="20"/>
        <v>-5.8988764044943798E-2</v>
      </c>
      <c r="X79" s="280">
        <v>39</v>
      </c>
      <c r="Y79" s="281">
        <f t="shared" si="21"/>
        <v>-6.5868263473053856E-2</v>
      </c>
      <c r="Z79" s="254"/>
      <c r="AA79" s="254"/>
    </row>
    <row r="80" spans="1:27">
      <c r="A80" s="252">
        <v>39447</v>
      </c>
      <c r="B80" s="255">
        <v>11038.66</v>
      </c>
      <c r="C80" s="256">
        <f t="shared" si="13"/>
        <v>0.17561245235475864</v>
      </c>
      <c r="D80" s="259">
        <v>90.5</v>
      </c>
      <c r="E80" s="260">
        <f t="shared" si="14"/>
        <v>0.17532467532467533</v>
      </c>
      <c r="F80" s="265"/>
      <c r="G80" s="265"/>
      <c r="H80" s="269"/>
      <c r="I80" s="269"/>
      <c r="J80" s="272"/>
      <c r="K80" s="272"/>
      <c r="L80" s="276">
        <v>76.2</v>
      </c>
      <c r="M80" s="277">
        <f t="shared" si="15"/>
        <v>6.5883340327318685E-2</v>
      </c>
      <c r="N80" s="274">
        <v>62.83</v>
      </c>
      <c r="O80" s="275">
        <f t="shared" si="16"/>
        <v>9.900297358754595E-2</v>
      </c>
      <c r="P80" s="278">
        <v>84.67</v>
      </c>
      <c r="Q80" s="279">
        <f t="shared" si="17"/>
        <v>0.13910937710211235</v>
      </c>
      <c r="R80" s="287">
        <v>87.25</v>
      </c>
      <c r="S80" s="288">
        <f t="shared" si="18"/>
        <v>7.3846153846153895E-2</v>
      </c>
      <c r="T80" s="267">
        <v>62.83</v>
      </c>
      <c r="U80" s="268">
        <f t="shared" si="19"/>
        <v>0.10557803976772839</v>
      </c>
      <c r="V80" s="262">
        <v>89</v>
      </c>
      <c r="W80" s="263">
        <f t="shared" si="20"/>
        <v>5.9523809523809534E-2</v>
      </c>
      <c r="X80" s="280">
        <v>41.75</v>
      </c>
      <c r="Y80" s="281">
        <f t="shared" si="21"/>
        <v>0.12080536912751683</v>
      </c>
      <c r="Z80" s="254"/>
      <c r="AA80" s="254"/>
    </row>
    <row r="81" spans="1:27">
      <c r="A81" s="252">
        <v>39416</v>
      </c>
      <c r="B81" s="255">
        <v>9389.7099999999991</v>
      </c>
      <c r="C81" s="256">
        <f t="shared" si="13"/>
        <v>0.10740901923460222</v>
      </c>
      <c r="D81" s="259">
        <v>77</v>
      </c>
      <c r="E81" s="260">
        <f t="shared" si="14"/>
        <v>6.0167974666115898E-2</v>
      </c>
      <c r="F81" s="265"/>
      <c r="G81" s="265"/>
      <c r="H81" s="269"/>
      <c r="I81" s="269"/>
      <c r="J81" s="272"/>
      <c r="K81" s="272"/>
      <c r="L81" s="276">
        <v>71.489999999999995</v>
      </c>
      <c r="M81" s="277">
        <f t="shared" si="15"/>
        <v>0.17139111912174321</v>
      </c>
      <c r="N81" s="274">
        <v>57.17</v>
      </c>
      <c r="O81" s="275">
        <f t="shared" si="16"/>
        <v>0.11725620480750432</v>
      </c>
      <c r="P81" s="278">
        <v>74.33</v>
      </c>
      <c r="Q81" s="279">
        <f t="shared" si="17"/>
        <v>0.18605393330142017</v>
      </c>
      <c r="R81" s="287">
        <v>81.25</v>
      </c>
      <c r="S81" s="288">
        <f t="shared" si="18"/>
        <v>6.9078947368421018E-2</v>
      </c>
      <c r="T81" s="267">
        <v>56.83</v>
      </c>
      <c r="U81" s="268">
        <f t="shared" si="19"/>
        <v>6.5629101818863722E-2</v>
      </c>
      <c r="V81" s="262">
        <v>84</v>
      </c>
      <c r="W81" s="263">
        <f t="shared" si="20"/>
        <v>4.6728971962616717E-2</v>
      </c>
      <c r="X81" s="280">
        <v>37.25</v>
      </c>
      <c r="Y81" s="281">
        <f t="shared" si="21"/>
        <v>0.13740458015267176</v>
      </c>
      <c r="Z81" s="254"/>
      <c r="AA81" s="254"/>
    </row>
    <row r="82" spans="1:27">
      <c r="A82" s="252">
        <v>39386</v>
      </c>
      <c r="B82" s="255">
        <v>8478.99</v>
      </c>
      <c r="C82" s="256">
        <f t="shared" si="13"/>
        <v>8.5224596576015665E-2</v>
      </c>
      <c r="D82" s="259">
        <v>72.63</v>
      </c>
      <c r="E82" s="260">
        <f t="shared" si="14"/>
        <v>7.7916295636687449E-2</v>
      </c>
      <c r="F82" s="265"/>
      <c r="G82" s="265"/>
      <c r="H82" s="269"/>
      <c r="I82" s="269"/>
      <c r="J82" s="272"/>
      <c r="K82" s="272"/>
      <c r="L82" s="276">
        <v>61.03</v>
      </c>
      <c r="M82" s="277">
        <f t="shared" si="15"/>
        <v>0.10222141954126784</v>
      </c>
      <c r="N82" s="274">
        <v>51.17</v>
      </c>
      <c r="O82" s="275">
        <f t="shared" si="16"/>
        <v>3.7299817555240367E-2</v>
      </c>
      <c r="P82" s="278">
        <v>62.67</v>
      </c>
      <c r="Q82" s="279">
        <f t="shared" si="17"/>
        <v>5.9151597093121566E-2</v>
      </c>
      <c r="R82" s="287">
        <v>76</v>
      </c>
      <c r="S82" s="288">
        <f t="shared" si="18"/>
        <v>6.6225165562914245E-3</v>
      </c>
      <c r="T82" s="267">
        <v>53.33</v>
      </c>
      <c r="U82" s="268">
        <f t="shared" si="19"/>
        <v>9.4643195154269222E-3</v>
      </c>
      <c r="V82" s="262">
        <v>80.25</v>
      </c>
      <c r="W82" s="263">
        <f t="shared" si="20"/>
        <v>5.5921052631578982E-2</v>
      </c>
      <c r="X82" s="280">
        <v>32.75</v>
      </c>
      <c r="Y82" s="281">
        <f t="shared" si="21"/>
        <v>4.8000000000000043E-2</v>
      </c>
      <c r="Z82" s="254"/>
      <c r="AA82" s="254"/>
    </row>
    <row r="83" spans="1:27">
      <c r="A83" s="252">
        <v>39355</v>
      </c>
      <c r="B83" s="255">
        <v>7813.12</v>
      </c>
      <c r="C83" s="256">
        <f t="shared" si="13"/>
        <v>-4.58458355773258E-2</v>
      </c>
      <c r="D83" s="259">
        <v>67.38</v>
      </c>
      <c r="E83" s="260">
        <f t="shared" si="14"/>
        <v>-1.4624159110851132E-2</v>
      </c>
      <c r="F83" s="265"/>
      <c r="G83" s="265"/>
      <c r="H83" s="269"/>
      <c r="I83" s="269"/>
      <c r="J83" s="272"/>
      <c r="K83" s="272"/>
      <c r="L83" s="276">
        <v>55.37</v>
      </c>
      <c r="M83" s="277">
        <f t="shared" si="15"/>
        <v>6.1784481192075358E-3</v>
      </c>
      <c r="N83" s="274">
        <v>49.33</v>
      </c>
      <c r="O83" s="275">
        <f t="shared" si="16"/>
        <v>-4.5287400812850875E-2</v>
      </c>
      <c r="P83" s="278">
        <v>59.17</v>
      </c>
      <c r="Q83" s="279">
        <f t="shared" si="17"/>
        <v>-1.1031255223132197E-2</v>
      </c>
      <c r="R83" s="287">
        <v>75.5</v>
      </c>
      <c r="S83" s="288">
        <f t="shared" si="18"/>
        <v>-2.8938906752411619E-2</v>
      </c>
      <c r="T83" s="267">
        <v>52.83</v>
      </c>
      <c r="U83" s="268">
        <f t="shared" si="19"/>
        <v>-6.3945834116984068E-3</v>
      </c>
      <c r="V83" s="262">
        <v>76</v>
      </c>
      <c r="W83" s="263">
        <f t="shared" si="20"/>
        <v>-5.0000000000000044E-2</v>
      </c>
      <c r="X83" s="280">
        <v>31.25</v>
      </c>
      <c r="Y83" s="281">
        <f t="shared" si="21"/>
        <v>-3.8461538461538436E-2</v>
      </c>
      <c r="Z83" s="254"/>
      <c r="AA83" s="254"/>
    </row>
    <row r="84" spans="1:27">
      <c r="A84" s="252">
        <v>39325</v>
      </c>
      <c r="B84" s="255">
        <v>8188.53</v>
      </c>
      <c r="C84" s="256">
        <f t="shared" si="13"/>
        <v>9.5404228564548665E-2</v>
      </c>
      <c r="D84" s="259">
        <v>68.38</v>
      </c>
      <c r="E84" s="260">
        <f t="shared" si="14"/>
        <v>3.0129557095510684E-2</v>
      </c>
      <c r="F84" s="265"/>
      <c r="G84" s="265"/>
      <c r="H84" s="269"/>
      <c r="I84" s="269"/>
      <c r="J84" s="272"/>
      <c r="K84" s="272"/>
      <c r="L84" s="276">
        <v>55.03</v>
      </c>
      <c r="M84" s="277">
        <f t="shared" si="15"/>
        <v>3.2264115550553418E-2</v>
      </c>
      <c r="N84" s="274">
        <v>51.67</v>
      </c>
      <c r="O84" s="275">
        <f t="shared" si="16"/>
        <v>1.65256738146764E-2</v>
      </c>
      <c r="P84" s="278">
        <v>59.83</v>
      </c>
      <c r="Q84" s="279">
        <f t="shared" si="17"/>
        <v>6.5159337724764121E-2</v>
      </c>
      <c r="R84" s="287">
        <v>77.75</v>
      </c>
      <c r="S84" s="288">
        <f t="shared" si="18"/>
        <v>9.7402597402598268E-3</v>
      </c>
      <c r="T84" s="267">
        <v>53.17</v>
      </c>
      <c r="U84" s="268">
        <f t="shared" si="19"/>
        <v>-1.5370370370370368E-2</v>
      </c>
      <c r="V84" s="262">
        <v>80</v>
      </c>
      <c r="W84" s="263">
        <f t="shared" si="20"/>
        <v>2.2364217252396124E-2</v>
      </c>
      <c r="X84" s="280">
        <v>32.5</v>
      </c>
      <c r="Y84" s="281">
        <f t="shared" si="21"/>
        <v>2.3622047244094446E-2</v>
      </c>
      <c r="Z84" s="254"/>
      <c r="AA84" s="254"/>
    </row>
    <row r="85" spans="1:27">
      <c r="A85" s="252">
        <v>39294</v>
      </c>
      <c r="B85" s="255">
        <v>7475.35</v>
      </c>
      <c r="C85" s="256">
        <f t="shared" si="13"/>
        <v>7.1954536915812328E-2</v>
      </c>
      <c r="D85" s="259">
        <v>66.38</v>
      </c>
      <c r="E85" s="260">
        <f t="shared" si="14"/>
        <v>8.3755102040816265E-2</v>
      </c>
      <c r="F85" s="265"/>
      <c r="G85" s="265"/>
      <c r="H85" s="269"/>
      <c r="I85" s="269"/>
      <c r="J85" s="272"/>
      <c r="K85" s="272"/>
      <c r="L85" s="276">
        <v>53.31</v>
      </c>
      <c r="M85" s="277">
        <f t="shared" si="15"/>
        <v>-3.3651149747616627E-3</v>
      </c>
      <c r="N85" s="274">
        <v>50.83</v>
      </c>
      <c r="O85" s="275">
        <f t="shared" si="16"/>
        <v>7.0105263157894671E-2</v>
      </c>
      <c r="P85" s="278">
        <v>56.17</v>
      </c>
      <c r="Q85" s="279">
        <f t="shared" si="17"/>
        <v>5.642279480910295E-2</v>
      </c>
      <c r="R85" s="287">
        <v>77</v>
      </c>
      <c r="S85" s="288">
        <f t="shared" si="18"/>
        <v>0.12408759124087587</v>
      </c>
      <c r="T85" s="267">
        <v>54</v>
      </c>
      <c r="U85" s="268">
        <f t="shared" si="19"/>
        <v>0.19548372813814474</v>
      </c>
      <c r="V85" s="262">
        <v>78.25</v>
      </c>
      <c r="W85" s="263">
        <f t="shared" si="20"/>
        <v>0.12996389891696758</v>
      </c>
      <c r="X85" s="280">
        <v>31.75</v>
      </c>
      <c r="Y85" s="281">
        <f t="shared" si="21"/>
        <v>4.0983606557376984E-2</v>
      </c>
      <c r="Z85" s="254"/>
      <c r="AA85" s="254"/>
    </row>
    <row r="86" spans="1:27">
      <c r="A86" s="252">
        <v>39263</v>
      </c>
      <c r="B86" s="255">
        <v>6973.57</v>
      </c>
      <c r="C86" s="256">
        <f t="shared" si="13"/>
        <v>-7.044102788315687E-2</v>
      </c>
      <c r="D86" s="259">
        <v>61.25</v>
      </c>
      <c r="E86" s="260">
        <f t="shared" si="14"/>
        <v>-1.8114780378326478E-2</v>
      </c>
      <c r="F86" s="265"/>
      <c r="G86" s="265"/>
      <c r="H86" s="269"/>
      <c r="I86" s="269"/>
      <c r="J86" s="272"/>
      <c r="K86" s="272"/>
      <c r="L86" s="276">
        <v>53.49</v>
      </c>
      <c r="M86" s="277">
        <f t="shared" si="15"/>
        <v>-4.2941492216854504E-2</v>
      </c>
      <c r="N86" s="274">
        <v>47.5</v>
      </c>
      <c r="O86" s="275">
        <f t="shared" si="16"/>
        <v>-9.2298872539652188E-2</v>
      </c>
      <c r="P86" s="278">
        <v>53.17</v>
      </c>
      <c r="Q86" s="279">
        <f t="shared" si="17"/>
        <v>-3.9038496294957481E-2</v>
      </c>
      <c r="R86" s="287">
        <v>68.5</v>
      </c>
      <c r="S86" s="288">
        <f t="shared" si="18"/>
        <v>-7.2463768115942351E-3</v>
      </c>
      <c r="T86" s="267">
        <v>45.17</v>
      </c>
      <c r="U86" s="268">
        <f t="shared" si="19"/>
        <v>-2.1659085986571402E-2</v>
      </c>
      <c r="V86" s="262">
        <v>69.25</v>
      </c>
      <c r="W86" s="263">
        <f t="shared" si="20"/>
        <v>-3.4843205574912939E-2</v>
      </c>
      <c r="X86" s="280">
        <v>30.5</v>
      </c>
      <c r="Y86" s="281">
        <f t="shared" si="21"/>
        <v>-9.6296296296296324E-2</v>
      </c>
      <c r="Z86" s="254"/>
      <c r="AA86" s="254"/>
    </row>
    <row r="87" spans="1:27">
      <c r="A87" s="252">
        <v>39233</v>
      </c>
      <c r="B87" s="255">
        <v>7502.02</v>
      </c>
      <c r="C87" s="256">
        <f t="shared" si="13"/>
        <v>3.1973319461737759E-3</v>
      </c>
      <c r="D87" s="259">
        <v>62.38</v>
      </c>
      <c r="E87" s="260">
        <f t="shared" si="14"/>
        <v>-1.7637795275590507E-2</v>
      </c>
      <c r="F87" s="265"/>
      <c r="G87" s="265"/>
      <c r="H87" s="269"/>
      <c r="I87" s="269"/>
      <c r="J87" s="272"/>
      <c r="K87" s="272"/>
      <c r="L87" s="276">
        <v>55.89</v>
      </c>
      <c r="M87" s="277">
        <f t="shared" si="15"/>
        <v>0.12817924909164313</v>
      </c>
      <c r="N87" s="274">
        <v>52.33</v>
      </c>
      <c r="O87" s="275">
        <f t="shared" si="16"/>
        <v>-6.4552876400228998E-3</v>
      </c>
      <c r="P87" s="278">
        <v>55.33</v>
      </c>
      <c r="Q87" s="279">
        <f t="shared" si="17"/>
        <v>-2.0707964601769935E-2</v>
      </c>
      <c r="R87" s="287">
        <v>69</v>
      </c>
      <c r="S87" s="288">
        <f t="shared" si="18"/>
        <v>-4.166666666666663E-2</v>
      </c>
      <c r="T87" s="267">
        <v>46.17</v>
      </c>
      <c r="U87" s="268">
        <f t="shared" si="19"/>
        <v>1.0948105977665934E-2</v>
      </c>
      <c r="V87" s="262">
        <v>71.75</v>
      </c>
      <c r="W87" s="263">
        <f t="shared" si="20"/>
        <v>-3.0405405405405372E-2</v>
      </c>
      <c r="X87" s="280">
        <v>33.75</v>
      </c>
      <c r="Y87" s="281">
        <f t="shared" si="21"/>
        <v>-2.877697841726623E-2</v>
      </c>
      <c r="Z87" s="254"/>
      <c r="AA87" s="254"/>
    </row>
    <row r="88" spans="1:27">
      <c r="A88" s="252">
        <v>39202</v>
      </c>
      <c r="B88" s="255">
        <v>7478.11</v>
      </c>
      <c r="C88" s="256">
        <f t="shared" si="13"/>
        <v>-3.278872991688675E-2</v>
      </c>
      <c r="D88" s="259">
        <v>63.5</v>
      </c>
      <c r="E88" s="260">
        <f t="shared" si="14"/>
        <v>2.4193548387096753E-2</v>
      </c>
      <c r="F88" s="265"/>
      <c r="G88" s="265"/>
      <c r="H88" s="269"/>
      <c r="I88" s="269"/>
      <c r="J88" s="272"/>
      <c r="K88" s="272"/>
      <c r="L88" s="276">
        <v>49.54</v>
      </c>
      <c r="M88" s="277">
        <f t="shared" si="15"/>
        <v>-7.0154339547003897E-3</v>
      </c>
      <c r="N88" s="274">
        <v>52.67</v>
      </c>
      <c r="O88" s="275">
        <f t="shared" si="16"/>
        <v>3.2745098039215659E-2</v>
      </c>
      <c r="P88" s="278">
        <v>56.5</v>
      </c>
      <c r="Q88" s="279">
        <f t="shared" si="17"/>
        <v>8.9285714285713969E-3</v>
      </c>
      <c r="R88" s="287">
        <v>72</v>
      </c>
      <c r="S88" s="288">
        <f t="shared" si="18"/>
        <v>0.10344827586206895</v>
      </c>
      <c r="T88" s="267">
        <v>45.67</v>
      </c>
      <c r="U88" s="268">
        <f t="shared" si="19"/>
        <v>6.6308662152696707E-2</v>
      </c>
      <c r="V88" s="262">
        <v>74</v>
      </c>
      <c r="W88" s="263">
        <f t="shared" si="20"/>
        <v>0.15175097276264582</v>
      </c>
      <c r="X88" s="280">
        <v>34.75</v>
      </c>
      <c r="Y88" s="281">
        <f t="shared" si="21"/>
        <v>-2.1126760563380254E-2</v>
      </c>
      <c r="Z88" s="254"/>
      <c r="AA88" s="254"/>
    </row>
    <row r="89" spans="1:27">
      <c r="A89" s="252">
        <v>39172</v>
      </c>
      <c r="B89" s="255">
        <v>7731.62</v>
      </c>
      <c r="C89" s="256">
        <f t="shared" si="13"/>
        <v>-6.612006479019894E-2</v>
      </c>
      <c r="D89" s="259">
        <v>62</v>
      </c>
      <c r="E89" s="260">
        <f t="shared" si="14"/>
        <v>-0.21019108280254772</v>
      </c>
      <c r="F89" s="265"/>
      <c r="G89" s="265"/>
      <c r="H89" s="269"/>
      <c r="I89" s="269"/>
      <c r="J89" s="272"/>
      <c r="K89" s="272"/>
      <c r="L89" s="276">
        <v>49.89</v>
      </c>
      <c r="M89" s="277">
        <f t="shared" si="15"/>
        <v>-0.17318528339410011</v>
      </c>
      <c r="N89" s="274">
        <v>51</v>
      </c>
      <c r="O89" s="275">
        <f t="shared" si="16"/>
        <v>-0.11810478990143525</v>
      </c>
      <c r="P89" s="278">
        <v>56</v>
      </c>
      <c r="Q89" s="279">
        <f t="shared" si="17"/>
        <v>-0.16827565721075299</v>
      </c>
      <c r="R89" s="287">
        <v>65.25</v>
      </c>
      <c r="S89" s="288">
        <f t="shared" si="18"/>
        <v>-0.16346153846153844</v>
      </c>
      <c r="T89" s="267">
        <v>42.83</v>
      </c>
      <c r="U89" s="268">
        <f t="shared" si="19"/>
        <v>-0.14047762392133256</v>
      </c>
      <c r="V89" s="262">
        <v>64.25</v>
      </c>
      <c r="W89" s="263">
        <f t="shared" si="20"/>
        <v>-0.19182389937106914</v>
      </c>
      <c r="X89" s="280">
        <v>35.5</v>
      </c>
      <c r="Y89" s="281">
        <f t="shared" si="21"/>
        <v>-8.716893803034198E-2</v>
      </c>
      <c r="Z89" s="254"/>
      <c r="AA89" s="254"/>
    </row>
    <row r="90" spans="1:27">
      <c r="A90" s="252">
        <v>39141</v>
      </c>
      <c r="B90" s="255">
        <v>8279.0300000000007</v>
      </c>
      <c r="C90" s="256">
        <f t="shared" si="13"/>
        <v>0.17338346781108593</v>
      </c>
      <c r="D90" s="259">
        <v>78.5</v>
      </c>
      <c r="E90" s="260">
        <f t="shared" si="14"/>
        <v>5.3691275167785157E-2</v>
      </c>
      <c r="F90" s="265"/>
      <c r="G90" s="265"/>
      <c r="H90" s="269"/>
      <c r="I90" s="269"/>
      <c r="J90" s="272"/>
      <c r="K90" s="272"/>
      <c r="L90" s="276">
        <v>60.34</v>
      </c>
      <c r="M90" s="277">
        <f t="shared" si="15"/>
        <v>0.12093628088426533</v>
      </c>
      <c r="N90" s="274">
        <v>57.83</v>
      </c>
      <c r="O90" s="275">
        <f t="shared" si="16"/>
        <v>0.12663159945450997</v>
      </c>
      <c r="P90" s="278">
        <v>67.33</v>
      </c>
      <c r="Q90" s="279">
        <f t="shared" si="17"/>
        <v>3.5846153846153861E-2</v>
      </c>
      <c r="R90" s="287">
        <v>78</v>
      </c>
      <c r="S90" s="288">
        <f t="shared" si="18"/>
        <v>6.8493150684931559E-2</v>
      </c>
      <c r="T90" s="267">
        <v>49.83</v>
      </c>
      <c r="U90" s="268">
        <f t="shared" si="19"/>
        <v>8.3260869565217277E-2</v>
      </c>
      <c r="V90" s="262">
        <v>79.5</v>
      </c>
      <c r="W90" s="263">
        <f t="shared" si="20"/>
        <v>0.15636363636363626</v>
      </c>
      <c r="X90" s="280">
        <v>38.89</v>
      </c>
      <c r="Y90" s="281">
        <f t="shared" si="21"/>
        <v>0.19772097320603632</v>
      </c>
      <c r="Z90" s="254"/>
      <c r="AA90" s="254"/>
    </row>
    <row r="91" spans="1:27">
      <c r="A91" s="252">
        <v>39113</v>
      </c>
      <c r="B91" s="255">
        <v>7055.69</v>
      </c>
      <c r="C91" s="256">
        <f t="shared" si="13"/>
        <v>-0.11062245297978524</v>
      </c>
      <c r="D91" s="259">
        <v>74.5</v>
      </c>
      <c r="E91" s="260">
        <f t="shared" si="14"/>
        <v>-3.8709677419354827E-2</v>
      </c>
      <c r="F91" s="265"/>
      <c r="G91" s="265"/>
      <c r="H91" s="269"/>
      <c r="I91" s="269"/>
      <c r="J91" s="272"/>
      <c r="K91" s="272"/>
      <c r="L91" s="276">
        <v>53.83</v>
      </c>
      <c r="M91" s="277">
        <f t="shared" si="15"/>
        <v>-2.4818840579710177E-2</v>
      </c>
      <c r="N91" s="274">
        <v>51.33</v>
      </c>
      <c r="O91" s="275">
        <f t="shared" si="16"/>
        <v>-1.9109497420217836E-2</v>
      </c>
      <c r="P91" s="278">
        <v>65</v>
      </c>
      <c r="Q91" s="279">
        <f t="shared" si="17"/>
        <v>-1.0202527790467486E-2</v>
      </c>
      <c r="R91" s="287">
        <v>73</v>
      </c>
      <c r="S91" s="288">
        <f t="shared" si="18"/>
        <v>0</v>
      </c>
      <c r="T91" s="267">
        <v>46</v>
      </c>
      <c r="U91" s="268">
        <f t="shared" si="19"/>
        <v>-3.8260505958603308E-2</v>
      </c>
      <c r="V91" s="262">
        <v>68.75</v>
      </c>
      <c r="W91" s="263">
        <f t="shared" si="20"/>
        <v>-3.169014084507038E-2</v>
      </c>
      <c r="X91" s="280">
        <v>32.47</v>
      </c>
      <c r="Y91" s="281">
        <f t="shared" si="21"/>
        <v>5.8859975216851712E-3</v>
      </c>
      <c r="Z91" s="254"/>
      <c r="AA91" s="254"/>
    </row>
    <row r="92" spans="1:27">
      <c r="A92" s="252">
        <v>39082</v>
      </c>
      <c r="B92" s="255">
        <v>7933.29</v>
      </c>
      <c r="C92" s="256">
        <f t="shared" si="13"/>
        <v>-4.6987000911774213E-2</v>
      </c>
      <c r="D92" s="259">
        <v>77.5</v>
      </c>
      <c r="E92" s="260">
        <f t="shared" si="14"/>
        <v>-4.3209876543209846E-2</v>
      </c>
      <c r="F92" s="265"/>
      <c r="G92" s="265"/>
      <c r="H92" s="269"/>
      <c r="I92" s="269"/>
      <c r="J92" s="272"/>
      <c r="K92" s="272"/>
      <c r="L92" s="276">
        <v>55.2</v>
      </c>
      <c r="M92" s="277">
        <f t="shared" si="15"/>
        <v>1.2658227848101333E-2</v>
      </c>
      <c r="N92" s="274">
        <v>52.33</v>
      </c>
      <c r="O92" s="275">
        <f t="shared" si="16"/>
        <v>3.0668966839177969E-3</v>
      </c>
      <c r="P92" s="278">
        <v>65.67</v>
      </c>
      <c r="Q92" s="279">
        <f t="shared" si="17"/>
        <v>2.8826570578098121E-2</v>
      </c>
      <c r="R92" s="287">
        <v>73</v>
      </c>
      <c r="S92" s="288">
        <f t="shared" si="18"/>
        <v>-6.7092651757188482E-2</v>
      </c>
      <c r="T92" s="267">
        <v>47.83</v>
      </c>
      <c r="U92" s="268">
        <f t="shared" si="19"/>
        <v>-1.7259091843024543E-2</v>
      </c>
      <c r="V92" s="262">
        <v>71</v>
      </c>
      <c r="W92" s="263">
        <f t="shared" si="20"/>
        <v>-2.4054982817869441E-2</v>
      </c>
      <c r="X92" s="280">
        <v>32.28</v>
      </c>
      <c r="Y92" s="281">
        <f t="shared" si="21"/>
        <v>-2.3593466424682408E-2</v>
      </c>
      <c r="Z92" s="254"/>
      <c r="AA92" s="254"/>
    </row>
    <row r="93" spans="1:27">
      <c r="A93" s="252">
        <v>39051</v>
      </c>
      <c r="B93" s="255">
        <v>8324.43</v>
      </c>
      <c r="C93" s="256">
        <f t="shared" si="13"/>
        <v>-0.14339120940862671</v>
      </c>
      <c r="D93" s="259">
        <v>81</v>
      </c>
      <c r="E93" s="260">
        <f t="shared" si="14"/>
        <v>1.2499999999999956E-2</v>
      </c>
      <c r="F93" s="265"/>
      <c r="G93" s="265"/>
      <c r="H93" s="269"/>
      <c r="I93" s="269"/>
      <c r="J93" s="272"/>
      <c r="K93" s="272"/>
      <c r="L93" s="276">
        <v>54.51</v>
      </c>
      <c r="M93" s="277">
        <f t="shared" si="15"/>
        <v>-0.13599619591060397</v>
      </c>
      <c r="N93" s="274">
        <v>52.17</v>
      </c>
      <c r="O93" s="275">
        <f t="shared" si="16"/>
        <v>-8.473684210526311E-2</v>
      </c>
      <c r="P93" s="278">
        <v>63.83</v>
      </c>
      <c r="Q93" s="279">
        <f t="shared" si="17"/>
        <v>5.2085050271962974E-2</v>
      </c>
      <c r="R93" s="287">
        <v>78.25</v>
      </c>
      <c r="S93" s="288">
        <f t="shared" si="18"/>
        <v>3.9867109634551534E-2</v>
      </c>
      <c r="T93" s="267">
        <v>48.67</v>
      </c>
      <c r="U93" s="268">
        <f t="shared" si="19"/>
        <v>-3.9471087428458618E-2</v>
      </c>
      <c r="V93" s="262">
        <v>72.75</v>
      </c>
      <c r="W93" s="263">
        <f t="shared" si="20"/>
        <v>-3.6423841059602613E-2</v>
      </c>
      <c r="X93" s="280">
        <v>33.06</v>
      </c>
      <c r="Y93" s="281">
        <f t="shared" si="21"/>
        <v>-0.26712480602970512</v>
      </c>
      <c r="Z93" s="254"/>
      <c r="AA93" s="254"/>
    </row>
    <row r="94" spans="1:27">
      <c r="A94" s="252">
        <v>39021</v>
      </c>
      <c r="B94" s="255">
        <v>9717.89</v>
      </c>
      <c r="C94" s="256">
        <f t="shared" si="13"/>
        <v>-0.1483035992862427</v>
      </c>
      <c r="D94" s="259">
        <v>80</v>
      </c>
      <c r="E94" s="260">
        <f t="shared" si="14"/>
        <v>-0.21760391198044005</v>
      </c>
      <c r="F94" s="265"/>
      <c r="G94" s="265"/>
      <c r="H94" s="269"/>
      <c r="I94" s="269"/>
      <c r="J94" s="272"/>
      <c r="K94" s="272"/>
      <c r="L94" s="276">
        <v>63.09</v>
      </c>
      <c r="M94" s="277">
        <f t="shared" si="15"/>
        <v>-0.19997463860005071</v>
      </c>
      <c r="N94" s="274">
        <v>57</v>
      </c>
      <c r="O94" s="275">
        <f t="shared" si="16"/>
        <v>-0.21019814327282804</v>
      </c>
      <c r="P94" s="278">
        <v>60.67</v>
      </c>
      <c r="Q94" s="279">
        <f t="shared" si="17"/>
        <v>-0.16513003990642627</v>
      </c>
      <c r="R94" s="287">
        <v>75.25</v>
      </c>
      <c r="S94" s="288">
        <f t="shared" si="18"/>
        <v>-0.16388888888888886</v>
      </c>
      <c r="T94" s="267">
        <v>50.67</v>
      </c>
      <c r="U94" s="268">
        <f t="shared" si="19"/>
        <v>-0.16482610845557932</v>
      </c>
      <c r="V94" s="262">
        <v>75.5</v>
      </c>
      <c r="W94" s="263">
        <f t="shared" si="20"/>
        <v>-0.17032967032967028</v>
      </c>
      <c r="X94" s="280">
        <v>45.11</v>
      </c>
      <c r="Y94" s="281">
        <f t="shared" si="21"/>
        <v>-0.11791161517403204</v>
      </c>
      <c r="Z94" s="254"/>
      <c r="AA94" s="254"/>
    </row>
    <row r="95" spans="1:27">
      <c r="A95" s="252">
        <v>38990</v>
      </c>
      <c r="B95" s="255">
        <v>11410.04</v>
      </c>
      <c r="C95" s="256">
        <f t="shared" si="13"/>
        <v>2.6830695020653605E-2</v>
      </c>
      <c r="D95" s="259">
        <v>102.25</v>
      </c>
      <c r="E95" s="260">
        <f t="shared" si="14"/>
        <v>-4.2154566744730726E-2</v>
      </c>
      <c r="F95" s="265"/>
      <c r="G95" s="265"/>
      <c r="H95" s="269"/>
      <c r="I95" s="269"/>
      <c r="J95" s="272"/>
      <c r="K95" s="272"/>
      <c r="L95" s="276">
        <v>78.86</v>
      </c>
      <c r="M95" s="277">
        <f t="shared" si="15"/>
        <v>0</v>
      </c>
      <c r="N95" s="274">
        <v>72.17</v>
      </c>
      <c r="O95" s="275">
        <f t="shared" si="16"/>
        <v>6.1323529411764666E-2</v>
      </c>
      <c r="P95" s="278">
        <v>72.67</v>
      </c>
      <c r="Q95" s="279">
        <f t="shared" si="17"/>
        <v>4.0670199054847478E-2</v>
      </c>
      <c r="R95" s="287">
        <v>90</v>
      </c>
      <c r="S95" s="288">
        <f t="shared" si="18"/>
        <v>-2.1739130434782594E-2</v>
      </c>
      <c r="T95" s="267">
        <v>60.67</v>
      </c>
      <c r="U95" s="268">
        <f t="shared" si="19"/>
        <v>-1.8761119197800324E-2</v>
      </c>
      <c r="V95" s="262">
        <v>91</v>
      </c>
      <c r="W95" s="263">
        <f t="shared" si="20"/>
        <v>-1.0869565217391353E-2</v>
      </c>
      <c r="X95" s="280">
        <v>51.14</v>
      </c>
      <c r="Y95" s="281">
        <f t="shared" si="21"/>
        <v>3.1464300121016642E-2</v>
      </c>
      <c r="Z95" s="254"/>
      <c r="AA95" s="254"/>
    </row>
    <row r="96" spans="1:27">
      <c r="A96" s="252">
        <v>38960</v>
      </c>
      <c r="B96" s="255">
        <v>11111.9</v>
      </c>
      <c r="C96" s="256">
        <f t="shared" si="13"/>
        <v>2.4331786190017413E-2</v>
      </c>
      <c r="D96" s="259">
        <v>106.75</v>
      </c>
      <c r="E96" s="260">
        <f t="shared" si="14"/>
        <v>2.0261875179202971E-2</v>
      </c>
      <c r="F96" s="265"/>
      <c r="G96" s="265"/>
      <c r="H96" s="269"/>
      <c r="I96" s="269"/>
      <c r="J96" s="272"/>
      <c r="K96" s="272"/>
      <c r="L96" s="276">
        <v>78.86</v>
      </c>
      <c r="M96" s="277">
        <f t="shared" si="15"/>
        <v>-4.2929292929293483E-3</v>
      </c>
      <c r="N96" s="274">
        <v>68</v>
      </c>
      <c r="O96" s="275">
        <f t="shared" si="16"/>
        <v>3.0303030303030276E-2</v>
      </c>
      <c r="P96" s="278">
        <v>69.83</v>
      </c>
      <c r="Q96" s="279">
        <f t="shared" si="17"/>
        <v>-1.4118311449950571E-2</v>
      </c>
      <c r="R96" s="287">
        <v>92</v>
      </c>
      <c r="S96" s="288">
        <f t="shared" si="18"/>
        <v>4.5454545454545414E-2</v>
      </c>
      <c r="T96" s="267">
        <v>61.83</v>
      </c>
      <c r="U96" s="268">
        <f t="shared" si="19"/>
        <v>-8.021819348628223E-3</v>
      </c>
      <c r="V96" s="262">
        <v>92</v>
      </c>
      <c r="W96" s="263">
        <f t="shared" si="20"/>
        <v>3.3707865168539408E-2</v>
      </c>
      <c r="X96" s="280">
        <v>49.58</v>
      </c>
      <c r="Y96" s="281">
        <f t="shared" si="21"/>
        <v>4.0722082283795036E-2</v>
      </c>
      <c r="Z96" s="254"/>
      <c r="AA96" s="254"/>
    </row>
    <row r="97" spans="1:27">
      <c r="A97" s="252">
        <v>38929</v>
      </c>
      <c r="B97" s="255">
        <v>10847.95</v>
      </c>
      <c r="C97" s="256">
        <f t="shared" si="13"/>
        <v>-0.17476337478300163</v>
      </c>
      <c r="D97" s="259">
        <v>104.63</v>
      </c>
      <c r="E97" s="260">
        <f t="shared" si="14"/>
        <v>-0.22496296296296303</v>
      </c>
      <c r="F97" s="265"/>
      <c r="G97" s="265"/>
      <c r="H97" s="269"/>
      <c r="I97" s="269"/>
      <c r="J97" s="272"/>
      <c r="K97" s="272"/>
      <c r="L97" s="276">
        <v>79.2</v>
      </c>
      <c r="M97" s="277">
        <f t="shared" si="15"/>
        <v>-0.19233122578013462</v>
      </c>
      <c r="N97" s="274">
        <v>66</v>
      </c>
      <c r="O97" s="275">
        <f t="shared" si="16"/>
        <v>-0.20958083832335328</v>
      </c>
      <c r="P97" s="278">
        <v>70.83</v>
      </c>
      <c r="Q97" s="279">
        <f t="shared" si="17"/>
        <v>-9.7707006369426752E-2</v>
      </c>
      <c r="R97" s="287">
        <v>88</v>
      </c>
      <c r="S97" s="288">
        <f t="shared" si="18"/>
        <v>-0.18706697459584298</v>
      </c>
      <c r="T97" s="267">
        <v>62.33</v>
      </c>
      <c r="U97" s="268">
        <f t="shared" si="19"/>
        <v>-0.17986842105263157</v>
      </c>
      <c r="V97" s="262">
        <v>89</v>
      </c>
      <c r="W97" s="263">
        <f t="shared" si="20"/>
        <v>-0.160377358490566</v>
      </c>
      <c r="X97" s="280">
        <v>47.64</v>
      </c>
      <c r="Y97" s="281">
        <f t="shared" si="21"/>
        <v>-0.24608324101914858</v>
      </c>
      <c r="Z97" s="254"/>
      <c r="AA97" s="254"/>
    </row>
    <row r="98" spans="1:27">
      <c r="A98" s="252">
        <v>38898</v>
      </c>
      <c r="B98" s="255">
        <v>13145.26</v>
      </c>
      <c r="C98" s="256">
        <f t="shared" si="13"/>
        <v>0.17352885511557403</v>
      </c>
      <c r="D98" s="259">
        <v>135</v>
      </c>
      <c r="E98" s="260">
        <f t="shared" si="14"/>
        <v>0.33491545535449418</v>
      </c>
      <c r="F98" s="265"/>
      <c r="G98" s="265"/>
      <c r="H98" s="269"/>
      <c r="I98" s="269"/>
      <c r="J98" s="272"/>
      <c r="K98" s="272"/>
      <c r="L98" s="276">
        <v>98.06</v>
      </c>
      <c r="M98" s="277">
        <f t="shared" si="15"/>
        <v>0.14409053786022641</v>
      </c>
      <c r="N98" s="274">
        <v>83.5</v>
      </c>
      <c r="O98" s="275">
        <f t="shared" si="16"/>
        <v>0.31849044686562444</v>
      </c>
      <c r="P98" s="278">
        <v>78.5</v>
      </c>
      <c r="Q98" s="279">
        <f t="shared" si="17"/>
        <v>0.10828744882112096</v>
      </c>
      <c r="R98" s="287">
        <v>108.25</v>
      </c>
      <c r="S98" s="288">
        <f t="shared" si="18"/>
        <v>0.17983651226158037</v>
      </c>
      <c r="T98" s="267">
        <v>76</v>
      </c>
      <c r="U98" s="268">
        <f t="shared" si="19"/>
        <v>0.13994300284985739</v>
      </c>
      <c r="V98" s="262">
        <v>106</v>
      </c>
      <c r="W98" s="263">
        <f t="shared" si="20"/>
        <v>0.15531335149863756</v>
      </c>
      <c r="X98" s="280">
        <v>63.19</v>
      </c>
      <c r="Y98" s="281">
        <f t="shared" si="21"/>
        <v>0.18178417804376279</v>
      </c>
      <c r="Z98" s="254"/>
      <c r="AA98" s="254"/>
    </row>
    <row r="99" spans="1:27">
      <c r="A99" s="252">
        <v>38868</v>
      </c>
      <c r="B99" s="255">
        <v>11201.48</v>
      </c>
      <c r="C99" s="256">
        <f t="shared" si="13"/>
        <v>-0.14121273873239826</v>
      </c>
      <c r="D99" s="259">
        <v>101.13</v>
      </c>
      <c r="E99" s="260">
        <f t="shared" si="14"/>
        <v>-0.19418326693227095</v>
      </c>
      <c r="F99" s="265"/>
      <c r="G99" s="265"/>
      <c r="H99" s="269"/>
      <c r="I99" s="269"/>
      <c r="J99" s="272"/>
      <c r="K99" s="272"/>
      <c r="L99" s="276">
        <v>85.71</v>
      </c>
      <c r="M99" s="277">
        <f t="shared" si="15"/>
        <v>-5.8442271778534671E-2</v>
      </c>
      <c r="N99" s="274">
        <v>63.33</v>
      </c>
      <c r="O99" s="275">
        <f t="shared" si="16"/>
        <v>-0.12852621439383516</v>
      </c>
      <c r="P99" s="278">
        <v>70.83</v>
      </c>
      <c r="Q99" s="279">
        <f t="shared" si="17"/>
        <v>-4.28378378378379E-2</v>
      </c>
      <c r="R99" s="287">
        <v>91.75</v>
      </c>
      <c r="S99" s="288">
        <f t="shared" si="18"/>
        <v>8.2417582417582125E-3</v>
      </c>
      <c r="T99" s="267">
        <v>66.67</v>
      </c>
      <c r="U99" s="268">
        <f t="shared" si="19"/>
        <v>6.1117300652554496E-2</v>
      </c>
      <c r="V99" s="262">
        <v>91.75</v>
      </c>
      <c r="W99" s="263">
        <f t="shared" si="20"/>
        <v>0</v>
      </c>
      <c r="X99" s="280">
        <v>53.47</v>
      </c>
      <c r="Y99" s="281">
        <f t="shared" si="21"/>
        <v>2.9853620955315741E-2</v>
      </c>
      <c r="Z99" s="254"/>
      <c r="AA99" s="254"/>
    </row>
    <row r="100" spans="1:27">
      <c r="A100" s="252">
        <v>38837</v>
      </c>
      <c r="B100" s="255">
        <v>13043.37</v>
      </c>
      <c r="C100" s="256">
        <f t="shared" si="13"/>
        <v>-0.23545662044249993</v>
      </c>
      <c r="D100" s="259">
        <v>125.5</v>
      </c>
      <c r="E100" s="260">
        <f t="shared" si="14"/>
        <v>-5.5467511885896048E-3</v>
      </c>
      <c r="F100" s="265"/>
      <c r="G100" s="265"/>
      <c r="H100" s="269"/>
      <c r="I100" s="269"/>
      <c r="J100" s="272"/>
      <c r="K100" s="272"/>
      <c r="L100" s="276">
        <v>91.03</v>
      </c>
      <c r="M100" s="277">
        <f t="shared" si="15"/>
        <v>-0.1629425287356322</v>
      </c>
      <c r="N100" s="274">
        <v>72.67</v>
      </c>
      <c r="O100" s="275">
        <f t="shared" si="16"/>
        <v>-0.40759761962990138</v>
      </c>
      <c r="P100" s="278">
        <v>74</v>
      </c>
      <c r="Q100" s="279">
        <f t="shared" si="17"/>
        <v>-7.9601990049751326E-2</v>
      </c>
      <c r="R100" s="287">
        <v>91</v>
      </c>
      <c r="S100" s="288">
        <f t="shared" si="18"/>
        <v>-0.27258193445243806</v>
      </c>
      <c r="T100" s="267">
        <v>62.83</v>
      </c>
      <c r="U100" s="268">
        <f t="shared" si="19"/>
        <v>-0.20938719013464202</v>
      </c>
      <c r="V100" s="262">
        <v>91.75</v>
      </c>
      <c r="W100" s="263">
        <f t="shared" si="20"/>
        <v>-0.22113752122241082</v>
      </c>
      <c r="X100" s="280">
        <v>51.92</v>
      </c>
      <c r="Y100" s="281">
        <f t="shared" si="21"/>
        <v>-0.26323258124024407</v>
      </c>
      <c r="Z100" s="254"/>
      <c r="AA100" s="254"/>
    </row>
    <row r="101" spans="1:27">
      <c r="A101" s="252">
        <v>38807</v>
      </c>
      <c r="B101" s="255">
        <v>17060.34</v>
      </c>
      <c r="C101" s="256">
        <f t="shared" si="13"/>
        <v>-0.12522964827856731</v>
      </c>
      <c r="D101" s="259">
        <v>126.2</v>
      </c>
      <c r="E101" s="260">
        <f t="shared" si="14"/>
        <v>-0.36773547094188375</v>
      </c>
      <c r="F101" s="265"/>
      <c r="G101" s="265"/>
      <c r="H101" s="269"/>
      <c r="I101" s="269"/>
      <c r="J101" s="272"/>
      <c r="K101" s="272"/>
      <c r="L101" s="276">
        <v>108.75</v>
      </c>
      <c r="M101" s="277">
        <f t="shared" si="15"/>
        <v>-0.20701472947353061</v>
      </c>
      <c r="N101" s="274">
        <v>122.67</v>
      </c>
      <c r="O101" s="275">
        <f t="shared" si="16"/>
        <v>-8.8158774994425038E-2</v>
      </c>
      <c r="P101" s="278">
        <v>80.400000000000006</v>
      </c>
      <c r="Q101" s="279">
        <f t="shared" si="17"/>
        <v>-0.1659751037344398</v>
      </c>
      <c r="R101" s="287">
        <v>125.1</v>
      </c>
      <c r="S101" s="288">
        <f t="shared" si="18"/>
        <v>-0.11087420042643925</v>
      </c>
      <c r="T101" s="267">
        <v>79.47</v>
      </c>
      <c r="U101" s="268">
        <f t="shared" si="19"/>
        <v>-0.16759191369016446</v>
      </c>
      <c r="V101" s="262">
        <v>117.8</v>
      </c>
      <c r="W101" s="263">
        <f t="shared" si="20"/>
        <v>-0.25701671397035641</v>
      </c>
      <c r="X101" s="280">
        <v>70.47</v>
      </c>
      <c r="Y101" s="281">
        <f t="shared" si="21"/>
        <v>-0.34725824379399772</v>
      </c>
      <c r="Z101" s="254"/>
      <c r="AA101" s="254"/>
    </row>
    <row r="102" spans="1:27">
      <c r="A102" s="252">
        <v>38776</v>
      </c>
      <c r="B102" s="255">
        <v>19502.650000000001</v>
      </c>
      <c r="C102" s="256">
        <f t="shared" si="13"/>
        <v>3.6231287276011992E-2</v>
      </c>
      <c r="D102" s="259">
        <v>199.6</v>
      </c>
      <c r="E102" s="260">
        <f t="shared" si="14"/>
        <v>0.62938775510204081</v>
      </c>
      <c r="F102" s="265"/>
      <c r="G102" s="265"/>
      <c r="H102" s="269"/>
      <c r="I102" s="269"/>
      <c r="J102" s="272"/>
      <c r="K102" s="272"/>
      <c r="L102" s="276">
        <v>137.13999999999999</v>
      </c>
      <c r="M102" s="277">
        <f t="shared" si="15"/>
        <v>-9.3409135982019054E-2</v>
      </c>
      <c r="N102" s="274">
        <v>134.53</v>
      </c>
      <c r="O102" s="275">
        <f t="shared" si="16"/>
        <v>-1.0395782282616173E-3</v>
      </c>
      <c r="P102" s="278">
        <v>96.4</v>
      </c>
      <c r="Q102" s="279">
        <f t="shared" si="17"/>
        <v>-0.11535284940809387</v>
      </c>
      <c r="R102" s="287">
        <v>140.69999999999999</v>
      </c>
      <c r="S102" s="288">
        <f t="shared" si="18"/>
        <v>-4.1618418363871812E-2</v>
      </c>
      <c r="T102" s="267">
        <v>95.47</v>
      </c>
      <c r="U102" s="268">
        <f t="shared" si="19"/>
        <v>-6.6490661973208187E-2</v>
      </c>
      <c r="V102" s="262">
        <v>158.55000000000001</v>
      </c>
      <c r="W102" s="263">
        <f t="shared" si="20"/>
        <v>0.12446808510638308</v>
      </c>
      <c r="X102" s="280">
        <v>107.96</v>
      </c>
      <c r="Y102" s="281">
        <f t="shared" si="21"/>
        <v>0.10253267973856195</v>
      </c>
      <c r="Z102" s="254"/>
      <c r="AA102" s="254"/>
    </row>
    <row r="103" spans="1:27">
      <c r="A103" s="252">
        <v>38748</v>
      </c>
      <c r="B103" s="255">
        <v>18820.75</v>
      </c>
      <c r="C103" s="256">
        <f t="shared" si="13"/>
        <v>0.12613865912267608</v>
      </c>
      <c r="D103" s="259">
        <v>122.5</v>
      </c>
      <c r="E103" s="260">
        <f t="shared" si="14"/>
        <v>3.1144781144781142E-2</v>
      </c>
      <c r="F103" s="265"/>
      <c r="G103" s="265"/>
      <c r="H103" s="269"/>
      <c r="I103" s="269"/>
      <c r="J103" s="272"/>
      <c r="K103" s="272"/>
      <c r="L103" s="276">
        <v>151.27000000000001</v>
      </c>
      <c r="M103" s="277">
        <f t="shared" si="15"/>
        <v>4.3529249448123641E-2</v>
      </c>
      <c r="N103" s="274">
        <v>134.66999999999999</v>
      </c>
      <c r="O103" s="275">
        <f t="shared" si="16"/>
        <v>0.29515291402192712</v>
      </c>
      <c r="P103" s="278">
        <v>108.97</v>
      </c>
      <c r="Q103" s="279">
        <f t="shared" si="17"/>
        <v>0.14669051878354211</v>
      </c>
      <c r="R103" s="287">
        <v>146.81</v>
      </c>
      <c r="S103" s="288">
        <f t="shared" si="18"/>
        <v>0.24997871434653041</v>
      </c>
      <c r="T103" s="267">
        <v>102.27</v>
      </c>
      <c r="U103" s="268">
        <f t="shared" si="19"/>
        <v>5.509130300216647E-2</v>
      </c>
      <c r="V103" s="262">
        <v>141</v>
      </c>
      <c r="W103" s="263">
        <f t="shared" si="20"/>
        <v>0.15337423312883436</v>
      </c>
      <c r="X103" s="280">
        <v>97.92</v>
      </c>
      <c r="Y103" s="281">
        <f t="shared" si="21"/>
        <v>8.7565674255691839E-3</v>
      </c>
      <c r="Z103" s="254"/>
      <c r="AA103" s="254"/>
    </row>
    <row r="104" spans="1:27">
      <c r="A104" s="252">
        <v>38717</v>
      </c>
      <c r="B104" s="255">
        <v>16712.64</v>
      </c>
      <c r="C104" s="256">
        <f t="shared" si="13"/>
        <v>2.4616963529765945E-2</v>
      </c>
      <c r="D104" s="259">
        <v>118.8</v>
      </c>
      <c r="E104" s="260">
        <f t="shared" si="14"/>
        <v>0.28990228013029329</v>
      </c>
      <c r="F104" s="265"/>
      <c r="G104" s="265"/>
      <c r="H104" s="269"/>
      <c r="I104" s="269"/>
      <c r="J104" s="272"/>
      <c r="K104" s="272"/>
      <c r="L104" s="276">
        <v>144.96</v>
      </c>
      <c r="M104" s="277">
        <f t="shared" si="15"/>
        <v>0.2897944656997955</v>
      </c>
      <c r="N104" s="274">
        <v>103.98</v>
      </c>
      <c r="O104" s="275">
        <f t="shared" si="16"/>
        <v>0.53317605426128001</v>
      </c>
      <c r="P104" s="278">
        <v>95.03</v>
      </c>
      <c r="Q104" s="279">
        <f t="shared" si="17"/>
        <v>6.5358744394618862E-2</v>
      </c>
      <c r="R104" s="287">
        <v>117.45</v>
      </c>
      <c r="S104" s="288">
        <f t="shared" si="18"/>
        <v>5.5635448499011364E-2</v>
      </c>
      <c r="T104" s="267">
        <v>96.93</v>
      </c>
      <c r="U104" s="268">
        <f t="shared" si="19"/>
        <v>0.12801117188409172</v>
      </c>
      <c r="V104" s="262">
        <v>122.25</v>
      </c>
      <c r="W104" s="263">
        <f t="shared" si="20"/>
        <v>8.0901856763925695E-2</v>
      </c>
      <c r="X104" s="280">
        <v>97.07</v>
      </c>
      <c r="Y104" s="281">
        <f t="shared" si="21"/>
        <v>0.10056689342403624</v>
      </c>
      <c r="Z104" s="254"/>
      <c r="AA104" s="254"/>
    </row>
    <row r="105" spans="1:27">
      <c r="A105" s="252">
        <v>38686</v>
      </c>
      <c r="B105" s="255">
        <v>16311.11</v>
      </c>
      <c r="C105" s="256">
        <f t="shared" si="13"/>
        <v>4.4469204342800772E-2</v>
      </c>
      <c r="D105" s="259">
        <v>92.1</v>
      </c>
      <c r="E105" s="260">
        <f t="shared" si="14"/>
        <v>7.0930232558139572E-2</v>
      </c>
      <c r="F105" s="265"/>
      <c r="G105" s="265"/>
      <c r="H105" s="269"/>
      <c r="I105" s="269"/>
      <c r="J105" s="272"/>
      <c r="K105" s="272"/>
      <c r="L105" s="276">
        <v>112.39</v>
      </c>
      <c r="M105" s="277">
        <f t="shared" si="15"/>
        <v>2.3122439690486996E-2</v>
      </c>
      <c r="N105" s="274">
        <v>67.819999999999993</v>
      </c>
      <c r="O105" s="275">
        <f t="shared" si="16"/>
        <v>5.4579381122686899E-2</v>
      </c>
      <c r="P105" s="278">
        <v>89.2</v>
      </c>
      <c r="Q105" s="279">
        <f t="shared" si="17"/>
        <v>-7.8413800828935898E-4</v>
      </c>
      <c r="R105" s="287">
        <v>111.26</v>
      </c>
      <c r="S105" s="288">
        <f t="shared" si="18"/>
        <v>-5.0277422108408021E-2</v>
      </c>
      <c r="T105" s="267">
        <v>85.93</v>
      </c>
      <c r="U105" s="268">
        <f t="shared" si="19"/>
        <v>-1.1503508570113841E-2</v>
      </c>
      <c r="V105" s="262">
        <v>113.1</v>
      </c>
      <c r="W105" s="263">
        <f t="shared" si="20"/>
        <v>7.7861431430477301E-2</v>
      </c>
      <c r="X105" s="280">
        <v>88.2</v>
      </c>
      <c r="Y105" s="281">
        <f t="shared" si="21"/>
        <v>5.5908056985514154E-2</v>
      </c>
      <c r="Z105" s="254"/>
      <c r="AA105" s="254"/>
    </row>
    <row r="106" spans="1:27">
      <c r="A106" s="252">
        <v>38656</v>
      </c>
      <c r="B106" s="255">
        <v>15616.65</v>
      </c>
      <c r="C106" s="256">
        <f t="shared" si="13"/>
        <v>3.9034701356490675E-2</v>
      </c>
      <c r="D106" s="259">
        <v>86</v>
      </c>
      <c r="E106" s="260">
        <f t="shared" si="14"/>
        <v>6.8322981366459645E-2</v>
      </c>
      <c r="F106" s="265"/>
      <c r="G106" s="265"/>
      <c r="H106" s="269"/>
      <c r="I106" s="269"/>
      <c r="J106" s="272"/>
      <c r="K106" s="272"/>
      <c r="L106" s="276">
        <v>109.85</v>
      </c>
      <c r="M106" s="277">
        <f t="shared" si="15"/>
        <v>-2.5547769005588639E-2</v>
      </c>
      <c r="N106" s="274">
        <v>64.31</v>
      </c>
      <c r="O106" s="275">
        <f t="shared" si="16"/>
        <v>0.12077378877657718</v>
      </c>
      <c r="P106" s="278">
        <v>89.27</v>
      </c>
      <c r="Q106" s="279">
        <f t="shared" si="17"/>
        <v>-6.0612438177417682E-2</v>
      </c>
      <c r="R106" s="287">
        <v>117.15</v>
      </c>
      <c r="S106" s="288">
        <f t="shared" si="18"/>
        <v>3.7184594953519223E-2</v>
      </c>
      <c r="T106" s="267">
        <v>86.93</v>
      </c>
      <c r="U106" s="268">
        <f t="shared" si="19"/>
        <v>-3.4111111111110981E-2</v>
      </c>
      <c r="V106" s="262">
        <v>104.93</v>
      </c>
      <c r="W106" s="263">
        <f t="shared" si="20"/>
        <v>-3.1117266851338754E-2</v>
      </c>
      <c r="X106" s="280">
        <v>83.53</v>
      </c>
      <c r="Y106" s="281">
        <f t="shared" si="21"/>
        <v>-5.5411059595160128E-2</v>
      </c>
      <c r="Z106" s="254"/>
      <c r="AA106" s="254"/>
    </row>
    <row r="107" spans="1:27">
      <c r="A107" s="252">
        <v>38625</v>
      </c>
      <c r="B107" s="255">
        <v>15029.96</v>
      </c>
      <c r="C107" s="256">
        <f t="shared" si="13"/>
        <v>1.1626670399980554E-2</v>
      </c>
      <c r="D107" s="259">
        <v>80.5</v>
      </c>
      <c r="E107" s="260">
        <f t="shared" si="14"/>
        <v>-5.2941176470588269E-2</v>
      </c>
      <c r="F107" s="265"/>
      <c r="G107" s="265"/>
      <c r="H107" s="269"/>
      <c r="I107" s="269"/>
      <c r="J107" s="272"/>
      <c r="K107" s="272"/>
      <c r="L107" s="276">
        <v>112.73</v>
      </c>
      <c r="M107" s="277">
        <f t="shared" si="15"/>
        <v>2.1105072463768026E-2</v>
      </c>
      <c r="N107" s="274">
        <v>57.38</v>
      </c>
      <c r="O107" s="275">
        <f t="shared" si="16"/>
        <v>-7.6452599388379228E-2</v>
      </c>
      <c r="P107" s="278">
        <v>95.03</v>
      </c>
      <c r="Q107" s="279">
        <f t="shared" si="17"/>
        <v>5.0868074753953163E-2</v>
      </c>
      <c r="R107" s="287">
        <v>112.95</v>
      </c>
      <c r="S107" s="288">
        <f t="shared" si="18"/>
        <v>-6.459627329192541E-2</v>
      </c>
      <c r="T107" s="267">
        <v>90</v>
      </c>
      <c r="U107" s="268">
        <f t="shared" si="19"/>
        <v>-1.2833168805528206E-2</v>
      </c>
      <c r="V107" s="262">
        <v>108.3</v>
      </c>
      <c r="W107" s="263">
        <f t="shared" si="20"/>
        <v>-5.7113007139125926E-2</v>
      </c>
      <c r="X107" s="280">
        <v>88.43</v>
      </c>
      <c r="Y107" s="281">
        <f t="shared" si="21"/>
        <v>2.7538926330467062E-2</v>
      </c>
      <c r="Z107" s="254"/>
      <c r="AA107" s="254"/>
    </row>
    <row r="108" spans="1:27">
      <c r="A108" s="252">
        <v>38595</v>
      </c>
      <c r="B108" s="255">
        <v>14857.22</v>
      </c>
      <c r="C108" s="256">
        <f t="shared" si="13"/>
        <v>0.12648399956933876</v>
      </c>
      <c r="D108" s="259">
        <v>85</v>
      </c>
      <c r="E108" s="260">
        <f t="shared" si="14"/>
        <v>4.6153846153846212E-2</v>
      </c>
      <c r="F108" s="265"/>
      <c r="G108" s="265"/>
      <c r="H108" s="269"/>
      <c r="I108" s="269"/>
      <c r="J108" s="272"/>
      <c r="K108" s="272"/>
      <c r="L108" s="276">
        <v>110.4</v>
      </c>
      <c r="M108" s="277">
        <f t="shared" si="15"/>
        <v>8.3415112855740992E-2</v>
      </c>
      <c r="N108" s="274">
        <v>62.13</v>
      </c>
      <c r="O108" s="275">
        <f t="shared" si="16"/>
        <v>0.16000746825989554</v>
      </c>
      <c r="P108" s="278">
        <v>90.43</v>
      </c>
      <c r="Q108" s="279">
        <f t="shared" si="17"/>
        <v>6.3006935464911429E-2</v>
      </c>
      <c r="R108" s="287">
        <v>120.75</v>
      </c>
      <c r="S108" s="288">
        <f t="shared" si="18"/>
        <v>7.190412782956046E-2</v>
      </c>
      <c r="T108" s="267">
        <v>91.17</v>
      </c>
      <c r="U108" s="268">
        <f t="shared" si="19"/>
        <v>7.3472271282232438E-2</v>
      </c>
      <c r="V108" s="262">
        <v>114.86</v>
      </c>
      <c r="W108" s="263">
        <f t="shared" si="20"/>
        <v>0.16196256954982302</v>
      </c>
      <c r="X108" s="280">
        <v>86.06</v>
      </c>
      <c r="Y108" s="281">
        <f t="shared" si="21"/>
        <v>5.5821371610845327E-2</v>
      </c>
      <c r="Z108" s="254"/>
      <c r="AA108" s="254"/>
    </row>
    <row r="109" spans="1:27">
      <c r="A109" s="252">
        <v>38564</v>
      </c>
      <c r="B109" s="255">
        <v>13189.02</v>
      </c>
      <c r="C109" s="256">
        <f t="shared" si="13"/>
        <v>-1.9751359555012837E-2</v>
      </c>
      <c r="D109" s="259">
        <v>81.25</v>
      </c>
      <c r="E109" s="260">
        <f t="shared" si="14"/>
        <v>2.8481012658227778E-2</v>
      </c>
      <c r="F109" s="265"/>
      <c r="G109" s="265"/>
      <c r="H109" s="269"/>
      <c r="I109" s="269"/>
      <c r="J109" s="272"/>
      <c r="K109" s="272"/>
      <c r="L109" s="276">
        <v>101.9</v>
      </c>
      <c r="M109" s="277">
        <f t="shared" si="15"/>
        <v>-0.12117291936179386</v>
      </c>
      <c r="N109" s="274">
        <v>53.56</v>
      </c>
      <c r="O109" s="275">
        <f t="shared" si="16"/>
        <v>-6.0680462995440165E-2</v>
      </c>
      <c r="P109" s="278">
        <v>85.07</v>
      </c>
      <c r="Q109" s="279">
        <f t="shared" si="17"/>
        <v>-0.10386600653112832</v>
      </c>
      <c r="R109" s="287">
        <v>112.65</v>
      </c>
      <c r="S109" s="288">
        <f t="shared" si="18"/>
        <v>-7.0544554455445496E-2</v>
      </c>
      <c r="T109" s="267">
        <v>84.93</v>
      </c>
      <c r="U109" s="268">
        <f t="shared" si="19"/>
        <v>-0.17222222222222205</v>
      </c>
      <c r="V109" s="262">
        <v>98.85</v>
      </c>
      <c r="W109" s="263">
        <f t="shared" si="20"/>
        <v>-0.15324653075209871</v>
      </c>
      <c r="X109" s="280">
        <v>81.510000000000005</v>
      </c>
      <c r="Y109" s="281">
        <f t="shared" si="21"/>
        <v>-1.3196125907990131E-2</v>
      </c>
      <c r="Z109" s="254"/>
      <c r="AA109" s="254"/>
    </row>
    <row r="110" spans="1:27">
      <c r="A110" s="252">
        <v>38533</v>
      </c>
      <c r="B110" s="255">
        <v>13454.77</v>
      </c>
      <c r="C110" s="256">
        <f t="shared" si="13"/>
        <v>0.11939502549152725</v>
      </c>
      <c r="D110" s="259">
        <v>79</v>
      </c>
      <c r="E110" s="260">
        <f t="shared" si="14"/>
        <v>0.13180515759312317</v>
      </c>
      <c r="F110" s="265"/>
      <c r="G110" s="265"/>
      <c r="H110" s="269"/>
      <c r="I110" s="269"/>
      <c r="J110" s="272"/>
      <c r="K110" s="272"/>
      <c r="L110" s="276">
        <v>115.95</v>
      </c>
      <c r="M110" s="277">
        <f t="shared" si="15"/>
        <v>0.33783316026306687</v>
      </c>
      <c r="N110" s="274">
        <v>57.02</v>
      </c>
      <c r="O110" s="275">
        <f t="shared" si="16"/>
        <v>0.14452027298273795</v>
      </c>
      <c r="P110" s="278">
        <v>94.93</v>
      </c>
      <c r="Q110" s="279">
        <f t="shared" si="17"/>
        <v>0.19064342154772351</v>
      </c>
      <c r="R110" s="287">
        <v>121.2</v>
      </c>
      <c r="S110" s="288">
        <f t="shared" si="18"/>
        <v>0.10836762688614554</v>
      </c>
      <c r="T110" s="267">
        <v>102.6</v>
      </c>
      <c r="U110" s="268">
        <f t="shared" si="19"/>
        <v>0.28458745461374724</v>
      </c>
      <c r="V110" s="262">
        <v>116.74</v>
      </c>
      <c r="W110" s="263">
        <f t="shared" si="20"/>
        <v>0.31463963963963959</v>
      </c>
      <c r="X110" s="280">
        <v>82.6</v>
      </c>
      <c r="Y110" s="281">
        <f t="shared" si="21"/>
        <v>9.94276587248768E-2</v>
      </c>
      <c r="Z110" s="254"/>
      <c r="AA110" s="254"/>
    </row>
    <row r="111" spans="1:27">
      <c r="A111" s="252">
        <v>38503</v>
      </c>
      <c r="B111" s="255">
        <v>12019.68</v>
      </c>
      <c r="C111" s="256">
        <f t="shared" si="13"/>
        <v>6.8743748082745526E-2</v>
      </c>
      <c r="D111" s="259">
        <v>69.8</v>
      </c>
      <c r="E111" s="260">
        <f t="shared" si="14"/>
        <v>0.31698113207547163</v>
      </c>
      <c r="F111" s="265"/>
      <c r="G111" s="265"/>
      <c r="H111" s="269"/>
      <c r="I111" s="269"/>
      <c r="J111" s="272"/>
      <c r="K111" s="272"/>
      <c r="L111" s="276">
        <v>86.67</v>
      </c>
      <c r="M111" s="277">
        <f t="shared" si="15"/>
        <v>0.25445071645679551</v>
      </c>
      <c r="N111" s="274">
        <v>49.82</v>
      </c>
      <c r="O111" s="275">
        <f t="shared" si="16"/>
        <v>0.15914378780828309</v>
      </c>
      <c r="P111" s="278">
        <v>79.73</v>
      </c>
      <c r="Q111" s="279">
        <f t="shared" si="17"/>
        <v>0.28534580041915203</v>
      </c>
      <c r="R111" s="287">
        <v>109.35</v>
      </c>
      <c r="S111" s="288">
        <f t="shared" si="18"/>
        <v>0.22411284003134435</v>
      </c>
      <c r="T111" s="267">
        <v>79.87</v>
      </c>
      <c r="U111" s="268">
        <f t="shared" si="19"/>
        <v>0.16991357843855304</v>
      </c>
      <c r="V111" s="262">
        <v>88.8</v>
      </c>
      <c r="W111" s="263">
        <f t="shared" si="20"/>
        <v>0.25957446808510642</v>
      </c>
      <c r="X111" s="280">
        <v>75.13</v>
      </c>
      <c r="Y111" s="281">
        <f t="shared" si="21"/>
        <v>0.39985094093534546</v>
      </c>
      <c r="Z111" s="254"/>
      <c r="AA111" s="254"/>
    </row>
    <row r="112" spans="1:27">
      <c r="A112" s="252">
        <v>38472</v>
      </c>
      <c r="B112" s="255">
        <v>11246.55</v>
      </c>
      <c r="C112" s="256">
        <f t="shared" si="13"/>
        <v>7.1175492368033444E-2</v>
      </c>
      <c r="D112" s="259">
        <v>53</v>
      </c>
      <c r="E112" s="260">
        <f t="shared" si="14"/>
        <v>3.1128404669260812E-2</v>
      </c>
      <c r="F112" s="265"/>
      <c r="G112" s="265"/>
      <c r="H112" s="269"/>
      <c r="I112" s="269"/>
      <c r="J112" s="272"/>
      <c r="K112" s="272"/>
      <c r="L112" s="276">
        <v>69.09</v>
      </c>
      <c r="M112" s="277">
        <f t="shared" si="15"/>
        <v>0.19657083477658466</v>
      </c>
      <c r="N112" s="274">
        <v>42.98</v>
      </c>
      <c r="O112" s="275">
        <f t="shared" si="16"/>
        <v>3.7662964751327799E-2</v>
      </c>
      <c r="P112" s="278">
        <v>62.03</v>
      </c>
      <c r="Q112" s="279">
        <f t="shared" si="17"/>
        <v>0.13462593744283891</v>
      </c>
      <c r="R112" s="287">
        <v>89.33</v>
      </c>
      <c r="S112" s="288">
        <f t="shared" si="18"/>
        <v>0.14967824967824961</v>
      </c>
      <c r="T112" s="267">
        <v>68.27</v>
      </c>
      <c r="U112" s="268">
        <f t="shared" si="19"/>
        <v>0.11188925081433232</v>
      </c>
      <c r="V112" s="262">
        <v>70.5</v>
      </c>
      <c r="W112" s="263">
        <f t="shared" si="20"/>
        <v>8.5450346420323342E-2</v>
      </c>
      <c r="X112" s="280">
        <v>53.67</v>
      </c>
      <c r="Y112" s="281">
        <f t="shared" si="21"/>
        <v>8.4023429610179834E-2</v>
      </c>
      <c r="Z112" s="254"/>
      <c r="AA112" s="254"/>
    </row>
    <row r="113" spans="1:27">
      <c r="A113" s="252">
        <v>38442</v>
      </c>
      <c r="B113" s="255">
        <v>10499.26</v>
      </c>
      <c r="C113" s="256">
        <f t="shared" si="13"/>
        <v>0.15424302155948122</v>
      </c>
      <c r="D113" s="259">
        <v>51.4</v>
      </c>
      <c r="E113" s="260">
        <f t="shared" si="14"/>
        <v>-1.8147086914995225E-2</v>
      </c>
      <c r="F113" s="265"/>
      <c r="G113" s="265"/>
      <c r="H113" s="269"/>
      <c r="I113" s="269"/>
      <c r="J113" s="272"/>
      <c r="K113" s="272"/>
      <c r="L113" s="276">
        <v>57.74</v>
      </c>
      <c r="M113" s="277">
        <f t="shared" si="15"/>
        <v>4.1739130434783611E-3</v>
      </c>
      <c r="N113" s="274">
        <v>41.42</v>
      </c>
      <c r="O113" s="275">
        <f t="shared" si="16"/>
        <v>-8.90697162964591E-2</v>
      </c>
      <c r="P113" s="278">
        <v>54.67</v>
      </c>
      <c r="Q113" s="279">
        <f t="shared" si="17"/>
        <v>-4.5898778359511283E-2</v>
      </c>
      <c r="R113" s="287">
        <v>77.7</v>
      </c>
      <c r="S113" s="288">
        <f t="shared" si="18"/>
        <v>-1.3333333333333308E-2</v>
      </c>
      <c r="T113" s="267">
        <v>61.4</v>
      </c>
      <c r="U113" s="268">
        <f t="shared" si="19"/>
        <v>-1.9639150566821084E-2</v>
      </c>
      <c r="V113" s="262">
        <v>64.95</v>
      </c>
      <c r="W113" s="263">
        <f t="shared" si="20"/>
        <v>-5.8695652173913038E-2</v>
      </c>
      <c r="X113" s="280">
        <v>49.51</v>
      </c>
      <c r="Y113" s="281">
        <f t="shared" si="21"/>
        <v>3.1673265263596484E-2</v>
      </c>
      <c r="Z113" s="254"/>
      <c r="AA113" s="254"/>
    </row>
    <row r="114" spans="1:27">
      <c r="A114" s="252">
        <v>38411</v>
      </c>
      <c r="B114" s="255">
        <v>9096.23</v>
      </c>
      <c r="C114" s="256">
        <f t="shared" si="13"/>
        <v>0.10499226184836119</v>
      </c>
      <c r="D114" s="259">
        <v>52.35</v>
      </c>
      <c r="E114" s="260">
        <f t="shared" si="14"/>
        <v>2.8487229862475427E-2</v>
      </c>
      <c r="F114" s="265"/>
      <c r="G114" s="265"/>
      <c r="H114" s="269"/>
      <c r="I114" s="269"/>
      <c r="J114" s="272"/>
      <c r="K114" s="272"/>
      <c r="L114" s="276">
        <v>57.5</v>
      </c>
      <c r="M114" s="277">
        <f t="shared" si="15"/>
        <v>-4.7066622472655029E-2</v>
      </c>
      <c r="N114" s="274">
        <v>45.47</v>
      </c>
      <c r="O114" s="275">
        <f t="shared" si="16"/>
        <v>0.11200782587429692</v>
      </c>
      <c r="P114" s="278">
        <v>57.3</v>
      </c>
      <c r="Q114" s="279">
        <f t="shared" si="17"/>
        <v>4.5620437956204407E-2</v>
      </c>
      <c r="R114" s="287">
        <v>78.75</v>
      </c>
      <c r="S114" s="288">
        <f t="shared" si="18"/>
        <v>1.3513513513513375E-2</v>
      </c>
      <c r="T114" s="267">
        <v>62.63</v>
      </c>
      <c r="U114" s="268">
        <f t="shared" si="19"/>
        <v>5.2605042016806713E-2</v>
      </c>
      <c r="V114" s="262">
        <v>69</v>
      </c>
      <c r="W114" s="263">
        <f t="shared" si="20"/>
        <v>0.10843373493975905</v>
      </c>
      <c r="X114" s="280">
        <v>47.99</v>
      </c>
      <c r="Y114" s="281">
        <f t="shared" si="21"/>
        <v>3.1821113738980999E-2</v>
      </c>
      <c r="Z114" s="254"/>
      <c r="AA114" s="254"/>
    </row>
    <row r="115" spans="1:27">
      <c r="A115" s="252">
        <v>38383</v>
      </c>
      <c r="B115" s="255">
        <v>8231.94</v>
      </c>
      <c r="C115" s="256">
        <f t="shared" si="13"/>
        <v>3.1329855487844949E-3</v>
      </c>
      <c r="D115" s="259">
        <v>50.9</v>
      </c>
      <c r="E115" s="260">
        <f t="shared" si="14"/>
        <v>-4.5028142589118136E-2</v>
      </c>
      <c r="F115" s="265"/>
      <c r="G115" s="265"/>
      <c r="H115" s="269"/>
      <c r="I115" s="269"/>
      <c r="J115" s="272"/>
      <c r="K115" s="272"/>
      <c r="L115" s="276">
        <v>60.34</v>
      </c>
      <c r="M115" s="277">
        <f t="shared" si="15"/>
        <v>-2.2200615783503408E-2</v>
      </c>
      <c r="N115" s="274">
        <v>40.89</v>
      </c>
      <c r="O115" s="275">
        <f t="shared" si="16"/>
        <v>-1.4461315979754197E-2</v>
      </c>
      <c r="P115" s="278">
        <v>54.8</v>
      </c>
      <c r="Q115" s="279">
        <f t="shared" si="17"/>
        <v>-4.0784176439699005E-2</v>
      </c>
      <c r="R115" s="287">
        <v>77.7</v>
      </c>
      <c r="S115" s="288">
        <f t="shared" si="18"/>
        <v>-2.5460930640913149E-2</v>
      </c>
      <c r="T115" s="267">
        <v>59.5</v>
      </c>
      <c r="U115" s="268">
        <f t="shared" si="19"/>
        <v>-6.003159557661919E-2</v>
      </c>
      <c r="V115" s="262">
        <v>62.25</v>
      </c>
      <c r="W115" s="263">
        <f t="shared" si="20"/>
        <v>-5.0343249427917569E-2</v>
      </c>
      <c r="X115" s="280">
        <v>46.51</v>
      </c>
      <c r="Y115" s="281">
        <f t="shared" si="21"/>
        <v>-6.7749047905391935E-2</v>
      </c>
      <c r="Z115" s="254"/>
      <c r="AA115" s="254"/>
    </row>
    <row r="116" spans="1:27">
      <c r="A116" s="252">
        <v>38352</v>
      </c>
      <c r="B116" s="255">
        <v>8206.23</v>
      </c>
      <c r="C116" s="256">
        <f t="shared" si="13"/>
        <v>-1.4822862768167022E-2</v>
      </c>
      <c r="D116" s="259">
        <v>53.3</v>
      </c>
      <c r="E116" s="260">
        <f t="shared" si="14"/>
        <v>5.6603773584904538E-3</v>
      </c>
      <c r="F116" s="265"/>
      <c r="G116" s="265"/>
      <c r="H116" s="269"/>
      <c r="I116" s="269"/>
      <c r="J116" s="272"/>
      <c r="K116" s="272"/>
      <c r="L116" s="276">
        <v>61.71</v>
      </c>
      <c r="M116" s="277">
        <f t="shared" si="15"/>
        <v>-1.969817315329625E-2</v>
      </c>
      <c r="N116" s="274">
        <v>41.49</v>
      </c>
      <c r="O116" s="275">
        <f t="shared" si="16"/>
        <v>8.3007047768206776E-2</v>
      </c>
      <c r="P116" s="278">
        <v>57.13</v>
      </c>
      <c r="Q116" s="279">
        <f t="shared" si="17"/>
        <v>-3.9347570203463911E-2</v>
      </c>
      <c r="R116" s="287">
        <v>79.73</v>
      </c>
      <c r="S116" s="288">
        <f t="shared" si="18"/>
        <v>-1.0180012414649164E-2</v>
      </c>
      <c r="T116" s="267">
        <v>63.3</v>
      </c>
      <c r="U116" s="268">
        <f t="shared" si="19"/>
        <v>3.6515474046176388E-2</v>
      </c>
      <c r="V116" s="262">
        <v>65.55</v>
      </c>
      <c r="W116" s="263">
        <f t="shared" si="20"/>
        <v>-2.3536421868017299E-2</v>
      </c>
      <c r="X116" s="280">
        <v>49.89</v>
      </c>
      <c r="Y116" s="281">
        <f t="shared" si="21"/>
        <v>-8.943237817119909E-2</v>
      </c>
      <c r="Z116" s="254"/>
      <c r="AA116" s="254"/>
    </row>
    <row r="117" spans="1:27">
      <c r="A117" s="252">
        <v>38321</v>
      </c>
      <c r="B117" s="255">
        <v>8329.7000000000007</v>
      </c>
      <c r="C117" s="256">
        <f t="shared" si="13"/>
        <v>0.13183114590820844</v>
      </c>
      <c r="D117" s="259">
        <v>53</v>
      </c>
      <c r="E117" s="260">
        <f t="shared" si="14"/>
        <v>0.18568232662192385</v>
      </c>
      <c r="F117" s="265"/>
      <c r="G117" s="265"/>
      <c r="H117" s="269"/>
      <c r="I117" s="269"/>
      <c r="J117" s="272"/>
      <c r="K117" s="272"/>
      <c r="L117" s="276">
        <v>62.95</v>
      </c>
      <c r="M117" s="277">
        <f t="shared" si="15"/>
        <v>0.22233009708737872</v>
      </c>
      <c r="N117" s="274">
        <v>38.31</v>
      </c>
      <c r="O117" s="275">
        <f t="shared" si="16"/>
        <v>0.12083089526038626</v>
      </c>
      <c r="P117" s="278">
        <v>59.47</v>
      </c>
      <c r="Q117" s="279">
        <f t="shared" si="17"/>
        <v>0.2672064777327936</v>
      </c>
      <c r="R117" s="287">
        <v>80.55</v>
      </c>
      <c r="S117" s="288">
        <f t="shared" si="18"/>
        <v>0.2554551122194515</v>
      </c>
      <c r="T117" s="267">
        <v>61.07</v>
      </c>
      <c r="U117" s="268">
        <f t="shared" si="19"/>
        <v>0.28029350104821793</v>
      </c>
      <c r="V117" s="262">
        <v>67.13</v>
      </c>
      <c r="W117" s="263">
        <f t="shared" si="20"/>
        <v>0.17771929824561394</v>
      </c>
      <c r="X117" s="280">
        <v>54.79</v>
      </c>
      <c r="Y117" s="281">
        <f t="shared" si="21"/>
        <v>0.24240362811791383</v>
      </c>
      <c r="Z117" s="254"/>
      <c r="AA117" s="254"/>
    </row>
    <row r="118" spans="1:27">
      <c r="A118" s="252">
        <v>38291</v>
      </c>
      <c r="B118" s="255">
        <v>7359.49</v>
      </c>
      <c r="C118" s="256">
        <f t="shared" si="13"/>
        <v>0.11612949212588863</v>
      </c>
      <c r="D118" s="259">
        <v>44.7</v>
      </c>
      <c r="E118" s="260">
        <f t="shared" si="14"/>
        <v>4.9460431654677617E-3</v>
      </c>
      <c r="F118" s="265"/>
      <c r="G118" s="265"/>
      <c r="H118" s="269"/>
      <c r="I118" s="269"/>
      <c r="J118" s="272"/>
      <c r="K118" s="272"/>
      <c r="L118" s="276">
        <v>51.5</v>
      </c>
      <c r="M118" s="277">
        <f t="shared" si="15"/>
        <v>6.8426197458455462E-3</v>
      </c>
      <c r="N118" s="274">
        <v>34.18</v>
      </c>
      <c r="O118" s="275">
        <f t="shared" si="16"/>
        <v>0.10830090791180291</v>
      </c>
      <c r="P118" s="278">
        <v>46.93</v>
      </c>
      <c r="Q118" s="279">
        <f t="shared" si="17"/>
        <v>5.5710306406684396E-3</v>
      </c>
      <c r="R118" s="287">
        <v>64.16</v>
      </c>
      <c r="S118" s="288">
        <f t="shared" si="18"/>
        <v>2.1493392771851472E-2</v>
      </c>
      <c r="T118" s="267">
        <v>47.7</v>
      </c>
      <c r="U118" s="268">
        <f t="shared" si="19"/>
        <v>4.2105263157894424E-3</v>
      </c>
      <c r="V118" s="262">
        <v>57</v>
      </c>
      <c r="W118" s="263">
        <f t="shared" si="20"/>
        <v>2.004294917680749E-2</v>
      </c>
      <c r="X118" s="280">
        <v>44.1</v>
      </c>
      <c r="Y118" s="281">
        <f t="shared" si="21"/>
        <v>-1.2981199641897923E-2</v>
      </c>
      <c r="Z118" s="254"/>
      <c r="AA118" s="254"/>
    </row>
    <row r="119" spans="1:27">
      <c r="A119" s="252">
        <v>38260</v>
      </c>
      <c r="B119" s="255">
        <v>6593.76</v>
      </c>
      <c r="C119" s="256">
        <f t="shared" si="13"/>
        <v>4.799762229070681E-2</v>
      </c>
      <c r="D119" s="259">
        <v>44.48</v>
      </c>
      <c r="E119" s="260">
        <f t="shared" si="14"/>
        <v>2.0183486238531945E-2</v>
      </c>
      <c r="F119" s="265"/>
      <c r="G119" s="265"/>
      <c r="H119" s="269"/>
      <c r="I119" s="269"/>
      <c r="J119" s="272"/>
      <c r="K119" s="272"/>
      <c r="L119" s="276">
        <v>51.15</v>
      </c>
      <c r="M119" s="277">
        <f t="shared" si="15"/>
        <v>-1.842256764536554E-2</v>
      </c>
      <c r="N119" s="274">
        <v>30.84</v>
      </c>
      <c r="O119" s="275">
        <f t="shared" si="16"/>
        <v>1.4473684210526416E-2</v>
      </c>
      <c r="P119" s="278">
        <v>46.67</v>
      </c>
      <c r="Q119" s="279">
        <f t="shared" si="17"/>
        <v>1.9663535066637428E-2</v>
      </c>
      <c r="R119" s="287">
        <v>62.81</v>
      </c>
      <c r="S119" s="288">
        <f t="shared" si="18"/>
        <v>9.6447516476450001E-3</v>
      </c>
      <c r="T119" s="267">
        <v>47.5</v>
      </c>
      <c r="U119" s="268">
        <f t="shared" si="19"/>
        <v>2.5253615368012072E-2</v>
      </c>
      <c r="V119" s="262">
        <v>55.88</v>
      </c>
      <c r="W119" s="263">
        <f t="shared" si="20"/>
        <v>2.5509267755551512E-2</v>
      </c>
      <c r="X119" s="280">
        <v>44.68</v>
      </c>
      <c r="Y119" s="281">
        <f t="shared" si="21"/>
        <v>0.13747454175152751</v>
      </c>
      <c r="Z119" s="254"/>
      <c r="AA119" s="254"/>
    </row>
    <row r="120" spans="1:27">
      <c r="A120" s="252">
        <v>38230</v>
      </c>
      <c r="B120" s="255">
        <v>6291.77</v>
      </c>
      <c r="C120" s="256">
        <f t="shared" si="13"/>
        <v>2.1235395897379439E-2</v>
      </c>
      <c r="D120" s="259">
        <v>43.6</v>
      </c>
      <c r="E120" s="260">
        <f t="shared" si="14"/>
        <v>-1.5801354401805745E-2</v>
      </c>
      <c r="F120" s="265"/>
      <c r="G120" s="265"/>
      <c r="H120" s="269"/>
      <c r="I120" s="269"/>
      <c r="J120" s="272"/>
      <c r="K120" s="272"/>
      <c r="L120" s="276">
        <v>52.11</v>
      </c>
      <c r="M120" s="277">
        <f t="shared" si="15"/>
        <v>-1.0444360045575363E-2</v>
      </c>
      <c r="N120" s="274">
        <v>30.4</v>
      </c>
      <c r="O120" s="275">
        <f t="shared" si="16"/>
        <v>-3.5226912091399609E-2</v>
      </c>
      <c r="P120" s="278">
        <v>45.77</v>
      </c>
      <c r="Q120" s="279">
        <f t="shared" si="17"/>
        <v>-3.2346723044397341E-2</v>
      </c>
      <c r="R120" s="287">
        <v>62.21</v>
      </c>
      <c r="S120" s="288">
        <f t="shared" si="18"/>
        <v>-3.3856188849200164E-2</v>
      </c>
      <c r="T120" s="267">
        <v>46.33</v>
      </c>
      <c r="U120" s="268">
        <f t="shared" si="19"/>
        <v>-2.4631578947368449E-2</v>
      </c>
      <c r="V120" s="262">
        <v>54.49</v>
      </c>
      <c r="W120" s="263">
        <f t="shared" si="20"/>
        <v>-2.6790498303268406E-2</v>
      </c>
      <c r="X120" s="280">
        <v>39.28</v>
      </c>
      <c r="Y120" s="281">
        <f t="shared" si="21"/>
        <v>3.9153439153439162E-2</v>
      </c>
      <c r="Z120" s="254"/>
      <c r="AA120" s="254"/>
    </row>
    <row r="121" spans="1:27">
      <c r="A121" s="252">
        <v>38199</v>
      </c>
      <c r="B121" s="255">
        <v>6160.94</v>
      </c>
      <c r="C121" s="256">
        <f t="shared" si="13"/>
        <v>7.8456222408161302E-2</v>
      </c>
      <c r="D121" s="259">
        <v>44.3</v>
      </c>
      <c r="E121" s="260">
        <f t="shared" si="14"/>
        <v>1.1415525114155223E-2</v>
      </c>
      <c r="F121" s="265"/>
      <c r="G121" s="265"/>
      <c r="H121" s="269"/>
      <c r="I121" s="269"/>
      <c r="J121" s="272"/>
      <c r="K121" s="272"/>
      <c r="L121" s="276">
        <v>52.66</v>
      </c>
      <c r="M121" s="277">
        <f t="shared" si="15"/>
        <v>7.5571895424836555E-2</v>
      </c>
      <c r="N121" s="274">
        <v>31.51</v>
      </c>
      <c r="O121" s="275">
        <f t="shared" si="16"/>
        <v>5.1034022681787805E-2</v>
      </c>
      <c r="P121" s="278">
        <v>47.3</v>
      </c>
      <c r="Q121" s="279">
        <f t="shared" si="17"/>
        <v>3.7280701754385914E-2</v>
      </c>
      <c r="R121" s="287">
        <v>64.39</v>
      </c>
      <c r="S121" s="288">
        <f t="shared" si="18"/>
        <v>-1.7054263565891015E-3</v>
      </c>
      <c r="T121" s="267">
        <v>47.5</v>
      </c>
      <c r="U121" s="268">
        <f t="shared" si="19"/>
        <v>3.8705445003280214E-2</v>
      </c>
      <c r="V121" s="262">
        <v>55.99</v>
      </c>
      <c r="W121" s="263">
        <f t="shared" si="20"/>
        <v>8.5919317300232834E-2</v>
      </c>
      <c r="X121" s="280">
        <v>37.799999999999997</v>
      </c>
      <c r="Y121" s="281">
        <f t="shared" si="21"/>
        <v>4.0748898678413914E-2</v>
      </c>
      <c r="Z121" s="254"/>
      <c r="AA121" s="254"/>
    </row>
    <row r="122" spans="1:27">
      <c r="A122" s="252">
        <v>38168</v>
      </c>
      <c r="B122" s="255">
        <v>5712.74</v>
      </c>
      <c r="C122" s="256">
        <f t="shared" si="13"/>
        <v>8.849244962146452E-3</v>
      </c>
      <c r="D122" s="259">
        <v>43.8</v>
      </c>
      <c r="E122" s="260">
        <f t="shared" si="14"/>
        <v>1.9790454016297865E-2</v>
      </c>
      <c r="F122" s="265"/>
      <c r="G122" s="265"/>
      <c r="H122" s="269"/>
      <c r="I122" s="269"/>
      <c r="J122" s="272"/>
      <c r="K122" s="272"/>
      <c r="L122" s="276">
        <v>48.96</v>
      </c>
      <c r="M122" s="277">
        <f t="shared" si="15"/>
        <v>3.4876347495244042E-2</v>
      </c>
      <c r="N122" s="274">
        <v>29.98</v>
      </c>
      <c r="O122" s="275">
        <f t="shared" si="16"/>
        <v>1.7305734645402193E-2</v>
      </c>
      <c r="P122" s="278">
        <v>45.6</v>
      </c>
      <c r="Q122" s="279">
        <f t="shared" si="17"/>
        <v>-2.1881838074399029E-3</v>
      </c>
      <c r="R122" s="287">
        <v>64.5</v>
      </c>
      <c r="S122" s="288">
        <f t="shared" si="18"/>
        <v>3.1175059952038398E-2</v>
      </c>
      <c r="T122" s="267">
        <v>45.73</v>
      </c>
      <c r="U122" s="268">
        <f t="shared" si="19"/>
        <v>2.8508771929822707E-3</v>
      </c>
      <c r="V122" s="262">
        <v>51.56</v>
      </c>
      <c r="W122" s="263">
        <f t="shared" si="20"/>
        <v>-6.5510597302503859E-3</v>
      </c>
      <c r="X122" s="280">
        <v>36.32</v>
      </c>
      <c r="Y122" s="281">
        <f t="shared" si="21"/>
        <v>-1.8908698001080526E-2</v>
      </c>
      <c r="Z122" s="254"/>
      <c r="AA122" s="254"/>
    </row>
    <row r="123" spans="1:27">
      <c r="A123" s="252">
        <v>38138</v>
      </c>
      <c r="B123" s="255">
        <v>5662.63</v>
      </c>
      <c r="C123" s="254" t="s">
        <v>2</v>
      </c>
      <c r="D123" s="259">
        <v>42.95</v>
      </c>
      <c r="E123" s="259" t="s">
        <v>2</v>
      </c>
      <c r="F123" s="265"/>
      <c r="G123" s="265"/>
      <c r="H123" s="269"/>
      <c r="I123" s="269"/>
      <c r="J123" s="272"/>
      <c r="K123" s="272"/>
      <c r="L123" s="276">
        <v>47.31</v>
      </c>
      <c r="M123" s="276" t="s">
        <v>2</v>
      </c>
      <c r="N123" s="274">
        <v>29.47</v>
      </c>
      <c r="O123" s="274"/>
      <c r="P123" s="278">
        <v>45.7</v>
      </c>
      <c r="Q123" s="278"/>
      <c r="R123" s="287">
        <v>62.55</v>
      </c>
      <c r="S123" s="287"/>
      <c r="T123" s="267">
        <v>45.6</v>
      </c>
      <c r="U123" s="267"/>
      <c r="V123" s="262">
        <v>51.9</v>
      </c>
      <c r="W123" s="262"/>
      <c r="X123" s="280">
        <v>37.020000000000003</v>
      </c>
      <c r="Y123" s="280" t="s">
        <v>2</v>
      </c>
      <c r="Z123" s="254"/>
      <c r="AA123" s="2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3:K3"/>
  <sheetViews>
    <sheetView showGridLines="0" workbookViewId="0"/>
  </sheetViews>
  <sheetFormatPr defaultRowHeight="14.25"/>
  <cols>
    <col min="1" max="16384" width="9.140625" style="331"/>
  </cols>
  <sheetData>
    <row r="3" spans="2:11" ht="117.75" customHeight="1">
      <c r="B3" s="340" t="s">
        <v>263</v>
      </c>
      <c r="C3" s="340"/>
      <c r="D3" s="340"/>
      <c r="E3" s="340"/>
      <c r="F3" s="340"/>
      <c r="G3" s="340"/>
      <c r="H3" s="340"/>
      <c r="I3" s="340"/>
      <c r="J3" s="340"/>
      <c r="K3" s="340"/>
    </row>
  </sheetData>
  <mergeCells count="1">
    <mergeCell ref="B3:K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Balance Sheet</vt:lpstr>
      <vt:lpstr>Income Statement</vt:lpstr>
      <vt:lpstr>Cash Flow</vt:lpstr>
      <vt:lpstr>Sheet1 (2)</vt:lpstr>
      <vt:lpstr>β</vt:lpstr>
      <vt:lpstr>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Saleh A. Al-Owaredhi</dc:creator>
  <cp:lastModifiedBy>DELL</cp:lastModifiedBy>
  <cp:lastPrinted>2014-05-21T19:05:20Z</cp:lastPrinted>
  <dcterms:created xsi:type="dcterms:W3CDTF">2014-05-02T04:10:12Z</dcterms:created>
  <dcterms:modified xsi:type="dcterms:W3CDTF">2014-06-08T12:13:08Z</dcterms:modified>
</cp:coreProperties>
</file>