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run\UB\MGF 637 Financial Modeling\Project\"/>
    </mc:Choice>
  </mc:AlternateContent>
  <xr:revisionPtr revIDLastSave="0" documentId="13_ncr:1_{D023ECD3-3ED5-4CE5-9E27-F03785672432}" xr6:coauthVersionLast="47" xr6:coauthVersionMax="47" xr10:uidLastSave="{00000000-0000-0000-0000-000000000000}"/>
  <bookViews>
    <workbookView xWindow="-120" yWindow="-120" windowWidth="20730" windowHeight="11040" activeTab="2" xr2:uid="{E0C4F681-C11D-4272-B2BA-3E661A268CAB}"/>
  </bookViews>
  <sheets>
    <sheet name="Income Statement" sheetId="1" r:id="rId1"/>
    <sheet name="Balance Sheet" sheetId="2" r:id="rId2"/>
    <sheet name="Valuation" sheetId="3" r:id="rId3"/>
    <sheet name="Ratio Analysis" sheetId="4" r:id="rId4"/>
  </sheets>
  <definedNames>
    <definedName name="_xlnm.Print_Area" localSheetId="1">'Balance Sheet'!$A$1:$F$43</definedName>
    <definedName name="_xlnm.Print_Area" localSheetId="0">'Income Statement'!$A$1:$F$25</definedName>
    <definedName name="_xlnm.Print_Area" localSheetId="3">'Ratio Analysis'!$A$1:$F$17</definedName>
    <definedName name="_xlnm.Print_Area" localSheetId="2">Valuation!$A$1:$V$51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4" l="1"/>
  <c r="D16" i="4"/>
  <c r="C16" i="4"/>
  <c r="D15" i="4"/>
  <c r="E15" i="4"/>
  <c r="C15" i="4"/>
  <c r="D14" i="4"/>
  <c r="E14" i="4"/>
  <c r="C14" i="4"/>
  <c r="E13" i="4"/>
  <c r="D13" i="4"/>
  <c r="C13" i="4"/>
  <c r="E10" i="4"/>
  <c r="D10" i="4"/>
  <c r="C10" i="4"/>
  <c r="E9" i="4"/>
  <c r="D9" i="4"/>
  <c r="C9" i="4"/>
  <c r="E8" i="4"/>
  <c r="D8" i="4"/>
  <c r="C8" i="4"/>
  <c r="E5" i="4"/>
  <c r="D5" i="4"/>
  <c r="C5" i="4"/>
  <c r="N11" i="3"/>
  <c r="C48" i="3"/>
  <c r="C49" i="3" s="1"/>
  <c r="C45" i="3"/>
  <c r="C46" i="3"/>
  <c r="E44" i="3"/>
  <c r="D44" i="3" s="1"/>
  <c r="H44" i="3"/>
  <c r="G44" i="3"/>
  <c r="N24" i="3"/>
  <c r="N27" i="3"/>
  <c r="N34" i="3"/>
  <c r="N26" i="3" s="1"/>
  <c r="E19" i="3"/>
  <c r="D19" i="3"/>
  <c r="P19" i="3"/>
  <c r="O19" i="3"/>
  <c r="N19" i="3"/>
  <c r="P18" i="3"/>
  <c r="O18" i="3"/>
  <c r="N18" i="3"/>
  <c r="E10" i="3"/>
  <c r="D10" i="3"/>
  <c r="C10" i="3"/>
  <c r="E8" i="3"/>
  <c r="D8" i="3"/>
  <c r="C8" i="3"/>
  <c r="D10" i="2"/>
  <c r="E15" i="3"/>
  <c r="D15" i="3"/>
  <c r="C15" i="3"/>
  <c r="E13" i="3"/>
  <c r="D13" i="3"/>
  <c r="C13" i="3"/>
  <c r="N8" i="3" l="1"/>
  <c r="N20" i="3"/>
  <c r="O20" i="3"/>
  <c r="N28" i="3"/>
  <c r="P20" i="3"/>
  <c r="P21" i="3" l="1"/>
  <c r="E20" i="3" s="1"/>
  <c r="O21" i="3"/>
  <c r="D20" i="3" s="1"/>
  <c r="I23" i="3"/>
  <c r="H23" i="3"/>
  <c r="G23" i="3"/>
  <c r="F23" i="3"/>
  <c r="J23" i="3"/>
  <c r="E7" i="3" l="1"/>
  <c r="N7" i="3" s="1"/>
  <c r="D7" i="3"/>
  <c r="C7" i="3"/>
  <c r="E39" i="2"/>
  <c r="E41" i="2" s="1"/>
  <c r="D39" i="2"/>
  <c r="D41" i="2" s="1"/>
  <c r="C39" i="2"/>
  <c r="C41" i="2" s="1"/>
  <c r="D16" i="2"/>
  <c r="E10" i="2"/>
  <c r="E16" i="2" s="1"/>
  <c r="C10" i="2"/>
  <c r="C16" i="2" s="1"/>
  <c r="E22" i="2"/>
  <c r="E27" i="2" s="1"/>
  <c r="D22" i="2"/>
  <c r="D27" i="2" s="1"/>
  <c r="C22" i="2"/>
  <c r="C27" i="2" s="1"/>
  <c r="C9" i="3" l="1"/>
  <c r="C11" i="3" s="1"/>
  <c r="C14" i="3" s="1"/>
  <c r="C16" i="3" s="1"/>
  <c r="C22" i="3" s="1"/>
  <c r="N4" i="3"/>
  <c r="N5" i="3"/>
  <c r="F10" i="3" s="1"/>
  <c r="G10" i="3" s="1"/>
  <c r="H10" i="3" s="1"/>
  <c r="I10" i="3" s="1"/>
  <c r="J10" i="3" s="1"/>
  <c r="E9" i="3"/>
  <c r="E11" i="3" s="1"/>
  <c r="D9" i="3"/>
  <c r="D11" i="3" s="1"/>
  <c r="D14" i="3" s="1"/>
  <c r="D16" i="3" s="1"/>
  <c r="D22" i="3" s="1"/>
  <c r="N3" i="3"/>
  <c r="F7" i="3" s="1"/>
  <c r="F21" i="3" l="1"/>
  <c r="F19" i="3" s="1"/>
  <c r="Q18" i="3"/>
  <c r="E14" i="3"/>
  <c r="E16" i="3" s="1"/>
  <c r="E22" i="3" s="1"/>
  <c r="G7" i="3"/>
  <c r="F8" i="3"/>
  <c r="R18" i="3" l="1"/>
  <c r="G21" i="3"/>
  <c r="G19" i="3" s="1"/>
  <c r="F9" i="3"/>
  <c r="F11" i="3" s="1"/>
  <c r="F14" i="3" s="1"/>
  <c r="F15" i="3" s="1"/>
  <c r="F16" i="3" s="1"/>
  <c r="Q19" i="3"/>
  <c r="Q20" i="3" s="1"/>
  <c r="Q21" i="3" s="1"/>
  <c r="F20" i="3" s="1"/>
  <c r="H7" i="3"/>
  <c r="G8" i="3"/>
  <c r="G9" i="3" l="1"/>
  <c r="G11" i="3" s="1"/>
  <c r="G14" i="3" s="1"/>
  <c r="G15" i="3" s="1"/>
  <c r="G16" i="3" s="1"/>
  <c r="R19" i="3"/>
  <c r="R20" i="3" s="1"/>
  <c r="R21" i="3" s="1"/>
  <c r="G20" i="3" s="1"/>
  <c r="S18" i="3"/>
  <c r="H21" i="3"/>
  <c r="H19" i="3" s="1"/>
  <c r="F22" i="3"/>
  <c r="F24" i="3" s="1"/>
  <c r="I7" i="3"/>
  <c r="H8" i="3"/>
  <c r="I21" i="3" l="1"/>
  <c r="I19" i="3" s="1"/>
  <c r="T18" i="3"/>
  <c r="H9" i="3"/>
  <c r="H11" i="3" s="1"/>
  <c r="H14" i="3" s="1"/>
  <c r="S19" i="3"/>
  <c r="S20" i="3" s="1"/>
  <c r="S21" i="3" s="1"/>
  <c r="H20" i="3" s="1"/>
  <c r="G22" i="3"/>
  <c r="G24" i="3" s="1"/>
  <c r="J7" i="3"/>
  <c r="I8" i="3"/>
  <c r="I9" i="3" l="1"/>
  <c r="I11" i="3" s="1"/>
  <c r="I14" i="3" s="1"/>
  <c r="T19" i="3"/>
  <c r="T20" i="3" s="1"/>
  <c r="T21" i="3" s="1"/>
  <c r="I20" i="3" s="1"/>
  <c r="U18" i="3"/>
  <c r="J21" i="3"/>
  <c r="J19" i="3" s="1"/>
  <c r="H15" i="3"/>
  <c r="H16" i="3" s="1"/>
  <c r="H22" i="3" s="1"/>
  <c r="H24" i="3" s="1"/>
  <c r="J8" i="3"/>
  <c r="J9" i="3" l="1"/>
  <c r="J11" i="3" s="1"/>
  <c r="U19" i="3"/>
  <c r="U20" i="3" s="1"/>
  <c r="U21" i="3" s="1"/>
  <c r="J20" i="3" s="1"/>
  <c r="I15" i="3"/>
  <c r="I16" i="3" s="1"/>
  <c r="I22" i="3" s="1"/>
  <c r="I24" i="3" s="1"/>
  <c r="J14" i="3" l="1"/>
  <c r="J15" i="3" s="1"/>
  <c r="J16" i="3" s="1"/>
  <c r="J22" i="3" s="1"/>
  <c r="C29" i="3"/>
  <c r="C30" i="3" s="1"/>
  <c r="J24" i="3" l="1"/>
  <c r="F25" i="3" s="1"/>
  <c r="C32" i="3"/>
  <c r="C33" i="3" s="1"/>
  <c r="C37" i="3" l="1"/>
  <c r="C36" i="3"/>
  <c r="C38" i="3" s="1"/>
  <c r="C40" i="3" s="1"/>
  <c r="C44" i="3" s="1"/>
</calcChain>
</file>

<file path=xl/sharedStrings.xml><?xml version="1.0" encoding="utf-8"?>
<sst xmlns="http://schemas.openxmlformats.org/spreadsheetml/2006/main" count="145" uniqueCount="136">
  <si>
    <t>Revenue</t>
  </si>
  <si>
    <t>Revenues</t>
  </si>
  <si>
    <t>Cost of revenues</t>
  </si>
  <si>
    <t>Selling, general and administrative expenses</t>
  </si>
  <si>
    <t>Bad debt expense and recoveries</t>
  </si>
  <si>
    <t>Asset impairment charges</t>
  </si>
  <si>
    <t>Operating income</t>
  </si>
  <si>
    <t>Non-operating expense:</t>
  </si>
  <si>
    <t>Interest expense, net</t>
  </si>
  <si>
    <t>Other income (expense), net</t>
  </si>
  <si>
    <t>Income before income taxes</t>
  </si>
  <si>
    <t>Income tax expense</t>
  </si>
  <si>
    <t>Net income</t>
  </si>
  <si>
    <t>Earnings per share:</t>
  </si>
  <si>
    <t>Basic</t>
  </si>
  <si>
    <t>Diluted</t>
  </si>
  <si>
    <t>ASSETS</t>
  </si>
  <si>
    <t>Cash and cash equivalents</t>
  </si>
  <si>
    <t>Receivables, net</t>
  </si>
  <si>
    <t>Other current assets</t>
  </si>
  <si>
    <t>Assets held for sale</t>
  </si>
  <si>
    <t>Total current assets</t>
  </si>
  <si>
    <t>Property, plant and equipment, net</t>
  </si>
  <si>
    <t>Intangible assets, net</t>
  </si>
  <si>
    <t>Goodwill</t>
  </si>
  <si>
    <t>Operating lease right-of-use assets, net</t>
  </si>
  <si>
    <t>Other assets</t>
  </si>
  <si>
    <t>LIABILITIES AND EQUITY</t>
  </si>
  <si>
    <t>Accounts payable and accrued liabilities</t>
  </si>
  <si>
    <t>Accrued payroll and employee benefits</t>
  </si>
  <si>
    <t>Long-term debt, current portion</t>
  </si>
  <si>
    <t>Total current liabilities</t>
  </si>
  <si>
    <t>Long-term debt, net of current portion</t>
  </si>
  <si>
    <t>Operating lease liabilities</t>
  </si>
  <si>
    <t>Deferred tax liabilities</t>
  </si>
  <si>
    <t>Other long-term liabilities</t>
  </si>
  <si>
    <t>Stockholders' equity:</t>
  </si>
  <si>
    <t>Preferred stock, $.0001 par value, 10 million shares</t>
  </si>
  <si>
    <t>authorized and no shares issued and outstanding at January</t>
  </si>
  <si>
    <t>3, 2020 and December 28, 2018</t>
  </si>
  <si>
    <t>Common stock, $.0001 par value, 500 million shares</t>
  </si>
  <si>
    <t>authorized, 141 million and 146 million shares issued and</t>
  </si>
  <si>
    <t>outstanding at January 3, 2020 and December 28, 2018,</t>
  </si>
  <si>
    <t>respectively</t>
  </si>
  <si>
    <t>Additional paid-in capital</t>
  </si>
  <si>
    <t>Retained earnings</t>
  </si>
  <si>
    <t>Accumulated other comprehensive loss</t>
  </si>
  <si>
    <t>Total Leidos stockholders' equity</t>
  </si>
  <si>
    <t>Non-controlling interest</t>
  </si>
  <si>
    <t>Total equity</t>
  </si>
  <si>
    <t>Total assets</t>
  </si>
  <si>
    <t>Total liabilities</t>
  </si>
  <si>
    <t>Total liabilities and stockholders' equity</t>
  </si>
  <si>
    <t>COGS</t>
  </si>
  <si>
    <t>Gross Profit</t>
  </si>
  <si>
    <t>Operating Income</t>
  </si>
  <si>
    <t>Acquisition, integration and restructuring costs</t>
  </si>
  <si>
    <t>Equity earnings of non-consolidated subsidiaries</t>
  </si>
  <si>
    <t>Less: net income (loss) attributable to non-controlling interest</t>
  </si>
  <si>
    <t>Net income attributable to Leidos common stockholders</t>
  </si>
  <si>
    <t>Net Operating Expense</t>
  </si>
  <si>
    <t>Non operating expense:</t>
  </si>
  <si>
    <t xml:space="preserve">  Interest Expense</t>
  </si>
  <si>
    <t>Pretax Income</t>
  </si>
  <si>
    <t>Tax</t>
  </si>
  <si>
    <t>Net Income</t>
  </si>
  <si>
    <t>Adjustments to Net Income</t>
  </si>
  <si>
    <t>D&amp;A</t>
  </si>
  <si>
    <t>Net Working Capital</t>
  </si>
  <si>
    <t>Capex</t>
  </si>
  <si>
    <t>Revenue Growth Rate</t>
  </si>
  <si>
    <t>CAGR</t>
  </si>
  <si>
    <t>Average</t>
  </si>
  <si>
    <t>Assumptions</t>
  </si>
  <si>
    <t>Expenses Growth Rate</t>
  </si>
  <si>
    <t>Forecast</t>
  </si>
  <si>
    <t>Historical</t>
  </si>
  <si>
    <t>Tax Rate</t>
  </si>
  <si>
    <t>Working Capital Schedule</t>
  </si>
  <si>
    <t>A/R</t>
  </si>
  <si>
    <t>A/P</t>
  </si>
  <si>
    <t>DSO</t>
  </si>
  <si>
    <t>DPO</t>
  </si>
  <si>
    <t>Changes in working capital</t>
  </si>
  <si>
    <t>of Revenue</t>
  </si>
  <si>
    <t>Depreciation</t>
  </si>
  <si>
    <t>of Capex</t>
  </si>
  <si>
    <t>Levered Free Cash Flow</t>
  </si>
  <si>
    <t>Discount Factor</t>
  </si>
  <si>
    <t>PV of LFCF</t>
  </si>
  <si>
    <t>Sum of PV of LFCF</t>
  </si>
  <si>
    <t>Terminal Value</t>
  </si>
  <si>
    <t>Terminal Value - Exit Multiple</t>
  </si>
  <si>
    <t>Terminal Value - Perpetuity Method</t>
  </si>
  <si>
    <t>PV of Terminal Value - Exit Multiple</t>
  </si>
  <si>
    <t>Equity Value</t>
  </si>
  <si>
    <t>Share Price</t>
  </si>
  <si>
    <t>WACC</t>
  </si>
  <si>
    <t>Calculation of WACC</t>
  </si>
  <si>
    <t>Cost of Debt</t>
  </si>
  <si>
    <t>Weight of Debt</t>
  </si>
  <si>
    <t>Cost of Equity</t>
  </si>
  <si>
    <t>Weight of Equity</t>
  </si>
  <si>
    <t>Calculation for Cost of Equity</t>
  </si>
  <si>
    <t>Risk-free rate</t>
  </si>
  <si>
    <t>Beta</t>
  </si>
  <si>
    <t>Expected Market Return</t>
  </si>
  <si>
    <t>Source - Treasury.gov</t>
  </si>
  <si>
    <t>Source - Bloomberg</t>
  </si>
  <si>
    <t>Source - Goldman Sachs Report</t>
  </si>
  <si>
    <t>Source: Prime rate - 4% (BOA) ; Prime rate + 2%</t>
  </si>
  <si>
    <t>Exit Multiple</t>
  </si>
  <si>
    <t>Long-term growth rate</t>
  </si>
  <si>
    <t>Equity Value - Exit Multiple</t>
  </si>
  <si>
    <t>Equity Value - Perpetuity Method</t>
  </si>
  <si>
    <t>Average Equity Value</t>
  </si>
  <si>
    <t>No. of shares O/S</t>
  </si>
  <si>
    <t>(values in millions)</t>
  </si>
  <si>
    <t>DCF - Equity Value</t>
  </si>
  <si>
    <t>Sensitivity Analysis</t>
  </si>
  <si>
    <t>Long Term Growth Rate</t>
  </si>
  <si>
    <t>Leidos Holdings Inc.</t>
  </si>
  <si>
    <t>Historical Income Statement</t>
  </si>
  <si>
    <t>Historical Balance Sheet</t>
  </si>
  <si>
    <t>Liquidity Ratio</t>
  </si>
  <si>
    <t>Current Ratio</t>
  </si>
  <si>
    <t>Solvency Ratio</t>
  </si>
  <si>
    <t>Debt Equity Ratio</t>
  </si>
  <si>
    <t>Debt to Total Asset</t>
  </si>
  <si>
    <t>Interest Coverage Ratio</t>
  </si>
  <si>
    <t>Profitability Ratios</t>
  </si>
  <si>
    <t>Gross Profit Margin</t>
  </si>
  <si>
    <t>Net Profit Margin</t>
  </si>
  <si>
    <t>ROE</t>
  </si>
  <si>
    <t>ROA</t>
  </si>
  <si>
    <t>Ratio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</si>
</sst>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&quot;Year&quot;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5">
    <xf numFmtId="0" fontId="0" fillId="0" borderId="0" xfId="0"/>
    <xf numFmtId="0" fontId="2" fillId="0" borderId="0" xfId="0" applyFont="1"/>
    <xf numFmtId="43" fontId="0" fillId="0" borderId="0" xfId="1" applyFont="1"/>
    <xf numFmtId="0" fontId="0" fillId="0" borderId="2" xfId="0" applyBorder="1"/>
    <xf numFmtId="0" fontId="0" fillId="0" borderId="5" xfId="0" applyBorder="1"/>
    <xf numFmtId="0" fontId="2" fillId="0" borderId="0" xfId="0" applyFont="1" applyBorder="1"/>
    <xf numFmtId="0" fontId="2" fillId="0" borderId="6" xfId="0" applyFont="1" applyBorder="1"/>
    <xf numFmtId="164" fontId="0" fillId="0" borderId="0" xfId="1" applyNumberFormat="1" applyFont="1" applyBorder="1"/>
    <xf numFmtId="164" fontId="0" fillId="0" borderId="6" xfId="1" applyNumberFormat="1" applyFont="1" applyBorder="1"/>
    <xf numFmtId="0" fontId="2" fillId="0" borderId="5" xfId="0" applyFont="1" applyBorder="1"/>
    <xf numFmtId="164" fontId="2" fillId="0" borderId="0" xfId="1" applyNumberFormat="1" applyFont="1" applyBorder="1"/>
    <xf numFmtId="164" fontId="2" fillId="0" borderId="6" xfId="1" applyNumberFormat="1" applyFont="1" applyBorder="1"/>
    <xf numFmtId="0" fontId="0" fillId="0" borderId="5" xfId="0" applyBorder="1" applyAlignment="1">
      <alignment horizontal="left"/>
    </xf>
    <xf numFmtId="0" fontId="2" fillId="0" borderId="7" xfId="0" applyFont="1" applyBorder="1"/>
    <xf numFmtId="164" fontId="2" fillId="0" borderId="8" xfId="1" applyNumberFormat="1" applyFont="1" applyBorder="1"/>
    <xf numFmtId="164" fontId="2" fillId="0" borderId="9" xfId="1" applyNumberFormat="1" applyFont="1" applyBorder="1"/>
    <xf numFmtId="0" fontId="0" fillId="0" borderId="7" xfId="0" applyBorder="1"/>
    <xf numFmtId="0" fontId="2" fillId="0" borderId="8" xfId="0" applyFont="1" applyBorder="1"/>
    <xf numFmtId="0" fontId="2" fillId="0" borderId="9" xfId="0" applyFont="1" applyBorder="1"/>
    <xf numFmtId="0" fontId="0" fillId="0" borderId="0" xfId="0" applyBorder="1"/>
    <xf numFmtId="43" fontId="0" fillId="0" borderId="0" xfId="1" applyFont="1" applyBorder="1"/>
    <xf numFmtId="43" fontId="0" fillId="0" borderId="6" xfId="1" applyFont="1" applyBorder="1"/>
    <xf numFmtId="43" fontId="0" fillId="0" borderId="0" xfId="0" applyNumberFormat="1" applyBorder="1"/>
    <xf numFmtId="43" fontId="0" fillId="0" borderId="6" xfId="0" applyNumberFormat="1" applyBorder="1"/>
    <xf numFmtId="0" fontId="0" fillId="0" borderId="8" xfId="0" applyBorder="1"/>
    <xf numFmtId="43" fontId="0" fillId="0" borderId="8" xfId="0" applyNumberFormat="1" applyBorder="1"/>
    <xf numFmtId="0" fontId="0" fillId="0" borderId="9" xfId="0" applyBorder="1"/>
    <xf numFmtId="0" fontId="2" fillId="0" borderId="10" xfId="0" applyFont="1" applyBorder="1"/>
    <xf numFmtId="164" fontId="2" fillId="0" borderId="0" xfId="0" applyNumberFormat="1" applyFont="1" applyBorder="1"/>
    <xf numFmtId="164" fontId="2" fillId="0" borderId="6" xfId="0" applyNumberFormat="1" applyFont="1" applyBorder="1"/>
    <xf numFmtId="43" fontId="0" fillId="0" borderId="9" xfId="1" applyFont="1" applyBorder="1"/>
    <xf numFmtId="43" fontId="2" fillId="0" borderId="9" xfId="1" applyFont="1" applyBorder="1"/>
    <xf numFmtId="43" fontId="2" fillId="0" borderId="12" xfId="1" applyFont="1" applyBorder="1"/>
    <xf numFmtId="0" fontId="0" fillId="0" borderId="6" xfId="0" applyBorder="1"/>
    <xf numFmtId="10" fontId="0" fillId="0" borderId="0" xfId="2" applyNumberFormat="1" applyFont="1" applyBorder="1"/>
    <xf numFmtId="9" fontId="0" fillId="0" borderId="0" xfId="0" applyNumberFormat="1" applyBorder="1"/>
    <xf numFmtId="10" fontId="0" fillId="0" borderId="0" xfId="0" applyNumberFormat="1" applyBorder="1"/>
    <xf numFmtId="43" fontId="0" fillId="0" borderId="8" xfId="1" applyFont="1" applyBorder="1"/>
    <xf numFmtId="9" fontId="0" fillId="0" borderId="0" xfId="2" applyFont="1" applyBorder="1"/>
    <xf numFmtId="10" fontId="2" fillId="0" borderId="8" xfId="0" applyNumberFormat="1" applyFont="1" applyBorder="1"/>
    <xf numFmtId="43" fontId="1" fillId="0" borderId="0" xfId="1" applyFont="1" applyBorder="1"/>
    <xf numFmtId="43" fontId="1" fillId="0" borderId="6" xfId="1" applyFont="1" applyBorder="1"/>
    <xf numFmtId="43" fontId="2" fillId="0" borderId="8" xfId="0" applyNumberFormat="1" applyFont="1" applyBorder="1"/>
    <xf numFmtId="43" fontId="2" fillId="0" borderId="9" xfId="0" applyNumberFormat="1" applyFont="1" applyBorder="1"/>
    <xf numFmtId="0" fontId="0" fillId="0" borderId="5" xfId="0" applyFont="1" applyBorder="1"/>
    <xf numFmtId="10" fontId="0" fillId="0" borderId="0" xfId="0" applyNumberFormat="1" applyFont="1" applyBorder="1"/>
    <xf numFmtId="10" fontId="2" fillId="0" borderId="8" xfId="2" applyNumberFormat="1" applyFont="1" applyBorder="1"/>
    <xf numFmtId="0" fontId="2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164" fontId="0" fillId="2" borderId="11" xfId="1" applyNumberFormat="1" applyFont="1" applyFill="1" applyBorder="1"/>
    <xf numFmtId="164" fontId="0" fillId="2" borderId="12" xfId="1" applyNumberFormat="1" applyFont="1" applyFill="1" applyBorder="1"/>
    <xf numFmtId="43" fontId="0" fillId="2" borderId="12" xfId="1" applyFont="1" applyFill="1" applyBorder="1"/>
    <xf numFmtId="164" fontId="0" fillId="0" borderId="5" xfId="1" applyNumberFormat="1" applyFont="1" applyBorder="1"/>
    <xf numFmtId="164" fontId="2" fillId="0" borderId="5" xfId="1" applyNumberFormat="1" applyFont="1" applyBorder="1"/>
    <xf numFmtId="164" fontId="2" fillId="0" borderId="7" xfId="1" applyNumberFormat="1" applyFont="1" applyBorder="1"/>
    <xf numFmtId="0" fontId="2" fillId="3" borderId="5" xfId="0" applyFont="1" applyFill="1" applyBorder="1"/>
    <xf numFmtId="0" fontId="2" fillId="3" borderId="0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4" borderId="0" xfId="0" applyFont="1" applyFill="1" applyBorder="1"/>
    <xf numFmtId="0" fontId="2" fillId="4" borderId="6" xfId="0" applyFont="1" applyFill="1" applyBorder="1"/>
    <xf numFmtId="166" fontId="0" fillId="4" borderId="8" xfId="0" applyNumberFormat="1" applyFont="1" applyFill="1" applyBorder="1"/>
    <xf numFmtId="166" fontId="0" fillId="4" borderId="9" xfId="0" applyNumberFormat="1" applyFont="1" applyFill="1" applyBorder="1"/>
    <xf numFmtId="0" fontId="3" fillId="2" borderId="2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0" fillId="2" borderId="8" xfId="0" applyFill="1" applyBorder="1" applyAlignment="1">
      <alignment horizontal="centerContinuous"/>
    </xf>
    <xf numFmtId="0" fontId="0" fillId="2" borderId="9" xfId="0" applyFill="1" applyBorder="1" applyAlignment="1">
      <alignment horizontal="centerContinuous"/>
    </xf>
    <xf numFmtId="10" fontId="0" fillId="0" borderId="3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0" fontId="0" fillId="0" borderId="5" xfId="0" applyNumberFormat="1" applyBorder="1"/>
    <xf numFmtId="2" fontId="0" fillId="0" borderId="0" xfId="0" applyNumberFormat="1" applyBorder="1"/>
    <xf numFmtId="2" fontId="0" fillId="0" borderId="6" xfId="0" applyNumberFormat="1" applyBorder="1"/>
    <xf numFmtId="10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7" xfId="0" applyNumberFormat="1" applyBorder="1"/>
    <xf numFmtId="43" fontId="2" fillId="0" borderId="1" xfId="0" applyNumberFormat="1" applyFont="1" applyBorder="1"/>
    <xf numFmtId="10" fontId="2" fillId="0" borderId="5" xfId="0" applyNumberFormat="1" applyFont="1" applyBorder="1"/>
    <xf numFmtId="9" fontId="2" fillId="0" borderId="3" xfId="0" applyNumberFormat="1" applyFont="1" applyBorder="1"/>
    <xf numFmtId="2" fontId="2" fillId="0" borderId="0" xfId="0" applyNumberFormat="1" applyFont="1" applyBorder="1"/>
    <xf numFmtId="43" fontId="2" fillId="0" borderId="0" xfId="0" applyNumberFormat="1" applyFont="1" applyBorder="1"/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2" fillId="0" borderId="5" xfId="0" applyFont="1" applyBorder="1" applyAlignment="1">
      <alignment horizontal="right"/>
    </xf>
    <xf numFmtId="0" fontId="2" fillId="2" borderId="2" xfId="0" applyFont="1" applyFill="1" applyBorder="1" applyAlignment="1">
      <alignment horizontal="centerContinuous"/>
    </xf>
    <xf numFmtId="0" fontId="2" fillId="2" borderId="3" xfId="0" applyFont="1" applyFill="1" applyBorder="1" applyAlignment="1">
      <alignment horizontal="centerContinuous"/>
    </xf>
    <xf numFmtId="0" fontId="2" fillId="2" borderId="4" xfId="0" applyFont="1" applyFill="1" applyBorder="1" applyAlignment="1">
      <alignment horizontal="centerContinuous"/>
    </xf>
    <xf numFmtId="0" fontId="2" fillId="2" borderId="5" xfId="0" applyFont="1" applyFill="1" applyBorder="1" applyAlignment="1">
      <alignment horizontal="centerContinuous"/>
    </xf>
    <xf numFmtId="0" fontId="0" fillId="2" borderId="0" xfId="0" applyFill="1" applyBorder="1" applyAlignment="1">
      <alignment horizontal="centerContinuous"/>
    </xf>
    <xf numFmtId="0" fontId="2" fillId="2" borderId="0" xfId="0" applyFont="1" applyFill="1" applyBorder="1" applyAlignment="1">
      <alignment horizontal="centerContinuous"/>
    </xf>
    <xf numFmtId="0" fontId="2" fillId="2" borderId="6" xfId="0" applyFont="1" applyFill="1" applyBorder="1" applyAlignment="1">
      <alignment horizontal="centerContinuous"/>
    </xf>
    <xf numFmtId="0" fontId="2" fillId="2" borderId="7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Continuous"/>
    </xf>
    <xf numFmtId="0" fontId="2" fillId="2" borderId="9" xfId="0" applyFont="1" applyFill="1" applyBorder="1" applyAlignment="1">
      <alignment horizontal="centerContinuous"/>
    </xf>
    <xf numFmtId="0" fontId="0" fillId="0" borderId="0" xfId="0" applyAlignment="1">
      <alignment horizontal="left" indent="1"/>
    </xf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indent="1"/>
    </xf>
    <xf numFmtId="10" fontId="0" fillId="0" borderId="6" xfId="2" applyNumberFormat="1" applyFont="1" applyBorder="1"/>
    <xf numFmtId="0" fontId="0" fillId="0" borderId="7" xfId="0" applyBorder="1" applyAlignment="1">
      <alignment horizontal="left" indent="1"/>
    </xf>
    <xf numFmtId="10" fontId="0" fillId="0" borderId="8" xfId="2" applyNumberFormat="1" applyFont="1" applyBorder="1"/>
    <xf numFmtId="10" fontId="0" fillId="0" borderId="9" xfId="2" applyNumberFormat="1" applyFont="1" applyBorder="1"/>
    <xf numFmtId="0" fontId="0" fillId="0" borderId="10" xfId="0" applyBorder="1"/>
    <xf numFmtId="0" fontId="2" fillId="0" borderId="11" xfId="0" applyFont="1" applyBorder="1"/>
    <xf numFmtId="0" fontId="2" fillId="0" borderId="12" xfId="0" applyFont="1" applyBorder="1"/>
    <xf numFmtId="0" fontId="2" fillId="2" borderId="10" xfId="0" applyFont="1" applyFill="1" applyBorder="1" applyAlignment="1">
      <alignment horizontal="centerContinuous"/>
    </xf>
    <xf numFmtId="0" fontId="0" fillId="2" borderId="11" xfId="0" applyFill="1" applyBorder="1" applyAlignment="1">
      <alignment horizontal="centerContinuous"/>
    </xf>
    <xf numFmtId="0" fontId="0" fillId="2" borderId="12" xfId="0" applyFill="1" applyBorder="1" applyAlignment="1">
      <alignment horizontal="centerContinuous"/>
    </xf>
    <xf numFmtId="43" fontId="0" fillId="0" borderId="0" xfId="0" applyNumberForma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4243-22E0-412F-9FD8-618EFCA23F56}">
  <dimension ref="B2:E24"/>
  <sheetViews>
    <sheetView showGridLines="0" zoomScaleNormal="100" workbookViewId="0">
      <selection activeCell="I11" sqref="I11"/>
    </sheetView>
  </sheetViews>
  <sheetFormatPr defaultRowHeight="15" x14ac:dyDescent="0.25"/>
  <cols>
    <col min="2" max="2" width="57.42578125" bestFit="1" customWidth="1"/>
    <col min="3" max="3" width="17.5703125" bestFit="1" customWidth="1"/>
  </cols>
  <sheetData>
    <row r="2" spans="2:5" x14ac:dyDescent="0.25">
      <c r="B2" s="94" t="s">
        <v>121</v>
      </c>
      <c r="C2" s="67"/>
      <c r="D2" s="95"/>
      <c r="E2" s="96"/>
    </row>
    <row r="3" spans="2:5" x14ac:dyDescent="0.25">
      <c r="B3" s="97" t="s">
        <v>122</v>
      </c>
      <c r="C3" s="98"/>
      <c r="D3" s="99"/>
      <c r="E3" s="100"/>
    </row>
    <row r="4" spans="2:5" x14ac:dyDescent="0.25">
      <c r="B4" s="4"/>
      <c r="C4" s="5">
        <v>2019</v>
      </c>
      <c r="D4" s="5">
        <v>2020</v>
      </c>
      <c r="E4" s="6">
        <v>2021</v>
      </c>
    </row>
    <row r="5" spans="2:5" x14ac:dyDescent="0.25">
      <c r="B5" s="4" t="s">
        <v>1</v>
      </c>
      <c r="C5" s="19">
        <v>11094</v>
      </c>
      <c r="D5" s="19">
        <v>12297</v>
      </c>
      <c r="E5" s="33">
        <v>13737</v>
      </c>
    </row>
    <row r="6" spans="2:5" x14ac:dyDescent="0.25">
      <c r="B6" s="4" t="s">
        <v>2</v>
      </c>
      <c r="C6" s="19">
        <v>9546</v>
      </c>
      <c r="D6" s="19">
        <v>10560</v>
      </c>
      <c r="E6" s="33">
        <v>11723</v>
      </c>
    </row>
    <row r="7" spans="2:5" x14ac:dyDescent="0.25">
      <c r="B7" s="4" t="s">
        <v>3</v>
      </c>
      <c r="C7" s="19">
        <v>689</v>
      </c>
      <c r="D7" s="19">
        <v>770</v>
      </c>
      <c r="E7" s="33">
        <v>860</v>
      </c>
    </row>
    <row r="8" spans="2:5" x14ac:dyDescent="0.25">
      <c r="B8" s="4" t="s">
        <v>4</v>
      </c>
      <c r="C8" s="19">
        <v>-40</v>
      </c>
      <c r="D8" s="19">
        <v>-68</v>
      </c>
      <c r="E8" s="33">
        <v>-9</v>
      </c>
    </row>
    <row r="9" spans="2:5" x14ac:dyDescent="0.25">
      <c r="B9" s="4" t="s">
        <v>56</v>
      </c>
      <c r="C9" s="19">
        <v>5</v>
      </c>
      <c r="D9" s="19">
        <v>39</v>
      </c>
      <c r="E9" s="33">
        <v>27</v>
      </c>
    </row>
    <row r="10" spans="2:5" x14ac:dyDescent="0.25">
      <c r="B10" s="4" t="s">
        <v>5</v>
      </c>
      <c r="C10" s="19">
        <v>0</v>
      </c>
      <c r="D10" s="19">
        <v>12</v>
      </c>
      <c r="E10" s="33">
        <v>4</v>
      </c>
    </row>
    <row r="11" spans="2:5" x14ac:dyDescent="0.25">
      <c r="B11" s="4" t="s">
        <v>57</v>
      </c>
      <c r="C11" s="19">
        <v>-18</v>
      </c>
      <c r="D11" s="19">
        <v>-14</v>
      </c>
      <c r="E11" s="33">
        <v>-20</v>
      </c>
    </row>
    <row r="12" spans="2:5" x14ac:dyDescent="0.25">
      <c r="B12" s="4" t="s">
        <v>6</v>
      </c>
      <c r="C12" s="19">
        <v>912</v>
      </c>
      <c r="D12" s="19">
        <v>998</v>
      </c>
      <c r="E12" s="33">
        <v>1152</v>
      </c>
    </row>
    <row r="13" spans="2:5" x14ac:dyDescent="0.25">
      <c r="B13" s="4" t="s">
        <v>7</v>
      </c>
      <c r="C13" s="19"/>
      <c r="D13" s="19"/>
      <c r="E13" s="33"/>
    </row>
    <row r="14" spans="2:5" x14ac:dyDescent="0.25">
      <c r="B14" s="4" t="s">
        <v>8</v>
      </c>
      <c r="C14" s="19">
        <v>-133</v>
      </c>
      <c r="D14" s="19">
        <v>-179</v>
      </c>
      <c r="E14" s="33">
        <v>-184</v>
      </c>
    </row>
    <row r="15" spans="2:5" x14ac:dyDescent="0.25">
      <c r="B15" s="4" t="s">
        <v>9</v>
      </c>
      <c r="C15" s="19">
        <v>87</v>
      </c>
      <c r="D15" s="19">
        <v>-38</v>
      </c>
      <c r="E15" s="33">
        <v>-1</v>
      </c>
    </row>
    <row r="16" spans="2:5" x14ac:dyDescent="0.25">
      <c r="B16" s="4" t="s">
        <v>10</v>
      </c>
      <c r="C16" s="19">
        <v>866</v>
      </c>
      <c r="D16" s="19">
        <v>781</v>
      </c>
      <c r="E16" s="33">
        <v>967</v>
      </c>
    </row>
    <row r="17" spans="2:5" x14ac:dyDescent="0.25">
      <c r="B17" s="4" t="s">
        <v>11</v>
      </c>
      <c r="C17" s="19">
        <v>-196</v>
      </c>
      <c r="D17" s="19">
        <v>-152</v>
      </c>
      <c r="E17" s="33">
        <v>-208</v>
      </c>
    </row>
    <row r="18" spans="2:5" x14ac:dyDescent="0.25">
      <c r="B18" s="4" t="s">
        <v>12</v>
      </c>
      <c r="C18" s="19">
        <v>670</v>
      </c>
      <c r="D18" s="19">
        <v>629</v>
      </c>
      <c r="E18" s="33">
        <v>759</v>
      </c>
    </row>
    <row r="19" spans="2:5" x14ac:dyDescent="0.25">
      <c r="B19" s="4" t="s">
        <v>58</v>
      </c>
      <c r="C19" s="19">
        <v>3</v>
      </c>
      <c r="D19" s="19">
        <v>1</v>
      </c>
      <c r="E19" s="33">
        <v>6</v>
      </c>
    </row>
    <row r="20" spans="2:5" x14ac:dyDescent="0.25">
      <c r="B20" s="4" t="s">
        <v>59</v>
      </c>
      <c r="C20" s="19">
        <v>667</v>
      </c>
      <c r="D20" s="19">
        <v>628</v>
      </c>
      <c r="E20" s="33">
        <v>753</v>
      </c>
    </row>
    <row r="21" spans="2:5" x14ac:dyDescent="0.25">
      <c r="B21" s="4"/>
      <c r="C21" s="19"/>
      <c r="D21" s="19"/>
      <c r="E21" s="33"/>
    </row>
    <row r="22" spans="2:5" x14ac:dyDescent="0.25">
      <c r="B22" s="4" t="s">
        <v>13</v>
      </c>
      <c r="C22" s="19"/>
      <c r="D22" s="19"/>
      <c r="E22" s="33"/>
    </row>
    <row r="23" spans="2:5" x14ac:dyDescent="0.25">
      <c r="B23" s="4" t="s">
        <v>14</v>
      </c>
      <c r="C23" s="19">
        <v>4.66</v>
      </c>
      <c r="D23" s="19">
        <v>4.42</v>
      </c>
      <c r="E23" s="33">
        <v>5.34</v>
      </c>
    </row>
    <row r="24" spans="2:5" x14ac:dyDescent="0.25">
      <c r="B24" s="16" t="s">
        <v>15</v>
      </c>
      <c r="C24" s="24">
        <v>4.5999999999999996</v>
      </c>
      <c r="D24" s="24">
        <v>4.3600000000000003</v>
      </c>
      <c r="E24" s="26">
        <v>5.27</v>
      </c>
    </row>
  </sheetData>
  <pageMargins left="0.7" right="0.7" top="0.75" bottom="0.75" header="0.3" footer="0.3"/>
  <pageSetup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9097-1CAD-4002-9A22-C5DC105C86E4}">
  <dimension ref="B2:E42"/>
  <sheetViews>
    <sheetView showGridLines="0" zoomScaleNormal="100" workbookViewId="0">
      <selection activeCell="E15" sqref="E15"/>
    </sheetView>
  </sheetViews>
  <sheetFormatPr defaultRowHeight="15" x14ac:dyDescent="0.25"/>
  <cols>
    <col min="2" max="2" width="41.5703125" bestFit="1" customWidth="1"/>
    <col min="3" max="3" width="13.85546875" bestFit="1" customWidth="1"/>
  </cols>
  <sheetData>
    <row r="2" spans="2:5" x14ac:dyDescent="0.25">
      <c r="B2" s="94" t="s">
        <v>121</v>
      </c>
      <c r="C2" s="67"/>
      <c r="D2" s="67"/>
      <c r="E2" s="68"/>
    </row>
    <row r="3" spans="2:5" x14ac:dyDescent="0.25">
      <c r="B3" s="101" t="s">
        <v>123</v>
      </c>
      <c r="C3" s="70"/>
      <c r="D3" s="102"/>
      <c r="E3" s="103"/>
    </row>
    <row r="4" spans="2:5" x14ac:dyDescent="0.25">
      <c r="B4" s="4"/>
      <c r="C4" s="5">
        <v>2019</v>
      </c>
      <c r="D4" s="5">
        <v>2020</v>
      </c>
      <c r="E4" s="6">
        <v>2021</v>
      </c>
    </row>
    <row r="5" spans="2:5" x14ac:dyDescent="0.25">
      <c r="B5" s="4" t="s">
        <v>16</v>
      </c>
      <c r="C5" s="19"/>
      <c r="D5" s="19"/>
      <c r="E5" s="33"/>
    </row>
    <row r="6" spans="2:5" x14ac:dyDescent="0.25">
      <c r="B6" s="4" t="s">
        <v>17</v>
      </c>
      <c r="C6" s="19">
        <v>668</v>
      </c>
      <c r="D6" s="19">
        <v>524</v>
      </c>
      <c r="E6" s="33">
        <v>727</v>
      </c>
    </row>
    <row r="7" spans="2:5" x14ac:dyDescent="0.25">
      <c r="B7" s="4" t="s">
        <v>18</v>
      </c>
      <c r="C7" s="19">
        <v>1734</v>
      </c>
      <c r="D7" s="19">
        <v>2137</v>
      </c>
      <c r="E7" s="33">
        <v>2189</v>
      </c>
    </row>
    <row r="8" spans="2:5" x14ac:dyDescent="0.25">
      <c r="B8" s="4" t="s">
        <v>19</v>
      </c>
      <c r="C8" s="19">
        <v>410</v>
      </c>
      <c r="D8" s="19">
        <v>276</v>
      </c>
      <c r="E8" s="33">
        <v>274</v>
      </c>
    </row>
    <row r="9" spans="2:5" x14ac:dyDescent="0.25">
      <c r="B9" s="4" t="s">
        <v>20</v>
      </c>
      <c r="C9" s="19">
        <v>0</v>
      </c>
      <c r="D9" s="19">
        <v>402</v>
      </c>
      <c r="E9" s="33">
        <v>429</v>
      </c>
    </row>
    <row r="10" spans="2:5" s="1" customFormat="1" x14ac:dyDescent="0.25">
      <c r="B10" s="9" t="s">
        <v>21</v>
      </c>
      <c r="C10" s="5">
        <f>SUM(C6:C9)</f>
        <v>2812</v>
      </c>
      <c r="D10" s="5">
        <f t="shared" ref="D10:E10" si="0">SUM(D6:D9)</f>
        <v>3339</v>
      </c>
      <c r="E10" s="6">
        <f t="shared" si="0"/>
        <v>3619</v>
      </c>
    </row>
    <row r="11" spans="2:5" x14ac:dyDescent="0.25">
      <c r="B11" s="4" t="s">
        <v>22</v>
      </c>
      <c r="C11" s="19">
        <v>287</v>
      </c>
      <c r="D11" s="19">
        <v>604</v>
      </c>
      <c r="E11" s="33">
        <v>670</v>
      </c>
    </row>
    <row r="12" spans="2:5" x14ac:dyDescent="0.25">
      <c r="B12" s="4" t="s">
        <v>23</v>
      </c>
      <c r="C12" s="19">
        <v>530</v>
      </c>
      <c r="D12" s="19">
        <v>1216</v>
      </c>
      <c r="E12" s="33">
        <v>1177</v>
      </c>
    </row>
    <row r="13" spans="2:5" x14ac:dyDescent="0.25">
      <c r="B13" s="4" t="s">
        <v>24</v>
      </c>
      <c r="C13" s="19">
        <v>4912</v>
      </c>
      <c r="D13" s="19">
        <v>6313</v>
      </c>
      <c r="E13" s="33">
        <v>6744</v>
      </c>
    </row>
    <row r="14" spans="2:5" x14ac:dyDescent="0.25">
      <c r="B14" s="4" t="s">
        <v>25</v>
      </c>
      <c r="C14" s="19">
        <v>400</v>
      </c>
      <c r="D14" s="19">
        <v>581</v>
      </c>
      <c r="E14" s="33">
        <v>612</v>
      </c>
    </row>
    <row r="15" spans="2:5" x14ac:dyDescent="0.25">
      <c r="B15" s="4" t="s">
        <v>26</v>
      </c>
      <c r="C15" s="19">
        <v>426</v>
      </c>
      <c r="D15" s="19">
        <v>458</v>
      </c>
      <c r="E15" s="33">
        <v>439</v>
      </c>
    </row>
    <row r="16" spans="2:5" x14ac:dyDescent="0.25">
      <c r="B16" s="9" t="s">
        <v>50</v>
      </c>
      <c r="C16" s="5">
        <f>SUM(C10:C15)</f>
        <v>9367</v>
      </c>
      <c r="D16" s="5">
        <f t="shared" ref="D16:E16" si="1">SUM(D10:D15)</f>
        <v>12511</v>
      </c>
      <c r="E16" s="6">
        <f t="shared" si="1"/>
        <v>13261</v>
      </c>
    </row>
    <row r="17" spans="2:5" x14ac:dyDescent="0.25">
      <c r="B17" s="9"/>
      <c r="C17" s="5"/>
      <c r="D17" s="5"/>
      <c r="E17" s="6"/>
    </row>
    <row r="18" spans="2:5" x14ac:dyDescent="0.25">
      <c r="B18" s="4" t="s">
        <v>27</v>
      </c>
      <c r="C18" s="19"/>
      <c r="D18" s="19"/>
      <c r="E18" s="33"/>
    </row>
    <row r="19" spans="2:5" x14ac:dyDescent="0.25">
      <c r="B19" s="4" t="s">
        <v>28</v>
      </c>
      <c r="C19" s="19">
        <v>1837</v>
      </c>
      <c r="D19" s="19">
        <v>2175</v>
      </c>
      <c r="E19" s="33">
        <v>2141</v>
      </c>
    </row>
    <row r="20" spans="2:5" x14ac:dyDescent="0.25">
      <c r="B20" s="4" t="s">
        <v>29</v>
      </c>
      <c r="C20" s="19">
        <v>435</v>
      </c>
      <c r="D20" s="19">
        <v>632</v>
      </c>
      <c r="E20" s="33">
        <v>605</v>
      </c>
    </row>
    <row r="21" spans="2:5" x14ac:dyDescent="0.25">
      <c r="B21" s="4" t="s">
        <v>30</v>
      </c>
      <c r="C21" s="19">
        <v>61</v>
      </c>
      <c r="D21" s="19">
        <v>100</v>
      </c>
      <c r="E21" s="33">
        <v>483</v>
      </c>
    </row>
    <row r="22" spans="2:5" s="1" customFormat="1" x14ac:dyDescent="0.25">
      <c r="B22" s="9" t="s">
        <v>31</v>
      </c>
      <c r="C22" s="5">
        <f>SUM(C19:C21)</f>
        <v>2333</v>
      </c>
      <c r="D22" s="5">
        <f t="shared" ref="D22:E22" si="2">SUM(D19:D21)</f>
        <v>2907</v>
      </c>
      <c r="E22" s="6">
        <f t="shared" si="2"/>
        <v>3229</v>
      </c>
    </row>
    <row r="23" spans="2:5" x14ac:dyDescent="0.25">
      <c r="B23" s="4" t="s">
        <v>32</v>
      </c>
      <c r="C23" s="19">
        <v>2925</v>
      </c>
      <c r="D23" s="19">
        <v>4644</v>
      </c>
      <c r="E23" s="33">
        <v>4593</v>
      </c>
    </row>
    <row r="24" spans="2:5" x14ac:dyDescent="0.25">
      <c r="B24" s="4" t="s">
        <v>33</v>
      </c>
      <c r="C24" s="19">
        <v>326</v>
      </c>
      <c r="D24" s="19">
        <v>564</v>
      </c>
      <c r="E24" s="33">
        <v>589</v>
      </c>
    </row>
    <row r="25" spans="2:5" x14ac:dyDescent="0.25">
      <c r="B25" s="4" t="s">
        <v>34</v>
      </c>
      <c r="C25" s="19">
        <v>184</v>
      </c>
      <c r="D25" s="19">
        <v>234</v>
      </c>
      <c r="E25" s="33">
        <v>239</v>
      </c>
    </row>
    <row r="26" spans="2:5" x14ac:dyDescent="0.25">
      <c r="B26" s="4" t="s">
        <v>35</v>
      </c>
      <c r="C26" s="19">
        <v>182</v>
      </c>
      <c r="D26" s="19">
        <v>291</v>
      </c>
      <c r="E26" s="33">
        <v>267</v>
      </c>
    </row>
    <row r="27" spans="2:5" x14ac:dyDescent="0.25">
      <c r="B27" s="9" t="s">
        <v>51</v>
      </c>
      <c r="C27" s="5">
        <f>SUM(C22:C26)</f>
        <v>5950</v>
      </c>
      <c r="D27" s="5">
        <f t="shared" ref="D27:E27" si="3">SUM(D22:D26)</f>
        <v>8640</v>
      </c>
      <c r="E27" s="6">
        <f t="shared" si="3"/>
        <v>8917</v>
      </c>
    </row>
    <row r="28" spans="2:5" x14ac:dyDescent="0.25">
      <c r="B28" s="4" t="s">
        <v>36</v>
      </c>
      <c r="C28" s="19"/>
      <c r="D28" s="19"/>
      <c r="E28" s="33"/>
    </row>
    <row r="29" spans="2:5" x14ac:dyDescent="0.25">
      <c r="B29" s="4" t="s">
        <v>37</v>
      </c>
      <c r="C29" s="19"/>
      <c r="D29" s="19"/>
      <c r="E29" s="33"/>
    </row>
    <row r="30" spans="2:5" x14ac:dyDescent="0.25">
      <c r="B30" s="4" t="s">
        <v>38</v>
      </c>
      <c r="C30" s="19"/>
      <c r="D30" s="19"/>
      <c r="E30" s="33"/>
    </row>
    <row r="31" spans="2:5" x14ac:dyDescent="0.25">
      <c r="B31" s="4" t="s">
        <v>39</v>
      </c>
      <c r="C31" s="19"/>
      <c r="D31" s="19"/>
      <c r="E31" s="33"/>
    </row>
    <row r="32" spans="2:5" x14ac:dyDescent="0.25">
      <c r="B32" s="4" t="s">
        <v>40</v>
      </c>
      <c r="C32" s="19"/>
      <c r="D32" s="19"/>
      <c r="E32" s="33"/>
    </row>
    <row r="33" spans="2:5" x14ac:dyDescent="0.25">
      <c r="B33" s="4" t="s">
        <v>41</v>
      </c>
      <c r="C33" s="19"/>
      <c r="D33" s="19"/>
      <c r="E33" s="33"/>
    </row>
    <row r="34" spans="2:5" x14ac:dyDescent="0.25">
      <c r="B34" s="4" t="s">
        <v>42</v>
      </c>
      <c r="C34" s="19"/>
      <c r="D34" s="19"/>
      <c r="E34" s="33"/>
    </row>
    <row r="35" spans="2:5" x14ac:dyDescent="0.25">
      <c r="B35" s="4" t="s">
        <v>43</v>
      </c>
      <c r="C35" s="19"/>
      <c r="D35" s="19"/>
      <c r="E35" s="33"/>
    </row>
    <row r="36" spans="2:5" x14ac:dyDescent="0.25">
      <c r="B36" s="4" t="s">
        <v>44</v>
      </c>
      <c r="C36" s="19">
        <v>2587</v>
      </c>
      <c r="D36" s="19">
        <v>2580</v>
      </c>
      <c r="E36" s="33">
        <v>2423</v>
      </c>
    </row>
    <row r="37" spans="2:5" x14ac:dyDescent="0.25">
      <c r="B37" s="4" t="s">
        <v>45</v>
      </c>
      <c r="C37" s="19">
        <v>896</v>
      </c>
      <c r="D37" s="19">
        <v>1328</v>
      </c>
      <c r="E37" s="33">
        <v>1880</v>
      </c>
    </row>
    <row r="38" spans="2:5" x14ac:dyDescent="0.25">
      <c r="B38" s="4" t="s">
        <v>46</v>
      </c>
      <c r="C38" s="19">
        <v>-70</v>
      </c>
      <c r="D38" s="19">
        <v>-46</v>
      </c>
      <c r="E38" s="33">
        <v>-12</v>
      </c>
    </row>
    <row r="39" spans="2:5" s="1" customFormat="1" x14ac:dyDescent="0.25">
      <c r="B39" s="9" t="s">
        <v>47</v>
      </c>
      <c r="C39" s="5">
        <f>SUM(C36:C38)</f>
        <v>3413</v>
      </c>
      <c r="D39" s="5">
        <f t="shared" ref="D39:E39" si="4">SUM(D36:D38)</f>
        <v>3862</v>
      </c>
      <c r="E39" s="6">
        <f t="shared" si="4"/>
        <v>4291</v>
      </c>
    </row>
    <row r="40" spans="2:5" x14ac:dyDescent="0.25">
      <c r="B40" s="4" t="s">
        <v>48</v>
      </c>
      <c r="C40" s="19">
        <v>4</v>
      </c>
      <c r="D40" s="19">
        <v>9</v>
      </c>
      <c r="E40" s="33">
        <v>53</v>
      </c>
    </row>
    <row r="41" spans="2:5" s="1" customFormat="1" x14ac:dyDescent="0.25">
      <c r="B41" s="9" t="s">
        <v>49</v>
      </c>
      <c r="C41" s="5">
        <f>+C39+C40</f>
        <v>3417</v>
      </c>
      <c r="D41" s="5">
        <f t="shared" ref="D41:E41" si="5">+D39+D40</f>
        <v>3871</v>
      </c>
      <c r="E41" s="6">
        <f t="shared" si="5"/>
        <v>4344</v>
      </c>
    </row>
    <row r="42" spans="2:5" s="1" customFormat="1" x14ac:dyDescent="0.25">
      <c r="B42" s="13" t="s">
        <v>52</v>
      </c>
      <c r="C42" s="17">
        <v>9367</v>
      </c>
      <c r="D42" s="17">
        <v>12511</v>
      </c>
      <c r="E42" s="18">
        <v>13261</v>
      </c>
    </row>
  </sheetData>
  <pageMargins left="0.7" right="0.7" top="0.75" bottom="0.75" header="0.3" footer="0.3"/>
  <pageSetup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EEEE-7DC1-4004-A0BD-96B8A818E714}">
  <dimension ref="B2:U50"/>
  <sheetViews>
    <sheetView showGridLines="0" tabSelected="1" zoomScale="85" zoomScaleNormal="85" workbookViewId="0">
      <selection activeCell="B2" sqref="B2"/>
    </sheetView>
  </sheetViews>
  <sheetFormatPr defaultRowHeight="15" x14ac:dyDescent="0.25"/>
  <cols>
    <col min="1" max="1" width="1.85546875" customWidth="1"/>
    <col min="2" max="2" width="33.5703125" bestFit="1" customWidth="1"/>
    <col min="3" max="10" width="10.5703125" bestFit="1" customWidth="1"/>
    <col min="12" max="12" width="1.85546875" customWidth="1"/>
    <col min="13" max="13" width="20.5703125" bestFit="1" customWidth="1"/>
    <col min="14" max="14" width="12.140625" bestFit="1" customWidth="1"/>
    <col min="15" max="15" width="11.42578125" customWidth="1"/>
    <col min="16" max="16" width="9.5703125" bestFit="1" customWidth="1"/>
    <col min="17" max="17" width="9.7109375" bestFit="1" customWidth="1"/>
    <col min="18" max="18" width="12.5703125" customWidth="1"/>
    <col min="19" max="21" width="9.7109375" bestFit="1" customWidth="1"/>
  </cols>
  <sheetData>
    <row r="2" spans="2:21" ht="15.75" x14ac:dyDescent="0.25">
      <c r="B2" s="66" t="s">
        <v>121</v>
      </c>
      <c r="C2" s="67"/>
      <c r="D2" s="67"/>
      <c r="E2" s="67"/>
      <c r="F2" s="67"/>
      <c r="G2" s="67"/>
      <c r="H2" s="67"/>
      <c r="I2" s="67"/>
      <c r="J2" s="68"/>
      <c r="M2" s="47" t="s">
        <v>73</v>
      </c>
      <c r="N2" s="48"/>
      <c r="O2" s="49"/>
    </row>
    <row r="3" spans="2:21" ht="15.75" x14ac:dyDescent="0.25">
      <c r="B3" s="69" t="s">
        <v>118</v>
      </c>
      <c r="C3" s="70"/>
      <c r="D3" s="70"/>
      <c r="E3" s="70"/>
      <c r="F3" s="70"/>
      <c r="G3" s="70"/>
      <c r="H3" s="70"/>
      <c r="I3" s="70"/>
      <c r="J3" s="71"/>
      <c r="M3" s="4" t="s">
        <v>70</v>
      </c>
      <c r="N3" s="34">
        <f>+((E7/C7)^(1/5))-1</f>
        <v>4.3664105997996083E-2</v>
      </c>
      <c r="O3" s="33" t="s">
        <v>71</v>
      </c>
    </row>
    <row r="4" spans="2:21" x14ac:dyDescent="0.25">
      <c r="B4" s="3" t="s">
        <v>117</v>
      </c>
      <c r="C4" s="120" t="s">
        <v>76</v>
      </c>
      <c r="D4" s="121"/>
      <c r="E4" s="122"/>
      <c r="F4" s="123" t="s">
        <v>75</v>
      </c>
      <c r="G4" s="123"/>
      <c r="H4" s="123"/>
      <c r="I4" s="123"/>
      <c r="J4" s="124"/>
      <c r="M4" s="4" t="s">
        <v>53</v>
      </c>
      <c r="N4" s="34">
        <f>((C8/C7)+(D8/D7)+(E8/E7))/3</f>
        <v>0.85753327008847491</v>
      </c>
      <c r="O4" s="33" t="s">
        <v>72</v>
      </c>
    </row>
    <row r="5" spans="2:21" x14ac:dyDescent="0.25">
      <c r="B5" s="4"/>
      <c r="C5" s="56">
        <v>2019</v>
      </c>
      <c r="D5" s="57">
        <v>2020</v>
      </c>
      <c r="E5" s="58">
        <v>2021</v>
      </c>
      <c r="F5" s="62">
        <v>2022</v>
      </c>
      <c r="G5" s="62">
        <v>2023</v>
      </c>
      <c r="H5" s="62">
        <v>2024</v>
      </c>
      <c r="I5" s="62">
        <v>2025</v>
      </c>
      <c r="J5" s="63">
        <v>2026</v>
      </c>
      <c r="M5" s="4" t="s">
        <v>74</v>
      </c>
      <c r="N5" s="34">
        <f>+((C10/$C7)+(D10/D7)+(E10/E7))/3</f>
        <v>6.0058160170303167E-2</v>
      </c>
      <c r="O5" s="33"/>
    </row>
    <row r="6" spans="2:21" x14ac:dyDescent="0.25">
      <c r="B6" s="16"/>
      <c r="C6" s="59"/>
      <c r="D6" s="60"/>
      <c r="E6" s="61"/>
      <c r="F6" s="64">
        <v>1</v>
      </c>
      <c r="G6" s="64">
        <v>2</v>
      </c>
      <c r="H6" s="64">
        <v>3</v>
      </c>
      <c r="I6" s="64">
        <v>4</v>
      </c>
      <c r="J6" s="65">
        <v>5</v>
      </c>
      <c r="M6" s="4" t="s">
        <v>77</v>
      </c>
      <c r="N6" s="35">
        <v>0.21</v>
      </c>
      <c r="O6" s="33"/>
    </row>
    <row r="7" spans="2:21" x14ac:dyDescent="0.25">
      <c r="B7" s="4" t="s">
        <v>0</v>
      </c>
      <c r="C7" s="53">
        <f>+'Income Statement'!C5</f>
        <v>11094</v>
      </c>
      <c r="D7" s="7">
        <f>+'Income Statement'!D5</f>
        <v>12297</v>
      </c>
      <c r="E7" s="8">
        <f>+'Income Statement'!E5</f>
        <v>13737</v>
      </c>
      <c r="F7" s="7">
        <f>+E7*(1+$N$3)</f>
        <v>14336.813824094472</v>
      </c>
      <c r="G7" s="7">
        <f>+F7*(1+$N$3)</f>
        <v>14962.817982583269</v>
      </c>
      <c r="H7" s="7">
        <f>+G7*(1+$N$3)</f>
        <v>15616.156053003506</v>
      </c>
      <c r="I7" s="7">
        <f>+H7*(1+$N$3)</f>
        <v>16298.021546183099</v>
      </c>
      <c r="J7" s="8">
        <f>+I7*(1+$N$3)</f>
        <v>17009.660086533262</v>
      </c>
      <c r="M7" s="4" t="s">
        <v>81</v>
      </c>
      <c r="N7" s="20">
        <f>(AVERAGE(O18:P18)/E7)*365</f>
        <v>57.472155492465603</v>
      </c>
      <c r="O7" s="33"/>
    </row>
    <row r="8" spans="2:21" x14ac:dyDescent="0.25">
      <c r="B8" s="4" t="s">
        <v>53</v>
      </c>
      <c r="C8" s="53">
        <f>'Income Statement'!C6</f>
        <v>9546</v>
      </c>
      <c r="D8" s="7">
        <f>'Income Statement'!D6</f>
        <v>10560</v>
      </c>
      <c r="E8" s="8">
        <f>'Income Statement'!E6</f>
        <v>11723</v>
      </c>
      <c r="F8" s="7">
        <f>+F7*$N$4</f>
        <v>12294.294841225386</v>
      </c>
      <c r="G8" s="7">
        <f>+G7*$N$4</f>
        <v>12831.114234343268</v>
      </c>
      <c r="H8" s="7">
        <f>+H7*$N$4</f>
        <v>13391.373366344027</v>
      </c>
      <c r="I8" s="7">
        <f>+I7*$N$4</f>
        <v>13976.095712470815</v>
      </c>
      <c r="J8" s="8">
        <f>+J7*$N$4</f>
        <v>14586.349437098279</v>
      </c>
      <c r="M8" s="4" t="s">
        <v>82</v>
      </c>
      <c r="N8" s="22">
        <f>(AVERAGE(O19:P19)/(E8))*365</f>
        <v>86.44736842105263</v>
      </c>
      <c r="O8" s="33"/>
    </row>
    <row r="9" spans="2:21" x14ac:dyDescent="0.25">
      <c r="B9" s="9" t="s">
        <v>54</v>
      </c>
      <c r="C9" s="54">
        <f>+C7-C8</f>
        <v>1548</v>
      </c>
      <c r="D9" s="10">
        <f t="shared" ref="D9:E9" si="0">+D7-D8</f>
        <v>1737</v>
      </c>
      <c r="E9" s="11">
        <f t="shared" si="0"/>
        <v>2014</v>
      </c>
      <c r="F9" s="10">
        <f t="shared" ref="F9" si="1">+F7-F8</f>
        <v>2042.5189828690854</v>
      </c>
      <c r="G9" s="10">
        <f t="shared" ref="G9" si="2">+G7-G8</f>
        <v>2131.703748240001</v>
      </c>
      <c r="H9" s="10">
        <f t="shared" ref="H9" si="3">+H7-H8</f>
        <v>2224.7826866594787</v>
      </c>
      <c r="I9" s="10">
        <f t="shared" ref="I9" si="4">+I7-I8</f>
        <v>2321.9258337122847</v>
      </c>
      <c r="J9" s="11">
        <f t="shared" ref="J9" si="5">+J7-J8</f>
        <v>2423.3106494349831</v>
      </c>
      <c r="M9" s="4" t="s">
        <v>69</v>
      </c>
      <c r="N9" s="35">
        <v>0.01</v>
      </c>
      <c r="O9" s="33" t="s">
        <v>84</v>
      </c>
    </row>
    <row r="10" spans="2:21" x14ac:dyDescent="0.25">
      <c r="B10" s="4" t="s">
        <v>60</v>
      </c>
      <c r="C10" s="53">
        <f>('Income Statement'!C7+'Income Statement'!C8+'Income Statement'!C9+'Income Statement'!C10+'Income Statement'!C11)</f>
        <v>636</v>
      </c>
      <c r="D10" s="7">
        <f>('Income Statement'!D7+'Income Statement'!D8+'Income Statement'!D9+'Income Statement'!D10+'Income Statement'!D11)</f>
        <v>739</v>
      </c>
      <c r="E10" s="8">
        <f>('Income Statement'!E7+'Income Statement'!E8+'Income Statement'!E9+'Income Statement'!E10+'Income Statement'!E11)</f>
        <v>862</v>
      </c>
      <c r="F10" s="7">
        <f>+E10*(1+$N$5)</f>
        <v>913.77013406680135</v>
      </c>
      <c r="G10" s="7">
        <f>+F10*(1+$N$5)</f>
        <v>968.64948713742467</v>
      </c>
      <c r="H10" s="7">
        <f>+G10*(1+$N$5)</f>
        <v>1026.8247931848061</v>
      </c>
      <c r="I10" s="7">
        <f>+H10*(1+$N$5)</f>
        <v>1088.4940010807377</v>
      </c>
      <c r="J10" s="8">
        <f>+I10*(1+$N$5)</f>
        <v>1153.8669481420588</v>
      </c>
      <c r="M10" s="4" t="s">
        <v>85</v>
      </c>
      <c r="N10" s="35">
        <v>0.1</v>
      </c>
      <c r="O10" s="33" t="s">
        <v>86</v>
      </c>
    </row>
    <row r="11" spans="2:21" x14ac:dyDescent="0.25">
      <c r="B11" s="9" t="s">
        <v>55</v>
      </c>
      <c r="C11" s="54">
        <f>+C9-C10</f>
        <v>912</v>
      </c>
      <c r="D11" s="10">
        <f t="shared" ref="D11:J11" si="6">+D9-D10</f>
        <v>998</v>
      </c>
      <c r="E11" s="11">
        <f t="shared" si="6"/>
        <v>1152</v>
      </c>
      <c r="F11" s="10">
        <f t="shared" si="6"/>
        <v>1128.7488488022841</v>
      </c>
      <c r="G11" s="10">
        <f t="shared" si="6"/>
        <v>1163.0542611025762</v>
      </c>
      <c r="H11" s="10">
        <f t="shared" si="6"/>
        <v>1197.9578934746726</v>
      </c>
      <c r="I11" s="10">
        <f t="shared" si="6"/>
        <v>1233.431832631547</v>
      </c>
      <c r="J11" s="11">
        <f t="shared" si="6"/>
        <v>1269.4437012929243</v>
      </c>
      <c r="M11" s="4" t="s">
        <v>97</v>
      </c>
      <c r="N11" s="36">
        <f>+N28</f>
        <v>6.3794400000000001E-2</v>
      </c>
      <c r="O11" s="33"/>
    </row>
    <row r="12" spans="2:21" x14ac:dyDescent="0.25">
      <c r="B12" s="4" t="s">
        <v>61</v>
      </c>
      <c r="C12" s="53"/>
      <c r="D12" s="7"/>
      <c r="E12" s="8"/>
      <c r="F12" s="7"/>
      <c r="G12" s="7"/>
      <c r="H12" s="7"/>
      <c r="I12" s="7"/>
      <c r="J12" s="8"/>
      <c r="M12" s="4" t="s">
        <v>111</v>
      </c>
      <c r="N12" s="19">
        <v>8</v>
      </c>
      <c r="O12" s="33"/>
    </row>
    <row r="13" spans="2:21" x14ac:dyDescent="0.25">
      <c r="B13" s="12" t="s">
        <v>62</v>
      </c>
      <c r="C13" s="53">
        <f>'Income Statement'!C14</f>
        <v>-133</v>
      </c>
      <c r="D13" s="7">
        <f>'Income Statement'!D14</f>
        <v>-179</v>
      </c>
      <c r="E13" s="8">
        <f>'Income Statement'!E14</f>
        <v>-184</v>
      </c>
      <c r="F13" s="7"/>
      <c r="G13" s="7"/>
      <c r="H13" s="7"/>
      <c r="I13" s="7"/>
      <c r="J13" s="8"/>
      <c r="M13" s="4" t="s">
        <v>112</v>
      </c>
      <c r="N13" s="35">
        <v>0.02</v>
      </c>
      <c r="O13" s="33"/>
    </row>
    <row r="14" spans="2:21" x14ac:dyDescent="0.25">
      <c r="B14" s="9" t="s">
        <v>63</v>
      </c>
      <c r="C14" s="54">
        <f>+C11+C13</f>
        <v>779</v>
      </c>
      <c r="D14" s="10">
        <f t="shared" ref="D14:J14" si="7">+D11+D13</f>
        <v>819</v>
      </c>
      <c r="E14" s="11">
        <f t="shared" si="7"/>
        <v>968</v>
      </c>
      <c r="F14" s="10">
        <f t="shared" si="7"/>
        <v>1128.7488488022841</v>
      </c>
      <c r="G14" s="10">
        <f t="shared" si="7"/>
        <v>1163.0542611025762</v>
      </c>
      <c r="H14" s="10">
        <f t="shared" si="7"/>
        <v>1197.9578934746726</v>
      </c>
      <c r="I14" s="10">
        <f t="shared" si="7"/>
        <v>1233.431832631547</v>
      </c>
      <c r="J14" s="11">
        <f t="shared" si="7"/>
        <v>1269.4437012929243</v>
      </c>
      <c r="M14" s="16" t="s">
        <v>116</v>
      </c>
      <c r="N14" s="37">
        <v>136.66</v>
      </c>
      <c r="O14" s="26"/>
    </row>
    <row r="15" spans="2:21" x14ac:dyDescent="0.25">
      <c r="B15" s="4" t="s">
        <v>64</v>
      </c>
      <c r="C15" s="53">
        <f>+'Income Statement'!C17</f>
        <v>-196</v>
      </c>
      <c r="D15" s="7">
        <f>+'Income Statement'!D17</f>
        <v>-152</v>
      </c>
      <c r="E15" s="8">
        <f>+'Income Statement'!E17</f>
        <v>-208</v>
      </c>
      <c r="F15" s="7">
        <f>+F14*$N$6</f>
        <v>237.03725824847965</v>
      </c>
      <c r="G15" s="7">
        <f>+G14*$N$6</f>
        <v>244.24139483154099</v>
      </c>
      <c r="H15" s="7">
        <f>+H14*$N$6</f>
        <v>251.57115762968124</v>
      </c>
      <c r="I15" s="7">
        <f>+I14*$N$6</f>
        <v>259.02068485262487</v>
      </c>
      <c r="J15" s="8">
        <f>+J14*$N$6</f>
        <v>266.5831772715141</v>
      </c>
    </row>
    <row r="16" spans="2:21" x14ac:dyDescent="0.25">
      <c r="B16" s="13" t="s">
        <v>65</v>
      </c>
      <c r="C16" s="55">
        <f>+C14+C15</f>
        <v>583</v>
      </c>
      <c r="D16" s="14">
        <f t="shared" ref="D16:E16" si="8">+D14+D15</f>
        <v>667</v>
      </c>
      <c r="E16" s="15">
        <f t="shared" si="8"/>
        <v>760</v>
      </c>
      <c r="F16" s="14">
        <f t="shared" ref="F16" si="9">+F14+F15</f>
        <v>1365.7861070507638</v>
      </c>
      <c r="G16" s="14">
        <f t="shared" ref="G16" si="10">+G14+G15</f>
        <v>1407.2956559341171</v>
      </c>
      <c r="H16" s="14">
        <f t="shared" ref="H16" si="11">+H14+H15</f>
        <v>1449.5290511043538</v>
      </c>
      <c r="I16" s="14">
        <f t="shared" ref="I16" si="12">+I14+I15</f>
        <v>1492.4525174841719</v>
      </c>
      <c r="J16" s="15">
        <f t="shared" ref="J16" si="13">+J14+J15</f>
        <v>1536.0268785644384</v>
      </c>
      <c r="M16" s="47" t="s">
        <v>78</v>
      </c>
      <c r="N16" s="48"/>
      <c r="O16" s="48"/>
      <c r="P16" s="48"/>
      <c r="Q16" s="48"/>
      <c r="R16" s="48"/>
      <c r="S16" s="48"/>
      <c r="T16" s="48"/>
      <c r="U16" s="49"/>
    </row>
    <row r="17" spans="2:21" x14ac:dyDescent="0.25">
      <c r="B17" s="9"/>
      <c r="C17" s="10"/>
      <c r="D17" s="10"/>
      <c r="E17" s="10"/>
      <c r="F17" s="10"/>
      <c r="G17" s="10"/>
      <c r="H17" s="10"/>
      <c r="I17" s="10"/>
      <c r="J17" s="11"/>
      <c r="M17" s="16"/>
      <c r="N17" s="17">
        <v>2019</v>
      </c>
      <c r="O17" s="17">
        <v>2020</v>
      </c>
      <c r="P17" s="17">
        <v>2021</v>
      </c>
      <c r="Q17" s="17">
        <v>2022</v>
      </c>
      <c r="R17" s="17">
        <v>2023</v>
      </c>
      <c r="S17" s="17">
        <v>2024</v>
      </c>
      <c r="T17" s="17">
        <v>2025</v>
      </c>
      <c r="U17" s="18">
        <v>2026</v>
      </c>
    </row>
    <row r="18" spans="2:21" x14ac:dyDescent="0.25">
      <c r="B18" s="47" t="s">
        <v>66</v>
      </c>
      <c r="C18" s="50"/>
      <c r="D18" s="50"/>
      <c r="E18" s="50"/>
      <c r="F18" s="50"/>
      <c r="G18" s="50"/>
      <c r="H18" s="50"/>
      <c r="I18" s="50"/>
      <c r="J18" s="51"/>
      <c r="M18" s="4" t="s">
        <v>79</v>
      </c>
      <c r="N18" s="20">
        <f>+'Balance Sheet'!C7</f>
        <v>1734</v>
      </c>
      <c r="O18" s="20">
        <f>+'Balance Sheet'!D7</f>
        <v>2137</v>
      </c>
      <c r="P18" s="20">
        <f>+'Balance Sheet'!E7</f>
        <v>2189</v>
      </c>
      <c r="Q18" s="20">
        <f>+F7*$N$7/365</f>
        <v>2257.4454612736654</v>
      </c>
      <c r="R18" s="20">
        <f>+G7*$N$7/365</f>
        <v>2356.0147991794138</v>
      </c>
      <c r="S18" s="20">
        <f>+H7*$N$7/365</f>
        <v>2458.8880791036313</v>
      </c>
      <c r="T18" s="20">
        <f>+I7*$N$7/365</f>
        <v>2566.2532288268212</v>
      </c>
      <c r="U18" s="21">
        <f>+J7*$N$7/365</f>
        <v>2678.3063818280152</v>
      </c>
    </row>
    <row r="19" spans="2:21" x14ac:dyDescent="0.25">
      <c r="B19" s="4" t="s">
        <v>67</v>
      </c>
      <c r="C19" s="7"/>
      <c r="D19" s="7">
        <f t="shared" ref="D19:J19" si="14">-D21*$N$10</f>
        <v>281.5</v>
      </c>
      <c r="E19" s="7">
        <f t="shared" si="14"/>
        <v>73</v>
      </c>
      <c r="F19" s="7">
        <f t="shared" si="14"/>
        <v>14.336813824094472</v>
      </c>
      <c r="G19" s="7">
        <f t="shared" si="14"/>
        <v>14.962817982583269</v>
      </c>
      <c r="H19" s="7">
        <f t="shared" si="14"/>
        <v>15.616156053003508</v>
      </c>
      <c r="I19" s="7">
        <f t="shared" si="14"/>
        <v>16.298021546183101</v>
      </c>
      <c r="J19" s="8">
        <f t="shared" si="14"/>
        <v>17.009660086533263</v>
      </c>
      <c r="M19" s="4" t="s">
        <v>80</v>
      </c>
      <c r="N19" s="20">
        <f>+'Balance Sheet'!C19+'Balance Sheet'!C20</f>
        <v>2272</v>
      </c>
      <c r="O19" s="20">
        <f>+'Balance Sheet'!D19+'Balance Sheet'!D20</f>
        <v>2807</v>
      </c>
      <c r="P19" s="20">
        <f>+'Balance Sheet'!E19+'Balance Sheet'!E20</f>
        <v>2746</v>
      </c>
      <c r="Q19" s="20">
        <f>+F8*$N$8/365</f>
        <v>2911.8066729218021</v>
      </c>
      <c r="R19" s="20">
        <f>+G8*$N$8/365</f>
        <v>3038.9481081339322</v>
      </c>
      <c r="S19" s="20">
        <f>+H8*$N$8/365</f>
        <v>3171.641060449901</v>
      </c>
      <c r="T19" s="20">
        <f>+I8*$N$8/365</f>
        <v>3310.1279319009827</v>
      </c>
      <c r="U19" s="21">
        <f>+J8*$N$8/365</f>
        <v>3454.6617087864342</v>
      </c>
    </row>
    <row r="20" spans="2:21" x14ac:dyDescent="0.25">
      <c r="B20" s="4" t="s">
        <v>68</v>
      </c>
      <c r="C20" s="7">
        <v>0</v>
      </c>
      <c r="D20" s="7">
        <f>-O21</f>
        <v>132</v>
      </c>
      <c r="E20" s="7">
        <f t="shared" ref="E20:J20" si="15">-P21</f>
        <v>-113</v>
      </c>
      <c r="F20" s="7">
        <f t="shared" si="15"/>
        <v>97.361211648136759</v>
      </c>
      <c r="G20" s="7">
        <f t="shared" si="15"/>
        <v>28.572097306381693</v>
      </c>
      <c r="H20" s="7">
        <f t="shared" si="15"/>
        <v>29.819672391751283</v>
      </c>
      <c r="I20" s="7">
        <f t="shared" si="15"/>
        <v>31.121721727891781</v>
      </c>
      <c r="J20" s="8">
        <f t="shared" si="15"/>
        <v>32.480623884257511</v>
      </c>
      <c r="M20" s="4" t="s">
        <v>68</v>
      </c>
      <c r="N20" s="40">
        <f>+N18-N19</f>
        <v>-538</v>
      </c>
      <c r="O20" s="40">
        <f t="shared" ref="O20:P20" si="16">+O18-O19</f>
        <v>-670</v>
      </c>
      <c r="P20" s="40">
        <f t="shared" si="16"/>
        <v>-557</v>
      </c>
      <c r="Q20" s="40">
        <f t="shared" ref="Q20" si="17">+Q18-Q19</f>
        <v>-654.36121164813676</v>
      </c>
      <c r="R20" s="40">
        <f t="shared" ref="R20" si="18">+R18-R19</f>
        <v>-682.93330895451845</v>
      </c>
      <c r="S20" s="40">
        <f t="shared" ref="S20" si="19">+S18-S19</f>
        <v>-712.75298134626973</v>
      </c>
      <c r="T20" s="40">
        <f t="shared" ref="T20" si="20">+T18-T19</f>
        <v>-743.87470307416152</v>
      </c>
      <c r="U20" s="41">
        <f t="shared" ref="U20" si="21">+U18-U19</f>
        <v>-776.35532695841903</v>
      </c>
    </row>
    <row r="21" spans="2:21" x14ac:dyDescent="0.25">
      <c r="B21" s="4" t="s">
        <v>69</v>
      </c>
      <c r="C21" s="7">
        <v>65</v>
      </c>
      <c r="D21" s="7">
        <v>-2815</v>
      </c>
      <c r="E21" s="7">
        <v>-730</v>
      </c>
      <c r="F21" s="7">
        <f>-F7*$N$9</f>
        <v>-143.36813824094472</v>
      </c>
      <c r="G21" s="7">
        <f>-G7*$N$9</f>
        <v>-149.62817982583269</v>
      </c>
      <c r="H21" s="7">
        <f>-H7*$N$9</f>
        <v>-156.16156053003508</v>
      </c>
      <c r="I21" s="7">
        <f>-I7*$N$9</f>
        <v>-162.98021546183099</v>
      </c>
      <c r="J21" s="8">
        <f>-J7*$N$9</f>
        <v>-170.09660086533262</v>
      </c>
      <c r="M21" s="13" t="s">
        <v>83</v>
      </c>
      <c r="N21" s="17"/>
      <c r="O21" s="42">
        <f>+O20-N20</f>
        <v>-132</v>
      </c>
      <c r="P21" s="42">
        <f t="shared" ref="P21:U21" si="22">+P20-O20</f>
        <v>113</v>
      </c>
      <c r="Q21" s="42">
        <f t="shared" si="22"/>
        <v>-97.361211648136759</v>
      </c>
      <c r="R21" s="42">
        <f t="shared" si="22"/>
        <v>-28.572097306381693</v>
      </c>
      <c r="S21" s="42">
        <f t="shared" si="22"/>
        <v>-29.819672391751283</v>
      </c>
      <c r="T21" s="42">
        <f t="shared" si="22"/>
        <v>-31.121721727891781</v>
      </c>
      <c r="U21" s="43">
        <f t="shared" si="22"/>
        <v>-32.480623884257511</v>
      </c>
    </row>
    <row r="22" spans="2:21" x14ac:dyDescent="0.25">
      <c r="B22" s="9" t="s">
        <v>87</v>
      </c>
      <c r="C22" s="28">
        <f t="shared" ref="C22:J22" si="23">SUM(C16:C21)</f>
        <v>648</v>
      </c>
      <c r="D22" s="28">
        <f t="shared" si="23"/>
        <v>-1734.5</v>
      </c>
      <c r="E22" s="28">
        <f t="shared" si="23"/>
        <v>-10</v>
      </c>
      <c r="F22" s="28">
        <f t="shared" si="23"/>
        <v>1334.1159942820502</v>
      </c>
      <c r="G22" s="28">
        <f t="shared" si="23"/>
        <v>1301.2023913972496</v>
      </c>
      <c r="H22" s="28">
        <f t="shared" si="23"/>
        <v>1338.8033190190736</v>
      </c>
      <c r="I22" s="28">
        <f t="shared" si="23"/>
        <v>1376.8920452964157</v>
      </c>
      <c r="J22" s="29">
        <f t="shared" si="23"/>
        <v>1415.4205616698966</v>
      </c>
    </row>
    <row r="23" spans="2:21" x14ac:dyDescent="0.25">
      <c r="B23" s="4" t="s">
        <v>88</v>
      </c>
      <c r="C23" s="19"/>
      <c r="D23" s="19"/>
      <c r="E23" s="20"/>
      <c r="F23" s="20">
        <f>+(1/((1+$N$11)^F6))</f>
        <v>0.9400312692001388</v>
      </c>
      <c r="G23" s="20">
        <f>+(1/((1+$N$11)^G6))</f>
        <v>0.88365878707402368</v>
      </c>
      <c r="H23" s="20">
        <f>+(1/((1+$N$11)^H6))</f>
        <v>0.8306668911530497</v>
      </c>
      <c r="I23" s="20">
        <f>+(1/((1+$N$11)^I6))</f>
        <v>0.78085285197313481</v>
      </c>
      <c r="J23" s="21">
        <f>+(1/((1+$N$11)^J6))</f>
        <v>0.73402609749885406</v>
      </c>
      <c r="M23" s="47" t="s">
        <v>98</v>
      </c>
      <c r="N23" s="48"/>
      <c r="O23" s="48"/>
      <c r="P23" s="48"/>
      <c r="Q23" s="48"/>
      <c r="R23" s="49"/>
    </row>
    <row r="24" spans="2:21" x14ac:dyDescent="0.25">
      <c r="B24" s="4" t="s">
        <v>89</v>
      </c>
      <c r="C24" s="19"/>
      <c r="D24" s="19"/>
      <c r="E24" s="19"/>
      <c r="F24" s="22">
        <f>+F22*F23</f>
        <v>1254.1107513651607</v>
      </c>
      <c r="G24" s="22">
        <f t="shared" ref="G24:J24" si="24">+G22*G23</f>
        <v>1149.8189269199127</v>
      </c>
      <c r="H24" s="22">
        <f t="shared" si="24"/>
        <v>1112.0995908749585</v>
      </c>
      <c r="I24" s="22">
        <f t="shared" si="24"/>
        <v>1075.1500804288289</v>
      </c>
      <c r="J24" s="23">
        <f t="shared" si="24"/>
        <v>1038.9556312021903</v>
      </c>
      <c r="M24" s="4" t="s">
        <v>99</v>
      </c>
      <c r="N24" s="38">
        <f>4%+2%</f>
        <v>0.06</v>
      </c>
      <c r="O24" s="19" t="s">
        <v>110</v>
      </c>
      <c r="P24" s="19"/>
      <c r="Q24" s="19"/>
      <c r="R24" s="33"/>
    </row>
    <row r="25" spans="2:21" x14ac:dyDescent="0.25">
      <c r="B25" s="16" t="s">
        <v>90</v>
      </c>
      <c r="C25" s="24"/>
      <c r="D25" s="24"/>
      <c r="E25" s="24"/>
      <c r="F25" s="25">
        <f>SUM(F24:J24)</f>
        <v>5630.134980791051</v>
      </c>
      <c r="G25" s="24"/>
      <c r="H25" s="24"/>
      <c r="I25" s="24"/>
      <c r="J25" s="26"/>
      <c r="M25" s="4" t="s">
        <v>100</v>
      </c>
      <c r="N25" s="35">
        <v>0.67</v>
      </c>
      <c r="O25" s="19"/>
      <c r="P25" s="19"/>
      <c r="Q25" s="19"/>
      <c r="R25" s="33"/>
    </row>
    <row r="26" spans="2:21" x14ac:dyDescent="0.25">
      <c r="M26" s="44" t="s">
        <v>101</v>
      </c>
      <c r="N26" s="45">
        <f>+N34</f>
        <v>9.708E-2</v>
      </c>
      <c r="O26" s="19"/>
      <c r="P26" s="19"/>
      <c r="Q26" s="19"/>
      <c r="R26" s="33"/>
    </row>
    <row r="27" spans="2:21" x14ac:dyDescent="0.25">
      <c r="M27" s="4" t="s">
        <v>102</v>
      </c>
      <c r="N27" s="35">
        <f>1-N25</f>
        <v>0.32999999999999996</v>
      </c>
      <c r="O27" s="19"/>
      <c r="P27" s="19"/>
      <c r="Q27" s="19"/>
      <c r="R27" s="33"/>
    </row>
    <row r="28" spans="2:21" x14ac:dyDescent="0.25">
      <c r="B28" s="47" t="s">
        <v>91</v>
      </c>
      <c r="C28" s="49"/>
      <c r="M28" s="13" t="s">
        <v>97</v>
      </c>
      <c r="N28" s="39">
        <f>(N26*N27)+((N24*N25)*(1-N6))</f>
        <v>6.3794400000000001E-2</v>
      </c>
      <c r="O28" s="24"/>
      <c r="P28" s="24"/>
      <c r="Q28" s="24"/>
      <c r="R28" s="26"/>
    </row>
    <row r="29" spans="2:21" x14ac:dyDescent="0.25">
      <c r="B29" s="4" t="s">
        <v>92</v>
      </c>
      <c r="C29" s="21">
        <f>+(J11+J19)*$N$12</f>
        <v>10291.626891035661</v>
      </c>
    </row>
    <row r="30" spans="2:21" x14ac:dyDescent="0.25">
      <c r="B30" s="4" t="s">
        <v>94</v>
      </c>
      <c r="C30" s="21">
        <f>+C29*J23</f>
        <v>7554.3227237411702</v>
      </c>
      <c r="M30" s="47" t="s">
        <v>103</v>
      </c>
      <c r="N30" s="48"/>
      <c r="O30" s="48"/>
      <c r="P30" s="48"/>
      <c r="Q30" s="49"/>
    </row>
    <row r="31" spans="2:21" x14ac:dyDescent="0.25">
      <c r="B31" s="4"/>
      <c r="C31" s="21"/>
      <c r="M31" s="4" t="s">
        <v>104</v>
      </c>
      <c r="N31" s="36">
        <v>2.5000000000000001E-2</v>
      </c>
      <c r="O31" s="19" t="s">
        <v>107</v>
      </c>
      <c r="P31" s="19"/>
      <c r="Q31" s="33"/>
    </row>
    <row r="32" spans="2:21" x14ac:dyDescent="0.25">
      <c r="B32" s="4" t="s">
        <v>93</v>
      </c>
      <c r="C32" s="21">
        <f>+J22*(1+N13)/(N11-N13)</f>
        <v>32966.063535595757</v>
      </c>
      <c r="M32" s="4" t="s">
        <v>105</v>
      </c>
      <c r="N32" s="19">
        <v>0.85</v>
      </c>
      <c r="O32" s="19" t="s">
        <v>108</v>
      </c>
      <c r="P32" s="19"/>
      <c r="Q32" s="33"/>
    </row>
    <row r="33" spans="2:17" x14ac:dyDescent="0.25">
      <c r="B33" s="16" t="s">
        <v>94</v>
      </c>
      <c r="C33" s="30">
        <f>+C32*J23</f>
        <v>24197.950966932629</v>
      </c>
      <c r="M33" s="4" t="s">
        <v>106</v>
      </c>
      <c r="N33" s="36">
        <v>0.10979999999999999</v>
      </c>
      <c r="O33" s="19" t="s">
        <v>109</v>
      </c>
      <c r="P33" s="19"/>
      <c r="Q33" s="33"/>
    </row>
    <row r="34" spans="2:17" x14ac:dyDescent="0.25">
      <c r="C34" s="2"/>
      <c r="M34" s="13" t="s">
        <v>101</v>
      </c>
      <c r="N34" s="46">
        <f>+N31+((N33-N31)*N32)</f>
        <v>9.708E-2</v>
      </c>
      <c r="O34" s="24"/>
      <c r="P34" s="24"/>
      <c r="Q34" s="26"/>
    </row>
    <row r="35" spans="2:17" x14ac:dyDescent="0.25">
      <c r="B35" s="47" t="s">
        <v>95</v>
      </c>
      <c r="C35" s="52"/>
    </row>
    <row r="36" spans="2:17" x14ac:dyDescent="0.25">
      <c r="B36" s="4" t="s">
        <v>113</v>
      </c>
      <c r="C36" s="21">
        <f>F25+C30</f>
        <v>13184.457704532222</v>
      </c>
    </row>
    <row r="37" spans="2:17" x14ac:dyDescent="0.25">
      <c r="B37" s="4" t="s">
        <v>114</v>
      </c>
      <c r="C37" s="21">
        <f>+F25+C33</f>
        <v>29828.085947723681</v>
      </c>
    </row>
    <row r="38" spans="2:17" x14ac:dyDescent="0.25">
      <c r="B38" s="13" t="s">
        <v>115</v>
      </c>
      <c r="C38" s="31">
        <f>AVERAGE(C36:C37)</f>
        <v>21506.271826127951</v>
      </c>
    </row>
    <row r="39" spans="2:17" x14ac:dyDescent="0.25">
      <c r="C39" s="2"/>
    </row>
    <row r="40" spans="2:17" x14ac:dyDescent="0.25">
      <c r="B40" s="27" t="s">
        <v>96</v>
      </c>
      <c r="C40" s="32">
        <f>C38/N14</f>
        <v>157.37064119806786</v>
      </c>
      <c r="F40" s="119"/>
    </row>
    <row r="42" spans="2:17" x14ac:dyDescent="0.25">
      <c r="B42" s="47" t="s">
        <v>119</v>
      </c>
      <c r="C42" s="48"/>
      <c r="D42" s="48"/>
      <c r="E42" s="48"/>
      <c r="F42" s="48"/>
      <c r="G42" s="48"/>
      <c r="H42" s="48"/>
      <c r="I42" s="49"/>
    </row>
    <row r="43" spans="2:17" x14ac:dyDescent="0.25">
      <c r="B43" s="4"/>
      <c r="C43" s="90"/>
      <c r="D43" s="91" t="s">
        <v>120</v>
      </c>
      <c r="E43" s="92"/>
      <c r="F43" s="92"/>
      <c r="G43" s="92"/>
      <c r="H43" s="92"/>
      <c r="I43" s="33"/>
    </row>
    <row r="44" spans="2:17" x14ac:dyDescent="0.25">
      <c r="B44" s="4"/>
      <c r="C44" s="86">
        <f>C40</f>
        <v>157.37064119806786</v>
      </c>
      <c r="D44" s="72">
        <f>E44-0.5%</f>
        <v>9.9999999999999985E-3</v>
      </c>
      <c r="E44" s="73">
        <f>F44-0.5%</f>
        <v>1.4999999999999999E-2</v>
      </c>
      <c r="F44" s="88">
        <v>0.02</v>
      </c>
      <c r="G44" s="73">
        <f>F44+0.5%</f>
        <v>2.5000000000000001E-2</v>
      </c>
      <c r="H44" s="74">
        <f>G44+0.5%</f>
        <v>3.0000000000000002E-2</v>
      </c>
      <c r="I44" s="33"/>
    </row>
    <row r="45" spans="2:17" x14ac:dyDescent="0.25">
      <c r="B45" s="4"/>
      <c r="C45" s="75">
        <f>C46-1%</f>
        <v>4.3799999999999992E-2</v>
      </c>
      <c r="D45" s="81">
        <f t="dataTable" ref="D45:H49" dt2D="1" dtr="1" r1="N13" r2="N11"/>
        <v>198.83393081721317</v>
      </c>
      <c r="E45" s="82">
        <v>221.2420669608214</v>
      </c>
      <c r="F45" s="82">
        <v>253.06538635804654</v>
      </c>
      <c r="G45" s="82">
        <v>301.81600330698717</v>
      </c>
      <c r="H45" s="83">
        <v>385.89315427689939</v>
      </c>
      <c r="I45" s="33"/>
    </row>
    <row r="46" spans="2:17" x14ac:dyDescent="0.25">
      <c r="B46" s="4"/>
      <c r="C46" s="75">
        <f>C47-1%</f>
        <v>5.3799999999999994E-2</v>
      </c>
      <c r="D46" s="84">
        <v>163.2147284406195</v>
      </c>
      <c r="E46" s="76">
        <v>175.56980609851632</v>
      </c>
      <c r="F46" s="76">
        <v>191.58023217590923</v>
      </c>
      <c r="G46" s="76">
        <v>213.14983397461918</v>
      </c>
      <c r="H46" s="77">
        <v>243.78229367194672</v>
      </c>
      <c r="I46" s="33"/>
    </row>
    <row r="47" spans="2:17" x14ac:dyDescent="0.25">
      <c r="B47" s="93" t="s">
        <v>97</v>
      </c>
      <c r="C47" s="87">
        <v>6.3799999999999996E-2</v>
      </c>
      <c r="D47" s="84">
        <v>140.19561452686739</v>
      </c>
      <c r="E47" s="76">
        <v>147.89652458171818</v>
      </c>
      <c r="F47" s="89">
        <v>157.35563327922898</v>
      </c>
      <c r="G47" s="76">
        <v>169.25265658950028</v>
      </c>
      <c r="H47" s="77">
        <v>184.66950928150868</v>
      </c>
      <c r="I47" s="33"/>
    </row>
    <row r="48" spans="2:17" x14ac:dyDescent="0.25">
      <c r="B48" s="4"/>
      <c r="C48" s="75">
        <f>C47+1%</f>
        <v>7.3799999999999991E-2</v>
      </c>
      <c r="D48" s="84">
        <v>123.89412824238994</v>
      </c>
      <c r="E48" s="76">
        <v>129.08562383017059</v>
      </c>
      <c r="F48" s="76">
        <v>135.24208142311497</v>
      </c>
      <c r="G48" s="76">
        <v>142.66010819494136</v>
      </c>
      <c r="H48" s="77">
        <v>151.77174838499297</v>
      </c>
      <c r="I48" s="33"/>
    </row>
    <row r="49" spans="2:9" x14ac:dyDescent="0.25">
      <c r="B49" s="4"/>
      <c r="C49" s="78">
        <f>C48+1%</f>
        <v>8.3799999999999986E-2</v>
      </c>
      <c r="D49" s="85">
        <v>111.61311800905295</v>
      </c>
      <c r="E49" s="79">
        <v>115.3092094389638</v>
      </c>
      <c r="F49" s="79">
        <v>119.58462554440929</v>
      </c>
      <c r="G49" s="79">
        <v>124.58715323241351</v>
      </c>
      <c r="H49" s="80">
        <v>130.51951878064162</v>
      </c>
      <c r="I49" s="33"/>
    </row>
    <row r="50" spans="2:9" x14ac:dyDescent="0.25">
      <c r="B50" s="16"/>
      <c r="C50" s="24"/>
      <c r="D50" s="24"/>
      <c r="E50" s="24"/>
      <c r="F50" s="24"/>
      <c r="G50" s="24"/>
      <c r="H50" s="24"/>
      <c r="I50" s="26"/>
    </row>
  </sheetData>
  <mergeCells count="2">
    <mergeCell ref="C4:E4"/>
    <mergeCell ref="F4:J4"/>
  </mergeCells>
  <conditionalFormatting sqref="D45:H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scale="70" orientation="portrait" r:id="rId1"/>
  <colBreaks count="1" manualBreakCount="1">
    <brk id="11" max="51" man="1"/>
  </colBreaks>
  <ignoredErrors>
    <ignoredError sqref="C10:J1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385E-812B-423E-B313-4422BE89BB2C}">
  <dimension ref="B2:E19"/>
  <sheetViews>
    <sheetView showGridLines="0" zoomScaleNormal="100" workbookViewId="0">
      <selection activeCell="H13" sqref="H13"/>
    </sheetView>
  </sheetViews>
  <sheetFormatPr defaultRowHeight="15" x14ac:dyDescent="0.25"/>
  <cols>
    <col min="2" max="2" width="23.42578125" bestFit="1" customWidth="1"/>
  </cols>
  <sheetData>
    <row r="2" spans="2:5" x14ac:dyDescent="0.25">
      <c r="B2" s="116" t="s">
        <v>135</v>
      </c>
      <c r="C2" s="117"/>
      <c r="D2" s="117"/>
      <c r="E2" s="118"/>
    </row>
    <row r="3" spans="2:5" x14ac:dyDescent="0.25">
      <c r="B3" s="113"/>
      <c r="C3" s="114">
        <v>2019</v>
      </c>
      <c r="D3" s="114">
        <v>2020</v>
      </c>
      <c r="E3" s="115">
        <v>2021</v>
      </c>
    </row>
    <row r="4" spans="2:5" x14ac:dyDescent="0.25">
      <c r="B4" s="105" t="s">
        <v>124</v>
      </c>
      <c r="C4" s="106"/>
      <c r="D4" s="106"/>
      <c r="E4" s="107"/>
    </row>
    <row r="5" spans="2:5" x14ac:dyDescent="0.25">
      <c r="B5" s="108" t="s">
        <v>125</v>
      </c>
      <c r="C5" s="20">
        <f>+'Balance Sheet'!C10/'Balance Sheet'!C22</f>
        <v>1.2053150450064294</v>
      </c>
      <c r="D5" s="20">
        <f>+'Balance Sheet'!D10/'Balance Sheet'!D22</f>
        <v>1.1486068111455108</v>
      </c>
      <c r="E5" s="21">
        <f>+'Balance Sheet'!E10/'Balance Sheet'!E22</f>
        <v>1.1207804273768969</v>
      </c>
    </row>
    <row r="6" spans="2:5" x14ac:dyDescent="0.25">
      <c r="B6" s="4"/>
      <c r="C6" s="20"/>
      <c r="D6" s="20"/>
      <c r="E6" s="21"/>
    </row>
    <row r="7" spans="2:5" x14ac:dyDescent="0.25">
      <c r="B7" s="9" t="s">
        <v>126</v>
      </c>
      <c r="C7" s="20"/>
      <c r="D7" s="20"/>
      <c r="E7" s="21"/>
    </row>
    <row r="8" spans="2:5" x14ac:dyDescent="0.25">
      <c r="B8" s="108" t="s">
        <v>127</v>
      </c>
      <c r="C8" s="20">
        <f>+'Balance Sheet'!C27/'Balance Sheet'!C41</f>
        <v>1.7412935323383085</v>
      </c>
      <c r="D8" s="20">
        <f>+'Balance Sheet'!D27/'Balance Sheet'!D41</f>
        <v>2.2319814001549987</v>
      </c>
      <c r="E8" s="21">
        <f>+'Balance Sheet'!E27/'Balance Sheet'!E41</f>
        <v>2.0527163904235728</v>
      </c>
    </row>
    <row r="9" spans="2:5" x14ac:dyDescent="0.25">
      <c r="B9" s="108" t="s">
        <v>128</v>
      </c>
      <c r="C9" s="20">
        <f>+'Balance Sheet'!C27/'Balance Sheet'!C16</f>
        <v>0.63520871143375679</v>
      </c>
      <c r="D9" s="20">
        <f>+'Balance Sheet'!D27/'Balance Sheet'!D16</f>
        <v>0.69059227879466067</v>
      </c>
      <c r="E9" s="21">
        <f>+'Balance Sheet'!E27/'Balance Sheet'!E16</f>
        <v>0.67242289420104062</v>
      </c>
    </row>
    <row r="10" spans="2:5" x14ac:dyDescent="0.25">
      <c r="B10" s="108" t="s">
        <v>129</v>
      </c>
      <c r="C10" s="20">
        <f>-'Income Statement'!C16/'Income Statement'!C17</f>
        <v>4.4183673469387754</v>
      </c>
      <c r="D10" s="20">
        <f>-'Income Statement'!D16/'Income Statement'!D17</f>
        <v>5.1381578947368425</v>
      </c>
      <c r="E10" s="21">
        <f>-'Income Statement'!E16/'Income Statement'!E17</f>
        <v>4.6490384615384617</v>
      </c>
    </row>
    <row r="11" spans="2:5" x14ac:dyDescent="0.25">
      <c r="B11" s="4"/>
      <c r="C11" s="20"/>
      <c r="D11" s="20"/>
      <c r="E11" s="21"/>
    </row>
    <row r="12" spans="2:5" x14ac:dyDescent="0.25">
      <c r="B12" s="9" t="s">
        <v>130</v>
      </c>
      <c r="C12" s="20"/>
      <c r="D12" s="20"/>
      <c r="E12" s="21"/>
    </row>
    <row r="13" spans="2:5" x14ac:dyDescent="0.25">
      <c r="B13" s="108" t="s">
        <v>131</v>
      </c>
      <c r="C13" s="34">
        <f>+('Income Statement'!C5-'Income Statement'!C6)/'Income Statement'!C5</f>
        <v>0.13953488372093023</v>
      </c>
      <c r="D13" s="34">
        <f>+('Income Statement'!D5-'Income Statement'!D6)/'Income Statement'!D5</f>
        <v>0.14125396438155649</v>
      </c>
      <c r="E13" s="109">
        <f>+('Income Statement'!E5-'Income Statement'!E6)/'Income Statement'!E5</f>
        <v>0.14661134163208853</v>
      </c>
    </row>
    <row r="14" spans="2:5" x14ac:dyDescent="0.25">
      <c r="B14" s="108" t="s">
        <v>132</v>
      </c>
      <c r="C14" s="34">
        <f>+'Income Statement'!C20/'Income Statement'!C5</f>
        <v>6.0122588786731566E-2</v>
      </c>
      <c r="D14" s="34">
        <f>+'Income Statement'!D20/'Income Statement'!D5</f>
        <v>5.1069366512157439E-2</v>
      </c>
      <c r="E14" s="109">
        <f>+'Income Statement'!E20/'Income Statement'!E5</f>
        <v>5.4815461891242631E-2</v>
      </c>
    </row>
    <row r="15" spans="2:5" x14ac:dyDescent="0.25">
      <c r="B15" s="108" t="s">
        <v>134</v>
      </c>
      <c r="C15" s="34">
        <f>+'Income Statement'!C20/'Balance Sheet'!C16</f>
        <v>7.1207430340557279E-2</v>
      </c>
      <c r="D15" s="34">
        <f>+'Income Statement'!D20/'Balance Sheet'!D16</f>
        <v>5.019582767164895E-2</v>
      </c>
      <c r="E15" s="109">
        <f>+'Income Statement'!E20/'Balance Sheet'!E16</f>
        <v>5.6783048035593094E-2</v>
      </c>
    </row>
    <row r="16" spans="2:5" x14ac:dyDescent="0.25">
      <c r="B16" s="110" t="s">
        <v>133</v>
      </c>
      <c r="C16" s="111">
        <f>'Income Statement'!C20/'Balance Sheet'!C41</f>
        <v>0.1952004682470003</v>
      </c>
      <c r="D16" s="111">
        <f>'Income Statement'!D20/'Balance Sheet'!D41</f>
        <v>0.16223198140015499</v>
      </c>
      <c r="E16" s="112">
        <f>'Income Statement'!E20/'Balance Sheet'!E41</f>
        <v>0.17334254143646408</v>
      </c>
    </row>
    <row r="17" spans="2:2" x14ac:dyDescent="0.25">
      <c r="B17" s="104"/>
    </row>
    <row r="18" spans="2:2" x14ac:dyDescent="0.25">
      <c r="B18" s="104"/>
    </row>
    <row r="19" spans="2:2" x14ac:dyDescent="0.25">
      <c r="B19" s="10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Income Statement</vt:lpstr>
      <vt:lpstr>Balance Sheet</vt:lpstr>
      <vt:lpstr>Valuation</vt:lpstr>
      <vt:lpstr>Ratio Analysis</vt:lpstr>
      <vt:lpstr>'Balance Sheet'!Print_Area</vt:lpstr>
      <vt:lpstr>'Income Statement'!Print_Area</vt:lpstr>
      <vt:lpstr>'Ratio Analysis'!Print_Area</vt:lpstr>
      <vt:lpstr>Valuation!Print_Area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Thevar</dc:creator>
  <cp:lastModifiedBy>Varun Thevar</cp:lastModifiedBy>
  <dcterms:created xsi:type="dcterms:W3CDTF">2022-05-26T15:11:51Z</dcterms:created>
  <dcterms:modified xsi:type="dcterms:W3CDTF">2022-05-28T01:22:14Z</dcterms:modified>
</cp:coreProperties>
</file>