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in\Desktop\Dilmi\"/>
    </mc:Choice>
  </mc:AlternateContent>
  <xr:revisionPtr revIDLastSave="0" documentId="13_ncr:1_{F8B543C5-17EC-4862-BBA4-4F73E0920D76}" xr6:coauthVersionLast="47" xr6:coauthVersionMax="47" xr10:uidLastSave="{00000000-0000-0000-0000-000000000000}"/>
  <bookViews>
    <workbookView xWindow="-120" yWindow="-120" windowWidth="20730" windowHeight="11160" xr2:uid="{B14FF927-DD64-4790-A410-A25CD9F92771}"/>
  </bookViews>
  <sheets>
    <sheet name="Data" sheetId="1" r:id="rId1"/>
    <sheet name="INCST" sheetId="2" r:id="rId2"/>
    <sheet name="SF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10" i="2"/>
  <c r="C5" i="2"/>
  <c r="C4" i="2"/>
  <c r="C26" i="3"/>
  <c r="C25" i="3"/>
  <c r="D26" i="3" s="1"/>
  <c r="D22" i="3"/>
  <c r="C18" i="3"/>
  <c r="C12" i="3"/>
  <c r="B10" i="3"/>
  <c r="B11" i="3"/>
  <c r="C11" i="3" s="1"/>
  <c r="C9" i="3"/>
  <c r="D12" i="3" s="1"/>
  <c r="C6" i="3"/>
  <c r="C7" i="3" s="1"/>
  <c r="B6" i="3"/>
  <c r="D6" i="3" s="1"/>
  <c r="B5" i="3"/>
  <c r="C9" i="2"/>
  <c r="B21" i="2"/>
  <c r="C22" i="2" s="1"/>
  <c r="B18" i="2"/>
  <c r="C19" i="2" s="1"/>
  <c r="B15" i="2"/>
  <c r="B14" i="2"/>
  <c r="B13" i="2"/>
  <c r="B12" i="2"/>
  <c r="C16" i="2" s="1"/>
  <c r="C23" i="2"/>
  <c r="C19" i="3" s="1"/>
  <c r="B7" i="3" l="1"/>
  <c r="D5" i="3"/>
  <c r="D7" i="3" s="1"/>
  <c r="D14" i="3" s="1"/>
  <c r="D20" i="3"/>
  <c r="D28" i="3" s="1"/>
</calcChain>
</file>

<file path=xl/sharedStrings.xml><?xml version="1.0" encoding="utf-8"?>
<sst xmlns="http://schemas.openxmlformats.org/spreadsheetml/2006/main" count="107" uniqueCount="61">
  <si>
    <t>particular</t>
  </si>
  <si>
    <t>value</t>
  </si>
  <si>
    <t>code</t>
  </si>
  <si>
    <t>salary</t>
  </si>
  <si>
    <t>Land</t>
  </si>
  <si>
    <t>Furniture</t>
  </si>
  <si>
    <t>Inventory</t>
  </si>
  <si>
    <t>Non Current Assets</t>
  </si>
  <si>
    <t>Current Assets</t>
  </si>
  <si>
    <t>Debtor</t>
  </si>
  <si>
    <t>Total  Assets</t>
  </si>
  <si>
    <t>Equity &amp; Liability</t>
  </si>
  <si>
    <t>Capital</t>
  </si>
  <si>
    <t>Non Current Liability</t>
  </si>
  <si>
    <t>Bank Loan</t>
  </si>
  <si>
    <t>Current  Liability</t>
  </si>
  <si>
    <t>Creditors</t>
  </si>
  <si>
    <t>Bill Payable</t>
  </si>
  <si>
    <t>Cost</t>
  </si>
  <si>
    <t>Acc Depriciation</t>
  </si>
  <si>
    <t>Net value</t>
  </si>
  <si>
    <t>Salary</t>
  </si>
  <si>
    <t>Sales</t>
  </si>
  <si>
    <t>Cost of sales</t>
  </si>
  <si>
    <t>Intrest Income</t>
  </si>
  <si>
    <t>Elecricity</t>
  </si>
  <si>
    <t>Bank Interest</t>
  </si>
  <si>
    <t xml:space="preserve">cash in Hand </t>
  </si>
  <si>
    <t>Debtors</t>
  </si>
  <si>
    <t>Crediros</t>
  </si>
  <si>
    <t>Bill payable</t>
  </si>
  <si>
    <t>Furniture Depriciation</t>
  </si>
  <si>
    <t xml:space="preserve">Total Equity &amp; Liability </t>
  </si>
  <si>
    <t>Particular</t>
  </si>
  <si>
    <t>Value</t>
  </si>
  <si>
    <t>Code</t>
  </si>
  <si>
    <t>Income Statement</t>
  </si>
  <si>
    <r>
      <t>For the Month Ended 31</t>
    </r>
    <r>
      <rPr>
        <b/>
        <vertAlign val="superscript"/>
        <sz val="16"/>
        <rFont val="Calibri"/>
        <family val="2"/>
        <scheme val="minor"/>
      </rPr>
      <t>st</t>
    </r>
    <r>
      <rPr>
        <b/>
        <sz val="16"/>
        <rFont val="Calibri"/>
        <family val="2"/>
        <scheme val="minor"/>
      </rPr>
      <t xml:space="preserve"> May 2023</t>
    </r>
  </si>
  <si>
    <t>Add:- OtherIincome</t>
  </si>
  <si>
    <t>Less :- Cost of Sales</t>
  </si>
  <si>
    <t>Gross Profit</t>
  </si>
  <si>
    <t>Interest Income</t>
  </si>
  <si>
    <t>Less:-Administrative Expenses</t>
  </si>
  <si>
    <t>Furniture Depreciation</t>
  </si>
  <si>
    <t>Water Bill</t>
  </si>
  <si>
    <t>Selling and Distribution Expenses</t>
  </si>
  <si>
    <t>Bad Debt</t>
  </si>
  <si>
    <t>Financial Expenses</t>
  </si>
  <si>
    <t>Bank Charges</t>
  </si>
  <si>
    <t>Net Profit</t>
  </si>
  <si>
    <t>For the Month Ended 31st May 2023</t>
  </si>
  <si>
    <t xml:space="preserve">Net Profit </t>
  </si>
  <si>
    <t>Cash in Hand</t>
  </si>
  <si>
    <t>(-)Bad Debt</t>
  </si>
  <si>
    <t>Equity</t>
  </si>
  <si>
    <t>Inventory 31.03.2023</t>
  </si>
  <si>
    <t xml:space="preserve">Bad Debt </t>
  </si>
  <si>
    <t>CRISTY PLACE  PVT LTD</t>
  </si>
  <si>
    <t>Inventory 31.05.2023</t>
  </si>
  <si>
    <t>CHRISTY PLACE</t>
  </si>
  <si>
    <t xml:space="preserve">CHRISTY PLACE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</si>
</sst>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vertAlign val="superscript"/>
      <sz val="16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0" fontId="0" fillId="4" borderId="1" xfId="0" applyFill="1" applyBorder="1"/>
    <xf numFmtId="164" fontId="0" fillId="4" borderId="1" xfId="2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/>
    </xf>
    <xf numFmtId="164" fontId="0" fillId="5" borderId="7" xfId="2" applyNumberFormat="1" applyFont="1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164" fontId="0" fillId="5" borderId="1" xfId="2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4" fontId="1" fillId="5" borderId="1" xfId="2" applyNumberFormat="1" applyFont="1" applyFill="1" applyBorder="1" applyAlignment="1">
      <alignment horizontal="right" vertical="center"/>
    </xf>
    <xf numFmtId="164" fontId="1" fillId="5" borderId="1" xfId="2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0" fontId="0" fillId="6" borderId="1" xfId="0" applyFill="1" applyBorder="1"/>
    <xf numFmtId="164" fontId="0" fillId="6" borderId="1" xfId="2" applyNumberFormat="1" applyFont="1" applyFill="1" applyBorder="1"/>
    <xf numFmtId="0" fontId="4" fillId="7" borderId="1" xfId="0" applyFont="1" applyFill="1" applyBorder="1"/>
    <xf numFmtId="0" fontId="0" fillId="7" borderId="1" xfId="0" applyFill="1" applyBorder="1"/>
    <xf numFmtId="0" fontId="3" fillId="7" borderId="1" xfId="1" applyFont="1" applyFill="1" applyBorder="1"/>
    <xf numFmtId="0" fontId="12" fillId="8" borderId="1" xfId="0" applyFont="1" applyFill="1" applyBorder="1"/>
    <xf numFmtId="0" fontId="12" fillId="9" borderId="1" xfId="0" applyFont="1" applyFill="1" applyBorder="1" applyAlignment="1">
      <alignment horizontal="left"/>
    </xf>
    <xf numFmtId="164" fontId="0" fillId="9" borderId="1" xfId="2" applyNumberFormat="1" applyFont="1" applyFill="1" applyBorder="1" applyAlignment="1">
      <alignment horizontal="right"/>
    </xf>
    <xf numFmtId="164" fontId="12" fillId="9" borderId="1" xfId="2" applyNumberFormat="1" applyFont="1" applyFill="1" applyBorder="1" applyAlignment="1">
      <alignment horizontal="right"/>
    </xf>
    <xf numFmtId="164" fontId="0" fillId="7" borderId="1" xfId="2" applyNumberFormat="1" applyFont="1" applyFill="1" applyBorder="1"/>
    <xf numFmtId="164" fontId="1" fillId="7" borderId="1" xfId="2" applyNumberFormat="1" applyFont="1" applyFill="1" applyBorder="1"/>
    <xf numFmtId="164" fontId="11" fillId="8" borderId="1" xfId="2" applyNumberFormat="1" applyFont="1" applyFill="1" applyBorder="1"/>
    <xf numFmtId="164" fontId="12" fillId="8" borderId="1" xfId="2" applyNumberFormat="1" applyFont="1" applyFill="1" applyBorder="1"/>
    <xf numFmtId="0" fontId="7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9" fillId="3" borderId="8" xfId="0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9" fillId="3" borderId="9" xfId="0" applyFont="1" applyFill="1" applyBorder="1" applyAlignment="1">
      <alignment horizontal="center" vertical="top"/>
    </xf>
    <xf numFmtId="0" fontId="9" fillId="3" borderId="0" xfId="0" applyFont="1" applyFill="1" applyBorder="1" applyAlignment="1">
      <alignment horizontal="center" vertical="top"/>
    </xf>
    <xf numFmtId="0" fontId="9" fillId="3" borderId="4" xfId="0" applyFont="1" applyFill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/>
    </xf>
    <xf numFmtId="0" fontId="9" fillId="3" borderId="6" xfId="0" applyFont="1" applyFill="1" applyBorder="1" applyAlignment="1">
      <alignment horizontal="center" vertical="top"/>
    </xf>
    <xf numFmtId="0" fontId="8" fillId="11" borderId="8" xfId="0" applyFont="1" applyFill="1" applyBorder="1" applyAlignment="1">
      <alignment horizontal="center" vertical="top"/>
    </xf>
    <xf numFmtId="0" fontId="8" fillId="11" borderId="2" xfId="0" applyFont="1" applyFill="1" applyBorder="1" applyAlignment="1">
      <alignment horizontal="center" vertical="top"/>
    </xf>
    <xf numFmtId="0" fontId="8" fillId="11" borderId="3" xfId="0" applyFont="1" applyFill="1" applyBorder="1" applyAlignment="1">
      <alignment horizontal="center" vertical="top"/>
    </xf>
    <xf numFmtId="0" fontId="8" fillId="11" borderId="9" xfId="0" applyFont="1" applyFill="1" applyBorder="1" applyAlignment="1">
      <alignment horizontal="center" vertical="top"/>
    </xf>
    <xf numFmtId="0" fontId="8" fillId="11" borderId="0" xfId="0" applyFont="1" applyFill="1" applyBorder="1" applyAlignment="1">
      <alignment horizontal="center" vertical="top"/>
    </xf>
    <xf numFmtId="0" fontId="8" fillId="11" borderId="4" xfId="0" applyFont="1" applyFill="1" applyBorder="1" applyAlignment="1">
      <alignment horizontal="center" vertical="top"/>
    </xf>
    <xf numFmtId="0" fontId="8" fillId="11" borderId="10" xfId="0" applyNumberFormat="1" applyFont="1" applyFill="1" applyBorder="1" applyAlignment="1">
      <alignment horizontal="center" vertical="top"/>
    </xf>
    <xf numFmtId="0" fontId="8" fillId="11" borderId="5" xfId="0" applyNumberFormat="1" applyFont="1" applyFill="1" applyBorder="1" applyAlignment="1">
      <alignment horizontal="center" vertical="top"/>
    </xf>
    <xf numFmtId="0" fontId="8" fillId="11" borderId="6" xfId="0" applyNumberFormat="1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66"/>
      <color rgb="FFCCFF99"/>
      <color rgb="FFFFFFCC"/>
      <color rgb="FFFFCC99"/>
      <color rgb="FFFFFFFF"/>
      <color rgb="FFFFFF99"/>
      <color rgb="FFCCFFFF"/>
      <color rgb="FFFFCCFF"/>
      <color rgb="FFCC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ventory@%20%2031.03.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1488-E3F0-44A9-9E50-2E56ED2B09DA}">
  <dimension ref="A1:C21"/>
  <sheetViews>
    <sheetView tabSelected="1" workbookViewId="0">
      <selection sqref="A1:C1"/>
    </sheetView>
  </sheetViews>
  <sheetFormatPr defaultRowHeight="15" x14ac:dyDescent="0.25"/>
  <cols>
    <col min="1" max="1" width="23.85546875" customWidth="1"/>
    <col min="2" max="2" width="21.28515625" customWidth="1"/>
    <col min="3" max="3" width="18.7109375" customWidth="1"/>
  </cols>
  <sheetData>
    <row r="1" spans="1:3" ht="23.25" customHeight="1" x14ac:dyDescent="0.3">
      <c r="A1" s="27" t="s">
        <v>57</v>
      </c>
      <c r="B1" s="28"/>
      <c r="C1" s="28"/>
    </row>
    <row r="2" spans="1:3" x14ac:dyDescent="0.25">
      <c r="A2" s="26" t="s">
        <v>33</v>
      </c>
      <c r="B2" s="26" t="s">
        <v>34</v>
      </c>
      <c r="C2" s="26" t="s">
        <v>35</v>
      </c>
    </row>
    <row r="3" spans="1:3" x14ac:dyDescent="0.25">
      <c r="A3" s="13" t="s">
        <v>4</v>
      </c>
      <c r="B3" s="14">
        <v>1200000</v>
      </c>
      <c r="C3" s="13">
        <v>1500</v>
      </c>
    </row>
    <row r="4" spans="1:3" x14ac:dyDescent="0.25">
      <c r="A4" s="13" t="s">
        <v>5</v>
      </c>
      <c r="B4" s="14">
        <v>800000</v>
      </c>
      <c r="C4" s="13">
        <v>1600</v>
      </c>
    </row>
    <row r="5" spans="1:3" x14ac:dyDescent="0.25">
      <c r="A5" s="13" t="s">
        <v>23</v>
      </c>
      <c r="B5" s="14">
        <v>1890100</v>
      </c>
      <c r="C5" s="13">
        <v>1900</v>
      </c>
    </row>
    <row r="6" spans="1:3" x14ac:dyDescent="0.25">
      <c r="A6" s="13" t="s">
        <v>22</v>
      </c>
      <c r="B6" s="14">
        <v>2354100</v>
      </c>
      <c r="C6" s="13">
        <v>2200</v>
      </c>
    </row>
    <row r="7" spans="1:3" x14ac:dyDescent="0.25">
      <c r="A7" s="13" t="s">
        <v>24</v>
      </c>
      <c r="B7" s="14">
        <v>3500</v>
      </c>
      <c r="C7" s="13">
        <v>2500</v>
      </c>
    </row>
    <row r="8" spans="1:3" x14ac:dyDescent="0.25">
      <c r="A8" s="13" t="s">
        <v>3</v>
      </c>
      <c r="B8" s="14">
        <v>36000</v>
      </c>
      <c r="C8" s="13">
        <v>2700</v>
      </c>
    </row>
    <row r="9" spans="1:3" x14ac:dyDescent="0.25">
      <c r="A9" s="13" t="s">
        <v>31</v>
      </c>
      <c r="B9" s="14">
        <v>40000</v>
      </c>
      <c r="C9" s="13">
        <v>2800</v>
      </c>
    </row>
    <row r="10" spans="1:3" x14ac:dyDescent="0.25">
      <c r="A10" s="13" t="s">
        <v>25</v>
      </c>
      <c r="B10" s="14">
        <v>6500</v>
      </c>
      <c r="C10" s="13">
        <v>3100</v>
      </c>
    </row>
    <row r="11" spans="1:3" x14ac:dyDescent="0.25">
      <c r="A11" s="13" t="s">
        <v>44</v>
      </c>
      <c r="B11" s="14">
        <v>3000</v>
      </c>
      <c r="C11" s="13">
        <v>3400</v>
      </c>
    </row>
    <row r="12" spans="1:3" x14ac:dyDescent="0.25">
      <c r="A12" s="13" t="s">
        <v>56</v>
      </c>
      <c r="B12" s="14">
        <v>5000</v>
      </c>
      <c r="C12" s="13">
        <v>3600</v>
      </c>
    </row>
    <row r="13" spans="1:3" x14ac:dyDescent="0.25">
      <c r="A13" s="13" t="s">
        <v>26</v>
      </c>
      <c r="B13" s="14">
        <v>17000</v>
      </c>
      <c r="C13" s="13">
        <v>3800</v>
      </c>
    </row>
    <row r="14" spans="1:3" x14ac:dyDescent="0.25">
      <c r="A14" s="13" t="s">
        <v>55</v>
      </c>
      <c r="B14" s="14">
        <v>750000</v>
      </c>
      <c r="C14" s="13">
        <v>4200</v>
      </c>
    </row>
    <row r="15" spans="1:3" x14ac:dyDescent="0.25">
      <c r="A15" s="13" t="s">
        <v>28</v>
      </c>
      <c r="B15" s="14">
        <v>25000</v>
      </c>
      <c r="C15" s="13">
        <v>4500</v>
      </c>
    </row>
    <row r="16" spans="1:3" x14ac:dyDescent="0.25">
      <c r="A16" s="13" t="s">
        <v>27</v>
      </c>
      <c r="B16" s="14">
        <v>66000</v>
      </c>
      <c r="C16" s="13">
        <v>4700</v>
      </c>
    </row>
    <row r="17" spans="1:3" x14ac:dyDescent="0.25">
      <c r="A17" s="13" t="s">
        <v>12</v>
      </c>
      <c r="B17" s="14">
        <v>676000</v>
      </c>
      <c r="C17" s="13">
        <v>5000</v>
      </c>
    </row>
    <row r="18" spans="1:3" x14ac:dyDescent="0.25">
      <c r="A18" s="13" t="s">
        <v>14</v>
      </c>
      <c r="B18" s="14">
        <v>1000000</v>
      </c>
      <c r="C18" s="13">
        <v>5300</v>
      </c>
    </row>
    <row r="19" spans="1:3" x14ac:dyDescent="0.25">
      <c r="A19" s="13" t="s">
        <v>29</v>
      </c>
      <c r="B19" s="14">
        <v>735000</v>
      </c>
      <c r="C19" s="13">
        <v>5700</v>
      </c>
    </row>
    <row r="20" spans="1:3" x14ac:dyDescent="0.25">
      <c r="A20" s="13" t="s">
        <v>30</v>
      </c>
      <c r="B20" s="14">
        <v>25000</v>
      </c>
      <c r="C20" s="13">
        <v>6200</v>
      </c>
    </row>
    <row r="21" spans="1:3" x14ac:dyDescent="0.25">
      <c r="A21" s="13"/>
      <c r="B21" s="13"/>
      <c r="C21" s="13"/>
    </row>
  </sheetData>
  <sortState xmlns:xlrd2="http://schemas.microsoft.com/office/spreadsheetml/2017/richdata2" ref="A3:C21">
    <sortCondition ref="C3:C21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D342-A7C5-457A-92ED-1F22DB8949DF}">
  <dimension ref="A1:G24"/>
  <sheetViews>
    <sheetView workbookViewId="0">
      <selection activeCell="D1" sqref="D1"/>
    </sheetView>
  </sheetViews>
  <sheetFormatPr defaultRowHeight="15" x14ac:dyDescent="0.25"/>
  <cols>
    <col min="1" max="1" width="36.42578125" customWidth="1"/>
    <col min="2" max="2" width="14.140625" customWidth="1"/>
    <col min="3" max="3" width="14.28515625" customWidth="1"/>
    <col min="5" max="5" width="21.28515625" customWidth="1"/>
    <col min="6" max="6" width="16.28515625" customWidth="1"/>
    <col min="7" max="7" width="15.28515625" customWidth="1"/>
  </cols>
  <sheetData>
    <row r="1" spans="1:7" ht="21" x14ac:dyDescent="0.25">
      <c r="A1" s="29" t="s">
        <v>60</v>
      </c>
      <c r="B1" s="30"/>
      <c r="C1" s="31"/>
    </row>
    <row r="2" spans="1:7" ht="21" x14ac:dyDescent="0.25">
      <c r="A2" s="32" t="s">
        <v>36</v>
      </c>
      <c r="B2" s="33"/>
      <c r="C2" s="34"/>
    </row>
    <row r="3" spans="1:7" ht="23.25" x14ac:dyDescent="0.25">
      <c r="A3" s="35" t="s">
        <v>37</v>
      </c>
      <c r="B3" s="36"/>
      <c r="C3" s="37"/>
      <c r="E3" s="4" t="s">
        <v>33</v>
      </c>
      <c r="F3" s="4" t="s">
        <v>34</v>
      </c>
      <c r="G3" s="4" t="s">
        <v>35</v>
      </c>
    </row>
    <row r="4" spans="1:7" x14ac:dyDescent="0.25">
      <c r="A4" s="5" t="s">
        <v>22</v>
      </c>
      <c r="B4" s="6"/>
      <c r="C4" s="6">
        <f>LOOKUP(2200,Data!$C$3:$C$20,Data!$B$3:$B$20)</f>
        <v>2354100</v>
      </c>
      <c r="E4" s="2" t="s">
        <v>4</v>
      </c>
      <c r="F4" s="3">
        <v>1200000</v>
      </c>
      <c r="G4" s="2">
        <v>1500</v>
      </c>
    </row>
    <row r="5" spans="1:7" x14ac:dyDescent="0.25">
      <c r="A5" s="7" t="s">
        <v>39</v>
      </c>
      <c r="B5" s="8"/>
      <c r="C5" s="8">
        <f>LOOKUP(1900,Data!$C$3:$C$20,Data!$B$3:$B$20)</f>
        <v>1890100</v>
      </c>
      <c r="E5" s="2" t="s">
        <v>5</v>
      </c>
      <c r="F5" s="3">
        <v>800000</v>
      </c>
      <c r="G5" s="2">
        <v>1600</v>
      </c>
    </row>
    <row r="6" spans="1:7" x14ac:dyDescent="0.25">
      <c r="A6" s="9" t="s">
        <v>40</v>
      </c>
      <c r="B6" s="8"/>
      <c r="C6" s="10">
        <f>C4-C5</f>
        <v>464000</v>
      </c>
      <c r="E6" s="2" t="s">
        <v>23</v>
      </c>
      <c r="F6" s="3">
        <v>1890100</v>
      </c>
      <c r="G6" s="2">
        <v>1900</v>
      </c>
    </row>
    <row r="7" spans="1:7" x14ac:dyDescent="0.25">
      <c r="A7" s="7"/>
      <c r="B7" s="8"/>
      <c r="C7" s="8"/>
      <c r="E7" s="2" t="s">
        <v>22</v>
      </c>
      <c r="F7" s="3">
        <v>2354100</v>
      </c>
      <c r="G7" s="2">
        <v>2200</v>
      </c>
    </row>
    <row r="8" spans="1:7" x14ac:dyDescent="0.25">
      <c r="A8" s="7" t="s">
        <v>38</v>
      </c>
      <c r="B8" s="8"/>
      <c r="C8" s="8"/>
      <c r="E8" s="2" t="s">
        <v>24</v>
      </c>
      <c r="F8" s="3">
        <v>3500</v>
      </c>
      <c r="G8" s="2">
        <v>2500</v>
      </c>
    </row>
    <row r="9" spans="1:7" x14ac:dyDescent="0.25">
      <c r="A9" s="7" t="s">
        <v>41</v>
      </c>
      <c r="B9" s="8"/>
      <c r="C9" s="8">
        <f>LOOKUP(2500,Data!$C$3:$C$20,Data!$B$3:$B$20)</f>
        <v>3500</v>
      </c>
      <c r="E9" s="2" t="s">
        <v>3</v>
      </c>
      <c r="F9" s="3">
        <v>36000</v>
      </c>
      <c r="G9" s="2">
        <v>2700</v>
      </c>
    </row>
    <row r="10" spans="1:7" x14ac:dyDescent="0.25">
      <c r="A10" s="7"/>
      <c r="B10" s="8"/>
      <c r="C10" s="11">
        <f>SUM(C6:C9)</f>
        <v>467500</v>
      </c>
      <c r="E10" s="2" t="s">
        <v>31</v>
      </c>
      <c r="F10" s="3">
        <v>40000</v>
      </c>
      <c r="G10" s="2">
        <v>2800</v>
      </c>
    </row>
    <row r="11" spans="1:7" x14ac:dyDescent="0.25">
      <c r="A11" s="12" t="s">
        <v>42</v>
      </c>
      <c r="B11" s="8"/>
      <c r="C11" s="8"/>
      <c r="E11" s="2" t="s">
        <v>25</v>
      </c>
      <c r="F11" s="3">
        <v>6500</v>
      </c>
      <c r="G11" s="2">
        <v>3100</v>
      </c>
    </row>
    <row r="12" spans="1:7" x14ac:dyDescent="0.25">
      <c r="A12" s="7" t="s">
        <v>21</v>
      </c>
      <c r="B12" s="8">
        <f>LOOKUP(2700,Data!$C$3:$C$20,Data!$B$3:$B$20)</f>
        <v>36000</v>
      </c>
      <c r="C12" s="8"/>
      <c r="E12" s="2" t="s">
        <v>44</v>
      </c>
      <c r="F12" s="3">
        <v>3000</v>
      </c>
      <c r="G12" s="2">
        <v>3400</v>
      </c>
    </row>
    <row r="13" spans="1:7" x14ac:dyDescent="0.25">
      <c r="A13" s="7" t="s">
        <v>43</v>
      </c>
      <c r="B13" s="8">
        <f>LOOKUP(2800,Data!$C$3:$C$20,Data!$B$3:$B$20)</f>
        <v>40000</v>
      </c>
      <c r="C13" s="8"/>
      <c r="E13" s="2" t="s">
        <v>56</v>
      </c>
      <c r="F13" s="3">
        <v>5000</v>
      </c>
      <c r="G13" s="2">
        <v>3600</v>
      </c>
    </row>
    <row r="14" spans="1:7" x14ac:dyDescent="0.25">
      <c r="A14" s="7" t="s">
        <v>25</v>
      </c>
      <c r="B14" s="8">
        <f>LOOKUP(3100,Data!$C$3:$C$20,Data!$B$3:$B$20)</f>
        <v>6500</v>
      </c>
      <c r="C14" s="8"/>
      <c r="E14" s="2" t="s">
        <v>26</v>
      </c>
      <c r="F14" s="3">
        <v>17000</v>
      </c>
      <c r="G14" s="2">
        <v>3800</v>
      </c>
    </row>
    <row r="15" spans="1:7" x14ac:dyDescent="0.25">
      <c r="A15" s="7" t="s">
        <v>44</v>
      </c>
      <c r="B15" s="8">
        <f>LOOKUP(3400,Data!$C$3:$C$20,Data!$B$3:$B$20)</f>
        <v>3000</v>
      </c>
      <c r="C15" s="8"/>
      <c r="E15" s="2" t="s">
        <v>58</v>
      </c>
      <c r="F15" s="3">
        <v>750000</v>
      </c>
      <c r="G15" s="2">
        <v>4200</v>
      </c>
    </row>
    <row r="16" spans="1:7" x14ac:dyDescent="0.25">
      <c r="A16" s="7"/>
      <c r="B16" s="8"/>
      <c r="C16" s="11">
        <f>SUM(B12:B16)</f>
        <v>85500</v>
      </c>
      <c r="E16" s="2" t="s">
        <v>28</v>
      </c>
      <c r="F16" s="3">
        <v>25000</v>
      </c>
      <c r="G16" s="2">
        <v>4500</v>
      </c>
    </row>
    <row r="17" spans="1:7" x14ac:dyDescent="0.25">
      <c r="A17" s="12" t="s">
        <v>45</v>
      </c>
      <c r="B17" s="8"/>
      <c r="C17" s="8"/>
      <c r="E17" s="2" t="s">
        <v>27</v>
      </c>
      <c r="F17" s="3">
        <v>66000</v>
      </c>
      <c r="G17" s="2">
        <v>4700</v>
      </c>
    </row>
    <row r="18" spans="1:7" x14ac:dyDescent="0.25">
      <c r="A18" s="7" t="s">
        <v>46</v>
      </c>
      <c r="B18" s="8">
        <f>LOOKUP(3600,Data!$C$3:$C$20,Data!$B$3:$B$20)</f>
        <v>5000</v>
      </c>
      <c r="C18" s="8"/>
      <c r="E18" s="2" t="s">
        <v>12</v>
      </c>
      <c r="F18" s="3">
        <v>660000</v>
      </c>
      <c r="G18" s="2">
        <v>5000</v>
      </c>
    </row>
    <row r="19" spans="1:7" x14ac:dyDescent="0.25">
      <c r="A19" s="7"/>
      <c r="B19" s="8"/>
      <c r="C19" s="11">
        <f>SUM(B18:B19)</f>
        <v>5000</v>
      </c>
      <c r="E19" s="2" t="s">
        <v>14</v>
      </c>
      <c r="F19" s="3">
        <v>1000000</v>
      </c>
      <c r="G19" s="2">
        <v>5300</v>
      </c>
    </row>
    <row r="20" spans="1:7" x14ac:dyDescent="0.25">
      <c r="A20" s="12" t="s">
        <v>47</v>
      </c>
      <c r="B20" s="8"/>
      <c r="C20" s="8"/>
      <c r="E20" s="2" t="s">
        <v>29</v>
      </c>
      <c r="F20" s="3">
        <v>735000</v>
      </c>
      <c r="G20" s="2">
        <v>5700</v>
      </c>
    </row>
    <row r="21" spans="1:7" x14ac:dyDescent="0.25">
      <c r="A21" s="7" t="s">
        <v>48</v>
      </c>
      <c r="B21" s="8">
        <f>LOOKUP(3800,Data!$C$3:$C$20,Data!$B$3:$B$20)</f>
        <v>17000</v>
      </c>
      <c r="C21" s="8"/>
      <c r="E21" s="2" t="s">
        <v>30</v>
      </c>
      <c r="F21" s="3">
        <v>25000</v>
      </c>
      <c r="G21" s="2">
        <v>6200</v>
      </c>
    </row>
    <row r="22" spans="1:7" x14ac:dyDescent="0.25">
      <c r="A22" s="7"/>
      <c r="B22" s="8"/>
      <c r="C22" s="11">
        <f>SUM(B21:B22)</f>
        <v>17000</v>
      </c>
      <c r="E22" s="2"/>
      <c r="F22" s="2"/>
      <c r="G22" s="2"/>
    </row>
    <row r="23" spans="1:7" x14ac:dyDescent="0.25">
      <c r="A23" s="19" t="s">
        <v>49</v>
      </c>
      <c r="B23" s="20"/>
      <c r="C23" s="21">
        <f>C10-(C16+C19+C22)</f>
        <v>360000</v>
      </c>
    </row>
    <row r="24" spans="1:7" x14ac:dyDescent="0.25">
      <c r="B24" s="1"/>
      <c r="C24" s="1"/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A403-7CFB-4C63-B921-32D7EDFE5A71}">
  <dimension ref="A1:I29"/>
  <sheetViews>
    <sheetView workbookViewId="0">
      <selection activeCell="L5" sqref="L5"/>
    </sheetView>
  </sheetViews>
  <sheetFormatPr defaultRowHeight="15" x14ac:dyDescent="0.25"/>
  <cols>
    <col min="1" max="1" width="27.140625" customWidth="1"/>
    <col min="2" max="2" width="14.85546875" customWidth="1"/>
    <col min="3" max="3" width="17" customWidth="1"/>
    <col min="4" max="4" width="18" customWidth="1"/>
    <col min="7" max="7" width="21.5703125" customWidth="1"/>
    <col min="8" max="8" width="16.85546875" customWidth="1"/>
    <col min="9" max="9" width="15.42578125" customWidth="1"/>
  </cols>
  <sheetData>
    <row r="1" spans="1:9" ht="21" x14ac:dyDescent="0.25">
      <c r="A1" s="38" t="s">
        <v>59</v>
      </c>
      <c r="B1" s="39"/>
      <c r="C1" s="39"/>
      <c r="D1" s="40"/>
    </row>
    <row r="2" spans="1:9" ht="21" x14ac:dyDescent="0.25">
      <c r="A2" s="41" t="s">
        <v>36</v>
      </c>
      <c r="B2" s="42"/>
      <c r="C2" s="42"/>
      <c r="D2" s="43"/>
    </row>
    <row r="3" spans="1:9" ht="18.75" customHeight="1" x14ac:dyDescent="0.25">
      <c r="A3" s="44" t="s">
        <v>50</v>
      </c>
      <c r="B3" s="45"/>
      <c r="C3" s="45"/>
      <c r="D3" s="46"/>
    </row>
    <row r="4" spans="1:9" ht="17.25" customHeight="1" x14ac:dyDescent="0.25">
      <c r="A4" s="15" t="s">
        <v>7</v>
      </c>
      <c r="B4" s="47" t="s">
        <v>18</v>
      </c>
      <c r="C4" s="47" t="s">
        <v>19</v>
      </c>
      <c r="D4" s="47" t="s">
        <v>20</v>
      </c>
      <c r="G4" s="4" t="s">
        <v>0</v>
      </c>
      <c r="H4" s="4" t="s">
        <v>1</v>
      </c>
      <c r="I4" s="4" t="s">
        <v>2</v>
      </c>
    </row>
    <row r="5" spans="1:9" x14ac:dyDescent="0.25">
      <c r="A5" s="16" t="s">
        <v>4</v>
      </c>
      <c r="B5" s="22">
        <f>LOOKUP(1500,Data!$C$3:$C$20,Data!$B$3:$B$20)</f>
        <v>1200000</v>
      </c>
      <c r="C5" s="22"/>
      <c r="D5" s="22">
        <f>B5-C5</f>
        <v>1200000</v>
      </c>
      <c r="G5" s="2" t="s">
        <v>4</v>
      </c>
      <c r="H5" s="3">
        <v>1200000</v>
      </c>
      <c r="I5" s="2">
        <v>1500</v>
      </c>
    </row>
    <row r="6" spans="1:9" x14ac:dyDescent="0.25">
      <c r="A6" s="16" t="s">
        <v>5</v>
      </c>
      <c r="B6" s="22">
        <f>LOOKUP(1600,Data!$C$3:$C$20,Data!$B$3:$B$20)</f>
        <v>800000</v>
      </c>
      <c r="C6" s="22">
        <f>LOOKUP(2800,Data!$C$3:$C$20,Data!$B$3:$B$20)</f>
        <v>40000</v>
      </c>
      <c r="D6" s="22">
        <f>B6-C6</f>
        <v>760000</v>
      </c>
      <c r="G6" s="2" t="s">
        <v>5</v>
      </c>
      <c r="H6" s="3">
        <v>800000</v>
      </c>
      <c r="I6" s="2">
        <v>1600</v>
      </c>
    </row>
    <row r="7" spans="1:9" x14ac:dyDescent="0.25">
      <c r="A7" s="16"/>
      <c r="B7" s="23">
        <f>SUM(B5:B6)</f>
        <v>2000000</v>
      </c>
      <c r="C7" s="23">
        <f t="shared" ref="C7:D7" si="0">SUM(C5:C6)</f>
        <v>40000</v>
      </c>
      <c r="D7" s="23">
        <f t="shared" si="0"/>
        <v>1960000</v>
      </c>
      <c r="G7" s="2" t="s">
        <v>23</v>
      </c>
      <c r="H7" s="3">
        <v>1890100</v>
      </c>
      <c r="I7" s="2">
        <v>1900</v>
      </c>
    </row>
    <row r="8" spans="1:9" x14ac:dyDescent="0.25">
      <c r="A8" s="15" t="s">
        <v>8</v>
      </c>
      <c r="B8" s="22"/>
      <c r="C8" s="22"/>
      <c r="D8" s="22"/>
      <c r="G8" s="2" t="s">
        <v>22</v>
      </c>
      <c r="H8" s="3">
        <v>2354100</v>
      </c>
      <c r="I8" s="2">
        <v>2200</v>
      </c>
    </row>
    <row r="9" spans="1:9" x14ac:dyDescent="0.25">
      <c r="A9" s="17" t="s">
        <v>6</v>
      </c>
      <c r="B9" s="22"/>
      <c r="C9" s="22">
        <f>LOOKUP(4200,Data!$C$3:$C$20,Data!$B$3:$B$20)</f>
        <v>750000</v>
      </c>
      <c r="D9" s="22"/>
      <c r="G9" s="2" t="s">
        <v>24</v>
      </c>
      <c r="H9" s="3">
        <v>3500</v>
      </c>
      <c r="I9" s="2">
        <v>2500</v>
      </c>
    </row>
    <row r="10" spans="1:9" x14ac:dyDescent="0.25">
      <c r="A10" s="16" t="s">
        <v>9</v>
      </c>
      <c r="B10" s="22">
        <f>LOOKUP(4500,Data!$C$3:$C$20,Data!$B$3:$B$20)</f>
        <v>25000</v>
      </c>
      <c r="C10" s="22"/>
      <c r="D10" s="22"/>
      <c r="G10" s="2" t="s">
        <v>3</v>
      </c>
      <c r="H10" s="3">
        <v>36000</v>
      </c>
      <c r="I10" s="2">
        <v>2700</v>
      </c>
    </row>
    <row r="11" spans="1:9" x14ac:dyDescent="0.25">
      <c r="A11" s="16" t="s">
        <v>53</v>
      </c>
      <c r="B11" s="22">
        <f>LOOKUP(3600,Data!$C$3:$C$20,Data!$B$3:$B$20)</f>
        <v>5000</v>
      </c>
      <c r="C11" s="22">
        <f>B10-B11</f>
        <v>20000</v>
      </c>
      <c r="D11" s="22"/>
      <c r="G11" s="2"/>
      <c r="H11" s="3"/>
      <c r="I11" s="2"/>
    </row>
    <row r="12" spans="1:9" x14ac:dyDescent="0.25">
      <c r="A12" s="16" t="s">
        <v>52</v>
      </c>
      <c r="B12" s="22"/>
      <c r="C12" s="22">
        <f>LOOKUP(4700,Data!$C$3:$C$20,Data!$B$3:$B$20)</f>
        <v>66000</v>
      </c>
      <c r="D12" s="23">
        <f>SUM(C9:C12)</f>
        <v>836000</v>
      </c>
      <c r="G12" s="2" t="s">
        <v>31</v>
      </c>
      <c r="H12" s="3">
        <v>40000</v>
      </c>
      <c r="I12" s="2">
        <v>2800</v>
      </c>
    </row>
    <row r="13" spans="1:9" x14ac:dyDescent="0.25">
      <c r="A13" s="16"/>
      <c r="B13" s="22"/>
      <c r="C13" s="22"/>
      <c r="D13" s="22"/>
      <c r="G13" s="2" t="s">
        <v>25</v>
      </c>
      <c r="H13" s="3">
        <v>6500</v>
      </c>
      <c r="I13" s="2">
        <v>3100</v>
      </c>
    </row>
    <row r="14" spans="1:9" x14ac:dyDescent="0.25">
      <c r="A14" s="18" t="s">
        <v>10</v>
      </c>
      <c r="B14" s="24"/>
      <c r="C14" s="25"/>
      <c r="D14" s="25">
        <f>D7+D12</f>
        <v>2796000</v>
      </c>
      <c r="G14" s="2" t="s">
        <v>44</v>
      </c>
      <c r="H14" s="3">
        <v>3000</v>
      </c>
      <c r="I14" s="2">
        <v>3400</v>
      </c>
    </row>
    <row r="15" spans="1:9" x14ac:dyDescent="0.25">
      <c r="A15" s="16"/>
      <c r="B15" s="22"/>
      <c r="C15" s="22"/>
      <c r="D15" s="22"/>
      <c r="G15" s="2" t="s">
        <v>56</v>
      </c>
      <c r="H15" s="3">
        <v>5000</v>
      </c>
      <c r="I15" s="2">
        <v>3600</v>
      </c>
    </row>
    <row r="16" spans="1:9" x14ac:dyDescent="0.25">
      <c r="A16" s="15" t="s">
        <v>11</v>
      </c>
      <c r="B16" s="22"/>
      <c r="C16" s="22"/>
      <c r="D16" s="22"/>
      <c r="G16" s="2" t="s">
        <v>26</v>
      </c>
      <c r="H16" s="3">
        <v>17000</v>
      </c>
      <c r="I16" s="2">
        <v>3800</v>
      </c>
    </row>
    <row r="17" spans="1:9" x14ac:dyDescent="0.25">
      <c r="A17" s="15" t="s">
        <v>54</v>
      </c>
      <c r="B17" s="22"/>
      <c r="C17" s="22"/>
      <c r="D17" s="22"/>
      <c r="G17" s="2" t="s">
        <v>58</v>
      </c>
      <c r="H17" s="3">
        <v>750000</v>
      </c>
      <c r="I17" s="2">
        <v>4200</v>
      </c>
    </row>
    <row r="18" spans="1:9" x14ac:dyDescent="0.25">
      <c r="A18" s="16" t="s">
        <v>12</v>
      </c>
      <c r="B18" s="22"/>
      <c r="C18" s="22">
        <f>LOOKUP(5000,Data!$C$3:$C$20,Data!$B$3:$B$20)</f>
        <v>676000</v>
      </c>
      <c r="D18" s="22"/>
      <c r="G18" s="2" t="s">
        <v>28</v>
      </c>
      <c r="H18" s="3">
        <v>25000</v>
      </c>
      <c r="I18" s="2">
        <v>4500</v>
      </c>
    </row>
    <row r="19" spans="1:9" x14ac:dyDescent="0.25">
      <c r="A19" s="16" t="s">
        <v>51</v>
      </c>
      <c r="B19" s="22"/>
      <c r="C19" s="22">
        <f>INCST!C23</f>
        <v>360000</v>
      </c>
      <c r="D19" s="22"/>
      <c r="G19" s="2" t="s">
        <v>27</v>
      </c>
      <c r="H19" s="3">
        <v>66000</v>
      </c>
      <c r="I19" s="2">
        <v>4700</v>
      </c>
    </row>
    <row r="20" spans="1:9" x14ac:dyDescent="0.25">
      <c r="A20" s="16"/>
      <c r="B20" s="22"/>
      <c r="C20" s="22"/>
      <c r="D20" s="23">
        <f>SUM(C18:C20)</f>
        <v>1036000</v>
      </c>
      <c r="G20" s="2" t="s">
        <v>12</v>
      </c>
      <c r="H20" s="3">
        <v>660000</v>
      </c>
      <c r="I20" s="2">
        <v>5000</v>
      </c>
    </row>
    <row r="21" spans="1:9" x14ac:dyDescent="0.25">
      <c r="A21" s="15" t="s">
        <v>13</v>
      </c>
      <c r="B21" s="22"/>
      <c r="C21" s="22"/>
      <c r="D21" s="22"/>
      <c r="G21" s="2" t="s">
        <v>14</v>
      </c>
      <c r="H21" s="3">
        <v>1000000</v>
      </c>
      <c r="I21" s="2">
        <v>5300</v>
      </c>
    </row>
    <row r="22" spans="1:9" x14ac:dyDescent="0.25">
      <c r="A22" s="16" t="s">
        <v>14</v>
      </c>
      <c r="B22" s="22"/>
      <c r="C22" s="22"/>
      <c r="D22" s="22">
        <f>LOOKUP(5300,Data!$C$3:$C$20,Data!$B$3:$B$20)</f>
        <v>1000000</v>
      </c>
      <c r="G22" s="2" t="s">
        <v>29</v>
      </c>
      <c r="H22" s="3">
        <v>735000</v>
      </c>
      <c r="I22" s="2">
        <v>5700</v>
      </c>
    </row>
    <row r="23" spans="1:9" x14ac:dyDescent="0.25">
      <c r="A23" s="16"/>
      <c r="B23" s="22"/>
      <c r="C23" s="22"/>
      <c r="D23" s="22"/>
      <c r="G23" s="2" t="s">
        <v>30</v>
      </c>
      <c r="H23" s="3">
        <v>25000</v>
      </c>
      <c r="I23" s="2">
        <v>6200</v>
      </c>
    </row>
    <row r="24" spans="1:9" x14ac:dyDescent="0.25">
      <c r="A24" s="15" t="s">
        <v>15</v>
      </c>
      <c r="B24" s="22"/>
      <c r="C24" s="22"/>
      <c r="D24" s="22"/>
      <c r="G24" s="2"/>
      <c r="H24" s="2"/>
      <c r="I24" s="2"/>
    </row>
    <row r="25" spans="1:9" x14ac:dyDescent="0.25">
      <c r="A25" s="16" t="s">
        <v>16</v>
      </c>
      <c r="B25" s="22"/>
      <c r="C25" s="22">
        <f>LOOKUP(5700,Data!$C$3:$C$20,Data!$B$3:$B$20)</f>
        <v>735000</v>
      </c>
      <c r="D25" s="22"/>
    </row>
    <row r="26" spans="1:9" x14ac:dyDescent="0.25">
      <c r="A26" s="16" t="s">
        <v>17</v>
      </c>
      <c r="B26" s="22"/>
      <c r="C26" s="22">
        <f>LOOKUP(6200,Data!$C$3:$C$20,Data!$B$3:$B$20)</f>
        <v>25000</v>
      </c>
      <c r="D26" s="23">
        <f>SUM(C25:C26)</f>
        <v>760000</v>
      </c>
    </row>
    <row r="27" spans="1:9" x14ac:dyDescent="0.25">
      <c r="A27" s="16"/>
      <c r="B27" s="22"/>
      <c r="C27" s="22"/>
      <c r="D27" s="22"/>
    </row>
    <row r="28" spans="1:9" x14ac:dyDescent="0.25">
      <c r="A28" s="18" t="s">
        <v>32</v>
      </c>
      <c r="B28" s="24"/>
      <c r="C28" s="24"/>
      <c r="D28" s="25">
        <f>D20+D22+D26</f>
        <v>2796000</v>
      </c>
    </row>
    <row r="29" spans="1:9" x14ac:dyDescent="0.25">
      <c r="A29" s="16"/>
      <c r="B29" s="22"/>
      <c r="C29" s="22"/>
      <c r="D29" s="22"/>
    </row>
  </sheetData>
  <mergeCells count="3">
    <mergeCell ref="A1:D1"/>
    <mergeCell ref="A2:D2"/>
    <mergeCell ref="A3:D3"/>
  </mergeCells>
  <hyperlinks>
    <hyperlink ref="A9" r:id="rId1" display="Inventory@  31.03.2023" xr:uid="{1F203D65-CBCA-4359-857A-59815BAB83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INCST</vt:lpstr>
      <vt:lpstr>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nalin</dc:creator>
  <cp:lastModifiedBy>nalin</cp:lastModifiedBy>
  <dcterms:created xsi:type="dcterms:W3CDTF">2023-12-12T16:29:09Z</dcterms:created>
  <dcterms:modified xsi:type="dcterms:W3CDTF">2023-12-12T20:42:40Z</dcterms:modified>
</cp:coreProperties>
</file>