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30" yWindow="135" windowWidth="16215" windowHeight="10905" activeTab="2"/>
  </bookViews>
  <sheets>
    <sheet name="Description" sheetId="1" r:id="rId1"/>
    <sheet name="CB_DATA_" sheetId="5" state="hidden" r:id="rId2"/>
    <sheet name="Model" sheetId="2" r:id="rId3"/>
    <sheet name="Calcs" sheetId="3" state="hidden" r:id="rId4"/>
    <sheet name="Minitab results" sheetId="6" r:id="rId5"/>
  </sheets>
  <definedNames>
    <definedName name="CB_38fd9a38b06e400aac062d8fe864b72e" localSheetId="2" hidden="1">Model!$D$11</definedName>
    <definedName name="CB_96ac20aa3df24705952602027fc06348" localSheetId="2" hidden="1">Model!$D$9</definedName>
    <definedName name="CB_Block_00000000000000000000000000000000" localSheetId="2" hidden="1">"'7.0.0.0"</definedName>
    <definedName name="CB_Block_00000000000000000000000000000001" localSheetId="1" hidden="1">"'635302438422697625"</definedName>
    <definedName name="CB_Block_00000000000000000000000000000001" localSheetId="2" hidden="1">"'635302438422667623"</definedName>
    <definedName name="CB_Block_00000000000000000000000000000003" localSheetId="2" hidden="1">"'11.1.3833.0"</definedName>
    <definedName name="CB_BlockExt_00000000000000000000000000000003" localSheetId="2" hidden="1">"'11.1.2.4.000"</definedName>
    <definedName name="CB_eea3304092854392ac96ec688f497b5c" localSheetId="2" hidden="1">Model!$D$8</definedName>
    <definedName name="CB_ff6ba30f2b2b49a7a22f32a04b29ca37" localSheetId="2" hidden="1">Model!$D$7</definedName>
    <definedName name="CBCR_29580e15610045c9aed0461fdb98d102" localSheetId="2" hidden="1">Model!$B$4</definedName>
    <definedName name="CBCR_2ab34993e452423aacb990f9c2021f5f" localSheetId="2" hidden="1">Model!$C$9</definedName>
    <definedName name="CBCR_3387fe924fd34820af7122afd7319569" localSheetId="2" hidden="1">Model!$D$4</definedName>
    <definedName name="CBCR_412a7fc932e546b491e1e010fbdab2b4" localSheetId="2" hidden="1">Model!$F$7</definedName>
    <definedName name="CBCR_41d7b082ead944c1bf857cade3ae8ae2" localSheetId="2" hidden="1">Model!$E$9</definedName>
    <definedName name="CBCR_4e7c44daa48c40dfade46abce12f51e4" localSheetId="2" hidden="1">Model!$F$8</definedName>
    <definedName name="CBCR_5bbd17de78094c32949acdee4e35a5db" localSheetId="2" hidden="1">Model!$C$4</definedName>
    <definedName name="CBCR_64d62e2fe8c049fd9f4f214d3cf07f4c" localSheetId="2" hidden="1">Model!$E$8</definedName>
    <definedName name="CBCR_6f8de41ac29243c59aaa7f64d856e2a6" localSheetId="2" hidden="1">Model!$C$7</definedName>
    <definedName name="CBCR_867d11c8b2ef4599a682a0c05cc62665" localSheetId="2" hidden="1">Model!$E$7</definedName>
    <definedName name="CBCR_9148c60f189b41d3a7c8de25d53ce852" localSheetId="2" hidden="1">Model!$C$8</definedName>
    <definedName name="CBCR_d5a135e40254429da2b97242a9934f55" localSheetId="2" hidden="1">Model!$I$6</definedName>
    <definedName name="CBCR_dd7c37793da14924879665450e9b1f35" localSheetId="2" hidden="1">Model!$F$9</definedName>
    <definedName name="CBWorkbookPriority" localSheetId="1" hidden="1">-594132889</definedName>
    <definedName name="CBx_c4d16a2242f44a9ea60ba4d549ca3b55" localSheetId="1" hidden="1">"'Model'!$A$1"</definedName>
    <definedName name="CBx_fe4a21a74a704be7867a9ebc4e5fdb8c" localSheetId="1" hidden="1">"'CB_DATA_'!$A$1"</definedName>
    <definedName name="CBx_Sheet_Guid" localSheetId="1" hidden="1">"'fe4a21a7-4a70-4be7-867a-9ebc4e5fdb8c"</definedName>
    <definedName name="CBx_Sheet_Guid" localSheetId="2" hidden="1">"'c4d16a22-42f4-4a9e-a60b-a4d549ca3b55"</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B14" i="2" l="1"/>
  <c r="B11" i="5"/>
  <c r="A11" i="5"/>
  <c r="D11" i="2"/>
  <c r="B200" i="3"/>
  <c r="B199" i="3"/>
  <c r="C200" i="3"/>
  <c r="B198" i="3"/>
  <c r="C199" i="3"/>
  <c r="B197" i="3"/>
  <c r="C198" i="3"/>
  <c r="B196" i="3"/>
  <c r="C197" i="3"/>
  <c r="B195" i="3"/>
  <c r="C196" i="3"/>
  <c r="B194" i="3"/>
  <c r="C195" i="3"/>
  <c r="B193" i="3"/>
  <c r="C194" i="3"/>
  <c r="B192" i="3"/>
  <c r="C193" i="3"/>
  <c r="B191" i="3"/>
  <c r="C192" i="3"/>
  <c r="B190" i="3"/>
  <c r="C191" i="3"/>
  <c r="B189" i="3"/>
  <c r="C190" i="3"/>
  <c r="B188" i="3"/>
  <c r="C189" i="3"/>
  <c r="B187" i="3"/>
  <c r="C188" i="3"/>
  <c r="B186" i="3"/>
  <c r="C187" i="3"/>
  <c r="B185" i="3"/>
  <c r="C186" i="3"/>
  <c r="B184" i="3"/>
  <c r="C185" i="3"/>
  <c r="B183" i="3"/>
  <c r="C184" i="3"/>
  <c r="B182" i="3"/>
  <c r="C183" i="3"/>
  <c r="B181" i="3"/>
  <c r="C182" i="3"/>
  <c r="B180" i="3"/>
  <c r="C181" i="3"/>
  <c r="B179" i="3"/>
  <c r="C180" i="3"/>
  <c r="B178" i="3"/>
  <c r="C179" i="3"/>
  <c r="B177" i="3"/>
  <c r="C178" i="3"/>
  <c r="B176" i="3"/>
  <c r="C177" i="3"/>
  <c r="B175" i="3"/>
  <c r="C176" i="3"/>
  <c r="B174" i="3"/>
  <c r="C175" i="3"/>
  <c r="B173" i="3"/>
  <c r="C174" i="3"/>
  <c r="B172" i="3"/>
  <c r="C173" i="3"/>
  <c r="B171" i="3"/>
  <c r="C172" i="3"/>
  <c r="B170" i="3"/>
  <c r="C171" i="3"/>
  <c r="B169" i="3"/>
  <c r="C170" i="3"/>
  <c r="B168" i="3"/>
  <c r="C169" i="3"/>
  <c r="B167" i="3"/>
  <c r="C168" i="3"/>
  <c r="B166" i="3"/>
  <c r="C167" i="3"/>
  <c r="B165" i="3"/>
  <c r="C166" i="3"/>
  <c r="B164" i="3"/>
  <c r="C165" i="3"/>
  <c r="B163" i="3"/>
  <c r="C164" i="3"/>
  <c r="B162" i="3"/>
  <c r="C163" i="3"/>
  <c r="B161" i="3"/>
  <c r="C162" i="3"/>
  <c r="B160" i="3"/>
  <c r="C161" i="3"/>
  <c r="B159" i="3"/>
  <c r="C160" i="3"/>
  <c r="B158" i="3"/>
  <c r="C159" i="3"/>
  <c r="B157" i="3"/>
  <c r="C158" i="3"/>
  <c r="B156" i="3"/>
  <c r="C157" i="3"/>
  <c r="B155" i="3"/>
  <c r="C156" i="3"/>
  <c r="B154" i="3"/>
  <c r="C155" i="3"/>
  <c r="B153" i="3"/>
  <c r="C154" i="3"/>
  <c r="B152" i="3"/>
  <c r="C153" i="3"/>
  <c r="B151" i="3"/>
  <c r="C152" i="3"/>
  <c r="B150" i="3"/>
  <c r="C151" i="3"/>
  <c r="B149" i="3"/>
  <c r="C150" i="3"/>
  <c r="B148" i="3"/>
  <c r="C149" i="3"/>
  <c r="B147" i="3"/>
  <c r="C148" i="3"/>
  <c r="B146" i="3"/>
  <c r="C147" i="3"/>
  <c r="B145" i="3"/>
  <c r="C146" i="3"/>
  <c r="B144" i="3"/>
  <c r="C145" i="3"/>
  <c r="B143" i="3"/>
  <c r="C144" i="3"/>
  <c r="B142" i="3"/>
  <c r="C143" i="3"/>
  <c r="B141" i="3"/>
  <c r="C142" i="3"/>
  <c r="B140" i="3"/>
  <c r="C141" i="3"/>
  <c r="B139" i="3"/>
  <c r="C140" i="3"/>
  <c r="B138" i="3"/>
  <c r="C139" i="3"/>
  <c r="B137" i="3"/>
  <c r="C138" i="3"/>
  <c r="B136" i="3"/>
  <c r="C137" i="3"/>
  <c r="B135" i="3"/>
  <c r="C136" i="3"/>
  <c r="B134" i="3"/>
  <c r="C135" i="3"/>
  <c r="B133" i="3"/>
  <c r="C134" i="3"/>
  <c r="B132" i="3"/>
  <c r="C133" i="3"/>
  <c r="B131" i="3"/>
  <c r="C132" i="3"/>
  <c r="B130" i="3"/>
  <c r="C131" i="3"/>
  <c r="B129" i="3"/>
  <c r="C130" i="3"/>
  <c r="B128" i="3"/>
  <c r="C129" i="3"/>
  <c r="B127" i="3"/>
  <c r="C128" i="3"/>
  <c r="B126" i="3"/>
  <c r="C127" i="3"/>
  <c r="B125" i="3"/>
  <c r="C126" i="3"/>
  <c r="B124" i="3"/>
  <c r="C125" i="3"/>
  <c r="B123" i="3"/>
  <c r="C124" i="3"/>
  <c r="B122" i="3"/>
  <c r="C123" i="3"/>
  <c r="B121" i="3"/>
  <c r="C122" i="3"/>
  <c r="B120" i="3"/>
  <c r="C121" i="3"/>
  <c r="B119" i="3"/>
  <c r="C120" i="3"/>
  <c r="B118" i="3"/>
  <c r="C119" i="3"/>
  <c r="B117" i="3"/>
  <c r="C118" i="3"/>
  <c r="B116" i="3"/>
  <c r="C117" i="3"/>
  <c r="B115" i="3"/>
  <c r="C116" i="3"/>
  <c r="B114" i="3"/>
  <c r="C115" i="3"/>
  <c r="B113" i="3"/>
  <c r="C114" i="3"/>
  <c r="B112" i="3"/>
  <c r="C113" i="3"/>
  <c r="B111" i="3"/>
  <c r="C112" i="3"/>
  <c r="B110" i="3"/>
  <c r="C111" i="3"/>
  <c r="B109" i="3"/>
  <c r="C110" i="3"/>
  <c r="B108" i="3"/>
  <c r="C109" i="3"/>
  <c r="B107" i="3"/>
  <c r="C108" i="3"/>
  <c r="B106" i="3"/>
  <c r="C107" i="3"/>
  <c r="B105" i="3"/>
  <c r="C106" i="3"/>
  <c r="B104" i="3"/>
  <c r="C105" i="3"/>
  <c r="B103" i="3"/>
  <c r="C104" i="3"/>
  <c r="B102" i="3"/>
  <c r="C103" i="3"/>
  <c r="B101" i="3"/>
  <c r="C102" i="3"/>
  <c r="B100" i="3"/>
  <c r="C101" i="3"/>
  <c r="B99" i="3"/>
  <c r="C100" i="3"/>
  <c r="B98" i="3"/>
  <c r="C99" i="3"/>
  <c r="B97" i="3"/>
  <c r="C98" i="3"/>
  <c r="B96" i="3"/>
  <c r="C97" i="3"/>
  <c r="B95" i="3"/>
  <c r="C96" i="3"/>
  <c r="B94" i="3"/>
  <c r="C95" i="3"/>
  <c r="B93" i="3"/>
  <c r="C94" i="3"/>
  <c r="B92" i="3"/>
  <c r="C93" i="3"/>
  <c r="B91" i="3"/>
  <c r="C92" i="3"/>
  <c r="B90" i="3"/>
  <c r="C91" i="3"/>
  <c r="B89" i="3"/>
  <c r="C90" i="3"/>
  <c r="B88" i="3"/>
  <c r="C89" i="3"/>
  <c r="B87" i="3"/>
  <c r="C88" i="3"/>
  <c r="B86" i="3"/>
  <c r="C87" i="3"/>
  <c r="B85" i="3"/>
  <c r="C86" i="3"/>
  <c r="B84" i="3"/>
  <c r="C85" i="3"/>
  <c r="B83" i="3"/>
  <c r="C84" i="3"/>
  <c r="B82" i="3"/>
  <c r="C83" i="3"/>
  <c r="B81" i="3"/>
  <c r="C82" i="3"/>
  <c r="B80" i="3"/>
  <c r="C81" i="3"/>
  <c r="B79" i="3"/>
  <c r="C80" i="3"/>
  <c r="B78" i="3"/>
  <c r="C79" i="3"/>
  <c r="B77" i="3"/>
  <c r="C78" i="3"/>
  <c r="B76" i="3"/>
  <c r="C77" i="3"/>
  <c r="B75" i="3"/>
  <c r="C76" i="3"/>
  <c r="B74" i="3"/>
  <c r="C75" i="3"/>
  <c r="B73" i="3"/>
  <c r="C74" i="3"/>
  <c r="B72" i="3"/>
  <c r="C73" i="3"/>
  <c r="B71" i="3"/>
  <c r="C72" i="3"/>
  <c r="B70" i="3"/>
  <c r="C71" i="3"/>
  <c r="B69" i="3"/>
  <c r="C70" i="3"/>
  <c r="B68" i="3"/>
  <c r="C69" i="3"/>
  <c r="B67" i="3"/>
  <c r="C68" i="3"/>
  <c r="B66" i="3"/>
  <c r="C67" i="3"/>
  <c r="B65" i="3"/>
  <c r="C66" i="3"/>
  <c r="B64" i="3"/>
  <c r="C65" i="3"/>
  <c r="B63" i="3"/>
  <c r="C64" i="3"/>
  <c r="B62" i="3"/>
  <c r="C63" i="3"/>
  <c r="B61" i="3"/>
  <c r="C62" i="3"/>
  <c r="B60" i="3"/>
  <c r="C61" i="3"/>
  <c r="B59" i="3"/>
  <c r="C60" i="3"/>
  <c r="B58" i="3"/>
  <c r="C59" i="3"/>
  <c r="B57" i="3"/>
  <c r="C58" i="3"/>
  <c r="B56" i="3"/>
  <c r="C57" i="3"/>
  <c r="B55" i="3"/>
  <c r="C56" i="3"/>
  <c r="B54" i="3"/>
  <c r="C55" i="3"/>
  <c r="B53" i="3"/>
  <c r="C54" i="3"/>
  <c r="B52" i="3"/>
  <c r="C53" i="3"/>
  <c r="B51" i="3"/>
  <c r="C52" i="3"/>
  <c r="B50" i="3"/>
  <c r="C51" i="3"/>
  <c r="B49" i="3"/>
  <c r="C50" i="3"/>
  <c r="B48" i="3"/>
  <c r="C49" i="3"/>
  <c r="B47" i="3"/>
  <c r="C48" i="3"/>
  <c r="B46" i="3"/>
  <c r="C47" i="3"/>
  <c r="B45" i="3"/>
  <c r="C46" i="3"/>
  <c r="B44" i="3"/>
  <c r="C45" i="3"/>
  <c r="B43" i="3"/>
  <c r="C44" i="3"/>
  <c r="B42" i="3"/>
  <c r="C43" i="3"/>
  <c r="B41" i="3"/>
  <c r="C42" i="3"/>
  <c r="B40" i="3"/>
  <c r="C41" i="3"/>
  <c r="B39" i="3"/>
  <c r="C40" i="3"/>
  <c r="B38" i="3"/>
  <c r="C39" i="3"/>
  <c r="B37" i="3"/>
  <c r="C38" i="3"/>
  <c r="B36" i="3"/>
  <c r="C37" i="3"/>
  <c r="B35" i="3"/>
  <c r="C36" i="3"/>
  <c r="B34" i="3"/>
  <c r="C35" i="3"/>
  <c r="B33" i="3"/>
  <c r="C34" i="3"/>
  <c r="B32" i="3"/>
  <c r="C33" i="3"/>
  <c r="B31" i="3"/>
  <c r="C32" i="3"/>
  <c r="B30" i="3"/>
  <c r="C31" i="3"/>
  <c r="B29" i="3"/>
  <c r="C30" i="3"/>
  <c r="B28" i="3"/>
  <c r="C29" i="3"/>
  <c r="B27" i="3"/>
  <c r="C28" i="3"/>
  <c r="B26" i="3"/>
  <c r="C27" i="3"/>
  <c r="B25" i="3"/>
  <c r="C26" i="3"/>
  <c r="B24" i="3"/>
  <c r="C25" i="3"/>
  <c r="B23" i="3"/>
  <c r="C24" i="3"/>
  <c r="B22" i="3"/>
  <c r="C23" i="3"/>
  <c r="B21" i="3"/>
  <c r="C22" i="3"/>
  <c r="B20" i="3"/>
  <c r="C21" i="3"/>
  <c r="B19" i="3"/>
  <c r="C20" i="3"/>
  <c r="B18" i="3"/>
  <c r="C19" i="3"/>
  <c r="B17" i="3"/>
  <c r="C18" i="3"/>
  <c r="B16" i="3"/>
  <c r="C17" i="3"/>
  <c r="B15" i="3"/>
  <c r="C16" i="3"/>
  <c r="B14" i="3"/>
  <c r="C15" i="3"/>
  <c r="B13" i="3"/>
  <c r="C14" i="3"/>
  <c r="B12" i="3"/>
  <c r="C13" i="3"/>
  <c r="B11" i="3"/>
  <c r="C12" i="3"/>
  <c r="B10" i="3"/>
  <c r="C11" i="3"/>
  <c r="B9" i="3"/>
  <c r="C10" i="3"/>
  <c r="B8" i="3"/>
  <c r="C9" i="3"/>
  <c r="B7" i="3"/>
  <c r="C8" i="3"/>
  <c r="B6" i="3"/>
  <c r="C7" i="3"/>
  <c r="B5" i="3"/>
  <c r="C6" i="3"/>
  <c r="B4" i="3"/>
  <c r="C5" i="3"/>
  <c r="B3" i="3"/>
  <c r="C4" i="3"/>
  <c r="B2" i="3"/>
  <c r="C3" i="3"/>
  <c r="B1" i="3"/>
  <c r="C2" i="3"/>
</calcChain>
</file>

<file path=xl/comments1.xml><?xml version="1.0" encoding="utf-8"?>
<comments xmlns="http://schemas.openxmlformats.org/spreadsheetml/2006/main">
  <authors>
    <author>A satisfied Microsoft Office user</author>
  </authors>
  <commentList>
    <comment ref="B4" authorId="0">
      <text>
        <r>
          <rPr>
            <sz val="8"/>
            <color indexed="81"/>
            <rFont val="Tahoma"/>
            <family val="2"/>
          </rPr>
          <t>Define the Lower Specification Limit.  This value is used for calculating the process results.</t>
        </r>
      </text>
    </comment>
    <comment ref="C4" authorId="0">
      <text>
        <r>
          <rPr>
            <sz val="8"/>
            <color indexed="81"/>
            <rFont val="Tahoma"/>
            <family val="2"/>
          </rPr>
          <t>Define the Upper Specification Limit.  This value is used for calculating the process results.</t>
        </r>
      </text>
    </comment>
    <comment ref="D7" authorId="0">
      <text>
        <r>
          <rPr>
            <sz val="8"/>
            <color indexed="81"/>
            <rFont val="Tahoma"/>
            <family val="2"/>
          </rPr>
          <t>Assumption: MoldTemp
Normal distribution
   Mean 155.00 (=E5)
   Standard Dev. 10.00 (=F5)
Selected range is 
   from  -Infinity to  +Infinity</t>
        </r>
      </text>
    </comment>
    <comment ref="F7" authorId="0">
      <text>
        <r>
          <rPr>
            <sz val="8"/>
            <color indexed="81"/>
            <rFont val="Tahoma"/>
            <family val="2"/>
          </rPr>
          <t>Define the standard deviation for the mold temperature.</t>
        </r>
      </text>
    </comment>
    <comment ref="D8" authorId="0">
      <text>
        <r>
          <rPr>
            <sz val="8"/>
            <color indexed="81"/>
            <rFont val="Tahoma"/>
            <family val="2"/>
          </rPr>
          <t>Assumption: CycleTime
Normal distribution
   Mean 100.00 (=E6)
   Standard Dev. 5.00 (=F6)
Selected range is 
   from  -Infinity to  +Infinity</t>
        </r>
      </text>
    </comment>
    <comment ref="F8" authorId="0">
      <text>
        <r>
          <rPr>
            <sz val="8"/>
            <color indexed="81"/>
            <rFont val="Tahoma"/>
            <family val="2"/>
          </rPr>
          <t>Define the standard deviation for the Cycle Time.</t>
        </r>
      </text>
    </comment>
    <comment ref="D9" authorId="0">
      <text>
        <r>
          <rPr>
            <sz val="8"/>
            <color indexed="81"/>
            <rFont val="Tahoma"/>
            <family val="2"/>
          </rPr>
          <t>Assumption: HoldPres
Normal distribution
   Mean 130.00 (=E7)
   Standard Dev. 3.00 (=F7)
Selected range is 
   from  -Infinity to  +Infinity</t>
        </r>
      </text>
    </comment>
    <comment ref="F9" authorId="0">
      <text>
        <r>
          <rPr>
            <sz val="8"/>
            <color indexed="81"/>
            <rFont val="Tahoma"/>
            <family val="2"/>
          </rPr>
          <t>Define the standard deviation for the Hold Pressure.</t>
        </r>
      </text>
    </comment>
    <comment ref="D11" authorId="0">
      <text>
        <r>
          <rPr>
            <sz val="8"/>
            <color indexed="81"/>
            <rFont val="Tahoma"/>
            <family val="2"/>
          </rPr>
          <t>Forecast: Part Length
Units: Centimeters</t>
        </r>
      </text>
    </comment>
  </commentList>
</comments>
</file>

<file path=xl/sharedStrings.xml><?xml version="1.0" encoding="utf-8"?>
<sst xmlns="http://schemas.openxmlformats.org/spreadsheetml/2006/main" count="103" uniqueCount="93">
  <si>
    <t>Simulation with Design of Experiments</t>
  </si>
  <si>
    <t>Factor</t>
  </si>
  <si>
    <t>Name</t>
  </si>
  <si>
    <t>Nominal Value</t>
  </si>
  <si>
    <t>Std Dev</t>
  </si>
  <si>
    <t>Dist.</t>
  </si>
  <si>
    <t>MoldTemp</t>
  </si>
  <si>
    <t>Normal</t>
  </si>
  <si>
    <t>CycleTime</t>
  </si>
  <si>
    <t>HoldPres</t>
  </si>
  <si>
    <t>LSL</t>
  </si>
  <si>
    <t>USL</t>
  </si>
  <si>
    <t>Response:</t>
  </si>
  <si>
    <t>Length</t>
  </si>
  <si>
    <t>Transfer Function:</t>
  </si>
  <si>
    <t>Mean</t>
  </si>
  <si>
    <t>Term</t>
  </si>
  <si>
    <t>Constant</t>
  </si>
  <si>
    <t xml:space="preserve">MoldTemp               </t>
  </si>
  <si>
    <t xml:space="preserve">CycleTime              </t>
  </si>
  <si>
    <t xml:space="preserve">HoldPres                </t>
  </si>
  <si>
    <t xml:space="preserve">MoldTemp*CycleTime  </t>
  </si>
  <si>
    <t>Results from Minitab</t>
  </si>
  <si>
    <t>Target</t>
  </si>
  <si>
    <t>Forecast Name</t>
  </si>
  <si>
    <t>Part Length</t>
  </si>
  <si>
    <t>Trials</t>
  </si>
  <si>
    <t>Standard Deviation</t>
  </si>
  <si>
    <t>Cp</t>
  </si>
  <si>
    <t>Cpk-lower</t>
  </si>
  <si>
    <t>Cpk-upper</t>
  </si>
  <si>
    <t>Cpk</t>
  </si>
  <si>
    <t>Cpm</t>
  </si>
  <si>
    <t>Z-LSL</t>
  </si>
  <si>
    <t>Z-USL</t>
  </si>
  <si>
    <t>Zst-total</t>
  </si>
  <si>
    <t>Zlt</t>
  </si>
  <si>
    <t>p(N/C)-below</t>
  </si>
  <si>
    <t>p(N/C)-above</t>
  </si>
  <si>
    <t>p(N/C)-total</t>
  </si>
  <si>
    <t>PPM-below</t>
  </si>
  <si>
    <t>PPM-above</t>
  </si>
  <si>
    <t>PPM-total</t>
  </si>
  <si>
    <t>Actual Value</t>
  </si>
  <si>
    <t>Author</t>
  </si>
  <si>
    <t>Summary</t>
  </si>
  <si>
    <t xml:space="preserve">This example model demonstrates the application of combining simulation with a designed experiment. The model uses the results from a designed experiment to simulate the variability in the response (part length) based on variability in each of three factors using a transfer function developed in Minitab.  The three factors are defined as assumptions with appropriate probability distributions, and simulation of the model results in a distribution of the response and the likelihood of defective parts. You can adjust the controllable factors to minimize the production of defective parts.  </t>
  </si>
  <si>
    <t>Discussion</t>
  </si>
  <si>
    <t xml:space="preserve">The model was generated using a 2^3 Factorial Design using three factors (Mold Temperature, Cycle Time, and Hold Pressure), two levels per factor, and five replicates. A separate Minitab file is available that contains the experimental matrix and results.  Minitab was used to generate the transfer function (or response equation) for part length.  The model calculates the part length using the response equation with specified process settings of known variation. </t>
  </si>
  <si>
    <t xml:space="preserve">The capability statistics are calculated for part length based on the specifications in Row 4 and the results of the simulation.  The statistics are automatically extracted to column J after each simulation using Crystal Ball's AutoExtract function.  These statistics include the mean, standard deviation, and other measures of process capability commonly used by quality professionals and Six Sigma practitioners. </t>
  </si>
  <si>
    <t xml:space="preserve">Using this model will make it possible for you to optimize the controllable factors and minimize the defects that occur during production. One major benefit of using simulation along with the designed experiment is that the cost involved in running lengthy experiments is minimized by using the results from a smaller experiment to simulate what might happen if other factors were used.  </t>
  </si>
  <si>
    <t xml:space="preserve">A general simulation model of a design or process provides the following benefits: </t>
  </si>
  <si>
    <t>Using Crystal Ball</t>
  </si>
  <si>
    <t>Crystal Ball enhances your Excel model by allowing you to create probability distributions that describe the uncertainty surrounding specific input variables. This model includes three probability distributions, referred to in Crystal Ball as "assumptions." These assumptions describe the variation in the three model factors.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</si>
  <si>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Notice that the assumption names and parameters use cell referencing. With references, you only need to change the value in the spreadsheet. The assumption parameters are immediately changed.</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</si>
  <si>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forecast values. In this example, you are forecasting the Part Length. To view a forecast with Crystal Ball, highlight the cell and either select Define Forecast from the Define menu or click on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</si>
  <si>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</si>
  <si>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 xml:space="preserve">To run this model, select the Start Simulation button on the Crystal Ball toolbar or select Run &gt; Start Simulation.  </t>
  </si>
  <si>
    <t xml:space="preserve">What impact would changing the standard deviation of the factors have on the process capability (Cp)?  Would other values for any of the factors result in fewer defects? Would a narrow or wide distribution of the simulation results be most preferable?  </t>
  </si>
  <si>
    <t>To view which of the three assumptions (factors) had the greatest impact on a particular forecast, use the sensitivity chart. Open the sensitivity chart by selecting Forecast &gt; Open Sensitivity Chart in the forecast window.  Which variable most affects the part length?  How would reducing the variability of that factor impact the Cpk?</t>
  </si>
  <si>
    <t>As of Crystal Ball 7.3, you can also view your data using scatter charts. Scatter charts show correlations, dependencies, and other relationships between pairs of forecasts and assumptions plotted against each other. Open the scatter chart by selecting Analyze &gt; Scatter Charts &gt; New and select the three assumptions and make the Part Length forecast the target. When you view the chart, do any of the assumptions have a stronger correlation to the target forecast?  You can also choose a matrix view under the View &gt; Matrix View (NxN) option on the chart.</t>
  </si>
  <si>
    <t>- Improved yields
- Improved quality
- Design / Process optimization
- Development time reduction
- Material comparisons
- Reduced testing time
- Identification of key parameters
- Reduced overall costs</t>
  </si>
  <si>
    <t>Z-score shift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</si>
  <si>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</si>
  <si>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</si>
  <si>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</si>
  <si>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</si>
  <si>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</si>
  <si>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</si>
  <si>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</si>
  <si>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</si>
  <si>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</si>
  <si>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</si>
  <si>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</si>
  <si>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</si>
  <si>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fe4a21a7-4a70-4be7-867a-9ebc4e5fdb8c</t>
  </si>
  <si>
    <t>CB_Block_0</t>
  </si>
  <si>
    <t>㜸〱敤㕣㕢㙣ㅣ搵ㄹ摥㔹敦慥㜷㙣㙦㙣攲㕣㐸㠰㘰㉥攱收㘸㠹㜳㈹愱㈸㑤㝣挹ㄵ㈷㜱㘲㈷ㄴ〱㜵挶扢㘷散㐹㜶㘶㥣㤹㔹㈷㠶愸㐰㉦戴㠰㝡攳㡤ㄶㄵ㡡㉡㔴㕥㉡戵て㉤戴昴愱㔲慢㔶ㄵ㔴㝤㐰慤晡㔰〹㔰㔵ㅥ㕡㔵愹晡挲〳ㄲ晤扥㌳㌳扢戳扢摥戱戳㠱搶愹㍣㡥㡦捦㥣昳㥦摢晦晦攷晦晦昳晦㘷㤲㔰ㄲ㠹挴㐷㜸昸㤷㑦㡡㤹敢挷攷㕤㑦㤸昹㘱扢㔴ㄲ〵捦戰㉤㌷㍦攸㌸摡晣愸攱㝡㙤〰挸㑣ㅡ愸㜷搳㤳慥昱愸挸㑥捥〹挷〵㔰㍡㤱挸㘶搵㈴敡搹〹㝦㝢挲ㄷ㤵慤扡㔲㐸㈶㠶㠷㡥㑤㥤㐱慦攳㥥敤㠸㉤㝤愷晣戶扢〷〶昲〳昹敤扢戶㙦捦㙦摤搲㌷㕣㉥㜹㘵㐷散戶㐴搹㜳戴搲㤶扥戱昲㔴挹㈸摣㉦收㈷散戳挲摡㉤愶戶㙥㥦搲㜶散ㅡ搸戱㜳愷㝥敦扤扢扡㌰㜴攲攸昰搰㤸㈳㜴昷㘳敡㌳捤㈹敦ㄸㄱ〵㠳㙢ㄳ挲㌱慣改晣昰㄰晥㐵收㡦户㝢昲攳㌳㐲㜸ㅣ㕡㌸挲㉡〸㔷㐵挳㑥㜳搰㜵换收㉣㤱愷㥡晢戱搴㠲收㝡㘹㜳㔸㤴㑡慡ㄹ昶㥡㌵㡦〱㜷㈵㙤扥换ㅣㄷ㤶㙢㜸挶㥣攱捤㘷捣〹㜴㔴捣㤹㈷㕤㜱㐲戳愶挵㔱捤ㄴ㘹昳㐰搹㈸愶晣㈷搱㜶㝢搸㐵㜴㘲㜲昹昹㐱搷ㅣ㥥搱ㅣ㌹㈳㤷㠸㠹㠱摤敦ㄴ㙡㘱㙦㘹摥㉦愷㉥㐷㘰㥦㥢㥢挳愱收㤴收㔴㈰晢㥢㐳〶㡢慦㥤挱摤捤攱㈳㌸慡㙤㜳㘷昳㌶ㄲ㤵戵搰㑡㘷挰摦ㄲ愳㔸㡣㥡㘱搲捥㈴换㠴〴㔴㍢㤸㜴㌲改㐲愲愴晥㡤㕤ㄲ㙤挸慡攴愴㤶㥣㥣㑡㑥ㄶ㤲㤳挵攴愴㐸㑥敡挹挹改攴攴㑣㜲搲㐸㑥㥥㐹㑥㥥〵㑣昸㘴摢摢㤳挱㜳昸摤㍦敤改㝤㜸搷摥㥦扥扦㜳昷搸慦晦昵㙡搷㉡〰ㅤて㈶㌵攲㘸攷挱㙡㔵㉥摥㤶摦捡㥦挵㜷〵㌶㠵扥㔳扦㐷ㅦㄸ㈸敥摣慡㙤搷搲㕣㔶っ昱㙢ㄸ愵〷戰㕤晡〳㠶㔵戴捦㑢摡㕤㍦愴戹愲㡡戸晥愰㙥挸㉥㕢㐵昷扡㠵㉢挷㍤捤ㄳㅢ敢敢慡㥤㌴㌴ㅢ挷戶ㄲ慥ㅣ㙦㔳㝤戳㔳㕡愹㉣〶㉦ㄸ㝥昵つ㜵搵收㤸㘳㑦㌵慦摤敦㠸㜳㤵摡㠶ㄹつ㐲愸捤挹扥ㅢ㔶改㔷昹昳敡ㅢ㥥戱㕤㘱挹改昵㥢㘳㐶攱慣㜰挶〵㐵愲㈸捡愵慥㘵㔵戰敢晢㡦㔹㔸㈸㜶㙢昱收㘸愹扥敦㠲㠷捤㉣㡡㤸敦慣㜰扣昹〹㙤慡㈴搶搵㠰昸㘳愲㘲㐳㑤昱㝥扢㔰㜶㠷㙤换㜳散㔲㙤捤㘰㜱㑥㠳愴㈹ㅥ戱㡢㈲㤵㑡㐸愱〰㠱摢搶愶㈸㠹扢㥡敦〵㐹㠸〸㠹戹㤱慦慤㘵扢晣〹慣づ慢㈸〹昲㘴昲搶㐵㍡攳㝣愵㡣㠹搹㠱㤱㌵㔱㝦㜰搰㍢ㄶ改戶㐲戹㑦ㄶ㌸㤹散つ㔶扦㙦㑥㔸摥㐱捤㉡㤶㠴ㄳ慢晤ㄴ捥㐸敤㐶㤲扥〴㠱搰ㄴ㝢㔴㜵捡〵㘵㍥㝤摥㈸㝡㌳㤹ㄹ㘱㑣捦㜸㈸㠳㠶捣㘶㠹摡㠶㐷扤〶㐵敡㙡㈶扤㐸㍡㍡ㄲ㤹㌵〴捡㜴攰㐹愴㈹㥤㘲昶㜲㡤㈰㘷扢㥡扤摣愵敦㌷㑡㥥昰㠵㜲户づ㡡昸㕡㑤㤲㉦㐷ㄶ㜵戴㠲慦㌰搶攸挳攰㔲捤戰扣昹敡扥㙤搸㈵㍥ㄳ慤挸㠲㘵㈷ぢ㈸ち㙡攵㐱捣㕥〳搳搴㐹㠳㜸攰〸ㄳ㜱ㅢ挴㘸㜶昴㕣换㘴㠴㡦㤱ㄱ㠰㡦㌲㈱愱户㌶㤷ㄱ㘴昶㐶㈶㘵愳愶晢㜱㐵㥡㉤㘴换晢搲㙣㉤㄰愷慥㘳戲㥥挹戵㑣㌶㈰㔱晥〶〹㐷㈹㠷㝣敤愳㕥㠷㜷昵㝡㈶㌷㈰㠱㝣㔲㈹㜳〲㔱㐵ㅢ㙡㈹㜶㈴攱㜲戰㤳愵㔱散㡢㈲㕡挶ㄵ㍢㌳㘷㑡㐲〷㔶攷昲搰戵㈹愹㘳㙦㙢捥㥢搱攵㤰㈳㘳㐰愳㙢㕤〴㌴㡡〸㠲戶愸户㙥㐴㔳戵㡦挹㑤㐸㝣挵㐲㘳㜷㘹搶㍣捤挹慢挲㈴昲つ愱ㄶ㤵㝢挰挴㌴晦㘳〴㕣挳搱㘵挵㝥愶㈹搸慦㕦昵昶昳㤶收㝢㍢㈰㝡㥤捥㕣搱㌹昴ㄵ㕤愶〵㝤㌳戶㤷昲㤷愶晡攵㔶㔴慢㥢㤹摣㠶愴㑥扦昰攴㝤戹㕥〲㘹ㄲ㥢ㄱ捡慤愶挷㐵㕡戸ㄳ昳戳㐲㙡㥦㉥㝤㐲㜳愶㠵〷敦挵愱ㄱ搸挱戶攳㠸ㄲづ戴㐵㔹挰戳换晡摡㐲㜷扦㘳㥢㉣㕦戱㡦摤慢㐲㌱愴㔲挹戶㐴㥤㝤ㅣ㘳㘷㐶晣㑤ㄱ捥愱晥摤摥㕣㐸㐴ㅡ搵戲ㄷ摢挵㥦㉤㔷㈴㐹ぢ㤲攴づ愰㔵扤ㄳ〹愴㠴昲挷愶ㄲ愵㥦㘰㕢㈴㔸慤戵㑡敦㕥捣挹愴捥㝦搸㈰㐷㍡㝤㘷敤㄰㝣〷㙥捥ㅣ㌷捣㡡戰攸㌴挷㠴㔳㠰㕦挱㈸㠹づ摦㈵㑢㔱戳㈲㉢慥ㄲ㔹搱搶搶㜰㤶㡥昱慤㐹㍥愹㤳ㄲ戱扢㍤戶㌲收ㅣ㕥㘵㉡扡㈰㈹㔴㘲摣㐲ㄵ〹㐴捥㈳散㡡㠸㘹㐱挴攴㠱㌸昵㙥㈶㕢㤹っ㈰㐹晦ㅥ㤲㘶愹㠸㘷㈸慣㝤㡥敥散挹挹㐴㤶㘴㤰敥挱户㥡ち慢ㅤㅣ㘶㈷㤳㑦㈱愹㌳㝦攸㝣㡣㘱㐴㐹昲〸㈳搲㕡㔲昵㔳㠶㌸㑦ㅥ㔸愵㈳愸㌴㕣㜶㍤摢㘴㔴㈹愷㡦搸㐷㙤㙦挴㜰㘷ㄱ㠵敡搵㠳捣〳㌳挲〲㜷㌹戰㝤敡捡散搹㔹㔱㔴昵㜱扢っ搱㜶㘸㘴㌹ㅣ捡戱㍥搸㤲昲㕣㥥㔴昰戴㜶㌶㐶ㄷ㡡㍣ㄱ挳搷㑡㑦散㤲㍣摦㍣昴㜵㔷㌱㍡㘱㜸㈵搱愹晢㥢㡥昹慣づ㉣㈲㙡㔰㙣搷㈷㘶ㅣ㈱㐶㜲晡〱挷㈸㤶っ㑢㤰ㄸ戰㌱ㄹ愸ㅢㄵ搳㠸㄰㡣搹㡣晦搹㔶㑥㥦㜰㌴换㥤搵ㄸ㑣㥣㕦㕤昳㈶㐳㈲㘹㝤挸戰㕣っ㈳愹挸㝣户㍥㍥㘳㥦㐷戴戶㙣㕡〷戴㔹㜷㔹㔰㠵㑣敦㍦㤲㌴㑡㔲㐹㈶㤵㙣㌲摢㉡㝤㜸㈰㑦㈴戶攱㌷挵㐴搲㉡㤱愶扦㍣㐶㝢搳慥て攲㌳戴搳㌹愷㉥㐴㡥㉡㠵㙤戱㔲㤸㍢㔵摤挵㌶昷㈲㌹㝣攰攴愱㙡㔴敥㡡攲搵㘹㝡昸㘳㘴扣㘴㡢㑡㄰㠴晥戹㔵㍥慢戰㡣㥣㠳ㅤ〸㡡昳慤㥥晤㍡㜴〹㐳敥㕢㔵捤敥㐷ㄴ愹㑢ㅦ搵愶㐴〹戱㘸㔳昳㔶昹㉦㌴㘳㑤慤攴〶㜵挳戶㘹㙡㘴㉤戲攵㜸㐱㈳〷て㤶㍤晢㠸㘱愹㍡ㄲ挹㝦㐱㤱㜶〱㐵摡〵㔹搴愵㥦㘰㔸㔰收搹㤷㍤慤㌹㠶㌷㘳ㅡ㠵㉣㕦ㄸ扡㕢ㄶ㍣㠹㑤㑥挹ㅢ㍥愱捣攸慢戳收㑦挲㘴㜳昳㈰㜷ㅥ㜲㤴愸㈳昹挱戹㐹㈵㠳ㅦ愵㐵挷ㄲ〴㡣昴㤲慡昷愱户戴扣ㄹ〱㤱㈳㥦㑢攱晤㡢㑢㡦愳挴昷换㤱敡㌱㉣〲㡦㘰㐴挸搳扤㥤搱㑦㕡㠶〷敡㤱㘲晢つ㙦挴〵挹㤱㈰㉢㡦户ㅢ㈵㔵㈳㡤晡㉢㕡攱挶挶慡ㅡ㌵戱愹戱㍥慡㌷㙥㕤愰摡搷㈸ㄱ㐵戲ㄸ㤰搴㉣ぢ捣㜱㌹愹ㅡ㐵㉡敥㔰摢㈸㜱㙥搳㉡摥㈹㐵慥㐰㌱㐹㥥㐹愸扢㈵愳㈰挸㑢敥㠰㡥愲扦㍥㥥㍤㈲搱ㅡ摡〰ㅤ搴㔳㝥㔹㉥〸〷ㅥ挲㤵㤳愲攸〸摥戰扦㔷〵搹㘳㘵慦愶㐶扢搰ㅢ搴っ㤶㑡挷㉣㔸〹〵捤㈹㉥㤳㉤㡤戵昹ㅡ㐶敥捥㔶戵扦㡦摥挸㐶っ戶㈱㐳㈲㌱㝥㘰㙣㐳㙣慥㐸㌴㤵搶㔹㡥愸慥ㄴ㘷昹㜶㐴㘸㤶愴挰戸㔷ㅣㄱ㜳搲っ慢㕡昲扤戲㐱攵戴㈸攵愸慡て㑥戹㔰改ㅥ攵㜸㤰㤳ㅢ㕣搵㑦搰㉤㠵ぢっ㄰扢㐱㙥慣攰㈱慣㕢改㠰㈷㠳攵㐳ㅤ㘰挴て㥢搰㍡愳〴捤挴㌰㙥敤㈲戸㜷㕡愴㈸〴愹㉥㥦㝦敥㔱扥晤㍣㥦㔷昷㈴挲㑣戰㠹ㄸ敡㡡戱ㅥ㐰摣㘸㔴㤲扢愸㌷っ㤶晢㤲㑤ち慤慥戰㡣㈶㐶㡥㈶㥦攳攱〶て攳㔸摤摣㌶㈵摣㜱昳っ㘸搳搲晣㉡晤㤰㔵㈸㤵㡢㐲慡攲㔰㔶㑢㡤扣㉣攸㈵慦晦昹扢㈹〶㉦〱㔲づ攱㈸挵㈵㤳㐸慤摢摤敡㘷搰㕣ち㌹昴攱换㌶〶ㅦ㘳摣㜲㌲ㄸ搶㜰㐷㠱昶攱敡敡攵〵㜹㜱づ㈲慤愱㠸戲㙣ㄴ㜷昱㉡ㄱ㘴戹摢㈲㘰愳昶愸㑤㥢㍤㔲㜴搰昰㡢㤶〵㡤戰㑥㕦攰㘵㌲㌰㐶㕡摣ㅤ散㈴㜱㈹㠸散㕥㝡㕣扥㈶㉥敤〹㡣て㠵昱㕤㥥㠲ㄲ挰㉡㌶ㄲつ敥㘴搵敡㔶ㄸ昹愵攵慤敥㐵愲㌰〴㑣㠳ㄶ㤰扥㠱㌳㠴晣攲〶づ㠳㤱㌱搱搱㘸㈰㤵㌱捡㕥㌸散㐱㌴散㈶ㅥ愴㈷㙣㈸㈱㙦㡤扣ㄴㄶ摥㑢散㌷㜱〴戲㥤㜵㜵㠵㘳㥡㠷慢㉦搶㠶扡攲挱㘲㤱收㉥晣㜳换㠲慡戸戶攱㥢愳㙢敡㉥㘴挹㌵搱扥扢愵慥㈲戸㈸戸㙤㈴㝦㔰昳ち㌳攳摥扣㝦㘹慢㔵㤶㐸晦〲晥㠸〵㐷愷捤㥣戲㜸〹㜵㡥戸敦㌸㙢搹攷㉤㌹慦戴换ㅢ㝦戴㘲搵昶㜶㑥戲㈳昱ㄱ㝥攴㤳㑣愴摦㐰㡦㑢㤹㌶㍢愸㍡㐸搸㡦㝣㝣㘹搰㠷㝣っ㥦挰㜶慦摣ㄸ㈰㥦慣愹攳ㄳ㈹〸㔶ㄸ挵㥡晥搸ㄸ㐵昹㌹挸㑡㘶昱㡦攴挰昹㉢搸晡捡捦㔰㐲㠲攳㍤㄰㈳改㥢㤰㡢㈱㥤ㄴ攴挱昵づ㕥〶昹晦愱㔲戸㥢ㄷ摣㑥晦㠵捤慣扣㕥㑦愲㑤㈴搱㙢㡤㈴㘲㈰昶戲㐲摥㥣晤捡㔱昳ㄳ扦搶晢㍦㍣㙡ㅥ〶㠵昹㐸㙢っ㐱㌵〶攳㉢挶㐰戲挱ㄸ搸㡣㙡㘹っ摣捦㌶㡣搷晢挶㐰攰敤㌸㠲㠲挵㡤〱㐶昱㘲㑣扥㐸㔰㌵攲挰攰㔹㙢㥤㐹㑦搸㐱㕣慦ㄵ㉥㈲昷㔰㑦敥㌰㝣㑦敢ㅢ㡢挷㌴㐷㌳㌷挸昲〳㡥㠰摡㜲㈶㜰㕦㕢㌶㘱㡢㡤ぢ搶挸㐶ぢ㜸㈵㐲㝦晡㡡攷㘴㘹户搴㐱㈹晦昱ㅤ昵㑡㔶挹㕣㠱㑦㐴攱〹㈱昱搸㥡ㅦㅥ㜸昷搱㉦敤攱扤戴㠰㔷搳っ〴户ㄲ㥣愷攵㠰昰㙤攴㑡挸㕡㝥㝥㜳〴ㅦ㈲ㄹ戳㈵㌱愴㌹搲摥㜱㔵㌳捣晡㡣ㄷ㘱㑣㥦昹㤶㠳㌱㠹ㅢづ扥㌱㤹慦㜳㙣捡捦㤷愴㌳㌰ㅦ㤹戸昴摥㠵〱㐲愵愹捡㙡搱慥㑣晦ㄸ㑡攷㌲㈷㔲㙢て昲㝣挹㐷㔱㝥㔴慦搵㜶㔲慢㐹㌳㔱改〷㐴㈸愵㄰㘹㈰㠷㐴㡦㉣っ晤㑢㈹㌵㠶㑣㍡㡦㈴㈶㠶㔶ㅦ捣攵挹㝦㐵〸㠸捡昵扥ㄶ㍦㔵〱ㄶ㐱挵搰敢摥敡搹㤵㔶㘷愸㥡ㄸ㤴㤵愷㡦攳挸挸㘳ちぢㄸ愵㤵愵㈷㤰〹㥦昴〰㜲㑢㜶㍣㜱㤰㥣改㠷搸晣㡤㥤㌶改㔵敢㌰昷㔹㘵摣昱㠰㥥挹㐸㠵㘱慤㘶㌱㡥㥥㌲ㅡ攷㠳㜶昸㐵㑣扢晤㙣愵㔱㘷㔰〵㥤㘵㙤挰昹ㄳ㘱㍥㝥て挴晡晥㙡搷㙢敢㙢愸攳慣㜶㉣㤰扦戰扦㌶挵㙣㙣㡣捡ㅤ〳〹扢㈴愸慣㝦〹㝣ㅣ㑤愴㍤慦愸搵㉣挷㔲ㄴ㐶愳挳㥤搵搶愸晦ㄹ愷㤶㍢㙢㠲搰っ㔸搷攸晦㔳㈸㔸㔴晦㉢㡣戲㐹㤲㍤㄰㘴昸㤲㘶愴㘴搱攰っ㌱〲ㅦ㌶挲㌴昲〸慣捡㉣㠳摢㝥㙥ㅣ㥦愸晡搵㔲㠲挳挳㤵慡扦〴㔱㘹㑢摢戶戳愹〰㘴ㄴ㈸晤〳㠸愰愶敤㌹改挶㜳㙣收㐱ㄴ慦㌹㘲ㄴㅣ摢戵㜵慦㙦ㅣ攱摤㍥㝥㘱愶挳收ㄹ㔴㕥愹ㄷ㙡户〰ㄳ㕤て愱捤搱㘳㄰搸㐷㠵昷㜱㐵ㅤㄹ㐳㔸㕡捣㠲㕦ㅢ昵㐴〲㐹搴づ敥㌵晡昱戲㔶挲〷慡挷攰搵昴㔸戴㉣㤴㥤敦㕢慥扦㡢㐱搴攱㌶搶晤昰晣㠸㔲ㅥ㘱㌰戹㠴㠷ㅥ㈱㕥敢㜱㔰ぢㅢ慣捤㈵㘴㙢摥戵㡥昴昷㐱搳愵㡤㔲换㌲ㅣ㤳摦ㅤ㜷愸㡦㌰㐵㥣㠷摥搱愵扢㘲搹㕢㉦昸㍣昸㙣㥢㉥慦晥ㄲㅣ㘵㡢挷戹㍢㤴扤㘸换昶敡攷㠲っ㕦ㄴ晡昲敥㘳收㝢㔸ㄲ㤹ㅦ昹㐴收㌴㤲收ㅣ晤㈲挰㙡晣〳攴㘸㠵挷ち㜲㘰㠷昲㕤搴ㄳ㐳晥㑡ぢ㉣挳㌱㐳ㅥㅦ㤰㔷㡢㐸挲㐷攱昱㐱㡥晦ㅤ㌴愸㡣㡦㥤ㄳ㌳晥昳ぢ㡥㑦挵㉦搷㌷ㄳ㜶㡥扦㍤愱攲㔰つ扣愹㘷㤸㥣㘵㔲㘲㘵愸㍦扡㈹ㄲ㈹㘷㌲㝥〰攱昵㍤挸攳昹㐳昰昷㥤㍤㙦扤挹攷ㅦ㝢ㄴ㈹〴㔱愵㥡ㄲ挲㑦ㄴち㐱戹㡡攷愲慢戰㔱摡ㅣ㡢摦㕣㘸ㄵ㍤㤴㡦扣㜶愲㥥㐳㤲敢㔶挸㈷㜲㔵㑥㤰攱㑢て㐹㈸愱㕣㘴〰㐵ㅣ㑢㈸㉦挸㐸㈸㈲㥡㔰戹㥥ㅥ攲挴捦愶㠹㠸㤸捦㜷愴㙤挴敢㡥昴搸㘴㝣㤷㙢挶搷㠸㔹㌳昰戵㉥ぢ戹㄰㜸挹㥢㡡昳㑣㡢㜱㝣攵搹㝡挲㙣〶㙥㉢㡣攱㕢愳㘴㈴㈲㔲㜹愶ㅥ昸㥣㈴〴慡挸㍤㍥㌰ㄹ㑥〲㍦㕤て晣㜲〵昸㥤㄰㤸㡣㈹㠱扦㕡て晣㄰㠰㐳㍥昴㝢敥㈱ㄳ〶㘴㈵扦挴㤸扣昲㄰㄰昹ㅣ㥢㘷敢戴㑥㌵摡愹晢挵ㄴ愰㌲㔶㕣㤲㡡戴ぢ户㍦ㅣ㝣㄰㍤㡡换㑣戸昳〱㔹敢晦扦〸㠷㜰挹㘹㐴昳㌴㝣敦㍣㠷攸戲愳捡㌷㌶捥攸挷ㅣㄴ戴敢㠷㕣ㅣ慤㡡换㡡㕢㘰ㄵ愴㜸㈵㈳㘰㥡㘴㔳慥㠹戱㈰慢昸〸愳㘲㐹㕥ㅡ㘹㑤㠷挸㐸㑡㑡㜹慡㐲攴㈷慡㝥㜵昵㌱捣ㄳㄲ㔳捥ㄷ扡攲㈲㌲㝥攴㘵つ㡢㝡㈸ち㈸慤搴捦㈳挹戵㈹ㄴ〲㈴㝦收㜱㈴摤攱㝦㐶搱㌷㈷扤㈵㐹攵㠹㜰㡣扦㙦摢㈰挵㍢㑥㑥〹昵㐹㌶昸〲㤲㌶戸㘹ㄵㅦ㌷ㄸ敢㡢㈸㠹㡥㐵㠱㈲挷晡㌲㌲戹戶㌴愷戶㘴ㅣ㜱〵慤愹㉢昵㈹㌴㔵戸㜰昶愱㝥㈵挸昰㈵捤㔵摦搷摣㐰收昹㌷晣㘶ㅦ㤱捣㥡㡦昳昷攱㘳晢㜹慥戵つ晦搷㐸㕡㕡昳愹攴愷㕢敢㡢㉣㑦㐳㕣晥㕥〰㡥慦愰ㅦ慥慢㙡㔸戲㐷㙡ㅥ昵㘹㈴捡㤳㐸㠸㜵昵ㄹ扥㤱㍥ㄲ㈵捦〶ㄹ扥㈸㈴づ搱愲㜸㤸〷攷㈲㥢㝦㡤㈵ㄲ㤱挸愸㕦㐷ㄲ㍥㍤㐴愸㈴敢㌷㤰挹戵㜵㜳㈴慡㥥攴〵愵㜰扡㜸晡昴〷摤愹扥㡤愹捦敥敤㝡晥㥤摦扤昷摣摢て敦㝥晦挳ㄷ㕥㜸晢慦捦扤昹攱ㅢ㔳扢㝦昳昲换扦㍡晣攲㥢敦慤搶㕦㑡晥攴㠳搱㤷㉥づ㥣扤㜸㑥㍦㜹搷㠱㡢て㥥㌹㍥㌰㜶㑤㝦㕢㕢㝢晢敤扤扦扤昶㡥㥥㈷捥扤愶晣昲捦敢㉤㐵㑥ㅥ〳搴㑥㠳㡢㤰搳昸ㄶ㌲㤸〶㘷晣㐹㑥愳㈷㐴㠲挲㜵㑢㡣㔹〱挶㠶㔰㤰㠵ㄹ挳㤹挸ち戳戶愲昳㍦㜵㌴㠸㜰</t>
  </si>
  <si>
    <t>Decisioneering:7.0.0.0</t>
  </si>
  <si>
    <t>c4d16a22-42f4-4a9e-a60b-a4d549ca3b55</t>
  </si>
  <si>
    <t>㜸〱敤㕣㕢㙣ㅣ搵ㄹ摥㔹敦慥㜷㙣㙦扣挴㠱㄰㉥挱摣㉦㡥㤶㤸㤰〲㐵㘹昰㈵づ㠱㕣㑣散㠴㈲㑡㤷昱敥ㄹ㝢挸捥慣㤹㤹㜵㘲㑡㈱㔵㘹〱戵ㄵ㠵扥ㄴ㐴㕢㠴㉡搴㍥ㄴ愹慤㔴㐱㑢㉢㔵㐲㙡搵㐲搵〷㔴愹て㤵㈸慡㕡㔵扤㐵敡ぢて㐸昴晢捥㤹搹㥤摤昵㡥捤〲慤愹㝣㤲㍤㌹㜳㙥㜳捥㝦㍦晦㝦㈶〹㉤㤱㐸扣㡢挴㝦㤹㔲㉣㕣㌰戳散昹挲㉥㑣㔴㉢ㄵ㔱昲慤慡攳ㄵ挶㕣搷㔸㍥㘸㜹㝥て㍡㘴㡡ㄶ摡扤㜴搱戳ㅥ㄰搹攲㤲㜰㍤㜴㑡㈷ㄲ搹慣㥥㐴㍢㈷攱㉦ㅦ㍥攸ㅣ㌵㤰㐲㌶㍢㌱㝥㘴敥㍥捣㍡攳㔷㕤戱㘳昸戸ㅡ扢㘷㜴戴㌰㕡搸㜵攳慥㕤㠵㥤㍢㠶㈷㙡ㄵ扦收㡡㍤㡥愸昹慥㔱搹㌱㍣㕤㥢慢㔸愵摢挵昲㙣昵㠴㜰昶㠸戹㥤扢收㡣敢㙦ㅣ扤㝥昷㙥昳愶㥢㙥ㅣ挰慢ㄳ㠷㈷挶愷㕤㘱㝡ㅦ搰㥣㘹㉥昹晡㐹㔱戲戸㌷㈱㕣换㤹㉦㑣㡣攳㙦㘴晤㜸扡愱㌰戳㈰㠴捦㔷ぢ㔷㌸㈵攱改ㄸ搸㙦㡦㜹㕥捤㕥㈴昰㜴㝢ち㕢㉤ㄹ㥥㥦戶㈷㐴愵愲摢攱慣㔹晢〸㘰㔷㌱㤶〷散ㄹ攱㜸㤶㙦㉤㔹晥㜲挶㥥挵㐴攵㥣㝤捣ㄳ㐷つ㘷㕥ㅣ㌶㙣㤱戶昷搷慣㜲㑡愵㐴捦㤵攱ㄴ搱㠵挹敤ㄷ挶㍣㝢㘲挱㜰攵㡡㍣〲㈶愶敦㤴㕢㙡敥㝢㘹攷㜹戹㜴昹〶捥㜹㜹攷㝥㘸㌹㙥戸昵㥥㈳㥤㝢〶㥢㙦㕥挱戵㥤晢㐷㘰搴㍣收敡捥㘳㈴㈸㥢㝢㙢晤〱㝤㑢㠸㘲㌳㝡㠶㔹㉦戳㉣㌳㈲㔰敦㘳搶捦㙣〰㤹㤶晡㌷戸㈴㍡㤰㑤挹愲㤱㉣捥㈵㡢愵㘴戱㥣㉣㡡㘴搱㑣ㄶ攷㤳挵㠵㘴搱㑡ㄶ敦㑢ㄶ㑦愰㑦㤸戲扤扤挹㈰ㅤ晦摥慦㕦晤挷搶敤攳㍦㝣昳慦㔳㍦㝢昱㕦攵㠱㑤攸㜴㐷戰愸㐹搷㌸〹㔲㙢㔰昱㜵㠵㥤晣戳㍡㔷㠰㈹捣摤收つ收攸㘸㜹昷㑥㘳㤷㤱收戶㘲㤰摦㐴㈸㜹昴ㅤ㌰敦戴㥣㜲昵愴挴摤〵攳㠶㈷ㅡ㠰ㅢ〹摡挶慢㌵愷散㥤扦㜲攳㡣㙦昸攲扣搶戶挶㈴㙤挳㘶挰㔶挲㤳敦摢摥㍡散戸㔱愹㠹戱㔳㤶㙡扥戰愵搹㥥㜶慢㜳㥤㕢愷㕣㜱㝦扤戵㙤㐵㘳㄰㙡㑢㜲敥戶㕤慡㈶戵慥攱㠹㠵慡㈷ㅣ戹扣ㄱ㝢摡㉡㥤㄰敥㡣愰㐸ㄴ㘵戹搵戳搹ㄴ㜰晤挸ㄱ〷ㅢ〵户㤶㉦㠹搶㥡晢㑥昹㘰㘶㔱挶㝡ㄷ㠵敢㉦捦ㅡ㜳ㄵ㜱㑥㔳ㄷ昵㑥㌴㙣㙢慡㥥慡㤶㙡摥㐴搵昱摤㙡愵戹㘵慣扣㘴㐰搲㤴て㔵换㈲㤵㑡㐸愱〰㠱摢搳愳㘹㠹㙢㍡昳㠲㐴㐴〴挵㘴攴㜳㥢挹慥㜰ㄴ扢挳㉥㉡㠲㌴㤹扣㙣㤵挹戸㕥㈹㘳㘲㌸㌰戲㈷敡て扥昴慡㔵愶慤㘳敥挳敤㥣㑣づ〵扢摦户㈴ㅣ晦㔶挳㈹㔷㠴ㅢ慢晤㌴慥㐸ㅦ㐴㤶㍥〳㠱搰ㄱ㝡㔴㜵摡㈹㙤㌹㝤搲㉡晢ぢ㤹〵㘱捤㉦昸愸㠳㠶捣㘶〹摡戶愴㥦㠵㉡㝤㌳戳㈱㘴㝤㝤㠹捣ㄶ㜶捡昴㈱㈵搲㤴㑥㌱扣摣㈴挸㌹慥㠹㤷〷捣㈹慢攲ぢ㈵㤴〷㑤㘰㐴㘹㌵㠹扥ㅣ㐹搴㌵㑡㑡㘱㙣㌱㈷㐰愵㠶攵昸换つ扥㙤攳ㄲ㐵㐴ㅢ戲㘰摤挹〲㡡㠲㘶㜹㄰挳㙢㈰㥡ㄶ㘹㄰摦㌹㐲㐴㘴㠳ㄸ捤㡥㤹㥢㠹㡣晤㘳㘴〴晡㐷㠹㤰扤㜷㜶㤶ㄱ㈴昶㜶㈲攵愰㡥晣戸㈱捤㔶戲攵㤵㌴㍢ㅢ㠰搳捦㘱戶㤵搹戹捣戶㈱搳晥っ〹㐷㈹㠷㜲㜳搲捦挷戳㝥〱戳ぢ㤱㐱㍥改㤴㌹㠱愸愲つ戵ㄶ㍢㤲晤㜲戰㤳愵㔱慣㐴ㄱ㉤攳扡㥤㤹戳㈵愲〳慢㜳㝤攸摡㤴搴戱㔷㜴愶捤攸㜶㐸㤱㌱㕤愳㝢㕤愵㙢ㄴ㄰散摡愵摥扡〸㐳昵㘱㘶ㄷ㈳㔳㡡㠵挶敥摡慣㜹㥡㤳ㅦ〹㤳㐸ㄹ㐲㕤㉡昷㠰㠸㘹晥挷〸戸戶愳换㠶晤㑣㔳㜰挴晣挸摢捦㍢㍡昳㜶㠰昴ㄶ㥤戹愱㜳攸㉢㝡㡦ㄶ昴㈵㘰㉦敤てㅤ昵换㘵㘸搶㉦㘷㜶〵戲ㄶ晤挲㤳昷㝢昵ㄲ㐸㤳搸㡥㘰㙥㌳㍤㉥搲挲㥤㕤㕥ㄴ㔲晢っ㤸戳㠶㍢㉦㝣㜸㉦づ㑣挲づ慥扡慥愸攰㐰㕢㤶ㄵ㍣扢㙣㙤慥昴愶摣慡捤晡つ晢搸晢㐸㈸㠶㔴㉡搹㤳㘸戱㡦㘳散捣㠸扦㈹㐲㌹搴扦扢㍡ぢ㠹挸愰㘶昲攲戸昸戳攵㠶㈴改㐲㤲㕣〵戰敡㔷㈳㠳㤴搰㝥搷㔱愲㡣戰摢づ搹慤搹㕡愵㜷㉦收㘴搲攲㍦㙣㤳㈳晤捡㔹㍢づ摦㠱㤷戳㘷㉣扢㉥㉣晡敤㘹攱㤶攰㔷戰㉡愲㑦戹㘴㈹㙡㌶㘴挵㐷㐴㔶昴昴戴㥤愵㘳㝣㙢㤲㑥㕡愴㐴㉣户挷㌶挶㥣挳ㅢ㐴㐵ㄷ㈴㠵㑡㡣㕢愸㉥㠱㐸㜹散扢㈱㘲扡㄰㌱〵〰㑥扦㤶搹㑥㘶愳挸搲扦㠱愴㔹㉢攰ㄹち敢㕤愲㍢扢㔸㑣㘴㠹〶改ㅥ㝣扤愳戰扡㥥慦搹捤散㘳挸㕡捣ㅦ㍡ㅦ㘳〸㔱愲㍣㐲㠸戴㤶㜴昳戸㈵㑥㤲〶㌶㤹〸㉡㑤搴㍣扦㙡㌳慡㤴㌳㈷慢㠷慢晥愴攵㉤㈲ち㌵㘴〶㠵㍢ㄷ㠴〳敡㜲㘱晢戴搴㔵ㄷㄷ㐵㔹㌷㘷慡㌵㠸戶〳㤳敢攱㔰㡥晤挱㤶㤴攷昲愴㠶搴摤搹ㄸ㔳㘸昲㐴っ㕦㉢㍤戱㙢昲㝣昳搰㌷搸㠰攸慣攵㔷㐴扦愹㤸㡥攵慣〹㈸㈲㙡㔰敥㌵㘷ㄷ㕣㈱㈶㜳收㝥搷㉡㔷㉣㐷㄰ㄹ戰㌱ㄹ愸㍢㈸收ㄱ㈱㤸慥㌲晥㔷㜵㜲收慣㙢㌸摥愲挱㘰攲昲收愶㈷ㄹㄲ㐹㥢攳㤶攳攱㌵ㄲ㡢㉣て㥡㌳ぢ搵㤳㠸搶搶㙣㘷扦戱攸慤ぢ慣㤰攸㔵㤲愸搱㤲㕡㌲愹㘵㤳搹㙥昱挳〳㜹㈲㜱ㅤ㝥㈹㘶ㄲ㔷㠹㌴晤攵㌱摡㥢㜶㝤㄰㥦愱㥤捥㌵つ㈰㜲㔴慦散㠹㤵挲攴㔴晤㐶㡥戹〹搹㙤晢㡦ㅤ㘸㐴攵摥㔷扣㍡㑤て㝦㡣㡣㤷㘴㔱て㠲搰㍦户㐹㤱ち敢㐸㌹攰㐰㘰㥣㑦慤攴搷㘷捡㍥愴扥㑤㡤攲ㄴ愲㐸〳收㐱㘳㑥㔴㄰㡢戶つ㝦㤳㝡愰ㄹ㙢ㅢㄵ㉦㘸㥢愸摡戶㐱搲㈲㔹捥㤴っ㔲昰㔸捤慦ㅥ戲ㅣ摤㐴㈶改㉦愸㌲㑥愱捡㌸㈵慢〶捣愳っぢ捡㌲攷慡捥ㅢ慥攵㉦搸㔶㈹换〷㠶敥搶〵㑤㠲挹㈹㜹挳ㄴ捡㡣攱ㄶ㙢晥ㄸ㑣㌶慦〰㜴ㄷ㈰㐷〹㍡愲ㅦ㤴㥢搴㌲昸愳㜵改㔸㠲㠰㤱㕥㔲晤㘶捣㤶㤶㌷㈳㈰㜲㘴㍡ㄳ摥扦㌸昳㌰㙡㤴㕦㡥㔸㡦㈱ㄱ㜸〴㈳㐲㥥敥敤㡣㜹捣戱㝣㘰㡦ㄸ㥢戲晣㐹て㈸㐷㠶愲㍣摥㥥㈷戱ㅡㄹ㌴㔲搷ちㄷ戵㌷㌵愹㠹敤敤敤㔱扤㜱搹ち捤㑡愳㐴ㄴ挹㙡㥤愴㘶㔹㘱㡤敢㐹搵㘸㔲㜱㠷摡㐶㡢㜳㥢㌶攰㑥㈹昲㍥ㄴ㤳愴㤹㠴扥㐷ㄲち㠲扣愴づ攸㈸晡敢攳挹㈳ㄲ慤愱つ搰㐷㍤愵敡㜲㐱㌸昰〰慥㥣㤴㐵㕦昰〴晥摥ㄴㄴ㡦搴晣愶ㄶ攳搴㔰搰㌲㔶愹ㅣ㜱㘰㈵㤴っ户扣㑥㔸ㅡ㝢㔳ㅡ㐶㜲㘷户摡㕦㠱㌷挲㠸〱ㅢ㌲㈴ㄲ攳〷〶ㅢ㠲戹㈲搱㔴㕡㘷㌹㠲扡㕥㥤攵搳㈱㘱㌸ㄲ〳㌳㝥㜹㔲㉣㐹㌳慣㘱挹て挹〱昵搳愲㤴愳扡㌹㌶攷㐱愵晢㤴攳㐱㐹㌲戸㙥ㅥ愵㕢ちㄷㄸ㈰㜶㠳搲㜴挹㐷㔸户㍥〱㑦〶敢〷㍢㠰㠸ち㥢搰㍡愳〴捤挴㄰㙥昳㈶挸㍢㕤㘲ㄴ㠲搴㤴改㥦㝢戵㘷㥥㘶晡敥摥㐴㔸〸㤸㠸愱慥ㄸ敢〱挸㡤㐶㈵挹㐵㐳㘱戰㕣㐹㌶㈹戴〶挲㍡㥡ㄸ㌹㥡㝣慥㡦ㅢ㍣㡣㘳つ㤲㙤㉡戸攳收㕢搰愶㤵攵㑤收〱愷㔴愹㤵㠵㔴挵愱慣㤶ㅡ㜹㕤攰㑢㕥晦㔳摣ㄴ〳㤷〰㈸〷㜰㤴攲㤶㠹愴敥敤㙥晤ㄳㄸ㉥㠵ㅣ收㔰戲㡤挱挷ㄸ户㥣っ㠶戵摤㔱愰㝤戸戹㜱㜹㐱㕥㥣㠳㐸㙢慢愲㉣㍢㠸扢㜸昵〸戲攴戶㐸户㠳搵㠳㔵摡散㤱慡㕢㉤㔵戵㉥㜰㠴㝤㉡㠱㤷挹挰ㄸ改㤲㍢㌸㐹攲㑣㄰搹㍤昳戰㝣㑣㥣搹ㅢㄸㅦㅡ攳扢㍣〵㈵〰㔵㌰ㄲつ敥㘴挳敡搶ㄸ昹愵攵慤摦㠲㑣㘳〸㤸〶㉤㝡㉡〳㘷ㅣ攵搵つㅣ〶㈳㘳愲愳搱㐰㉡㘳㤴㐳㜰搸〳㘹攰㈶ㅥ愴㘷慢㔰㐲晥ㄶ㜹㈹㉣扣㤷㌸㘲攳〸㔴㜵捦㘹愹㥣㌶㝣㕣㝤㜱戶戵㔴㡦㤵换㌴㜷攱㥦㕢ㄷ㔸挵戵つ㘵㡥㙥㘹戹㤰㈵昷㐴晢敥搲㤶㠶攰愲攰㜵㤳㠵㕢つ扦戴㌰攳㉦慢㑢㕢摤㤲㐴晡愷昰㐷慣昸㜶摡捣㈹㠷㤷㔰㤷〸晢扥ㄳ㑥昵愴㈳搷㤵昶㜸攳㡦㔶慣摥摢换㐵昶㈵摥挵ㅦ㤹㤲㠹昴㉢㤸㜱㉤换收〴つ〷〹攷㤱㐹㐹㠳㘱㤴㘳攸〴戶㝢晤挶〰改㘴㑢ぢ㥤㐸㐱戰㐱㈸捥晣〷㐶㈸摡㑦㠰㔶ㄲ㡢㍡㤲〳收㉦㠰昵戵ㅦ愳㠶〸挷㜳㈰㐶搲ㄷ愳ㄴ㠳㍡㈹挸㠳敢ㅤ扣っ昲晦㠳愵㤰㥢㔷㘴愷晦〲㌳㙢㉦户愲㘸㍢㔱昴㔲㍢㡡ㄸ㠸㝤㑦㈱㙦慥㝥攳愸昹愱㕦敢晤ㅦㅥ㌵㙦〳㠶㤹愴㌵㠶愰ㅡ㠳昱㜵㘳㈰搹㘶っ㕣㡥㘶㘹っ摣捥㌱㡣搷㉢㘳㈰昰㜶ㅣ㐲挵敡挶〰愳㜸㌱㈶㕦㈴愸ㅡ㜱㘰昰慣㜵㡥㑤㑦搸慤戸㕥㉢㍣㐴敥愱㥥扣〹昸㥥戶戶㔷㑦ㅢ慥㘱㙦㤳昵晢㕤〱戵攵捥攲扥戶ㅣ挲ㄱ攷慤搸㈲〷慤攰㤵〸晤改ㅢ㥥㤳戵摤㔲〷愶㔴㔲㡥㝡㉤慢㘵摥㠷㑦㐴攳〹㈱昱㤹㉤㉦敥晦攳〳㡦散攵扤戴㠰㔶搳っ〴㜷ㄳ㥣愷攵㠰昰㙤攴㑡挸搹晣晣收㄰㍥㐴戲ㄶ㉢㘲摣㜰愵扤攳改㜶㔸㔴㠴ㄷ㈱㑣㐵㝣敢挱㤸挴つ〷㘵㑣ㄶ㕡ㅣ㥢昲昳㈵改っ㉣㐴ㄶ㉥扤㜷㘱㠰㔰敢愸戲扡戴㉢搳㍦㠰搲㜹㡦ぢ㘹戶〷㜹扥㘴搲戴敦户㙡戵摤搴㙡搲㑣搴㐶搰㈳㤴㔲㠸㌴㤰㐲愲㐷ㄶ㠶晥愵㤴㥡㐶㈱㕤㐰ㄶㄳ㐳㙢つ收昲攴扦㈱〴㐴晤㝡㕦㤷㥦慡〰㡡挰㘲攸㜵敦昶散㑡慢㌳㔴㑤っ捡捡搳挷ㅤ㈸挸㘳ち㉢ㄸ愵㤵戵㐷㔱〸㔳㝡ㄴ愵㌵㍢㥥昸㤲㥣慤㐲㙣㡡戱搳㌶扤㙡㝤昶㍥愷㠶㍢ㅥ搰㌳ㄹ愹㌰㥣捤慣挶搱㔳㐶攳㔴搷㍥㔵挵㝣㔰ㄵ敢㠳晡㠳㈶攸㉣㘷ㅢ捥㥦〸昳昱㝢㈰戶㡦㌴愶㍥扢戵㠵㍡捥改挵〶昹㠳晤戵㍤㠶戱昱㔶㜲っ㈴散㥡㝡㘵搵㈵昰ㄹっ㤱昶扣愶㌷㡡㝣㤷愶㌱ㅡㅤ㜲㔶㑦扢晥㘷㥣㕡㜲搶㉣㝢㌳㘰摤愴晦㡦愳㘲㔵晤慦㌱捡㈶㔱㜶㘷㔰攰㐳㥡㤱㤲㔵㠳㌳㠴〸㝣搸〸搳挸㈳戰㉥㡢っ㙥慢搲っ㍥㔱㔵捤㔲㠲挳挳㤵㙡扤〴㔱ㅦ㑢摢戶扦愳〰㘴ㄴ㈸晤ㅤ㠸愰㡥攳戹攸昶㜳㙣收㉥㔴㙦㌹㘴㤵摣慡㔷㌵晤攱ㄹ㠴㜷㠷昹㠵㤹〹㥢㘷㑣㝢愱㔵愸㕤ち㐸っ摣㡤㌱㠷㡦㐰㘰ㅦㄶ晥〷ㄵ㜵㘴っ㘱㙤㌱ぢ㝥㙤㤴㡦〴㤲愸ㅤ扣戳捣㍢㙡㐶〵ㅦ愸ㅥ㠱㔷搳㘷搵扡㔰㜶捡户摣㝡ㄷ㠳愰挳㙤慣摢攱昹ㄱ㤵〲挲㘰㜲ぢ㜷摦㐳戸戶挲愰戹㙦戰㌷㡦㍤扢昳慥昵愵扦つ㥣慥敤㉤捤㈴挳㜷昲扢攳㍥晤ㅥ收㠸昳搰㍢扡㜶㔷㉣㘷ㅢ〲㥤〷㥦㙤搳攵㌵㔲㠱愳㙣つ㜱敥㑦㘳愸㜶ぢ㌳晣昴㘲㔰攰㠳㐶㝦摥捤㉣㍣㠷㙤㤱〱㔰㑥㘴っ㘴㥤愹晡㥢㉢㔱戵挶愳〵愹戰㑦晢〶摡〹㈵戵摢㌲敢㜰搴㤰㐷〸㤴㜵㠱㉣㑣ㅡ㡦㄰昲晤捦㘰㐰晤晤昳愸敤晣晥慦慦昸㝥㉡㝦戹㍦㉢㥣ㅣ晦收㐳攵愱摦㠷㈷晤〴戳ち㌳㥢㡤愱づㄹ愴㔸愴慣挹愸㈰挲换㝢㔱㐶晡㙤昰敦㥢㝢㕦㝦㡤改敦㝢㌵㈹〸搱愴㍢戲㠷捡㌴ち㐲戹㡢㈷愳扢㔸㐴㙤攷㕤㍣戱搲㉥昲㤴㤱㜹晣㜴ㄷ㔹㙥㔰㈳慤挸㕤㜹㐱㐱㘲㑤㈲㤴扤㝣㘴㘱捡ㄳ戱㜲㙣つ〵㡣㈵攴攵搸愵愰挰㠷㍣挱捦㕥戹㝣㥥㤰㔲挵㌴挱ㄳ昳㘱㡦戴㥡㜸ㄱ㤲扥㥣㡣㜲挶㘶㤴慥捣摡㠱ㄷ㜶㕤㐸㡣挰㝦摥㔱搰㘷扡㡣昰㙢㡦户愲敢㜲挰戶㑥㉥捡㑥㈵㜹ㄱ㤰摡㘳慤㥤敦㤷㠸㐰ㄳ㘹㑡㜵㈶ㄹ捡捥㡦戶㜶㝥扥摥昹捤戰㌳挹㔵㜶晥㘲㙢攷扢搱㌹愴㑥㌵㜳㥥愴ㄹ愰㤵㔴ㄴ㘳っ换攳㐱攴㐳㙤㥥扡搳㈶ㄵ㙣扦愹慡㈹㕡㘵ㄴ戹㈲㔵散〰敥㠵戸昸㔴晡㈰慥㌹攱㌶〸愴戰晡ㅦㄳづ攰晡搳愴攱ㅢ昸ㄲ㝡〹㜱㘷㔷㤷㑦ㅣ㥣㌱㡦戸愸攸㌵て㜸㌸㜴㤵搷ㄵ戵挰㕥㐸昱戲㐶㐰㌴挹㡥㔴ㄳ㘳㕢㌶攰ㄱ挶换㤲扣㑥搲㥤㜶㤱㌱㤶㤴昶㐸ㅤ挹愷ㅢㅥ㜷晤戳㔸㈷攴愸㕣㉦戴挸㐳㈸愸㤸捣ㄶ㔶攵㈹㈰㈸挳昴搳挸㜲㍤㜹㡡〶㐵〵ㅡ攵〱㈹㈱昳㌹㘴㠳攱晦㔸㌱扣㈴㕤㉡㐹敤愱昰㜵㝦扢㙥㥢㤴晦㌸㕥㈵昴捦㜳挰㈳挸㝡攰换搵ㄴ㤸昰摡㉦愰㈶晡㕡捡ㄶ昹摡㐷㔱挸昵愴戹捡㌵㠳㡢㥢改㔲愷㍤㠶愱ㅡ㘱挰㌹昴挷㠳〲ㅦ搲愷㤱摤摣搹㡡收㈱㌹晣戰ㅦ攱捥愶㉦昸昷攱㡢晣㘵敥戵〷晦㈱㐹㕡㥡晣愹攴挷扢㥢㡢搴㑦㙢㕤晥㤶〰攳昷㌱て昷搵戰㍥㌹㈳㔵㤳晥㈵㘴ㅡㄱ㐵愸敢㕦收ㄳ昱㈳㐱昲㤵愰挰〷㡤挸㌹捤㠲㡢㜵㜰㉤㜲昸ㄳ慣㤱㠰㐴㐱晦㉡戲㌰攵〹㔰㠹搶㈷㔱挸昵っ昲㑤搴㑤挹㔳㕡改摥昲扤昷扥㍤㤸ㅡ㍥㉦昵挹㕢〶㥥㝥昳㔷㙦㍤昵挶愷昶晣攵㥤㘷㥦㝤攳㑦㑦扤昶捥㉢㜳㝢㝥昱晣昳慦摥昶慤搷摥摡㙣㍥㤷晣搱摢〷㥦㝢㜰昴挴㠳昷㥢挷慥搹晦攰㕤昷摤㌱㍡㝤搶㐸㑦㑦㙦敦㤵㐳扦㍣昷慡晣改晢㕦搲㝥晥晢慤㡥㈶ㄷ㡦ㄷ攸㑦㈱ぢ㔳㥥㥢㤰换昸ㅡち㔸〶㔷晣㘱㉥㈳㑦㈰〴㕣挳㥤㥦挶㑦慢〴㌰ㅢ挷㐳㔶㑢攴戹挲愰て㤷㜵ㅡ㍦敤㐴㜳㥦晥晦〰㙦昴㡤㌷</t>
  </si>
  <si>
    <t>CB_Block_7.0.0.0:1</t>
  </si>
  <si>
    <t>Coefficient</t>
  </si>
  <si>
    <t>Learn about model</t>
  </si>
  <si>
    <t>Minitab Results</t>
  </si>
  <si>
    <t>(Estimated Coefficients for Length using data in uncoded units)</t>
  </si>
  <si>
    <t>Go to results sheet</t>
  </si>
  <si>
    <t>㜸〱敤㕣㜹㤴㕢㔷㜹搷搵㡣摥攸㙡㌶㜹挹攲ㄸ㤲㐹㜰搶㜱〶慤㌳㔲㜲愶㥥捤换㈴㤳搸昱㡣ㄳ戶㌰㝥搲㝢捦㈳㕢㡢㈳㘹㙣て愴㈴愷㉤㤴慤㄰っつ㑤㐸ㄳ㤳〴搲㤰ㄵ㌸㘱㐹㔹㤲搴㈵㈱〴㈸㙤搸㕢㑡㐳ち㈹㜰挰戴㍤㍤昴㤴㌴晤晤敥㝢㑦㝡搲㘸挶㡥㌱愷晥㠳㘷敢搳扤摦晤敥晥摤敦晥敥昷慥挶㈷㝣㍥摦㑢㜸昸捤愷㥤㠱㔷㑣㉦㔴慡㘶㘱㘰扣㤴捦㥢搹㙡慥㔴慣っ㡣㤶换晡挲㔴慥㔲㙤㠳㠰㌶㥢㐳㝡㈵㌰㕢挹扤挹っ捥敥㌳换ㄵ〸〵㝣扥㘰㔰晡㔹㡡昳〹扢ㄱ挹㕣㤲㙣〹㈹㥦搴㐰扡㍡㐰㘶挶挷戶㘶㜶愳㤲改㙡愹㙣慥敦扢摡㉥㙡㌸ㅡㅤ㠸づ挴㔳昱昸㐰㘴㝤摦昸㝣扥㍡㕦㌶㠷㡢收㝣戵慣攷搷昷㙤㥢捦攴㜳搹换捤㠵㤹搲ㅥ戳㌸㙣㘶㈲昱㡣㥥㐸㐵ㄳ挹愴㤵㑥愷扡㠲㈸昹捡昱戱㙤㘵搳慡㥣愸㌲㈵换摣㍡㍥㌶㜰愵㔹㍤㔱㘵㠶㔰㈶㡡㥣㈸ㄵ昴㕣昱〴ㄵㅡ攰㔰㈷㈷捣㙣㡥㜳㘲㥡攵㕣㜱搷〰㥡摤㌰搰㠸つつ㡣㔶㉡昳㠵扤㥣摥㜱㌳㥦摦㙥㕡ㅣ㌶㔹㤸愸㔴户改攵㐲愵慢挰昱㌳换㘶㌱㙢㔶㝡ちㅢて㘴捤扣㈳㔸〹ㄶ慥搶换㔷敡〵戳㥤㠱摥㠲㍤㠷㤳㠶㔹慣收慡ぢ摤㠵ㅤㄵ㜳扢㕥摣㘵㔲㈴㔰搸㍣㥦㌳㐴㝢㍢晥晢摡捥㙦搵㌲㌵㔱㘸㑦㘱㝣㑥㉦㔷㔵㡣㙤㠹戶㤲昵愸㡢敡㐵㐳扢愸㔲㝤㑤戹㌸㘷搳戹挲攵㘶戹㘸收㔹〹㘷戲扦㐹㐸つ㤰㍤て戵㤱㜲扢挳㔹ㄲ㥤捥㥡㘰㕦㔸㡢搶〹戲收捡㔲戹〰㠵扣挲搴㡢挳搱㘴㜲晤㜴搵㤸㌰昷つ㐷㈳戲ぢ挹戲㥢㠲㍤㈰㙤挳攳㐳戲㤷慣㌰㠸㘸晦㈵㤶㥣户㐴ㄶ收㥦搵晤戳ㄹ晦㙣搶㍦㙢昸㘷㑤晦慣攵㥦摤攵㥦㥤昳捦收晣戳扢晤戳㝢㈰攳㍥挱㡥づ扦昳昴摥戵攷愵晥晥㝢㈶敦㝣㜵散搰攵ㄷ㍥㍤㈴戸捡搴㈲㕤㠹挰改つ㉤㡣㐴摣ㄶ㈶攵㉡愴捡搵㈰摡㈹捣㌰㍣㥥㤲愷㤲㜵ㅡ㠸㄰㉦愰㠱㙣攴㐸攴慥㕦扣昵攰挱昱晢㙦晥昹摣㝢㈷摦晣㠶〰㤷㙦扣搵攰㌵捦换㈶慣攷慣㕥愹㍡㉡挳㌱㍢戱ㅡ㜵㜴㠵摡㔴捥晥敥ㄵち㤵㥣㄰㠵㤲㙢㌸晡㘷㠰㘸㙢㐱㍡戱〶慢㝤㔳㘶㜱㔷㜵㑥扥㠲㐹慦〴ㄱ攲㌹㘷㘲㔲户扥㤸㉡㍥ㅣㅡ戹㕦扢昸扤㉦ㄸ㥦ㅥ㄰㌴愹㙡摡捦㐲愰㜱摡攳戵㘹㡦换㍥愴捡戳㐱戴㜳㐰㌰敤㘹昹㉡戲搶㠱〸昱㝤愷昴㡦昵摤㝦昳扦て〷㌶晦昹㜹㝥晦つ㡦㘵户㜴㥤㠷攴慢㥣㈵㌰㔱搶昷挳愸搴敤㔵㙣㈰挲㝦㐷㌷搴戰搳㔶搲ㅡ戲愲㔱㈳ㄹ搱攳㝡㠰慢攴㔸㉤〲㔷㑥㤷㜵㑤慥㘸㤴昶㉢ㄳ昱㡡㌱扤㘲搶㈷戸摦㐹ㅢ㉢捤ㄷ㡤捡摡搶㠹搳㔵扤㙡㥥搱㥣㔶㉦㘴㔱戶㘹ㄸ㔰戳愲敡㍢戳㌹摢搵㝡㝥摥ㅣ㍤㤰戳㤳㕦搹㤴っ昳㔹捡㉣㥤扡愹㙣㕥㔷㑢㕤搴愲㔱㙣扢晢㔴搹㡢㝡㘹㈷搹敤敡ㅢ㥦㉢㔵捣愲㙡㕥㝦㘱㕢㉥扢挷㉣㑦㥢摣戴㑤㐳㜵昵ㄴ㈶㌹㌶扣㝦㙢ㄱㅤ㠵㔵㌶捥昱㜲慤㡤〷慡㘶搱㌰つ戴㜷慦㔹慥㉥捣攸㤹扣㜹㙡㠳㠸㕤㈷ㄲ搶㌴戰㌷㤵戲昳㤵昱㔲戱㕡㉥攵ㅢ㔳㐶㡤㝤㍡昶つ攳㡡㤲㘱挲散户昳昱〹㕦㕢㥢㄰扥㡢㕡㤹て㤶㕢ㄹ㔰ㄳ攱㤹㘲敥〲愷㌷慡摤挰㜶昴づ扤挸㥢搴㐹晦扡愳ㄴ愶捡㘵㌱ㄷ㉥㉤攸改ㄳㄱづ愵㉦㔸㕡㕡戵戱㌶㜳扦㕢㘱扦㝦㤵搳晢㡤晢戰户㙥搱㡢㐶摥㉣㉦㡢捦〴㕢㈴捦〷〹㝣〷慢㜹挹搱攳㌶㈱づ㠸㠵挰晥㥣㔱㥤搳收捣摣慥戹㉡㜸挰㜰挱㈰㠷㜶搱㈳㉦〴㑢㕥㐴搲てㄲち昹戴昵ㄴ搲㐲昲㘲㍢ㅥ攰㠶昷昲㜷㙤愲㐴愹㔰〲㈰㕤㈵㔰挰搶㔱㘹㙢㙢搵换㉤㝡㘵慥㑡昵㕣㌶㤱㝢㡤ㅣ㈰㜹㌵㐸㠰晢敥㔱㐱〱㠵摡㠹㝤扡ぢㄳ愶愵〳㜱慡搵㉤昴㐰挱〶㌱ㄳ㘶㈵㉢㠹㜶㈶戱㔶づ㘸〸㘱昱㜷ㄵ愸晤收㠱敡㠴㕥搵㍢ち戰搹㤸㈵〹愱㝥㤵换づ㌱㘷户攲戹戹㐳㑥っ㈵㠴㔵搰㔳㑡愷㘲搸㈵㘱攱㘰扤昸摡ㅣ扡㝣㈷搰㜶㙥㐴㕡戳愲㌷攲ㅦ挰㌲㘳戳㔹㥣㔹搸㙢㔶㈸ㅥ搴㤶ㅤ捡收攵挵挲戶㘶㌳㍢慡戹㝣㘵〰㉤摤㕣㉥捤敦㍤㤱攵戰㉣ㄹ〱㜱㥦挰搷愱挵挷摥㈷㥥㕦㍡昶㜱㙥㘶㘷㝤㐱㤶㐶㡥㈴〸㤳搴㔶ㄴ昶ㄲ扥搴㈳ㄳ昸ち㉤㤷ㄶ攰愶昳㜲戰㈲攱㔱㔷〱㈳㌴㔳㌶ㄵ晡つ慡〸㐶扢扢㜰㑤愹扣㈷㔳㉡敤愱㍥昵愸㔸㘵捥㌴慢㐴㤴㥤づ㠲㔶㐸㔹㠸戶戶〶㜰攸㠱㥥挴愲㕡ち愴㝢㌴㥦敦㜳㑢慣㘸㘹戰摡㠰㙤戵㑢㄰㌸ㅤ㜰㜷㍥慦ㄳ搹昷敤捦㔵攷晡㈶㑡ㅢ〷づ攴㉢〷挴摦愲昷㠴㜵攷散晥挶攱晦ㅣ扢晤戲㡦㜶摥晤捤挹愷㉦摤㈱づ㍢〹㡢搰㈴㘱愲挲戲挳〸㠸㈷㈰㐶慢㠲㜰攳㈳㌷㈰㉥㐷㐸㐶㐱㘰ㅢ搴㘸挳㌴㡣摢㔱㐱愸㐹昳㈰㈷㐸㌶㠲〸攲㑤〵㡡㌷㈱攰㍥攲戳㈸㥦㜳慥收㡤搸㜴昱扣㕤〶㙥㐸㉥㤳㈶㠸㘲㌹㜷㤲㘳㈵㌹㍡㤲㈳㈳ㅥ㐲挱㉤〷攰㐱㈷㘱ㄱ攰㈵㉣㕢〶愲㌴㘰㑣昶戱〱愲㜴㔹㥢㜲昹慡㔹㔶扢㔰慦㠵㉦晢㔸愶攲摤摣㜹换㝡搶㍥昰慣戶挶戱昹攲ㅣ㔸㕤㔰㍢㡣ㄲ㔹戴昹摢㝢攳敦㈱捥㐹〷㜱ㄴ挰㘹㠰㌹换㐰〸㈸㑤ㄳ挸㔹㕥搸愳㐴摣摤㕢ㅡ㈴愵㉦〳㈸戹㔱挹㈸摦㙣㍤搵㘱户㈶敦㔵㐲㑡㐷㤶㠶㍥㔴昶挵㑡捡㑣㑢挲㡣摦㠳戴㔶㑥㌴ㅢ愴㑤㘳攰攴っ挹づ㤲慢㐹慥〱ㄱ㝦〵㘳㐴㌳㑢ㄴ㜷ㅦ㍥摦挶挱㙥扤㐲㐹慦愵捣敢㐸㕥て攲㌱戳搷㈲慡扤ㄱ愴㙢㜴扥㕡敡㜳㈶㌵㈴〴㑦㤴捡敥捥㈲㈰㜷㔲㐲〷戹㜲㡢㤹〷摡㍦㔱敥戱〰㡦愸换攳ㄳ㈸て㍤ㄲ愷ㄶ愶ㄷ㡡搹戹㜲愹〸摦㈱㘱搳㘸ㄶ晥愵㡡搰戵挲㔴㘹㝣扥慡ㄵ戶攴昰搵㔵搸㙥敥㌵昵敡㌸㑥㜳挰㘴㔳昰㈴㈸挴㌵㘹ㅣ昸晦㐴㘴捡戵㠹㠳㜲ㅤ㤴㠹收愵㙢㘳㈳㘷㜸〷㈶㑡昰㔵㥡捡㝢捡㘱搷㌴愰敢㤳㄰㜲昹㘴〶慤扢攳㔷ㅦ扢昴摣扦㝣攸㈵攷晢〶愸愰㝡戴㉣ㄲㅢ㍣ㄲ㡢愰㤴〹㠹㤰愴摣攲敤㕡愵〹晡㉦㙡㕢戲戶ㅢ戱㌶愸㠴扤㉤㝦〰搵戴摣㤶摦敦㈴㉣㜲㜷昴㈱扦挲㈵㐵〴挴晢㈰搶ㅡ㤷散㐵戲扣㡥愴っ攲㔹㌰㔵㍢㉡捥挶户㕡ㅦ昳ㄴ摡〷㈲㕥〵愲㜰挹㝥〴摣㐷扣ㅤ㜵搴㜰〹㥤㈷㡢㍢晡㘶㜰㐳㜲㤹㌴㐱㌷㑢㙤㄰㍣戸攴㉤㑢つ挰ㅦ㍡〹捤ㅥ㤹〰㙤挳换㌸㐹㜷戲挱搶搵㌹㜳㍦愱㝦㡦〵て敤昸㝣愵㕡㔲攷㤴㙥㙢愲㜴㘵愹㍡㤱慢散捤敢ぢ慢㉣㈷㜰捤㥣㔹㠴ㄷ愱っ㘷㐲ㄳ慦戴㜷慦㘹㐸㙢扡㌴㕦捥㥡㤳ㄳ㈷㠳㤷〱晤挳搴㈹〷㠳㕦攰㌹扥㠳㌳㤶戶㠰㤶攰昱〵㉥㐴㠱捤攷ㅦ捦搶㔹㐷㘹㥣搰摥晡㠸捥攴慡㜹戳搳㔲改㉡ㅣ戴㌰㡡㜰捤ㄸㅤ搶捣ㅣ捥〵ㄳ摤搶收㜲捥挸攷㡡㈶㈷〳挸㡦㙥敦㈹㜳ㄷ摣㌰摢㑡㤵ㅣ㠱㝢户㌵㔳搶㡢㤵扤㍣㔱㘶ㄷ㔶㌶挴㤴㈱っ㔸㘳戹㘲〵搵愸㔹㘴戸搷㥡㥥㉢敤挷㑢㥢昹㐲㜱戳扥户㜲㔲捣ち㉣愵昳愸愹ㄱ㝥攱昷㡢愰㍦㜸扣昳愳晤〹㡡㕢㘵㝢戵晢愰愷搵㜲㉥㌳捦〱㔳戵挴㐰摢㐹搴ㅣ晡〲ㄷ㈱戴っ晡㈱〶㜲㥣㘳㜴晣戰慤つ㍥敡㤶㍥㠸摡㥢㌰攲ㅥ昹㔶收㜹ㅢ挸㘵㥢㜷㑣搶㕤愲扦搵晢慢〰摤㉢捤摢㑡戳收搵㍣㔰㍣〶昵搸㉡㐴ㅥ㌵ち㉢ㄳ㥡挰㔸戳㕡㠶㉣㈵㐳つ敤愹〷㌷挱㠹搱㘵㑤改ㄹ㌳て摦㑢㐱慦昶搸ㄱ㈲㐱扣摦愸㌸㘹攳愵㐲㐱愷捡㔱㕤愷戳㝡摥っ㕡㐴ㅢ㔷攴㡡搲〲㔱㝡改戰昴〳㘰改〷ㄴ慢换摡㑥㥦慣ち戳慣搲㉥扤㡣㘳㘹㈱㤷つ㌲㐲扦改㐹愱慢戰ㅦ昴㡡戹㡦㙢㑢㥡㘱㡤扤挱㘳扡〷〰攲㌹㜴㥣㝥㘸戴㕦㘸昸㈷㡥搳㘵〷换愳㌶ㄴ昹㜶㤴ㄶ㈰搸愳㈹㔲捦ㄱ昷昵散㤱ㅢ挰㔱挶㐹㕣㑣〱㝣攴㍢㥣〰㈳敤㜴㝡㉤敢捦愱㙢㉣㌴㔵搲㡤㑤㌸㜷㤶捡ㅤ捥晢搶㈰愶㤶愶愶ㅣ愶㠷㙤ㅣ㑥㕢㌸㠳昷攵っ戳ㅣ㈴㘳ㅡ㔰慤㥤扥㌹捤㥥㐳㙣摤㙤扥㐰愰㌳搸慡慥㐹户慣㜵㡥摦挲晢ㅡ㜹㜲㔱昹㍦扦㉡戵㠱㙥㥡㔰㐸㙤㔱敦㐴㔰扥ぢ㐴扣ㅡ㠴晤㘹ㄲ㜸㌷〵晥っ㈴㄰〱㘹㥥㥢㐶㘷㤷攳ㄲ㙢㔷㙦㉡改㠶ぢ挲㘵愵晣㜷〱搵㤱㑥㡦摦㑤戳㕤㙥㐱昷昵愷㌶つ㉤㌷㡤㤰㙤㕦〹㔴㌹ㅤ㝥㝦㍢愶㕡㙢㜶〸㉣慡ㄶ㠵ㄵ愶㑤攵㤰ㄳ散㥤昶ㅥ㤰㑥㉥ㄶ㤴㍦㍢㍣㌶戴〸㍣㠴㐲昲㈶挸昸㐲㈲〱敡㜶扣㠷ㅣ㝢㘴摥㠷愰㍣〸㈲攸㡡攱昶敦搹慣〴晤㉦摣戰㝣㤲〶㔲㍤㑤挶㔰㡣㠰㑢㠳㈸㍦〰㈲㐶㐱㘸㘷㙡㝡㜷㌳挲㐷搷扢㜱收挰㐷㝥搰〹㌰㈲㈶㐰摣㈶户㈱散㌴昹㉦㄰㤴户㔰㠰晥㥥ㄶ〲户㔲攰㐳ㄴ愰ぢ㠸ㄳ慡摤〶攲ㄹ愸㔴慢㠱扡ㅤ㌲ㄸ愸换㐰摤㐲㍤〳㜵〷搸昲㄰㐸㠰〷慣㘵散㈸攰愷攷ㄸ捥ㄲ㌴㙢㐷㌱㔷㠵㠹攳㑣㙤捡㔵㌱㔹㕤ㄶ〸㠲敡扣㝣㠶㌲㝤㥥㑣晤㌵㐸㜵搶攲愴〶㡣㜵收攲㜴㉦攸㕡搷㈲搹㠶㘳ㅥㄴ㜶㌴㈱〵换㕡戴昱㘴挲㘹挲㍥㐲㌹㔰㑤㥣扢戴户挱㌳敥摣㙡㝦ぢ㔴愷㝤ㄸ昹㍢挷㜹㍢愱㘰挲ㅤ㔷昱挹㍢挱㠱㈲ㄳ散挹扢㄰㈴攰攳㔱㝣㜹㜵昱㌸㘲㘸慤㐲〴㝤㌶慦摢昱昴㑤ㄶ㉢㌰㥢㈱㈷㠶㑤戱挷〹㙥㥤慦㌶愴攸〷㔶㌹㈹昰攴㙥㉤〲捡㘴昵戲㜱㤲散㠳攸㥢つ搷搴㤶㜶扣㔰ㅡ愵攰㌹昲㤲晤敤挳敥ㄵ㤲㜷㈳挲戱愶挷攳攵昸戱㜸ㅥ敢收㜰搷摣㕢㐱挶㜸昳㐲捤㠲㝤昳㐲㥤㙢戶㤹㌸㤴㘰慡昳收㉡㤵愱ㄶ㔵㌶㕦㕡愳㤹ち㌰㜲㤵〰挸〹愹㐵㉦慤敤㈶㥤收晢㑣攰ㄵ㈷戴㉤㕢㠵搷戶㔶〰㕦愹㥥㍣㌳㠴ㄱ㘹㜷㘶㐹愸㜹搲㤶㔱摥挶㑥㜰㍤ㅤ晦慣㕡敡昹挵〶ㄱ攷昳ㅦ㘷㡥昸㙥扤㠵捦扤ㅢ㥣㤳ㄳ㍤㔹换挰㙥搸㕤慦搳㤱㉢㘹㤵敢ぢ户慤㥤㌲㘴㕤㉥㡦搸扣㥢㘷愸㜲ㄵ昷づ㜸愱愴㤷㑢㈷て昰㔲捤〱㠶收ㄷ㝡慣挹㘲㌶㍦㙦㤸ち挳扡昶㕢㐱搹㤳㘲扥搴戵㍡㝢慥㤶ㄹㄷ㘷㔰㈶㜱户捥㝤て㝤摣〷㔹㈱㍦㠲㘱搵㍥ち搲㌶㍣㌹挸㔳慤扣〷ㄱ慥㍤晡ㄸ㕦戶㤷㌷㠴㑣㉢敢敦㈸搴昵㉥㤸户㐵㉣摡㌵㝡敢㙡㡥㘲戵敡㍣㘲㔳愵愹ㄲて挳ㅥ搶㤶㥣捤㍡㈹收ち晤戴㡤㥦愶〱捤ㅦ攷㉡㘱㈱㌷㕥㌱挲㉦摦㘳摢㐶㥥昹攴〷晦晢㐷㑦晣㜲㠳㄰㌶㝡愷ㅢ搷㐶㙢㔹㈵〲㄰㐵戴收慦ㅦ㕤〵㥤扣ち慤摤㡢㠰愰户搷㐶㙢㍥挹捤㑣摥㐷敥㔱㑦〹昴ちㄳ愰挹晢㐱〲捥㐷搰ㄳ散攲㈶㕡〲〷慤㍤㠰愰㝣㄰㐴散〴㘹㈱昰㄰〵ㅥ〶〹㘴㐰㥡㡤捤㤲㝥㑦〲挲㐰㠱〸㍡㔸攰㐹〲㑢㔵挳㝢㜳昸㜵㜱ㅡ搱㍡㠳㍡㡢晤㌸挸㔷㥦㜹㠶搰搶㈷㑣㄰户㝥晡收㥣〶㝥〲㐱昹㐹ちㄴ㐱㥡ㄱ昰㕥昰㡥㠲㠰改〷㔴㘳晡〸ぢ㈹㠳搸㘳敡㥣扣㍥つ挶搱ㄱ㌰ㅤ㠷㙡㑣㍦攳〴ㄸㄱ昴ㅥ扡㑤昶㈰攰捦㠲㉤ㅦ愵〰㍤㡢㉤〴晥㥡〲㥦愳〰㥤㡤ち〱㝦ㅥ〱て〲㑥户㐲挰㕦㠴っ㄰㌰ㅤ㡥㙥愱㍤攴搸㐷㠵挷㄰㤴㡦㠳㠸户㤲㌰昶㠴ㄳ㘰㈴挰㈳㘶昳挹㘹搱愹㤶㐷㘱攰ㄸ㥣㙦愷慢ぢ㜹昸ㄴㄸ攴㐹捡づ㜱㈶敤㘴㥣敦㑡㘵㔸戸昶收㤷㐰戵扣攷愱愸捥搵㑤昷㜸㔴㌶愶扣つ㥦挰㌰晣㥣㑢收㘷愳敢㉦昵㤹㠷㡦㜶ㄸ㘴昵ㄵ戹㙣戹㔴㈹㔹搵扥㘹昸换晡㜸㉦捡挲㐰㡥〶㉥㐵㠹㉤敢㘴挷摡㡢扣㤹扡㡦昷〴㐲㝢㡡愵晤㐵搵㥡㐰㠵搷挳搴㜸㜵㜴戰ㅡㅡ㍤昵扣ち愳ㄸ㝥〷㠲㘱㝣攴㤷㐰扡㝢挳敦挴ㄷ攷㕡㝢ㄲ攴摣昱戱昱敤戳㠹㘸㑣ㅦ戲戲改㜸捣㑣㈶〶㌳㠹㜴搴㡣㥡㤱㘸挴捡ㄸ㝡㈶㤶㐹㘸㑦搵㐴〷慤㤴㘱㈶愲㝡㌶㤶㡥㈵攲搹㘴㕡搷㤱㜵㌰㘱愴㤲㠳㘶㑣ㅦ搴扥㕣ㄳ㑤つづㄹ搱㘸㌶㤵㠹㤹㔶㈲㤹㑥敢㠳愹㤸ㅥ挹㐶㤲搹散㘰㙣㜰㌰ㄹ㝥ㄷ㐴搹ㄲ昹㌴挹㔷㐸㥥〱〹昳戰慣昸㕦㈵敢㙢㈴㕦㈷㥦攷攷扡㍣㐵㔵愶挰㑤〸ㅤ敢搹㤶挳㈸㌲㈲㉢っ㘱戶㜷㜴㉣㐲昲㡢捥挴戵㍢㈷㥡㈶㤱㌷㜰㌱㈶愸ㄹ晥户捥搴㌸晦捣慣ㅡ晦㉣〲昲㥢㈰愱㌰て挷㙣㤰昶㉤㤰ㄵ攳㘳戳㡤㌷㤲戵㙦㠳扤ㄲ㙣㕣㤱㜰㉦㑤㔰㤵戵敦㠰摦〵扥摡愴戶攳ち㥡昶㕤㜰㝡挰昱昸〶挳〷挱㘳改昲㝢㈴㤷㤰搰㉣愹㑢扥㐲㥤愶ㄹ晢〱〸㕢慡㍥㍣㑤㜳㤹㠹戳搱㑢㉡㌷挲㍥㜹㤸ㄴ捡㈹捥〲㠷ち摡愸㘰ㅦ㐴愲㔲戰攷㄰㠰㠲昱晣捣㥥㙡㍦〲㜱ㄴ捣ㅣ捡㈶ㄲ㠶㡥敢敥搹㐴挴戰㜴攸搰愰㥥挹㥡搱㤸㤵㡣㥡〹敤昹㥡㈸㔴㘹㌰㘶挶㉣㌳㤵㡤㈴搲㤶㤱戶ㄲ㔶㉣㥡㌰攲㔹㉢㌲㘴㈵戲摡扦搶㐴搳㔱ㄴ㌷ㄸ戱愲愹㜴㈶ㄱ㌵攲晡㔰ㄶ捡ㄹ㑢ㅡ挹㜸搶㑣㈵㘳㘱ㅥ攲搵㤸晦ㄸ〱昹ㄳ㤲ㄷ㐰挲户扡晣㝦㈳敢愷㈴㍦㈳㥦㘷晡ㄶ昲㠲㈷㜷㉡㤹㔸㠱捥㔳〱㤴搰ㄱ㜰攴慦㐰㐲攱㍢㐰搵㔰㜳㈲㈵愷㑤㜲㡥㈴愷㈵㝣〸㐴㈵晥ㄷ㔹㙡ㅥ㔶㌳挴㑢㉡㠱㍢㐱㥡搵挹攳㌴昵㥣㈶戱敤昸挲㥥㈳扥㔲捣ㄵ搶㔵昳㝡ㅥ户搷户〲㕢㔶挹㍡ㄹ搰㐸扢㡤昰㡦扡㈶㔵ㄷ㕥㝦㉤㤷㐶昳ㄸ㌴㉥㈹愷㙦敡敥搷昱㘱㥢㔰㐰挳扣ㅤ㕢㉤慤ㄷ㙥㐸晥て摡〹㈴㉡敥挲㌷㘵攴㙦㐰晣昸㘸㘴摣㑤㠲㡦㝣ㄱ挴㝤〲ㅦ㐱攸搸挱㌳昳慦㠲㔱㜷㝥挰㐲ㅦ㜳㝦ㅥ攷㠸㘳㜰改晦㉦戲㡡㝢㐸昰㤱㕣戸㙣ㄹ㍦攲㕥ㄲ㝣㈴㈹〳搴㐶㜱ㅦ㠸㕡敢㉦晤㙦㝤慤㙢㝥愴㉦戹㍢㠹ㄷ㈱扡搸〰㄰愶㈹〳挰〳㠳っ㤰㘸㈴ㅤ㈴㐱㤰敥捥昰〳㑥戵㥡㐴摣㌶ち㐶㔲㡦挶㤳㘶㈲ㄲ㑢㈶ㄲ戱戴愱挷㌲改愱㔸㈲愶愷搳昱㠴㤵㑣㙡愱㥡㘸㉣㥤㑣㐵捣㘸㜲㌰ㅡ㠹㈴㤲搹戴㙥ㅡ㤱挴㘰搴㌲㌲改㤴ㄱ㡤挴戴捥㥡㘸㌲㤳㌱愲㐳㠶㌹㤴㡡愴ㄳ搹㜸㉣㥤㐸敢㔹挳㌴ㄳ㘶㍣愹㈷㡤㡣搶㔵ㄳ㡤挷㔳㐳㤶㠹㝤捣㌲攲㠹㔴㉣愲㕢㐳搱㔸㑣户㡣愱㜸㌴㥤ㅣ㑣㠷ㅦ㜴ㅡ㉤扢㤱㐷昶㤰昴㤲㠴㐱挲挴㤵㙡㔹慦㈰㙢㈵挹㉡㤲搵㑣㝣搸㑤愴愸㥤㐹㘵㘷㐱扤㐴㡤㌴愱㔴㥢ㄳ晡㠴㠹㌵㔹慡戶〶昵㜴捣捥攸攵㕤㘶㔵㍢〳㤱昶搹愹改㈹㙤慤ち敤㤸㥥慡㥢㈷㐹㤳ㄵ㈶㍥㘵挶愰摤愶ㅢ户㡥戸愱㉢摣㄰づ〴敡愲扦㝤攵晦㙣㤴㈴ㄴ㈰㐵㉥㜹づ㘳〸愸捦愷ㄱ㔰㡡昵㑦ㅥ挵慡㙦㈲摦㙦愹㐳㠴愵㑡㠷捥㐳ㄹ搸㐴〸㐱㘹㘵戵昳ㄱ户昵㈵愶㘷攲〹攸㠶㤹㐸㐲㑢攲扡㥥捤愴搳ㄱ㉢㥤㡤㐵㘲㔱摣搰搷㉥愸㠹㘲㌷ㄸ捡㐴㔲㌱㔳㌷搲㠹㐴㌶㥡戱㔲挹愱㉣㜶㥤戸㙥愶㜴㌳愶㕤㔸ㄳ㌵㡣愱㙣㝣㘸㈸ㅤ㌷昴㘸〲扡㤰ㅡ㑡〳㥢㈴㤲ㄱ㌳㥤㠹㕡昱㘴昸㔱愷㈵昲㈲攴㤱晤㈴敢㐱挲挴挰㙡ㅦ㘸摡㐴〸㡢ㄵ㥦㔲戶㍣㜳ち㠲摦㥢昰ㄱ㕦挵〰搴㌶㤱〴㠵㤲㈰愱昰㘳㐸㔴ち搵㙡ㄳ㜹摣㑤扣㠴ㄹ搴㈶㜲㌶㔸戲て㈴晣〴〹㘳㝦㠰挴敥摥挰㤷㄰扥㜴㘹ㄷ愵〷㈴昴攳昴摥㜰㡤㝥㈳慥挵㉦搰㙡戴攱捤㠹晤扥愱摤㝦挹昱㤵㐵昳ㅥ㐴㔱晣〴ㅥ㐷慦㝦㡢㜲搰㌱て㤸㘶㠹㘷攱㈳㐷挰て㄰㍥戶昴っ㌴晦扡挷晢慢㉢㉡晡㈹㠵挹ち攰ㄳ㕣慢㌳愵搱摡㑦扦㔶戸戰慡摦扤摤㝤㙥㥤攳㍡摦摣㙣㕢换戵㝣戸㉤つ㘰㡥㠴㝥摥〵㍦愵ㅥ昳扣慦㔹㕢攷挲攷ち㑦㤰㘹戸㈵㔶昰㑥愳摤摦戶攸㘶㡥㐲〳捥㡦扣昸㠲㠶愵攱㤷ぢ㤳〶㑤挸摡ㄶ㙦慢挶㜲㔵昵戶㤷㠰㐱挸㈷㐱戵㌱づ搳昰扡㑤敢㠶〲㥦挷㍣㌴ㅦ㠲㤷慣愲㜱搴㔹㈱㌵㍢㈴㈷㤰㈰〸搸㌹昴㐲㍥〵慡㙤戲敢ㄸ㐷ㅤ㥦㐵ㅤ㉤㙦㜹㌸摤〰㥥㜵挷㘱㘳㜱扥戰戸ㄶ㤴㠷㕡戶戰ㄶ挲㝣扢㤶㉦戳㤶换散㕡㌶慥ㅢㄲ㡦愰ㄶ昶㠶摡ㅡ㤲㔳ㄴ收㠱㠱㉣戶㔲昰攰攰愶ぢㅥ㈰搸㉣㝣昹㝡〹挱〳昸搸挶㡥㉣昵ㅣ搹攰〴㐶散敦愰昳ㅤㅥ改㈵㕥㔷㌹慥ㄵ㘷ㅦㅣつ晣昰㠶收㑢㐷㉡挷捥慣㤳㘳摤㠸昸ㅥ㌸㙡㑤愶㄰昰摣㤹㜹ㄸ㡤㘸㜹㘹攸㈱㈷愱昹㌲㜳㤸〸㕤㤵戴ㅤ㕤散敥ㄵ捦㈱捥ㄵ㉥ㅥ㐰づ㉥㉢戵ㄲ㘶搸晦ㅦ㠳㙤て搶㡦㄰搲慥〶㑦㑤㝢㑡摣ぢ㌹㜷㘴㐲昲㌵ㄴ晥㐹㑤昸㜹ち扦捥ㄶ摥戸㉥㈵㍥攲〸摢㈳晢〶ち扦㔰ㄳ㈶晥搶摥㘸ぢ㡦㐳昸挳㄰㜶㐷㌶㈴㜷㔲㤸ㄶ搱慤㑣晣搴㠹戰㌰㐱㤸敤ち昷ㅥ㐱攴攵㑤〳搱昶搱愷挱昷摡ㄱ挸攱㔹㍤㈲㠸戹㕢㑤挳㙤㘸㜵换㘹昸㤰㤳搰㝣愵㕡㄰晤愱㜳戸㡦挴㉥㍡㤱㌰㈱愰㉡㝦ㄷ㔸㜲づ愴扢㈷散㈲㐰愱㐰ㄹ昳攴㤰挰〱㌸㤳攲㔴㐲㤵㘷㌷昳散戱昳戰㐸挵捣㌳摥㉢㠸愵搴㉣扦ㅦつ攲㉣㌳㉢挰㤴㈰扥㔲〹〷㥤〴扡㔰敡扢㌵㝣敡㑥晡晢㥣昴摥㝡㍡昶㜰㐱㔴愶昲摦攴愴慦慤愷㘳摦ㄷ愸挳㑥㝦慦㤳慥搴慢っ慥㈰㝡戱搵㡢㈸㑥攳搵ㄳ愸搷攴扡挱挰扢㈰㝢昱搲扢㐴摤㜷敥慥晢ち昲㌶ㄹ㜴㌰戰㡥昷㈱㐱㄰㉢搹ㄵ㠵㄰搲づ㠰愰愲戱㜵㠹挰㥦愲愲攵㑣ぢ㙡㜲慢㘸㙤㕡㙣㥤㝥ㄳ㙢㈱㤶戳㙢㈱㝣搴慥户㙢ㄹ㕦㤷㄰㝦㡣㕡㔸㤳㙤敤摥㐲㘱〲㌹㕢戸㡢挲㌷摡挲ㄳ㄰扥挱ㄱ收摥ㅤ㤲㝦㐴㘱㐲㐲收㈷㑢㄰ㅡ扡㠵〹㐲㐴㐶搴㙡㈰㔴攴挸戱攷㠲㠸慡慥愹扢挱戲㙦ㄹ扥〹〲㉤㌵㜵挱㐹㘸扥㘵ㄸ㈶ㅡ㔳㈵扤ㅤ〱愸ㄲ㈱㤵㥡昱晤挸㔱㌳ㄸ敦〴㔷㕣〴㘲昷㡡㌸㑢㝢㌷〸〶㝡㝣㕤㕡㔴㈰敢慥搴㤰㝣て㠵㠹㝤㙣攱ぢ㈸㝣㤳㉤扣ㄱ挲㈵〸扢愶㌶㈴て㔲㜸㝤㑤㤸㔸㑢晢㠰㉤扣〹挲㝢ㅣ㘱㝢㜰㙦㐶㐲㙦㠲愹攸戱挶㤱愸㍦换ㄸ㘴㐲愶愳㕢㠲㤱㥤㈳㜶㘹挱ㄱ㐱攰㔴ㅦ摦㌴昸昶昸㕡㘸㑥换昱㌵㥤㠴㐵㤷ㄸ㠹戲㕡敡愰㝡摢㙥晦ㅣ搰昳ぢ㑣慥扦㠰㐵挷㑤愷㘵戳〹㡣搴换搶扣㜲攰㜵攱捥㔱ㄹ扦㠱㥣挲搵㍡摣㌴挲敦㘰ㅣ㍦㄰慥摣搱〱敤摥㙡㤱㉡挶捣㥡戵戵㡣㙢㉥ㅤ搶㘴〵慦ㄳ㡤㈰㝥挳㔵挵ㅢ攲攲挹㜰昸㠷㑢戵㥤摡つ慣挰摦㑤晡㕢㝡㌳捦㐳㜲㑢ㄴ㘲て㘱㝤㍣摣㔷㑡㝥㕥㔵㍡扥愳扦㜶ㅢ收换扤㝣㘷㜸㉥摦戵㡢㉣愶搸㍥捦摥攸㔳慢㤰㔶㕡摥づ㜹敤づ㤰㌶〰ㄵ㘵敡㐱㐲昲㄰㌸昶㘵愷昵散㕤㘰〴昱收捥搱扦扣㠹扤㙦晡㠱㘲㘷㈷㝢散㍥敤挴㑦换㐱㌷㉥㡤㡥挲慣捥㍦㕦ㄱ㉣捣收搵て慡㙢㝦戲〲挰づ昷戱攵㥤㈸㠴㔵昱㈳戶㈰挲㔲攵㕤㕥敥㤴换扤摢换㈵㡥愰づ㑢づ㑣扢㜸㕤换㐱戸㠷〲ㅣ㠴晡〰摣㑢ㄶ晢慥㠸㑦捣㈰捥㐱㜰ㅦ㐱㔸愱ㅡ㜱ㅦ〲戵愶ㄱ㍦㈸敥晤㕥敥㑥㤷晢㠰㠷ㅢ收摥慡捥㐰て㈲搰摤㈶戸慢㉡搳㜵ㄵㅡ㐹搳㜵〱㉡ぢ攲晤攲㥣㥢戰捤㐹戸㄰〹昲攳攰㠶戹搷慡㠵晥〹〴攴㈷㐱扡㝢〴户㕡㔵搰㤴㈳㝦慡㔳㄰户㕦㤵㜰戹㤳㜰ㅡㄳ㠲㙡㔰昳㐸攳㐰㘹㥦〲改㜵晦㌶㐰摦㍥攲晣㡡㕦㑣㈲㠷搲㥥㥦挵搶搴戵攷㌳㤰㤵㌴摦敡㐵ㄷ㐶㉦㈴ㅦ㈵换㌳㜰㘵挴㌹㜰㌳户㍣㍡昲㘲晣摡㔱挱㑤㑦つ搱攷㄰愸つㅣ㌷㈹挵晤扣㤷晢ㄶ㤷晢〵㉦㤷摢㡥㤲晤愲㤷换つ挰㌳搳ㅢ摣〶晢扣敡晥〴㠴㥡㘶晡㌰㔹㥥〶㜳慦㘸㤸㘹敥〷慡扡㉦㈱㔰㙢㌰つ扦攲㍥改攵搲挲㉢敥㔳ㅥ㙥攰㜶㐴㡥搹〲㐰昶㜸晤㘲㕦㐶㕥㜱㠸〴㘵挸愷㐱摤收昶㜲〱㤱ㅢ攴㜲敢攵挲愹挷敥昶挶〴ㄷ〳ㅢ㉣扦㐲㌶搷〱晥攳㙤〵㘸慤㌴敡㍣戹㜶㘹搴昵㝡㡣㍡㕥㡢〹敡戶㔲戹戸愳㜲ㅢ㔸搸搷挰敤愵〲㜷㈱搶昱つ扦挰て㘸搶晢㈷摢㥥ㄵ㝦攳㍦攲㝢〴〹㡦㠸ㅥ㕦㠰㑡摤散挶昴㌸㡣㍤㙦攳㜹㐸㤶〵摥晥愰ㄱつㄵ㠸㠷ㄴ㌶搲ち扣㘸㕢㕣攱挸昶搷㘴㔶搶㌸㌵搹㥥ㅡ㑢攵㔹㘳㕦㤳攴㡦㤹㈹搲㕦㉦昴㤴收ㄴ㈵㡦戵捣攵散㍢㘷㘹㙣攸㌶㤰捤つ㡡㘳ㄶっ摡扦㐶晡㍡㠶㠳㡦㤰戵㤰㡡ち慥㝢㘵〰晥づ〱ち〹㔹ぢ愹愸攰㐲㔵㤳晡つ㑡㜰㡤㤲㉦晦ㅥ戴㌶愹㕣㡦攴摡㤳捡㜵㔸㡦㝤愱㈱挶㜵㔷㑢ㄳ㕣㔳慡散㝦㈰晢戰㤳㈶㥦㐵愰㔶㌶㤷づ晥㍢㘵㜳挹搴㘳㕣㉡戵㤸㔰㍡捣戶㝤㤳㍣攷〹㔳㤷㤵㥤晢ㄶ〲昲摢㈰戰㜳㑡㐱㈱搱攰㠵づ㔳㔱㤵攸㜷㈹晡㍤㈵摡㑢㠵扢〶愲晥〳㈲扢搳搸戹昳搷扤敤㝤㘷戴扦㘶愴敢㤶ㅦ㍥晤摣挱㘷摦㌰晣㤳摦摣㜶摢戳捦ㅦ㝣收㌷㥦换っ㍦㜹攷㥤㠷㉦扢攳㤹攷㔶㕡㠷晣㥦晡昵搴愱敢愳㝢慥扦捥摡㜱搱收敢㕦扢晢慡攸戶ㄵ晤㙤㙤ㅤㅤ攷慦㝡敡昴ぢ挲㌷㕥昷ㄹ昱昸㜷㑦㉢〶㌸㈳挷㌰㥦㤰㍡摥挵晤㝤攴ㄵ㥣㔶㔶㈵晦㤱㌱㌵㤹摥〱〰搳ㄷ收愴慡㝤攵〷ㄴ晣㘷㤰㙥扦㔰㜳攳ㄵ㐵搸ㄷ收ㅣ愹戱晡ㄷ㡡㍥㐷搱㥥㌰〷㥥捣敥戰攰㘸慢搵晢㑡㘷昵㉡攱攷挱ㄵ㥣〳㤵戴搶㐹ㅡ㐳㤶㈰捥㙣ㅣ㜶㤵㜰挶愲㍣㥣っ㤵戴愶㈹㡦敡ㅢ昲换ㄷ㈰攱㍥㐲昵㜱ㄱ㤷扤㔲㠵㥣收㉤晦愷攰ち昶㔵㈵㥤搲㔴㍥扢愷ㄲ㔶㝢昳愸㝥戰搳㉡㘹㘵㔳ㅥ愶㔲慤㐳㘱户㔱㠲㤵㈸㑤晦㈵〲㐲ㄱ㌶敦〸㘲㝣愸敤㘱㐶散搱敢晣㍦昲搸扣て</t>
  </si>
  <si>
    <r>
      <t>Keywords:</t>
    </r>
    <r>
      <rPr>
        <sz val="11"/>
        <rFont val="Calibri"/>
        <family val="2"/>
        <scheme val="minor"/>
      </rPr>
      <t xml:space="preserve"> injection molding, design of experiments, DFSS, design for Six Sigma, tolerance analysis, Cpk, cell referencing, process capability, regression, scatter charts</t>
    </r>
  </si>
  <si>
    <t>* Relevant section is shown at bottom of report</t>
  </si>
  <si>
    <t>Back to model</t>
  </si>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</sst>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
  </numFmts>
  <fonts count="19" x14ac:knownFonts="1">
    <font>
      <sz val="10"/>
      <name val="Arial"/>
    </font>
    <font>
      <sz val="11"/>
      <color theme="1"/>
      <name val="Calibri"/>
      <family val="2"/>
      <scheme val="minor"/>
    </font>
    <font>
      <b/>
      <sz val="10"/>
      <name val="Arial"/>
      <family val="2"/>
    </font>
    <font>
      <sz val="10"/>
      <name val="MS Sans Serif"/>
      <family val="2"/>
    </font>
    <font>
      <sz val="8"/>
      <color indexed="81"/>
      <name val="Tahoma"/>
      <family val="2"/>
    </font>
    <font>
      <sz val="8"/>
      <name val="Arial"/>
      <family val="2"/>
    </font>
    <font>
      <b/>
      <sz val="11"/>
      <name val="Calibri"/>
      <family val="2"/>
      <scheme val="minor"/>
    </font>
    <font>
      <sz val="11"/>
      <name val="Calibri"/>
      <family val="2"/>
      <scheme val="minor"/>
    </font>
    <font>
      <sz val="11"/>
      <color indexed="8"/>
      <name val="Calibri"/>
      <family val="2"/>
      <scheme val="minor"/>
    </font>
    <font>
      <b/>
      <sz val="18"/>
      <color rgb="FF1F497D"/>
      <name val="Cambria"/>
      <family val="1"/>
      <scheme val="major"/>
    </font>
    <font>
      <sz val="18"/>
      <color rgb="FF1F497D"/>
      <name val="Cambria"/>
      <family val="1"/>
      <scheme val="major"/>
    </font>
    <font>
      <b/>
      <sz val="11"/>
      <color rgb="FFFA7D00"/>
      <name val="Calibri"/>
      <family val="2"/>
      <scheme val="minor"/>
    </font>
    <font>
      <i/>
      <sz val="11"/>
      <color theme="1" tint="0.34998626667073579"/>
      <name val="Calibri"/>
      <family val="2"/>
      <scheme val="minor"/>
    </font>
    <font>
      <b/>
      <sz val="11"/>
      <color theme="1" tint="0.34998626667073579"/>
      <name val="Calibri"/>
      <family val="2"/>
      <scheme val="minor"/>
    </font>
    <font>
      <u/>
      <sz val="10"/>
      <color theme="10"/>
      <name val="MS Sans Serif"/>
      <family val="2"/>
    </font>
    <font>
      <u/>
      <sz val="10"/>
      <color rgb="FFFF0000"/>
      <name val="Calibri"/>
      <family val="2"/>
      <scheme val="minor"/>
    </font>
    <font>
      <u/>
      <sz val="9"/>
      <color rgb="FF0070C0"/>
      <name val="Calibri"/>
      <family val="2"/>
      <scheme val="minor"/>
    </font>
    <font>
      <b/>
      <sz val="11"/>
      <color theme="1" tint="0.249977111117893"/>
      <name val="Calibri"/>
      <family val="2"/>
      <scheme val="minor"/>
    </font>
    <font>
      <u/>
      <sz val="10"/>
      <color rgb="FF0070C0"/>
      <name val="Calibri"/>
      <family val="2"/>
      <scheme val="minor"/>
    </font>
  </fonts>
  <fills count="7">
    <fill>
      <patternFill patternType="none"/>
    </fill>
    <fill>
      <patternFill patternType="gray125"/>
    </fill>
    <fill>
      <patternFill patternType="solid">
        <fgColor indexed="11"/>
        <bgColor indexed="64"/>
      </patternFill>
    </fill>
    <fill>
      <patternFill patternType="solid">
        <fgColor rgb="FF00FFFF"/>
        <bgColor indexed="64"/>
      </patternFill>
    </fill>
    <fill>
      <patternFill patternType="solid">
        <fgColor rgb="FFF2F2F2"/>
      </patternFill>
    </fill>
    <fill>
      <patternFill patternType="solid">
        <fgColor theme="6" tint="0.79998168889431442"/>
        <bgColor indexed="65"/>
      </patternFill>
    </fill>
    <fill>
      <patternFill patternType="solid">
        <fgColor theme="9" tint="0.59999389629810485"/>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s>
  <cellStyleXfs count="6">
    <xf numFmtId="0" fontId="0" fillId="0" borderId="0"/>
    <xf numFmtId="0" fontId="3" fillId="0" borderId="0"/>
    <xf numFmtId="0" fontId="11" fillId="4" borderId="1"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14" fillId="0" borderId="0" applyNumberFormat="0" applyFill="0" applyBorder="0" applyAlignment="0" applyProtection="0"/>
  </cellStyleXfs>
  <cellXfs count="67">
    <xf numFmtId="0" fontId="0" fillId="0" borderId="0" xfId="0"/>
    <xf numFmtId="164" fontId="0" fillId="0" borderId="0" xfId="0" applyNumberFormat="1"/>
    <xf numFmtId="1" fontId="0" fillId="0" borderId="0" xfId="0" applyNumberFormat="1"/>
    <xf numFmtId="166" fontId="0" fillId="0" borderId="0" xfId="0" applyNumberFormat="1"/>
    <xf numFmtId="0" fontId="2" fillId="0" borderId="0" xfId="0" applyFont="1"/>
    <xf numFmtId="0" fontId="6" fillId="0" borderId="0" xfId="0" applyFont="1"/>
    <xf numFmtId="0" fontId="7" fillId="0" borderId="0" xfId="0" applyFont="1"/>
    <xf numFmtId="165" fontId="6" fillId="0" borderId="0" xfId="0" applyNumberFormat="1" applyFont="1" applyFill="1" applyBorder="1" applyAlignment="1">
      <alignment horizontal="center"/>
    </xf>
    <xf numFmtId="2" fontId="6" fillId="0" borderId="0" xfId="0" applyNumberFormat="1" applyFont="1" applyFill="1" applyBorder="1" applyAlignment="1">
      <alignment horizontal="centerContinuous" vertical="center" wrapText="1"/>
    </xf>
    <xf numFmtId="0" fontId="6" fillId="0" borderId="0" xfId="0" applyFont="1" applyFill="1" applyBorder="1" applyAlignment="1">
      <alignment horizontal="centerContinuous" vertical="center"/>
    </xf>
    <xf numFmtId="0" fontId="8" fillId="0" borderId="0" xfId="0" applyFont="1" applyFill="1" applyBorder="1" applyAlignment="1">
      <alignment horizontal="right" vertical="center"/>
    </xf>
    <xf numFmtId="0" fontId="8" fillId="0" borderId="0" xfId="0" applyFont="1" applyAlignment="1">
      <alignment horizontal="right" wrapText="1"/>
    </xf>
    <xf numFmtId="0" fontId="7" fillId="0" borderId="0" xfId="0" applyFont="1" applyAlignment="1">
      <alignment wrapText="1"/>
    </xf>
    <xf numFmtId="0" fontId="6" fillId="0"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0" fontId="7" fillId="0" borderId="0" xfId="0" applyFont="1" applyFill="1" applyBorder="1" applyAlignment="1">
      <alignment horizontal="center"/>
    </xf>
    <xf numFmtId="0" fontId="7" fillId="0" borderId="0" xfId="0" applyFont="1" applyFill="1" applyBorder="1" applyAlignment="1"/>
    <xf numFmtId="0" fontId="6" fillId="0" borderId="0" xfId="0" applyFont="1" applyFill="1" applyBorder="1"/>
    <xf numFmtId="2" fontId="8" fillId="0" borderId="0" xfId="0" applyNumberFormat="1" applyFont="1" applyFill="1" applyBorder="1" applyAlignment="1">
      <alignment horizontal="right"/>
    </xf>
    <xf numFmtId="1" fontId="8" fillId="0" borderId="0" xfId="0" applyNumberFormat="1" applyFont="1" applyAlignment="1"/>
    <xf numFmtId="0" fontId="7" fillId="0" borderId="0" xfId="0" applyFont="1" applyFill="1" applyBorder="1"/>
    <xf numFmtId="2" fontId="8" fillId="0" borderId="0" xfId="0" applyNumberFormat="1" applyFont="1" applyAlignment="1"/>
    <xf numFmtId="2" fontId="8" fillId="0" borderId="0" xfId="0" applyNumberFormat="1" applyFont="1" applyFill="1" applyBorder="1" applyAlignment="1">
      <alignment horizontal="right" vertical="center"/>
    </xf>
    <xf numFmtId="2" fontId="7" fillId="0" borderId="0" xfId="0" applyNumberFormat="1" applyFont="1" applyFill="1" applyBorder="1" applyAlignment="1"/>
    <xf numFmtId="0" fontId="6" fillId="0" borderId="0" xfId="0" applyFont="1" applyFill="1" applyBorder="1" applyAlignment="1">
      <alignment horizontal="left"/>
    </xf>
    <xf numFmtId="0" fontId="7" fillId="0" borderId="0" xfId="0" applyFont="1" applyFill="1" applyBorder="1" applyAlignment="1">
      <alignment horizontal="left" vertical="center"/>
    </xf>
    <xf numFmtId="0" fontId="6" fillId="0" borderId="0" xfId="0" applyFont="1" applyFill="1" applyBorder="1" applyAlignment="1">
      <alignment horizontal="right"/>
    </xf>
    <xf numFmtId="0" fontId="7" fillId="0" borderId="0" xfId="0" applyFont="1" applyBorder="1"/>
    <xf numFmtId="0" fontId="7" fillId="0" borderId="0" xfId="0" applyFont="1" applyBorder="1" applyAlignment="1">
      <alignment horizontal="left" vertical="top" wrapText="1"/>
    </xf>
    <xf numFmtId="2" fontId="8" fillId="0" borderId="0" xfId="0" applyNumberFormat="1" applyFont="1" applyBorder="1" applyAlignment="1">
      <alignment horizontal="right" vertical="top"/>
    </xf>
    <xf numFmtId="2" fontId="7" fillId="0" borderId="0" xfId="0" applyNumberFormat="1" applyFont="1" applyBorder="1" applyAlignment="1">
      <alignment vertical="top"/>
    </xf>
    <xf numFmtId="0" fontId="7" fillId="0" borderId="0" xfId="0" applyFont="1" applyAlignment="1">
      <alignment vertical="top"/>
    </xf>
    <xf numFmtId="0" fontId="7" fillId="0" borderId="0" xfId="0" applyFont="1" applyBorder="1" applyAlignment="1">
      <alignment horizontal="left" vertical="center"/>
    </xf>
    <xf numFmtId="2" fontId="8" fillId="0" borderId="0" xfId="0" applyNumberFormat="1" applyFont="1" applyBorder="1" applyAlignment="1">
      <alignment horizontal="right" vertical="center"/>
    </xf>
    <xf numFmtId="2" fontId="7" fillId="0" borderId="0" xfId="0" applyNumberFormat="1" applyFont="1" applyBorder="1" applyAlignment="1">
      <alignment vertical="center"/>
    </xf>
    <xf numFmtId="2" fontId="8" fillId="0" borderId="0" xfId="0" applyNumberFormat="1" applyFont="1" applyAlignment="1">
      <alignment horizontal="right"/>
    </xf>
    <xf numFmtId="2" fontId="7" fillId="0" borderId="0" xfId="0" applyNumberFormat="1" applyFont="1" applyAlignment="1"/>
    <xf numFmtId="11" fontId="7" fillId="0" borderId="0" xfId="0" applyNumberFormat="1" applyFont="1"/>
    <xf numFmtId="0" fontId="9" fillId="0" borderId="0" xfId="0" applyFont="1"/>
    <xf numFmtId="0" fontId="10" fillId="0" borderId="0" xfId="0" applyFont="1"/>
    <xf numFmtId="164" fontId="6" fillId="3" borderId="0" xfId="0" applyNumberFormat="1" applyFont="1" applyFill="1" applyBorder="1" applyAlignment="1">
      <alignment horizontal="center"/>
    </xf>
    <xf numFmtId="0" fontId="0" fillId="0" borderId="0" xfId="0" quotePrefix="1"/>
    <xf numFmtId="0" fontId="7" fillId="0" borderId="0" xfId="0" applyFont="1" applyBorder="1" applyAlignment="1">
      <alignment vertical="top" wrapText="1"/>
    </xf>
    <xf numFmtId="0" fontId="1" fillId="5" borderId="2" xfId="3" applyBorder="1" applyAlignment="1">
      <alignment horizontal="center" wrapText="1"/>
    </xf>
    <xf numFmtId="2" fontId="1" fillId="5" borderId="2" xfId="3" applyNumberFormat="1" applyBorder="1" applyAlignment="1">
      <alignment horizontal="center" wrapText="1"/>
    </xf>
    <xf numFmtId="0" fontId="1" fillId="6" borderId="2" xfId="4" applyBorder="1" applyAlignment="1">
      <alignment horizontal="center"/>
    </xf>
    <xf numFmtId="0" fontId="13" fillId="0" borderId="6" xfId="0" applyFont="1" applyFill="1" applyBorder="1" applyAlignment="1">
      <alignment horizontal="center"/>
    </xf>
    <xf numFmtId="2" fontId="12" fillId="0" borderId="7" xfId="0" applyNumberFormat="1" applyFont="1" applyBorder="1" applyAlignment="1">
      <alignment horizontal="center"/>
    </xf>
    <xf numFmtId="0" fontId="13" fillId="0" borderId="3" xfId="0" applyFont="1" applyFill="1" applyBorder="1" applyAlignment="1">
      <alignment horizontal="center"/>
    </xf>
    <xf numFmtId="0" fontId="7" fillId="0" borderId="4" xfId="0" applyFont="1" applyBorder="1" applyAlignment="1">
      <alignment horizontal="center"/>
    </xf>
    <xf numFmtId="0" fontId="7" fillId="2" borderId="4" xfId="0" applyFont="1" applyFill="1" applyBorder="1" applyAlignment="1">
      <alignment horizontal="center"/>
    </xf>
    <xf numFmtId="0" fontId="7" fillId="0" borderId="4" xfId="0" applyFont="1" applyFill="1" applyBorder="1" applyAlignment="1">
      <alignment horizontal="center"/>
    </xf>
    <xf numFmtId="0" fontId="12" fillId="0" borderId="5" xfId="0" applyFont="1" applyBorder="1" applyAlignment="1">
      <alignment horizontal="center"/>
    </xf>
    <xf numFmtId="165" fontId="11" fillId="4" borderId="1" xfId="2" applyNumberFormat="1" applyAlignment="1">
      <alignment horizontal="center"/>
    </xf>
    <xf numFmtId="0" fontId="15" fillId="0" borderId="0" xfId="5" applyFont="1" applyAlignment="1">
      <alignment horizontal="center" vertical="center"/>
    </xf>
    <xf numFmtId="0" fontId="16" fillId="0" borderId="0" xfId="5" applyFont="1" applyAlignment="1">
      <alignment horizontal="left" vertical="center"/>
    </xf>
    <xf numFmtId="0" fontId="6" fillId="0" borderId="0" xfId="1" applyFont="1" applyAlignment="1">
      <alignment wrapText="1"/>
    </xf>
    <xf numFmtId="0" fontId="7" fillId="0" borderId="0" xfId="1" applyFont="1"/>
    <xf numFmtId="0" fontId="7" fillId="0" borderId="0" xfId="1" applyFont="1" applyAlignment="1">
      <alignment wrapText="1"/>
    </xf>
    <xf numFmtId="0" fontId="7" fillId="0" borderId="0" xfId="1" applyNumberFormat="1" applyFont="1" applyAlignment="1">
      <alignment wrapText="1"/>
    </xf>
    <xf numFmtId="0" fontId="7" fillId="0" borderId="0" xfId="1" quotePrefix="1" applyFont="1" applyAlignment="1">
      <alignment wrapText="1"/>
    </xf>
    <xf numFmtId="0" fontId="9" fillId="0" borderId="0" xfId="1" applyFont="1" applyAlignment="1">
      <alignment wrapText="1"/>
    </xf>
    <xf numFmtId="0" fontId="10" fillId="0" borderId="0" xfId="1" applyFont="1"/>
    <xf numFmtId="0" fontId="17" fillId="0" borderId="0" xfId="0" applyFont="1"/>
    <xf numFmtId="0" fontId="18" fillId="0" borderId="0" xfId="5" applyFont="1" applyAlignment="1">
      <alignment horizontal="center" vertical="center"/>
    </xf>
    <xf numFmtId="0" fontId="7" fillId="0" borderId="0" xfId="0" applyFont="1" applyBorder="1" applyAlignment="1">
      <alignment horizontal="center" vertical="top" wrapText="1"/>
    </xf>
  </cellXfs>
  <cellStyles count="6">
    <cellStyle name="20% - Accent3" xfId="3" builtinId="38"/>
    <cellStyle name="40% - Accent6" xfId="4" builtinId="51"/>
    <cellStyle name="Calculation" xfId="2" builtinId="22"/>
    <cellStyle name="Hyperlink" xfId="5" builtinId="8"/>
    <cellStyle name="Normal" xfId="0" builtinId="0"/>
    <cellStyle name="Normal_Reliability"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123825</xdr:colOff>
      <xdr:row>1</xdr:row>
      <xdr:rowOff>47625</xdr:rowOff>
    </xdr:from>
    <xdr:to>
      <xdr:col>8</xdr:col>
      <xdr:colOff>581025</xdr:colOff>
      <xdr:row>2</xdr:row>
      <xdr:rowOff>180975</xdr:rowOff>
    </xdr:to>
    <xdr:sp macro="" textlink="">
      <xdr:nvSpPr>
        <xdr:cNvPr id="2" name="Rounded Rectangular Callout 1" descr="dff37549-92c3-448f-a81c-cebde047c78d"/>
        <xdr:cNvSpPr/>
      </xdr:nvSpPr>
      <xdr:spPr bwMode="auto">
        <a:xfrm>
          <a:off x="4686300" y="409575"/>
          <a:ext cx="2876550" cy="495300"/>
        </a:xfrm>
        <a:prstGeom prst="wedgeRoundRectCallout">
          <a:avLst>
            <a:gd name="adj1" fmla="val -20817"/>
            <a:gd name="adj2" fmla="val 46680"/>
            <a:gd name="adj3" fmla="val 16667"/>
          </a:avLst>
        </a:prstGeom>
        <a:solidFill>
          <a:schemeClr val="accent3">
            <a:lumMod val="40000"/>
            <a:lumOff val="60000"/>
          </a:schemeClr>
        </a:soli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0" tIns="0" rIns="0" bIns="0" rtlCol="0" anchor="ctr" upright="1"/>
        <a:lstStyle/>
        <a:p>
          <a:pPr algn="ctr"/>
          <a:r>
            <a:rPr lang="en-US" sz="1050" b="0" i="1">
              <a:solidFill>
                <a:sysClr val="windowText" lastClr="000000"/>
              </a:solidFill>
            </a:rPr>
            <a:t>Before running this model,</a:t>
          </a:r>
          <a:r>
            <a:rPr lang="en-US" sz="1050" b="0" i="1" baseline="0">
              <a:solidFill>
                <a:sysClr val="windowText" lastClr="000000"/>
              </a:solidFill>
            </a:rPr>
            <a:t> enable the Capability Statistics feature in the Run Preferences dialog.</a:t>
          </a:r>
          <a:endParaRPr lang="en-US" sz="1050" b="0" i="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571499</xdr:colOff>
      <xdr:row>4</xdr:row>
      <xdr:rowOff>85725</xdr:rowOff>
    </xdr:from>
    <xdr:to>
      <xdr:col>11</xdr:col>
      <xdr:colOff>66674</xdr:colOff>
      <xdr:row>114</xdr:row>
      <xdr:rowOff>76200</xdr:rowOff>
    </xdr:to>
    <xdr:sp macro="" textlink="">
      <xdr:nvSpPr>
        <xdr:cNvPr id="2" name="TextBox 1"/>
        <xdr:cNvSpPr txBox="1"/>
      </xdr:nvSpPr>
      <xdr:spPr>
        <a:xfrm>
          <a:off x="571499" y="857250"/>
          <a:ext cx="6200775" cy="1780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smtClean="0">
              <a:solidFill>
                <a:schemeClr val="dk1"/>
              </a:solidFill>
              <a:latin typeface="Courier New" panose="02070309020205020404" pitchFamily="49" charset="0"/>
              <a:ea typeface="+mn-ea"/>
              <a:cs typeface="Courier New" panose="02070309020205020404" pitchFamily="49" charset="0"/>
            </a:rPr>
            <a:t>Factorial Fit: Length versus MoldTemp, CycleTime, HoldPres </a:t>
          </a:r>
        </a:p>
        <a:p>
          <a:endParaRPr lang="en-GB" sz="1100" b="1"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Estimated Effects and Coefficients for Length (coded units)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Term                          Effect     Coef  SE Coef       T      P</a:t>
          </a:r>
        </a:p>
        <a:p>
          <a:r>
            <a:rPr lang="en-GB" sz="1100" b="0" smtClean="0">
              <a:solidFill>
                <a:schemeClr val="dk1"/>
              </a:solidFill>
              <a:latin typeface="Courier New" panose="02070309020205020404" pitchFamily="49" charset="0"/>
              <a:ea typeface="+mn-ea"/>
              <a:cs typeface="Courier New" panose="02070309020205020404" pitchFamily="49" charset="0"/>
            </a:rPr>
            <a:t>Constant                              63.5850   0.2024  314.12  0.000</a:t>
          </a:r>
        </a:p>
        <a:p>
          <a:r>
            <a:rPr lang="en-GB" sz="1100" b="0" smtClean="0">
              <a:solidFill>
                <a:schemeClr val="dk1"/>
              </a:solidFill>
              <a:latin typeface="Courier New" panose="02070309020205020404" pitchFamily="49" charset="0"/>
              <a:ea typeface="+mn-ea"/>
              <a:cs typeface="Courier New" panose="02070309020205020404" pitchFamily="49" charset="0"/>
            </a:rPr>
            <a:t>MoldTemp                      2.9300   1.4650   0.2024    7.24  0.000</a:t>
          </a:r>
        </a:p>
        <a:p>
          <a:r>
            <a:rPr lang="en-GB" sz="1100" b="0" smtClean="0">
              <a:solidFill>
                <a:schemeClr val="dk1"/>
              </a:solidFill>
              <a:latin typeface="Courier New" panose="02070309020205020404" pitchFamily="49" charset="0"/>
              <a:ea typeface="+mn-ea"/>
              <a:cs typeface="Courier New" panose="02070309020205020404" pitchFamily="49" charset="0"/>
            </a:rPr>
            <a:t>CycleTime                     3.8300   1.9150   0.2024    9.46  0.000</a:t>
          </a:r>
        </a:p>
        <a:p>
          <a:r>
            <a:rPr lang="en-GB" sz="1100" b="0" smtClean="0">
              <a:solidFill>
                <a:schemeClr val="dk1"/>
              </a:solidFill>
              <a:latin typeface="Courier New" panose="02070309020205020404" pitchFamily="49" charset="0"/>
              <a:ea typeface="+mn-ea"/>
              <a:cs typeface="Courier New" panose="02070309020205020404" pitchFamily="49" charset="0"/>
            </a:rPr>
            <a:t>HoldPres                      9.1300   4.5650   0.2024   22.55  0.000</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           -1.1300  -0.5650   0.2024   -2.79  0.009</a:t>
          </a:r>
        </a:p>
        <a:p>
          <a:r>
            <a:rPr lang="en-GB" sz="1100" b="0" smtClean="0">
              <a:solidFill>
                <a:schemeClr val="dk1"/>
              </a:solidFill>
              <a:latin typeface="Courier New" panose="02070309020205020404" pitchFamily="49" charset="0"/>
              <a:ea typeface="+mn-ea"/>
              <a:cs typeface="Courier New" panose="02070309020205020404" pitchFamily="49" charset="0"/>
            </a:rPr>
            <a:t>MoldTemp*HoldPres             0.1700   0.0850   0.2024    0.42  0.677</a:t>
          </a:r>
        </a:p>
        <a:p>
          <a:r>
            <a:rPr lang="en-GB" sz="1100" b="0" smtClean="0">
              <a:solidFill>
                <a:schemeClr val="dk1"/>
              </a:solidFill>
              <a:latin typeface="Courier New" panose="02070309020205020404" pitchFamily="49" charset="0"/>
              <a:ea typeface="+mn-ea"/>
              <a:cs typeface="Courier New" panose="02070309020205020404" pitchFamily="49" charset="0"/>
            </a:rPr>
            <a:t>CycleTime*HoldPres            0.4700   0.2350   0.2024    1.16  0.254</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MoldTemp*CycleTime*HoldPres  -0.5700  -0.2850   0.2024   -1.41  0.169</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S = 1.28023   R-Sq = 95.39%   R-Sq(adj) = 94.38%</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Analysis of Variance for Length (coded units)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Source              DF   Seq SS   Adj SS   Adj MS       F      P</a:t>
          </a:r>
        </a:p>
        <a:p>
          <a:r>
            <a:rPr lang="en-GB" sz="1100" b="0" smtClean="0">
              <a:solidFill>
                <a:schemeClr val="dk1"/>
              </a:solidFill>
              <a:latin typeface="Courier New" panose="02070309020205020404" pitchFamily="49" charset="0"/>
              <a:ea typeface="+mn-ea"/>
              <a:cs typeface="Courier New" panose="02070309020205020404" pitchFamily="49" charset="0"/>
            </a:rPr>
            <a:t>Main Effects         3  1066.11  1066.11  355.369  216.82  0.000</a:t>
          </a:r>
        </a:p>
        <a:p>
          <a:r>
            <a:rPr lang="en-GB" sz="1100" b="0" smtClean="0">
              <a:solidFill>
                <a:schemeClr val="dk1"/>
              </a:solidFill>
              <a:latin typeface="Courier New" panose="02070309020205020404" pitchFamily="49" charset="0"/>
              <a:ea typeface="+mn-ea"/>
              <a:cs typeface="Courier New" panose="02070309020205020404" pitchFamily="49" charset="0"/>
            </a:rPr>
            <a:t>2-Way Interactions   3    15.27    15.27    5.089    3.10  0.040</a:t>
          </a:r>
        </a:p>
        <a:p>
          <a:r>
            <a:rPr lang="en-GB" sz="1100" b="0" smtClean="0">
              <a:solidFill>
                <a:schemeClr val="dk1"/>
              </a:solidFill>
              <a:latin typeface="Courier New" panose="02070309020205020404" pitchFamily="49" charset="0"/>
              <a:ea typeface="+mn-ea"/>
              <a:cs typeface="Courier New" panose="02070309020205020404" pitchFamily="49" charset="0"/>
            </a:rPr>
            <a:t>3-Way Interactions   1     3.25     3.25    3.249    1.98  0.169</a:t>
          </a:r>
        </a:p>
        <a:p>
          <a:r>
            <a:rPr lang="en-GB" sz="1100" b="0" smtClean="0">
              <a:solidFill>
                <a:schemeClr val="dk1"/>
              </a:solidFill>
              <a:latin typeface="Courier New" panose="02070309020205020404" pitchFamily="49" charset="0"/>
              <a:ea typeface="+mn-ea"/>
              <a:cs typeface="Courier New" panose="02070309020205020404" pitchFamily="49" charset="0"/>
            </a:rPr>
            <a:t>Residual Error      32    52.45    52.45    1.639</a:t>
          </a:r>
        </a:p>
        <a:p>
          <a:r>
            <a:rPr lang="en-GB" sz="1100" b="0" smtClean="0">
              <a:solidFill>
                <a:schemeClr val="dk1"/>
              </a:solidFill>
              <a:latin typeface="Courier New" panose="02070309020205020404" pitchFamily="49" charset="0"/>
              <a:ea typeface="+mn-ea"/>
              <a:cs typeface="Courier New" panose="02070309020205020404" pitchFamily="49" charset="0"/>
            </a:rPr>
            <a:t>  Pure Error        32    52.45    52.45    1.639</a:t>
          </a:r>
        </a:p>
        <a:p>
          <a:r>
            <a:rPr lang="en-GB" sz="1100" b="0" smtClean="0">
              <a:solidFill>
                <a:schemeClr val="dk1"/>
              </a:solidFill>
              <a:latin typeface="Courier New" panose="02070309020205020404" pitchFamily="49" charset="0"/>
              <a:ea typeface="+mn-ea"/>
              <a:cs typeface="Courier New" panose="02070309020205020404" pitchFamily="49" charset="0"/>
            </a:rPr>
            <a:t>Total               39  1137.07</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Unusual Observations for Length</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Obs  StdOrder   Length      Fit  SE Fit  Residual  St Resid</a:t>
          </a:r>
        </a:p>
        <a:p>
          <a:r>
            <a:rPr lang="en-GB" sz="1100" b="0" smtClean="0">
              <a:solidFill>
                <a:schemeClr val="dk1"/>
              </a:solidFill>
              <a:latin typeface="Courier New" panose="02070309020205020404" pitchFamily="49" charset="0"/>
              <a:ea typeface="+mn-ea"/>
              <a:cs typeface="Courier New" panose="02070309020205020404" pitchFamily="49" charset="0"/>
            </a:rPr>
            <a:t> 30        30  71.0000  68.4000  0.5725    2.6000      2.27R</a:t>
          </a:r>
        </a:p>
        <a:p>
          <a:r>
            <a:rPr lang="en-GB" sz="1100" b="0" smtClean="0">
              <a:solidFill>
                <a:schemeClr val="dk1"/>
              </a:solidFill>
              <a:latin typeface="Courier New" panose="02070309020205020404" pitchFamily="49" charset="0"/>
              <a:ea typeface="+mn-ea"/>
              <a:cs typeface="Courier New" panose="02070309020205020404" pitchFamily="49" charset="0"/>
            </a:rPr>
            <a:t> 38        38  65.0000  68.4000  0.5725   -3.4000     -2.97R</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R denotes an observation with a large standardized residual.</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Estimated Coefficients for Length using data in uncoded units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Term                                 Coef</a:t>
          </a:r>
        </a:p>
        <a:p>
          <a:r>
            <a:rPr lang="en-GB" sz="1100" b="0" smtClean="0">
              <a:solidFill>
                <a:schemeClr val="dk1"/>
              </a:solidFill>
              <a:latin typeface="Courier New" panose="02070309020205020404" pitchFamily="49" charset="0"/>
              <a:ea typeface="+mn-ea"/>
              <a:cs typeface="Courier New" panose="02070309020205020404" pitchFamily="49" charset="0"/>
            </a:rPr>
            <a:t>Constant                          29.5600</a:t>
          </a:r>
        </a:p>
        <a:p>
          <a:r>
            <a:rPr lang="en-GB" sz="1100" b="0" smtClean="0">
              <a:solidFill>
                <a:schemeClr val="dk1"/>
              </a:solidFill>
              <a:latin typeface="Courier New" panose="02070309020205020404" pitchFamily="49" charset="0"/>
              <a:ea typeface="+mn-ea"/>
              <a:cs typeface="Courier New" panose="02070309020205020404" pitchFamily="49" charset="0"/>
            </a:rPr>
            <a:t>MoldTemp                        -0.149800</a:t>
          </a:r>
        </a:p>
        <a:p>
          <a:r>
            <a:rPr lang="en-GB" sz="1100" b="0" smtClean="0">
              <a:solidFill>
                <a:schemeClr val="dk1"/>
              </a:solidFill>
              <a:latin typeface="Courier New" panose="02070309020205020404" pitchFamily="49" charset="0"/>
              <a:ea typeface="+mn-ea"/>
              <a:cs typeface="Courier New" panose="02070309020205020404" pitchFamily="49" charset="0"/>
            </a:rPr>
            <a:t>CycleTime                       -0.264000</a:t>
          </a:r>
        </a:p>
        <a:p>
          <a:r>
            <a:rPr lang="en-GB" sz="1100" b="0" smtClean="0">
              <a:solidFill>
                <a:schemeClr val="dk1"/>
              </a:solidFill>
              <a:latin typeface="Courier New" panose="02070309020205020404" pitchFamily="49" charset="0"/>
              <a:ea typeface="+mn-ea"/>
              <a:cs typeface="Courier New" panose="02070309020205020404" pitchFamily="49" charset="0"/>
            </a:rPr>
            <a:t>HoldPres                         0.158500</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             0.00157000</a:t>
          </a:r>
        </a:p>
        <a:p>
          <a:r>
            <a:rPr lang="en-GB" sz="1100" b="0" smtClean="0">
              <a:solidFill>
                <a:schemeClr val="dk1"/>
              </a:solidFill>
              <a:latin typeface="Courier New" panose="02070309020205020404" pitchFamily="49" charset="0"/>
              <a:ea typeface="+mn-ea"/>
              <a:cs typeface="Courier New" panose="02070309020205020404" pitchFamily="49" charset="0"/>
            </a:rPr>
            <a:t>MoldTemp*HoldPres              0.00159500</a:t>
          </a:r>
        </a:p>
        <a:p>
          <a:r>
            <a:rPr lang="en-GB" sz="1100" b="0" smtClean="0">
              <a:solidFill>
                <a:schemeClr val="dk1"/>
              </a:solidFill>
              <a:latin typeface="Courier New" panose="02070309020205020404" pitchFamily="49" charset="0"/>
              <a:ea typeface="+mn-ea"/>
              <a:cs typeface="Courier New" panose="02070309020205020404" pitchFamily="49" charset="0"/>
            </a:rPr>
            <a:t>CycleTime*HoldPres             0.00272500</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MoldTemp*CycleTime*HoldPres  -1.42500E-05</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Alias Structure</a:t>
          </a:r>
        </a:p>
        <a:p>
          <a:r>
            <a:rPr lang="en-GB" sz="1100" b="0" smtClean="0">
              <a:solidFill>
                <a:schemeClr val="dk1"/>
              </a:solidFill>
              <a:latin typeface="Courier New" panose="02070309020205020404" pitchFamily="49" charset="0"/>
              <a:ea typeface="+mn-ea"/>
              <a:cs typeface="Courier New" panose="02070309020205020404" pitchFamily="49" charset="0"/>
            </a:rPr>
            <a:t>I</a:t>
          </a:r>
        </a:p>
        <a:p>
          <a:r>
            <a:rPr lang="en-GB" sz="1100" b="0" smtClean="0">
              <a:solidFill>
                <a:schemeClr val="dk1"/>
              </a:solidFill>
              <a:latin typeface="Courier New" panose="02070309020205020404" pitchFamily="49" charset="0"/>
              <a:ea typeface="+mn-ea"/>
              <a:cs typeface="Courier New" panose="02070309020205020404" pitchFamily="49" charset="0"/>
            </a:rPr>
            <a:t>MoldTemp</a:t>
          </a:r>
        </a:p>
        <a:p>
          <a:r>
            <a:rPr lang="en-GB" sz="1100" b="0" smtClean="0">
              <a:solidFill>
                <a:schemeClr val="dk1"/>
              </a:solidFill>
              <a:latin typeface="Courier New" panose="02070309020205020404" pitchFamily="49" charset="0"/>
              <a:ea typeface="+mn-ea"/>
              <a:cs typeface="Courier New" panose="02070309020205020404" pitchFamily="49" charset="0"/>
            </a:rPr>
            <a:t>CycleTime</a:t>
          </a:r>
        </a:p>
        <a:p>
          <a:r>
            <a:rPr lang="en-GB" sz="1100" b="0" smtClean="0">
              <a:solidFill>
                <a:schemeClr val="dk1"/>
              </a:solidFill>
              <a:latin typeface="Courier New" panose="02070309020205020404" pitchFamily="49" charset="0"/>
              <a:ea typeface="+mn-ea"/>
              <a:cs typeface="Courier New" panose="02070309020205020404" pitchFamily="49" charset="0"/>
            </a:rPr>
            <a:t>HoldPres</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a:t>
          </a:r>
        </a:p>
        <a:p>
          <a:r>
            <a:rPr lang="en-GB" sz="1100" b="0" smtClean="0">
              <a:solidFill>
                <a:schemeClr val="dk1"/>
              </a:solidFill>
              <a:latin typeface="Courier New" panose="02070309020205020404" pitchFamily="49" charset="0"/>
              <a:ea typeface="+mn-ea"/>
              <a:cs typeface="Courier New" panose="02070309020205020404" pitchFamily="49" charset="0"/>
            </a:rPr>
            <a:t>MoldTemp*HoldPres</a:t>
          </a:r>
        </a:p>
        <a:p>
          <a:r>
            <a:rPr lang="en-GB" sz="1100" b="0" smtClean="0">
              <a:solidFill>
                <a:schemeClr val="dk1"/>
              </a:solidFill>
              <a:latin typeface="Courier New" panose="02070309020205020404" pitchFamily="49" charset="0"/>
              <a:ea typeface="+mn-ea"/>
              <a:cs typeface="Courier New" panose="02070309020205020404" pitchFamily="49" charset="0"/>
            </a:rPr>
            <a:t>CycleTime*HoldPres</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MoldTemp*CycleTime*HoldPres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 </a:t>
          </a:r>
        </a:p>
        <a:p>
          <a:r>
            <a:rPr lang="en-GB" sz="1100" b="1" smtClean="0">
              <a:solidFill>
                <a:schemeClr val="dk1"/>
              </a:solidFill>
              <a:latin typeface="Courier New" panose="02070309020205020404" pitchFamily="49" charset="0"/>
              <a:ea typeface="+mn-ea"/>
              <a:cs typeface="Courier New" panose="02070309020205020404" pitchFamily="49" charset="0"/>
            </a:rPr>
            <a:t>Residual Plots for Length </a:t>
          </a:r>
        </a:p>
        <a:p>
          <a:endParaRPr lang="en-GB" sz="1100" b="1"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1" smtClean="0">
              <a:solidFill>
                <a:schemeClr val="dk1"/>
              </a:solidFill>
              <a:latin typeface="Courier New" panose="02070309020205020404" pitchFamily="49" charset="0"/>
              <a:ea typeface="+mn-ea"/>
              <a:cs typeface="Courier New" panose="02070309020205020404" pitchFamily="49" charset="0"/>
            </a:rPr>
            <a:t>Factorial Fit: Length versus MoldTemp, CycleTime, HoldPres </a:t>
          </a:r>
        </a:p>
        <a:p>
          <a:endParaRPr lang="en-GB" sz="1100" b="1"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Estimated Effects and Coefficients for Length (coded units)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Term                 Effect     Coef  SE Coef       T      P</a:t>
          </a:r>
        </a:p>
        <a:p>
          <a:r>
            <a:rPr lang="en-GB" sz="1100" b="0" smtClean="0">
              <a:solidFill>
                <a:schemeClr val="dk1"/>
              </a:solidFill>
              <a:latin typeface="Courier New" panose="02070309020205020404" pitchFamily="49" charset="0"/>
              <a:ea typeface="+mn-ea"/>
              <a:cs typeface="Courier New" panose="02070309020205020404" pitchFamily="49" charset="0"/>
            </a:rPr>
            <a:t>Constant                     63.5850   0.2039  311.87  0.000</a:t>
          </a:r>
        </a:p>
        <a:p>
          <a:r>
            <a:rPr lang="en-GB" sz="1100" b="0" smtClean="0">
              <a:solidFill>
                <a:schemeClr val="dk1"/>
              </a:solidFill>
              <a:latin typeface="Courier New" panose="02070309020205020404" pitchFamily="49" charset="0"/>
              <a:ea typeface="+mn-ea"/>
              <a:cs typeface="Courier New" panose="02070309020205020404" pitchFamily="49" charset="0"/>
            </a:rPr>
            <a:t>MoldTemp             2.9300   1.4650   0.2039    7.19  0.000</a:t>
          </a:r>
        </a:p>
        <a:p>
          <a:r>
            <a:rPr lang="en-GB" sz="1100" b="0" smtClean="0">
              <a:solidFill>
                <a:schemeClr val="dk1"/>
              </a:solidFill>
              <a:latin typeface="Courier New" panose="02070309020205020404" pitchFamily="49" charset="0"/>
              <a:ea typeface="+mn-ea"/>
              <a:cs typeface="Courier New" panose="02070309020205020404" pitchFamily="49" charset="0"/>
            </a:rPr>
            <a:t>CycleTime            3.8300   1.9150   0.2039    9.39  0.000</a:t>
          </a:r>
        </a:p>
        <a:p>
          <a:r>
            <a:rPr lang="en-GB" sz="1100" b="0" smtClean="0">
              <a:solidFill>
                <a:schemeClr val="dk1"/>
              </a:solidFill>
              <a:latin typeface="Courier New" panose="02070309020205020404" pitchFamily="49" charset="0"/>
              <a:ea typeface="+mn-ea"/>
              <a:cs typeface="Courier New" panose="02070309020205020404" pitchFamily="49" charset="0"/>
            </a:rPr>
            <a:t>HoldPres             9.1300   4.5650   0.2039   22.39  0.000</a:t>
          </a:r>
        </a:p>
        <a:p>
          <a:r>
            <a:rPr lang="en-GB" sz="1100" b="0" smtClean="0">
              <a:solidFill>
                <a:schemeClr val="dk1"/>
              </a:solidFill>
              <a:latin typeface="Courier New" panose="02070309020205020404" pitchFamily="49" charset="0"/>
              <a:ea typeface="+mn-ea"/>
              <a:cs typeface="Courier New" panose="02070309020205020404" pitchFamily="49" charset="0"/>
            </a:rPr>
            <a:t>MoldTemp*CycleTime  -1.1300  -0.5650   0.2039   -2.77  0.009</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S = 1.28946   R-Sq = 94.88%   R-Sq(adj) = 94.30%</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Analysis of Variance for Length (coded units)</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Source              DF   Seq SS   Adj SS   Adj MS       F      P</a:t>
          </a:r>
        </a:p>
        <a:p>
          <a:r>
            <a:rPr lang="en-GB" sz="1100" b="0" smtClean="0">
              <a:solidFill>
                <a:schemeClr val="dk1"/>
              </a:solidFill>
              <a:latin typeface="Courier New" panose="02070309020205020404" pitchFamily="49" charset="0"/>
              <a:ea typeface="+mn-ea"/>
              <a:cs typeface="Courier New" panose="02070309020205020404" pitchFamily="49" charset="0"/>
            </a:rPr>
            <a:t>Main Effects         3  1066.11  1066.11  355.369  213.73  0.000</a:t>
          </a:r>
        </a:p>
        <a:p>
          <a:r>
            <a:rPr lang="en-GB" sz="1100" b="0" smtClean="0">
              <a:solidFill>
                <a:schemeClr val="dk1"/>
              </a:solidFill>
              <a:latin typeface="Courier New" panose="02070309020205020404" pitchFamily="49" charset="0"/>
              <a:ea typeface="+mn-ea"/>
              <a:cs typeface="Courier New" panose="02070309020205020404" pitchFamily="49" charset="0"/>
            </a:rPr>
            <a:t>2-Way Interactions   1    12.77    12.77   12.769    7.68  0.009</a:t>
          </a:r>
        </a:p>
        <a:p>
          <a:r>
            <a:rPr lang="en-GB" sz="1100" b="0" smtClean="0">
              <a:solidFill>
                <a:schemeClr val="dk1"/>
              </a:solidFill>
              <a:latin typeface="Courier New" panose="02070309020205020404" pitchFamily="49" charset="0"/>
              <a:ea typeface="+mn-ea"/>
              <a:cs typeface="Courier New" panose="02070309020205020404" pitchFamily="49" charset="0"/>
            </a:rPr>
            <a:t>Residual Error      35    58.20    58.20    1.663</a:t>
          </a:r>
        </a:p>
        <a:p>
          <a:r>
            <a:rPr lang="en-GB" sz="1100" b="0" smtClean="0">
              <a:solidFill>
                <a:schemeClr val="dk1"/>
              </a:solidFill>
              <a:latin typeface="Courier New" panose="02070309020205020404" pitchFamily="49" charset="0"/>
              <a:ea typeface="+mn-ea"/>
              <a:cs typeface="Courier New" panose="02070309020205020404" pitchFamily="49" charset="0"/>
            </a:rPr>
            <a:t>  Lack of Fit        3     5.75     5.75    1.916    1.17  0.337</a:t>
          </a:r>
        </a:p>
        <a:p>
          <a:r>
            <a:rPr lang="en-GB" sz="1100" b="0" smtClean="0">
              <a:solidFill>
                <a:schemeClr val="dk1"/>
              </a:solidFill>
              <a:latin typeface="Courier New" panose="02070309020205020404" pitchFamily="49" charset="0"/>
              <a:ea typeface="+mn-ea"/>
              <a:cs typeface="Courier New" panose="02070309020205020404" pitchFamily="49" charset="0"/>
            </a:rPr>
            <a:t>  Pure Error        32    52.45    52.45    1.639</a:t>
          </a:r>
        </a:p>
        <a:p>
          <a:r>
            <a:rPr lang="en-GB" sz="1100" b="0" smtClean="0">
              <a:solidFill>
                <a:schemeClr val="dk1"/>
              </a:solidFill>
              <a:latin typeface="Courier New" panose="02070309020205020404" pitchFamily="49" charset="0"/>
              <a:ea typeface="+mn-ea"/>
              <a:cs typeface="Courier New" panose="02070309020205020404" pitchFamily="49" charset="0"/>
            </a:rPr>
            <a:t>Total               39  1137.07</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Unusual Observations for Length</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Obs  StdOrder   Length      Fit  SE Fit  Residual  St Resid</a:t>
          </a:r>
        </a:p>
        <a:p>
          <a:r>
            <a:rPr lang="en-GB" sz="1100" b="0" smtClean="0">
              <a:solidFill>
                <a:schemeClr val="dk1"/>
              </a:solidFill>
              <a:latin typeface="Courier New" panose="02070309020205020404" pitchFamily="49" charset="0"/>
              <a:ea typeface="+mn-ea"/>
              <a:cs typeface="Courier New" panose="02070309020205020404" pitchFamily="49" charset="0"/>
            </a:rPr>
            <a:t> 30        30  71.0000  68.2650  0.4559    2.7350      2.27R</a:t>
          </a:r>
        </a:p>
        <a:p>
          <a:r>
            <a:rPr lang="en-GB" sz="1100" b="0" smtClean="0">
              <a:solidFill>
                <a:schemeClr val="dk1"/>
              </a:solidFill>
              <a:latin typeface="Courier New" panose="02070309020205020404" pitchFamily="49" charset="0"/>
              <a:ea typeface="+mn-ea"/>
              <a:cs typeface="Courier New" panose="02070309020205020404" pitchFamily="49" charset="0"/>
            </a:rPr>
            <a:t> 38        38  65.0000  68.2650  0.4559   -3.2650     -2.71R</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0" smtClean="0">
              <a:solidFill>
                <a:schemeClr val="dk1"/>
              </a:solidFill>
              <a:latin typeface="Courier New" panose="02070309020205020404" pitchFamily="49" charset="0"/>
              <a:ea typeface="+mn-ea"/>
              <a:cs typeface="Courier New" panose="02070309020205020404" pitchFamily="49" charset="0"/>
            </a:rPr>
            <a:t>R denotes an observation with a large standardized residual.</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r>
            <a:rPr lang="en-GB" sz="1100" b="1" smtClean="0">
              <a:solidFill>
                <a:srgbClr val="FF0000"/>
              </a:solidFill>
              <a:latin typeface="Courier New" panose="02070309020205020404" pitchFamily="49" charset="0"/>
              <a:ea typeface="+mn-ea"/>
              <a:cs typeface="Courier New" panose="02070309020205020404" pitchFamily="49" charset="0"/>
            </a:rPr>
            <a:t>Estimated Coefficients for Length using data in uncoded units</a:t>
          </a:r>
        </a:p>
        <a:p>
          <a:endParaRPr lang="en-GB" sz="1100" b="1" smtClean="0">
            <a:solidFill>
              <a:srgbClr val="FF0000"/>
            </a:solidFill>
            <a:latin typeface="Courier New" panose="02070309020205020404" pitchFamily="49" charset="0"/>
            <a:ea typeface="+mn-ea"/>
            <a:cs typeface="Courier New" panose="02070309020205020404" pitchFamily="49" charset="0"/>
          </a:endParaRPr>
        </a:p>
        <a:p>
          <a:r>
            <a:rPr lang="en-GB" sz="1100" b="1" smtClean="0">
              <a:solidFill>
                <a:srgbClr val="FF0000"/>
              </a:solidFill>
              <a:latin typeface="Courier New" panose="02070309020205020404" pitchFamily="49" charset="0"/>
              <a:ea typeface="+mn-ea"/>
              <a:cs typeface="Courier New" panose="02070309020205020404" pitchFamily="49" charset="0"/>
            </a:rPr>
            <a:t>Term                        Coef</a:t>
          </a:r>
        </a:p>
        <a:p>
          <a:r>
            <a:rPr lang="en-GB" sz="1100" b="1" smtClean="0">
              <a:solidFill>
                <a:srgbClr val="FF0000"/>
              </a:solidFill>
              <a:latin typeface="Courier New" panose="02070309020205020404" pitchFamily="49" charset="0"/>
              <a:ea typeface="+mn-ea"/>
              <a:cs typeface="Courier New" panose="02070309020205020404" pitchFamily="49" charset="0"/>
            </a:rPr>
            <a:t>Constant                -9.18000</a:t>
          </a:r>
        </a:p>
        <a:p>
          <a:r>
            <a:rPr lang="en-GB" sz="1100" b="1" smtClean="0">
              <a:solidFill>
                <a:srgbClr val="FF0000"/>
              </a:solidFill>
              <a:latin typeface="Courier New" panose="02070309020205020404" pitchFamily="49" charset="0"/>
              <a:ea typeface="+mn-ea"/>
              <a:cs typeface="Courier New" panose="02070309020205020404" pitchFamily="49" charset="0"/>
            </a:rPr>
            <a:t>MoldTemp               0.0575500</a:t>
          </a:r>
        </a:p>
        <a:p>
          <a:r>
            <a:rPr lang="en-GB" sz="1100" b="1" smtClean="0">
              <a:solidFill>
                <a:srgbClr val="FF0000"/>
              </a:solidFill>
              <a:latin typeface="Courier New" panose="02070309020205020404" pitchFamily="49" charset="0"/>
              <a:ea typeface="+mn-ea"/>
              <a:cs typeface="Courier New" panose="02070309020205020404" pitchFamily="49" charset="0"/>
            </a:rPr>
            <a:t>CycleTime              0.0902500</a:t>
          </a:r>
        </a:p>
        <a:p>
          <a:r>
            <a:rPr lang="en-GB" sz="1100" b="1" smtClean="0">
              <a:solidFill>
                <a:srgbClr val="FF0000"/>
              </a:solidFill>
              <a:latin typeface="Courier New" panose="02070309020205020404" pitchFamily="49" charset="0"/>
              <a:ea typeface="+mn-ea"/>
              <a:cs typeface="Courier New" panose="02070309020205020404" pitchFamily="49" charset="0"/>
            </a:rPr>
            <a:t>HoldPres                0.456500</a:t>
          </a:r>
        </a:p>
        <a:p>
          <a:r>
            <a:rPr lang="en-GB" sz="1100" b="1" smtClean="0">
              <a:solidFill>
                <a:srgbClr val="FF0000"/>
              </a:solidFill>
              <a:latin typeface="Courier New" panose="02070309020205020404" pitchFamily="49" charset="0"/>
              <a:ea typeface="+mn-ea"/>
              <a:cs typeface="Courier New" panose="02070309020205020404" pitchFamily="49" charset="0"/>
            </a:rPr>
            <a:t>MoldTemp*CycleTime  -2.82500E-04</a:t>
          </a: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b="0" smtClean="0">
            <a:solidFill>
              <a:schemeClr val="dk1"/>
            </a:solidFill>
            <a:latin typeface="Courier New" panose="02070309020205020404" pitchFamily="49" charset="0"/>
            <a:ea typeface="+mn-ea"/>
            <a:cs typeface="Courier New" panose="02070309020205020404" pitchFamily="49" charset="0"/>
          </a:endParaRPr>
        </a:p>
        <a:p>
          <a:endParaRPr lang="en-GB" sz="1100">
            <a:latin typeface="Courier New" panose="02070309020205020404" pitchFamily="49" charset="0"/>
            <a:cs typeface="Courier New" panose="020703090202050204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38"/>
  <sheetViews>
    <sheetView showGridLines="0" showRowColHeaders="0" workbookViewId="0"/>
  </sheetViews>
  <sheetFormatPr defaultRowHeight="15" x14ac:dyDescent="0.25"/>
  <cols>
    <col min="1" max="1" width="9.140625" style="58"/>
    <col min="2" max="2" width="75.140625" style="59" customWidth="1"/>
    <col min="3" max="16384" width="9.140625" style="58"/>
  </cols>
  <sheetData>
    <row r="1" spans="2:3" ht="22.5" x14ac:dyDescent="0.3">
      <c r="B1" s="62" t="s">
        <v>0</v>
      </c>
      <c r="C1" s="63"/>
    </row>
    <row r="2" spans="2:3" ht="15.75" customHeight="1" x14ac:dyDescent="0.3">
      <c r="B2" s="62"/>
      <c r="C2" s="63"/>
    </row>
    <row r="3" spans="2:3" x14ac:dyDescent="0.25">
      <c r="B3" s="57" t="s">
        <v>44</v>
      </c>
    </row>
    <row r="4" spans="2:3" x14ac:dyDescent="0.25">
      <c r="B4" s="59" t="s">
        <v>92</v>
      </c>
    </row>
    <row r="6" spans="2:3" x14ac:dyDescent="0.25">
      <c r="B6" s="57" t="s">
        <v>45</v>
      </c>
    </row>
    <row r="7" spans="2:3" ht="120" x14ac:dyDescent="0.25">
      <c r="B7" s="60" t="s">
        <v>46</v>
      </c>
    </row>
    <row r="8" spans="2:3" x14ac:dyDescent="0.25">
      <c r="B8" s="60"/>
    </row>
    <row r="9" spans="2:3" ht="45" x14ac:dyDescent="0.25">
      <c r="B9" s="57" t="s">
        <v>88</v>
      </c>
    </row>
    <row r="10" spans="2:3" x14ac:dyDescent="0.25">
      <c r="B10" s="57"/>
    </row>
    <row r="11" spans="2:3" x14ac:dyDescent="0.25">
      <c r="B11" s="57" t="s">
        <v>47</v>
      </c>
    </row>
    <row r="12" spans="2:3" ht="90" x14ac:dyDescent="0.25">
      <c r="B12" s="60" t="s">
        <v>48</v>
      </c>
    </row>
    <row r="13" spans="2:3" x14ac:dyDescent="0.25">
      <c r="B13" s="60"/>
    </row>
    <row r="14" spans="2:3" ht="72.75" customHeight="1" x14ac:dyDescent="0.25">
      <c r="B14" s="60" t="s">
        <v>49</v>
      </c>
    </row>
    <row r="15" spans="2:3" x14ac:dyDescent="0.25">
      <c r="B15" s="60"/>
    </row>
    <row r="16" spans="2:3" ht="75" x14ac:dyDescent="0.25">
      <c r="B16" s="60" t="s">
        <v>50</v>
      </c>
    </row>
    <row r="17" spans="2:2" x14ac:dyDescent="0.25">
      <c r="B17" s="60"/>
    </row>
    <row r="18" spans="2:2" ht="18" customHeight="1" x14ac:dyDescent="0.25">
      <c r="B18" s="59" t="s">
        <v>51</v>
      </c>
    </row>
    <row r="19" spans="2:2" ht="120" x14ac:dyDescent="0.25">
      <c r="B19" s="61" t="s">
        <v>61</v>
      </c>
    </row>
    <row r="20" spans="2:2" x14ac:dyDescent="0.25">
      <c r="B20" s="61"/>
    </row>
    <row r="21" spans="2:2" x14ac:dyDescent="0.25">
      <c r="B21" s="57" t="s">
        <v>52</v>
      </c>
    </row>
    <row r="22" spans="2:2" ht="120" x14ac:dyDescent="0.25">
      <c r="B22" s="60" t="s">
        <v>53</v>
      </c>
    </row>
    <row r="23" spans="2:2" x14ac:dyDescent="0.25">
      <c r="B23" s="60"/>
    </row>
    <row r="24" spans="2:2" ht="45" x14ac:dyDescent="0.25">
      <c r="B24" s="59" t="s">
        <v>54</v>
      </c>
    </row>
    <row r="26" spans="2:2" ht="105" x14ac:dyDescent="0.25">
      <c r="B26" s="60" t="s">
        <v>55</v>
      </c>
    </row>
    <row r="27" spans="2:2" x14ac:dyDescent="0.25">
      <c r="B27" s="60"/>
    </row>
    <row r="28" spans="2:2" ht="75" x14ac:dyDescent="0.25">
      <c r="B28" s="60" t="s">
        <v>56</v>
      </c>
    </row>
    <row r="29" spans="2:2" x14ac:dyDescent="0.25">
      <c r="B29" s="60"/>
    </row>
    <row r="30" spans="2:2" ht="30" x14ac:dyDescent="0.25">
      <c r="B30" s="59" t="s">
        <v>57</v>
      </c>
    </row>
    <row r="32" spans="2:2" ht="60" x14ac:dyDescent="0.25">
      <c r="B32" s="59" t="s">
        <v>58</v>
      </c>
    </row>
    <row r="34" spans="2:2" ht="75" x14ac:dyDescent="0.25">
      <c r="B34" s="60" t="s">
        <v>59</v>
      </c>
    </row>
    <row r="35" spans="2:2" x14ac:dyDescent="0.25">
      <c r="B35" s="60"/>
    </row>
    <row r="36" spans="2:2" ht="105" x14ac:dyDescent="0.25">
      <c r="B36" s="60" t="s">
        <v>60</v>
      </c>
    </row>
    <row r="37" spans="2:2" x14ac:dyDescent="0.25">
      <c r="B37" s="60"/>
    </row>
    <row r="38" spans="2:2" ht="75" x14ac:dyDescent="0.25">
      <c r="B38" s="57" t="s">
        <v>91</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31"/>
  <sheetViews>
    <sheetView workbookViewId="0"/>
  </sheetViews>
  <sheetFormatPr defaultRowHeight="12.75" x14ac:dyDescent="0.2"/>
  <cols>
    <col min="1" max="2" width="36.7109375" customWidth="1"/>
  </cols>
  <sheetData>
    <row r="1" spans="1:3" x14ac:dyDescent="0.2">
      <c r="A1" s="4" t="s">
        <v>63</v>
      </c>
    </row>
    <row r="3" spans="1:3" x14ac:dyDescent="0.2">
      <c r="A3" t="s">
        <v>64</v>
      </c>
      <c r="B3" t="s">
        <v>65</v>
      </c>
      <c r="C3">
        <v>0</v>
      </c>
    </row>
    <row r="4" spans="1:3" x14ac:dyDescent="0.2">
      <c r="A4" t="s">
        <v>66</v>
      </c>
    </row>
    <row r="5" spans="1:3" x14ac:dyDescent="0.2">
      <c r="A5" t="s">
        <v>67</v>
      </c>
    </row>
    <row r="7" spans="1:3" x14ac:dyDescent="0.2">
      <c r="A7" s="4" t="s">
        <v>68</v>
      </c>
      <c r="B7" t="s">
        <v>69</v>
      </c>
    </row>
    <row r="8" spans="1:3" x14ac:dyDescent="0.2">
      <c r="B8">
        <v>2</v>
      </c>
    </row>
    <row r="10" spans="1:3" x14ac:dyDescent="0.2">
      <c r="A10" t="s">
        <v>70</v>
      </c>
    </row>
    <row r="11" spans="1:3" x14ac:dyDescent="0.2">
      <c r="A11" t="e">
        <f>CB_DATA_!#REF!</f>
        <v>#REF!</v>
      </c>
      <c r="B11" t="e">
        <f>Model!#REF!</f>
        <v>#REF!</v>
      </c>
    </row>
    <row r="13" spans="1:3" x14ac:dyDescent="0.2">
      <c r="A13" t="s">
        <v>71</v>
      </c>
    </row>
    <row r="14" spans="1:3" x14ac:dyDescent="0.2">
      <c r="A14" t="s">
        <v>75</v>
      </c>
      <c r="B14" t="s">
        <v>79</v>
      </c>
    </row>
    <row r="16" spans="1:3" x14ac:dyDescent="0.2">
      <c r="A16" t="s">
        <v>72</v>
      </c>
    </row>
    <row r="19" spans="1:2" x14ac:dyDescent="0.2">
      <c r="A19" t="s">
        <v>73</v>
      </c>
    </row>
    <row r="20" spans="1:2" x14ac:dyDescent="0.2">
      <c r="A20">
        <v>28</v>
      </c>
      <c r="B20">
        <v>31</v>
      </c>
    </row>
    <row r="25" spans="1:2" x14ac:dyDescent="0.2">
      <c r="A25" s="4" t="s">
        <v>74</v>
      </c>
    </row>
    <row r="26" spans="1:2" x14ac:dyDescent="0.2">
      <c r="A26" s="42" t="s">
        <v>76</v>
      </c>
      <c r="B26" s="42" t="s">
        <v>76</v>
      </c>
    </row>
    <row r="27" spans="1:2" x14ac:dyDescent="0.2">
      <c r="A27" t="s">
        <v>77</v>
      </c>
      <c r="B27" t="s">
        <v>80</v>
      </c>
    </row>
    <row r="28" spans="1:2" x14ac:dyDescent="0.2">
      <c r="A28" s="42" t="s">
        <v>78</v>
      </c>
      <c r="B28" s="42" t="s">
        <v>78</v>
      </c>
    </row>
    <row r="29" spans="1:2" x14ac:dyDescent="0.2">
      <c r="B29" s="42" t="s">
        <v>81</v>
      </c>
    </row>
    <row r="30" spans="1:2" x14ac:dyDescent="0.2">
      <c r="B30" t="s">
        <v>87</v>
      </c>
    </row>
    <row r="31" spans="1:2" x14ac:dyDescent="0.2">
      <c r="B31" s="42" t="s">
        <v>78</v>
      </c>
    </row>
  </sheetData>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K28"/>
  <sheetViews>
    <sheetView showGridLines="0" tabSelected="1" defaultGridColor="0" colorId="12" zoomScaleNormal="100" workbookViewId="0"/>
  </sheetViews>
  <sheetFormatPr defaultRowHeight="15" x14ac:dyDescent="0.25"/>
  <cols>
    <col min="1" max="1" width="5.7109375" style="6" customWidth="1"/>
    <col min="2" max="2" width="22.85546875" style="6" customWidth="1"/>
    <col min="3" max="7" width="13.5703125" style="6" customWidth="1"/>
    <col min="8" max="8" width="9.140625" style="6" customWidth="1"/>
    <col min="9" max="9" width="15" style="6" customWidth="1"/>
    <col min="10" max="10" width="11.5703125" style="6" customWidth="1"/>
    <col min="11" max="13" width="11.85546875" style="6" customWidth="1"/>
    <col min="14" max="16384" width="9.140625" style="6"/>
  </cols>
  <sheetData>
    <row r="1" spans="2:11" ht="28.5" customHeight="1" x14ac:dyDescent="0.3">
      <c r="B1" s="39" t="s">
        <v>0</v>
      </c>
      <c r="C1" s="40"/>
      <c r="J1" s="55" t="s">
        <v>83</v>
      </c>
    </row>
    <row r="2" spans="2:11" ht="28.5" customHeight="1" x14ac:dyDescent="0.25">
      <c r="B2" s="64" t="s">
        <v>13</v>
      </c>
    </row>
    <row r="3" spans="2:11" x14ac:dyDescent="0.25">
      <c r="B3" s="46" t="s">
        <v>10</v>
      </c>
      <c r="C3" s="46" t="s">
        <v>11</v>
      </c>
      <c r="D3" s="46" t="s">
        <v>23</v>
      </c>
    </row>
    <row r="4" spans="2:11" x14ac:dyDescent="0.25">
      <c r="B4" s="54">
        <v>59</v>
      </c>
      <c r="C4" s="54">
        <v>67</v>
      </c>
      <c r="D4" s="54">
        <v>63</v>
      </c>
    </row>
    <row r="5" spans="2:11" x14ac:dyDescent="0.25">
      <c r="B5" s="7"/>
      <c r="C5" s="7"/>
    </row>
    <row r="6" spans="2:11" s="12" customFormat="1" ht="30" x14ac:dyDescent="0.25">
      <c r="B6" s="44" t="s">
        <v>1</v>
      </c>
      <c r="C6" s="44" t="s">
        <v>2</v>
      </c>
      <c r="D6" s="44" t="s">
        <v>43</v>
      </c>
      <c r="E6" s="44" t="s">
        <v>3</v>
      </c>
      <c r="F6" s="44" t="s">
        <v>4</v>
      </c>
      <c r="G6" s="45" t="s">
        <v>5</v>
      </c>
      <c r="H6" s="8"/>
      <c r="I6" s="9" t="s">
        <v>24</v>
      </c>
      <c r="J6" s="10" t="s">
        <v>25</v>
      </c>
      <c r="K6" s="11"/>
    </row>
    <row r="7" spans="2:11" x14ac:dyDescent="0.25">
      <c r="B7" s="47">
        <v>1</v>
      </c>
      <c r="C7" s="14" t="s">
        <v>6</v>
      </c>
      <c r="D7" s="15">
        <v>155</v>
      </c>
      <c r="E7" s="16">
        <v>155</v>
      </c>
      <c r="F7" s="14">
        <v>10</v>
      </c>
      <c r="G7" s="48" t="s">
        <v>7</v>
      </c>
      <c r="H7" s="9"/>
      <c r="I7" s="17" t="s">
        <v>26</v>
      </c>
      <c r="J7" s="19">
        <v>1000</v>
      </c>
      <c r="K7" s="20"/>
    </row>
    <row r="8" spans="2:11" x14ac:dyDescent="0.25">
      <c r="B8" s="47">
        <v>2</v>
      </c>
      <c r="C8" s="14" t="s">
        <v>8</v>
      </c>
      <c r="D8" s="15">
        <v>100</v>
      </c>
      <c r="E8" s="16">
        <v>100</v>
      </c>
      <c r="F8" s="14">
        <v>5</v>
      </c>
      <c r="G8" s="48" t="s">
        <v>7</v>
      </c>
      <c r="H8" s="21"/>
      <c r="I8" s="21" t="s">
        <v>15</v>
      </c>
      <c r="J8" s="19">
        <v>63.765605898246022</v>
      </c>
      <c r="K8" s="22"/>
    </row>
    <row r="9" spans="2:11" x14ac:dyDescent="0.25">
      <c r="B9" s="49">
        <v>3</v>
      </c>
      <c r="C9" s="50" t="s">
        <v>9</v>
      </c>
      <c r="D9" s="51">
        <v>130</v>
      </c>
      <c r="E9" s="52">
        <v>130</v>
      </c>
      <c r="F9" s="50">
        <v>3</v>
      </c>
      <c r="G9" s="53" t="s">
        <v>7</v>
      </c>
      <c r="H9" s="21"/>
      <c r="I9" s="21" t="s">
        <v>27</v>
      </c>
      <c r="J9" s="23">
        <v>1.3576221226125327</v>
      </c>
      <c r="K9" s="22"/>
    </row>
    <row r="10" spans="2:11" x14ac:dyDescent="0.25">
      <c r="B10" s="21"/>
      <c r="C10" s="16"/>
      <c r="D10" s="16"/>
      <c r="E10" s="16"/>
      <c r="F10" s="16"/>
      <c r="G10" s="21"/>
      <c r="I10" s="6" t="s">
        <v>28</v>
      </c>
      <c r="J10" s="19">
        <v>0.98210931534326862</v>
      </c>
      <c r="K10" s="24"/>
    </row>
    <row r="11" spans="2:11" x14ac:dyDescent="0.25">
      <c r="B11" s="25" t="s">
        <v>12</v>
      </c>
      <c r="C11" s="16" t="s">
        <v>13</v>
      </c>
      <c r="D11" s="41">
        <f>C22*D7+C23*D8+C24*D9+C25*(D7*D8)+C21</f>
        <v>63.731500000000004</v>
      </c>
      <c r="E11" s="13"/>
      <c r="H11" s="21"/>
      <c r="I11" s="26" t="s">
        <v>29</v>
      </c>
      <c r="J11" s="19">
        <v>1.1700864864805609</v>
      </c>
      <c r="K11" s="24"/>
    </row>
    <row r="12" spans="2:11" x14ac:dyDescent="0.25">
      <c r="B12" s="27"/>
      <c r="C12" s="16"/>
      <c r="D12" s="18"/>
      <c r="E12" s="21"/>
      <c r="H12" s="7"/>
      <c r="I12" s="26" t="s">
        <v>30</v>
      </c>
      <c r="J12" s="23">
        <v>0.79413214420597633</v>
      </c>
      <c r="K12" s="24"/>
    </row>
    <row r="13" spans="2:11" x14ac:dyDescent="0.25">
      <c r="B13" s="25" t="s">
        <v>14</v>
      </c>
      <c r="C13" s="14"/>
      <c r="D13" s="28"/>
      <c r="E13" s="28"/>
      <c r="F13" s="28"/>
      <c r="G13" s="28"/>
      <c r="H13" s="28"/>
      <c r="I13" s="28" t="s">
        <v>31</v>
      </c>
      <c r="J13" s="23">
        <v>0.79413214420597633</v>
      </c>
      <c r="K13" s="24"/>
    </row>
    <row r="14" spans="2:11" s="32" customFormat="1" ht="15" customHeight="1" x14ac:dyDescent="0.2">
      <c r="B14" s="66" t="str">
        <f>CONCATENATE(C11," = ",C22," * ",C7," + ",C23," * ",C8," + ",C24," * ",C9," + ",C25," * ",C7,"*",C8," + ",C21,"")</f>
        <v>Length = 0.05755 * MoldTemp + 0.09025 * CycleTime + 0.4565 * HoldPres + -0.0002825 * MoldTemp*CycleTime + -9.18</v>
      </c>
      <c r="C14" s="66"/>
      <c r="D14" s="66"/>
      <c r="E14" s="66"/>
      <c r="F14" s="43"/>
      <c r="G14" s="43"/>
      <c r="H14" s="29"/>
      <c r="I14" s="29" t="s">
        <v>32</v>
      </c>
      <c r="J14" s="30">
        <v>0.8554586770833158</v>
      </c>
      <c r="K14" s="31"/>
    </row>
    <row r="15" spans="2:11" s="32" customFormat="1" x14ac:dyDescent="0.2">
      <c r="B15" s="66"/>
      <c r="C15" s="66"/>
      <c r="D15" s="66"/>
      <c r="E15" s="66"/>
      <c r="F15" s="43"/>
      <c r="G15" s="43"/>
      <c r="H15" s="29"/>
      <c r="I15" s="29" t="s">
        <v>33</v>
      </c>
      <c r="J15" s="34">
        <v>3.5102594594416829</v>
      </c>
      <c r="K15" s="35"/>
    </row>
    <row r="16" spans="2:11" x14ac:dyDescent="0.25">
      <c r="B16" s="33"/>
      <c r="C16" s="33"/>
      <c r="D16" s="33"/>
      <c r="E16" s="33"/>
      <c r="F16" s="33"/>
      <c r="G16" s="33"/>
      <c r="H16" s="33"/>
      <c r="I16" s="33" t="s">
        <v>34</v>
      </c>
      <c r="J16" s="36">
        <v>2.382396432617929</v>
      </c>
      <c r="K16" s="37"/>
    </row>
    <row r="17" spans="2:11" x14ac:dyDescent="0.25">
      <c r="B17" s="5" t="s">
        <v>22</v>
      </c>
      <c r="C17" s="56" t="s">
        <v>86</v>
      </c>
      <c r="I17" s="6" t="s">
        <v>35</v>
      </c>
      <c r="J17" s="36">
        <v>2.3729209785383101</v>
      </c>
      <c r="K17" s="37"/>
    </row>
    <row r="18" spans="2:11" x14ac:dyDescent="0.25">
      <c r="B18" s="6" t="s">
        <v>85</v>
      </c>
      <c r="I18" s="6" t="s">
        <v>36</v>
      </c>
      <c r="J18" s="36">
        <v>0.87292097853831008</v>
      </c>
      <c r="K18" s="37"/>
    </row>
    <row r="19" spans="2:11" x14ac:dyDescent="0.25">
      <c r="I19" s="6" t="s">
        <v>37</v>
      </c>
      <c r="J19" s="36">
        <v>2.2383481950393966E-4</v>
      </c>
      <c r="K19" s="37"/>
    </row>
    <row r="20" spans="2:11" x14ac:dyDescent="0.25">
      <c r="B20" s="46" t="s">
        <v>16</v>
      </c>
      <c r="C20" s="46" t="s">
        <v>82</v>
      </c>
      <c r="I20" s="6" t="s">
        <v>38</v>
      </c>
      <c r="J20" s="36">
        <v>8.6001847492142014E-3</v>
      </c>
      <c r="K20" s="37"/>
    </row>
    <row r="21" spans="2:11" x14ac:dyDescent="0.25">
      <c r="B21" s="6" t="s">
        <v>17</v>
      </c>
      <c r="C21" s="6">
        <v>-9.18</v>
      </c>
      <c r="I21" s="6" t="s">
        <v>39</v>
      </c>
      <c r="J21" s="36">
        <v>8.8240195687181409E-3</v>
      </c>
      <c r="K21" s="37"/>
    </row>
    <row r="22" spans="2:11" x14ac:dyDescent="0.25">
      <c r="B22" s="6" t="s">
        <v>18</v>
      </c>
      <c r="C22" s="6">
        <v>5.7549999999999997E-2</v>
      </c>
      <c r="I22" s="6" t="s">
        <v>40</v>
      </c>
      <c r="J22" s="36">
        <v>223.83481950393966</v>
      </c>
      <c r="K22" s="37"/>
    </row>
    <row r="23" spans="2:11" x14ac:dyDescent="0.25">
      <c r="B23" s="6" t="s">
        <v>19</v>
      </c>
      <c r="C23" s="6">
        <v>9.0249999999999997E-2</v>
      </c>
      <c r="I23" s="6" t="s">
        <v>41</v>
      </c>
      <c r="J23" s="36">
        <v>8600.1847492142006</v>
      </c>
      <c r="K23" s="37"/>
    </row>
    <row r="24" spans="2:11" x14ac:dyDescent="0.25">
      <c r="B24" s="6" t="s">
        <v>20</v>
      </c>
      <c r="C24" s="6">
        <v>0.45650000000000002</v>
      </c>
      <c r="I24" s="6" t="s">
        <v>42</v>
      </c>
      <c r="J24" s="36">
        <v>8824.0195687181404</v>
      </c>
      <c r="K24" s="37"/>
    </row>
    <row r="25" spans="2:11" x14ac:dyDescent="0.25">
      <c r="B25" s="6" t="s">
        <v>21</v>
      </c>
      <c r="C25" s="38">
        <v>-2.8249999999999998E-4</v>
      </c>
      <c r="I25" s="6" t="s">
        <v>10</v>
      </c>
      <c r="J25" s="36">
        <v>59</v>
      </c>
    </row>
    <row r="26" spans="2:11" x14ac:dyDescent="0.25">
      <c r="I26" s="6" t="s">
        <v>11</v>
      </c>
      <c r="J26" s="36">
        <v>67</v>
      </c>
    </row>
    <row r="27" spans="2:11" x14ac:dyDescent="0.25">
      <c r="I27" s="6" t="s">
        <v>23</v>
      </c>
      <c r="J27" s="6">
        <v>63</v>
      </c>
    </row>
    <row r="28" spans="2:11" x14ac:dyDescent="0.25">
      <c r="I28" s="6" t="s">
        <v>62</v>
      </c>
      <c r="J28" s="6">
        <v>1.5</v>
      </c>
    </row>
  </sheetData>
  <mergeCells count="1">
    <mergeCell ref="B14:E15"/>
  </mergeCells>
  <phoneticPr fontId="0" type="noConversion"/>
  <hyperlinks>
    <hyperlink ref="J1" location="Description!A1" display="Learn about model"/>
    <hyperlink ref="C17" location="'Minitab results'!A1" display="Go to results sheet"/>
  </hyperlinks>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04"/>
  <sheetViews>
    <sheetView workbookViewId="0">
      <selection activeCell="A201" sqref="A201"/>
    </sheetView>
  </sheetViews>
  <sheetFormatPr defaultRowHeight="12.75" x14ac:dyDescent="0.2"/>
  <cols>
    <col min="1" max="1" width="13" style="2" customWidth="1"/>
    <col min="2" max="2" width="11" customWidth="1"/>
    <col min="3" max="3" width="12.42578125" customWidth="1"/>
  </cols>
  <sheetData>
    <row r="1" spans="1:4" x14ac:dyDescent="0.2">
      <c r="A1" s="2">
        <v>57.354952296806708</v>
      </c>
      <c r="B1">
        <f>NORMDIST(57.3549522968067, 63.371478462932, 1.01288319295039, TRUE)</f>
        <v>1.4251103835967423E-9</v>
      </c>
      <c r="C1">
        <v>0</v>
      </c>
      <c r="D1">
        <v>5.94</v>
      </c>
    </row>
    <row r="2" spans="1:4" x14ac:dyDescent="0.2">
      <c r="A2" s="2">
        <v>57.415725288383733</v>
      </c>
      <c r="B2">
        <f>NORMDIST(57.4157252883837, 63.371478462932, 1.01288319295039, TRUE)</f>
        <v>2.0513324107725312E-9</v>
      </c>
      <c r="C2">
        <f t="shared" ref="C2:C33" si="0" xml:space="preserve"> B2- B1</f>
        <v>6.2622202717578896E-10</v>
      </c>
      <c r="D2">
        <v>5.8799999999999946</v>
      </c>
    </row>
    <row r="3" spans="1:4" x14ac:dyDescent="0.2">
      <c r="A3" s="2">
        <v>57.476498279960751</v>
      </c>
      <c r="B3">
        <f>NORMDIST(57.4764982799608, 63.371478462932, 1.01288319295039, TRUE)</f>
        <v>2.9423813710456589E-9</v>
      </c>
      <c r="C3">
        <f t="shared" si="0"/>
        <v>8.9104896027312765E-10</v>
      </c>
      <c r="D3">
        <v>5.82</v>
      </c>
    </row>
    <row r="4" spans="1:4" x14ac:dyDescent="0.2">
      <c r="A4" s="2">
        <v>57.537271271537776</v>
      </c>
      <c r="B4">
        <f>NORMDIST(57.5372712715378, 63.371478462932, 1.01288319295039, TRUE)</f>
        <v>4.2056968045231939E-9</v>
      </c>
      <c r="C4">
        <f t="shared" si="0"/>
        <v>1.263315433477535E-9</v>
      </c>
      <c r="D4">
        <v>5.76</v>
      </c>
    </row>
    <row r="5" spans="1:4" x14ac:dyDescent="0.2">
      <c r="A5" s="3">
        <v>57.598044263114801</v>
      </c>
      <c r="B5">
        <f>NORMDIST(57.5980442631148, 63.371478462932, 1.01288319295039, TRUE)</f>
        <v>5.9903714010645139E-9</v>
      </c>
      <c r="C5">
        <f t="shared" si="0"/>
        <v>1.7846745965413201E-9</v>
      </c>
      <c r="D5">
        <v>5.7</v>
      </c>
    </row>
    <row r="6" spans="1:4" x14ac:dyDescent="0.2">
      <c r="A6" s="3">
        <v>57.658817254691826</v>
      </c>
      <c r="B6">
        <f>NORMDIST(57.6588172546918, 63.371478462932, 1.01288319295039, TRUE)</f>
        <v>8.502508215475089E-9</v>
      </c>
      <c r="C6">
        <f t="shared" si="0"/>
        <v>2.512136814410575E-9</v>
      </c>
      <c r="D6">
        <v>5.64</v>
      </c>
    </row>
    <row r="7" spans="1:4" x14ac:dyDescent="0.2">
      <c r="A7" s="3">
        <v>57.719590246268844</v>
      </c>
      <c r="B7">
        <f>NORMDIST(57.7195902462688, 63.371478462932, 1.01288319295039, TRUE)</f>
        <v>1.2025929230153606E-8</v>
      </c>
      <c r="C7">
        <f t="shared" si="0"/>
        <v>3.5234210146785166E-9</v>
      </c>
      <c r="D7">
        <v>5.58</v>
      </c>
    </row>
    <row r="8" spans="1:4" x14ac:dyDescent="0.2">
      <c r="A8" s="3">
        <v>57.780363237845869</v>
      </c>
      <c r="B8">
        <f>NORMDIST(57.7803632378459, 63.371478462932, 1.01288319295039, TRUE)</f>
        <v>1.694998313655587E-8</v>
      </c>
      <c r="C8">
        <f t="shared" si="0"/>
        <v>4.9240539064022644E-9</v>
      </c>
      <c r="D8">
        <v>5.52</v>
      </c>
    </row>
    <row r="9" spans="1:4" x14ac:dyDescent="0.2">
      <c r="A9" s="3">
        <v>57.841136229422894</v>
      </c>
      <c r="B9">
        <f>NORMDIST(57.8411362294229, 63.371478462932, 1.01288319295039, TRUE)</f>
        <v>2.3806729162704884E-8</v>
      </c>
      <c r="C9">
        <f t="shared" si="0"/>
        <v>6.8567460261490137E-9</v>
      </c>
      <c r="D9">
        <v>5.46</v>
      </c>
    </row>
    <row r="10" spans="1:4" x14ac:dyDescent="0.2">
      <c r="A10" s="3">
        <v>57.901909220999919</v>
      </c>
      <c r="B10">
        <f>NORMDIST(57.9019092209999, 63.371478462932, 1.01288319295039, TRUE)</f>
        <v>3.3320448485429983E-8</v>
      </c>
      <c r="C10">
        <f t="shared" si="0"/>
        <v>9.5137193227250998E-9</v>
      </c>
      <c r="D10">
        <v>5.4</v>
      </c>
    </row>
    <row r="11" spans="1:4" x14ac:dyDescent="0.2">
      <c r="A11" s="3">
        <v>57.962682212576944</v>
      </c>
      <c r="B11">
        <f>NORMDIST(57.9626822125769, 63.371478462932, 1.01288319295039, TRUE)</f>
        <v>4.6473290753437919E-8</v>
      </c>
      <c r="C11">
        <f t="shared" si="0"/>
        <v>1.3152842268007936E-8</v>
      </c>
      <c r="D11">
        <v>5.3399999999999945</v>
      </c>
    </row>
    <row r="12" spans="1:4" x14ac:dyDescent="0.2">
      <c r="A12" s="3">
        <v>58.023455204153962</v>
      </c>
      <c r="B12">
        <f>NORMDIST(58.023455204154, 63.371478462932, 1.01288319295039, TRUE)</f>
        <v>6.4591943259845864E-8</v>
      </c>
      <c r="C12">
        <f t="shared" si="0"/>
        <v>1.8118652506407945E-8</v>
      </c>
      <c r="D12">
        <v>5.28</v>
      </c>
    </row>
    <row r="13" spans="1:4" x14ac:dyDescent="0.2">
      <c r="A13" s="3">
        <v>58.084228195730986</v>
      </c>
      <c r="B13">
        <f>NORMDIST(58.084228195731, 63.371478462932, 1.01288319295039, TRUE)</f>
        <v>8.946156536292664E-8</v>
      </c>
      <c r="C13">
        <f t="shared" si="0"/>
        <v>2.4869622103080775E-8</v>
      </c>
      <c r="D13">
        <v>5.22</v>
      </c>
    </row>
    <row r="14" spans="1:4" x14ac:dyDescent="0.2">
      <c r="A14" s="3">
        <v>58.145001187308011</v>
      </c>
      <c r="B14">
        <f>NORMDIST(58.145001187308, 63.371478462932, 1.01288319295039, TRUE)</f>
        <v>1.2347492123652505E-7</v>
      </c>
      <c r="C14">
        <f t="shared" si="0"/>
        <v>3.4013355873598407E-8</v>
      </c>
      <c r="D14">
        <v>5.16</v>
      </c>
    </row>
    <row r="15" spans="1:4" x14ac:dyDescent="0.2">
      <c r="A15" s="3">
        <v>58.205774178885036</v>
      </c>
      <c r="B15">
        <f>NORMDIST(58.205774178885, 63.371478462932, 1.01288319295039, TRUE)</f>
        <v>1.698267407147541E-7</v>
      </c>
      <c r="C15">
        <f t="shared" si="0"/>
        <v>4.6351819478229054E-8</v>
      </c>
      <c r="D15">
        <v>5.0999999999999996</v>
      </c>
    </row>
    <row r="16" spans="1:4" x14ac:dyDescent="0.2">
      <c r="A16" s="3">
        <v>58.266547170462061</v>
      </c>
      <c r="B16">
        <f>NORMDIST(58.2665471704621, 63.371478462932, 1.01288319295039, TRUE)</f>
        <v>2.3276592304867982E-7</v>
      </c>
      <c r="C16">
        <f t="shared" si="0"/>
        <v>6.2939182333925723E-8</v>
      </c>
      <c r="D16">
        <v>5.0399999999999938</v>
      </c>
    </row>
    <row r="17" spans="1:4" x14ac:dyDescent="0.2">
      <c r="A17" s="3">
        <v>58.327320162039079</v>
      </c>
      <c r="B17">
        <f>NORMDIST(58.3273201620391, 63.371478462932, 1.01288319295039, TRUE)</f>
        <v>3.1792136618535591E-7</v>
      </c>
      <c r="C17">
        <f t="shared" si="0"/>
        <v>8.5155443136676088E-8</v>
      </c>
      <c r="D17">
        <v>4.9800000000000004</v>
      </c>
    </row>
    <row r="18" spans="1:4" x14ac:dyDescent="0.2">
      <c r="A18" s="3">
        <v>58.388093153616104</v>
      </c>
      <c r="B18">
        <f>NORMDIST(58.3880931536161, 63.371478462932, 1.01288319295039, TRUE)</f>
        <v>4.3272106186174354E-7</v>
      </c>
      <c r="C18">
        <f t="shared" si="0"/>
        <v>1.1479969567638763E-7</v>
      </c>
      <c r="D18">
        <v>4.92</v>
      </c>
    </row>
    <row r="19" spans="1:4" x14ac:dyDescent="0.2">
      <c r="A19" s="3">
        <v>58.448866145193129</v>
      </c>
      <c r="B19">
        <f>NORMDIST(58.4488661451931, 63.371478462932, 1.01288319295039, TRUE)</f>
        <v>5.8692876446664029E-7</v>
      </c>
      <c r="C19">
        <f t="shared" si="0"/>
        <v>1.5420770260489675E-7</v>
      </c>
      <c r="D19">
        <v>4.8600000000000003</v>
      </c>
    </row>
    <row r="20" spans="1:4" x14ac:dyDescent="0.2">
      <c r="A20" s="3">
        <v>58.509639136770154</v>
      </c>
      <c r="B20">
        <f>NORMDIST(58.5096391367702, 63.371478462932, 1.01288319295039, TRUE)</f>
        <v>7.9332815197587813E-7</v>
      </c>
      <c r="C20">
        <f t="shared" si="0"/>
        <v>2.0639938750923784E-7</v>
      </c>
      <c r="D20">
        <v>4.8</v>
      </c>
    </row>
    <row r="21" spans="1:4" x14ac:dyDescent="0.2">
      <c r="A21" s="3">
        <v>58.570412128347172</v>
      </c>
      <c r="B21">
        <f>NORMDIST(58.5704121283472, 63.371478462932, 1.01288319295039, TRUE)</f>
        <v>1.0685910945462066E-6</v>
      </c>
      <c r="C21">
        <f t="shared" si="0"/>
        <v>2.7526294257032843E-7</v>
      </c>
      <c r="D21">
        <v>4.74</v>
      </c>
    </row>
    <row r="22" spans="1:4" x14ac:dyDescent="0.2">
      <c r="A22" s="3">
        <v>58.631185119924197</v>
      </c>
      <c r="B22">
        <f>NORMDIST(58.6311851199242, 63.371478462932, 1.01288319295039, TRUE)</f>
        <v>1.4343745844203129E-6</v>
      </c>
      <c r="C22">
        <f t="shared" si="0"/>
        <v>3.6578348987410633E-7</v>
      </c>
      <c r="D22">
        <v>4.68</v>
      </c>
    </row>
    <row r="23" spans="1:4" x14ac:dyDescent="0.2">
      <c r="A23" s="3">
        <v>58.691958111501222</v>
      </c>
      <c r="B23">
        <f>NORMDIST(58.6919581115012, 63.371478462932, 1.01288319295039, TRUE)</f>
        <v>1.9187002199709513E-6</v>
      </c>
      <c r="C23">
        <f t="shared" si="0"/>
        <v>4.8432563555063843E-7</v>
      </c>
      <c r="D23">
        <v>4.62</v>
      </c>
    </row>
    <row r="24" spans="1:4" x14ac:dyDescent="0.2">
      <c r="A24" s="3">
        <v>58.752731103078247</v>
      </c>
      <c r="B24">
        <f>NORMDIST(58.7527311030782, 63.371478462932, 1.01288319295039, TRUE)</f>
        <v>2.5576810394512763E-6</v>
      </c>
      <c r="C24">
        <f t="shared" si="0"/>
        <v>6.3898081948032499E-7</v>
      </c>
      <c r="D24">
        <v>4.5599999999999996</v>
      </c>
    </row>
    <row r="25" spans="1:4" x14ac:dyDescent="0.2">
      <c r="A25" s="3">
        <v>58.813504094655272</v>
      </c>
      <c r="B25">
        <f>NORMDIST(58.8135040946553, 63.371478462932, 1.01288319295039, TRUE)</f>
        <v>3.3976731247309941E-6</v>
      </c>
      <c r="C25">
        <f t="shared" si="0"/>
        <v>8.3999208527971779E-7</v>
      </c>
      <c r="D25">
        <v>4.4999999999999947</v>
      </c>
    </row>
    <row r="26" spans="1:4" x14ac:dyDescent="0.2">
      <c r="A26" s="3">
        <v>58.87427708623229</v>
      </c>
      <c r="B26">
        <f>NORMDIST(58.8742770862323, 63.371478462932, 1.01288319295039, TRUE)</f>
        <v>4.4979438885685934E-6</v>
      </c>
      <c r="C26">
        <f t="shared" si="0"/>
        <v>1.1002707638375993E-6</v>
      </c>
      <c r="D26">
        <v>4.4400000000000004</v>
      </c>
    </row>
    <row r="27" spans="1:4" x14ac:dyDescent="0.2">
      <c r="A27" s="3">
        <v>58.935050077809315</v>
      </c>
      <c r="B27">
        <f>NORMDIST(58.9350500778093, 63.371478462932, 1.01288319295039, TRUE)</f>
        <v>5.9339654456250072E-6</v>
      </c>
      <c r="C27">
        <f t="shared" si="0"/>
        <v>1.4360215570564137E-6</v>
      </c>
      <c r="D27">
        <v>4.38</v>
      </c>
    </row>
    <row r="28" spans="1:4" x14ac:dyDescent="0.2">
      <c r="A28" s="3">
        <v>58.99582306938634</v>
      </c>
      <c r="B28">
        <f>NORMDIST(58.9958230693863, 63.371478462932, 1.01288319295039, TRUE)</f>
        <v>7.8014600381008467E-6</v>
      </c>
      <c r="C28">
        <f t="shared" si="0"/>
        <v>1.8674945924758396E-6</v>
      </c>
      <c r="D28">
        <v>4.32</v>
      </c>
    </row>
    <row r="29" spans="1:4" x14ac:dyDescent="0.2">
      <c r="A29" s="3">
        <v>59.056596060963365</v>
      </c>
      <c r="B29">
        <f>NORMDIST(59.0565960609634, 63.371478462932, 1.01288319295039, TRUE)</f>
        <v>1.0221345183987016E-5</v>
      </c>
      <c r="C29">
        <f t="shared" si="0"/>
        <v>2.4198851458861694E-6</v>
      </c>
      <c r="D29">
        <v>4.26</v>
      </c>
    </row>
    <row r="30" spans="1:4" x14ac:dyDescent="0.2">
      <c r="A30" s="3">
        <v>59.11736905254039</v>
      </c>
      <c r="B30">
        <f>NORMDIST(59.1173690525404, 63.371478462932, 1.01288319295039, TRUE)</f>
        <v>1.3345749015908577E-5</v>
      </c>
      <c r="C30">
        <f t="shared" si="0"/>
        <v>3.124403831921561E-6</v>
      </c>
      <c r="D30">
        <v>4.199999999999994</v>
      </c>
    </row>
    <row r="31" spans="1:4" x14ac:dyDescent="0.2">
      <c r="A31" s="3">
        <v>59.178142044117408</v>
      </c>
      <c r="B31">
        <f>NORMDIST(59.1781420441174, 63.371478462932, 1.01288319295039, TRUE)</f>
        <v>1.7365291073605462E-5</v>
      </c>
      <c r="C31">
        <f t="shared" si="0"/>
        <v>4.0195420576968851E-6</v>
      </c>
      <c r="D31">
        <v>4.1399999999999997</v>
      </c>
    </row>
    <row r="32" spans="1:4" x14ac:dyDescent="0.2">
      <c r="A32" s="3">
        <v>59.238915035694433</v>
      </c>
      <c r="B32">
        <f>NORMDIST(59.2389150356944, 63.371478462932, 1.01288319295039, TRUE)</f>
        <v>2.2517850388524638E-5</v>
      </c>
      <c r="C32">
        <f t="shared" si="0"/>
        <v>5.1525593149191756E-6</v>
      </c>
      <c r="D32">
        <v>4.08</v>
      </c>
    </row>
    <row r="33" spans="1:4" x14ac:dyDescent="0.2">
      <c r="A33" s="3">
        <v>59.299688027271458</v>
      </c>
      <c r="B33">
        <f>NORMDIST(59.2996880272715, 63.371478462932, 1.01288319295039, TRUE)</f>
        <v>2.9099070711939773E-5</v>
      </c>
      <c r="C33">
        <f t="shared" si="0"/>
        <v>6.581220323415135E-6</v>
      </c>
      <c r="D33">
        <v>4.0199999999999996</v>
      </c>
    </row>
    <row r="34" spans="1:4" x14ac:dyDescent="0.2">
      <c r="A34" s="3">
        <v>59.360461018848483</v>
      </c>
      <c r="B34">
        <f>NORMDIST(59.3604610188485, 63.371478462932, 1.01288319295039, TRUE)</f>
        <v>3.7474881691080321E-5</v>
      </c>
      <c r="C34">
        <f t="shared" ref="C34:C65" si="1" xml:space="preserve"> B34- B33</f>
        <v>8.3758109791405486E-6</v>
      </c>
      <c r="D34">
        <v>3.9599999999999951</v>
      </c>
    </row>
    <row r="35" spans="1:4" x14ac:dyDescent="0.2">
      <c r="A35" s="3">
        <v>59.421234010425501</v>
      </c>
      <c r="B35">
        <f>NORMDIST(59.4212340104255, 63.371478462932, 1.01288319295039, TRUE)</f>
        <v>4.8096344017607615E-5</v>
      </c>
      <c r="C35">
        <f t="shared" si="1"/>
        <v>1.0621462326527294E-5</v>
      </c>
      <c r="D35">
        <v>3.9</v>
      </c>
    </row>
    <row r="36" spans="1:4" x14ac:dyDescent="0.2">
      <c r="A36" s="3">
        <v>59.482007002002526</v>
      </c>
      <c r="B36">
        <f>NORMDIST(59.4820070020025, 63.371478462932, 1.01288319295039, TRUE)</f>
        <v>6.1517155183254865E-5</v>
      </c>
      <c r="C36">
        <f t="shared" si="1"/>
        <v>1.3420811165647249E-5</v>
      </c>
      <c r="D36">
        <v>3.84</v>
      </c>
    </row>
    <row r="37" spans="1:4" x14ac:dyDescent="0.2">
      <c r="A37" s="3">
        <v>59.542779993579551</v>
      </c>
      <c r="B37">
        <f>NORMDIST(59.5427799935796, 63.371478462932, 1.01288319295039, TRUE)</f>
        <v>7.8414179383609405E-5</v>
      </c>
      <c r="C37">
        <f t="shared" si="1"/>
        <v>1.6897024200354541E-5</v>
      </c>
      <c r="D37">
        <v>3.78</v>
      </c>
    </row>
    <row r="38" spans="1:4" x14ac:dyDescent="0.2">
      <c r="A38" s="3">
        <v>59.603552985156576</v>
      </c>
      <c r="B38">
        <f>NORMDIST(59.6035529851566, 63.371478462932, 1.01288319295039, TRUE)</f>
        <v>9.9611388975936576E-5</v>
      </c>
      <c r="C38">
        <f t="shared" si="1"/>
        <v>2.1197209592327171E-5</v>
      </c>
      <c r="D38">
        <v>3.72</v>
      </c>
    </row>
    <row r="39" spans="1:4" x14ac:dyDescent="0.2">
      <c r="A39" s="3">
        <v>59.6643259767336</v>
      </c>
      <c r="B39">
        <f>NORMDIST(59.6643259767336, 63.371478462932, 1.01288319295039, TRUE)</f>
        <v>1.2610762413850217E-4</v>
      </c>
      <c r="C39">
        <f t="shared" si="1"/>
        <v>2.6496235162565594E-5</v>
      </c>
      <c r="D39">
        <v>3.6599999999999944</v>
      </c>
    </row>
    <row r="40" spans="1:4" x14ac:dyDescent="0.2">
      <c r="A40" s="3">
        <v>59.725098968310618</v>
      </c>
      <c r="B40">
        <f>NORMDIST(59.7250989683106, 63.371478462932, 1.01288319295039, TRUE)</f>
        <v>1.5910859015753667E-4</v>
      </c>
      <c r="C40">
        <f t="shared" si="1"/>
        <v>3.3000966019034502E-5</v>
      </c>
      <c r="D40">
        <v>3.6</v>
      </c>
    </row>
    <row r="41" spans="1:4" x14ac:dyDescent="0.2">
      <c r="A41" s="3">
        <v>59.785871959887643</v>
      </c>
      <c r="B41">
        <f>NORMDIST(59.7858719598876, 63.371478462932, 1.01288319295039, TRUE)</f>
        <v>2.0006351600730906E-4</v>
      </c>
      <c r="C41">
        <f t="shared" si="1"/>
        <v>4.0954925849772392E-5</v>
      </c>
      <c r="D41">
        <v>3.54</v>
      </c>
    </row>
    <row r="42" spans="1:4" x14ac:dyDescent="0.2">
      <c r="A42" s="3">
        <v>59.846644951464668</v>
      </c>
      <c r="B42">
        <f>NORMDIST(59.8466449514647, 63.371478462932, 1.01288319295039, TRUE)</f>
        <v>2.5070689128059068E-4</v>
      </c>
      <c r="C42">
        <f t="shared" si="1"/>
        <v>5.0643375273281616E-5</v>
      </c>
      <c r="D42">
        <v>3.48</v>
      </c>
    </row>
    <row r="43" spans="1:4" x14ac:dyDescent="0.2">
      <c r="A43" s="3">
        <v>59.907417943041693</v>
      </c>
      <c r="B43">
        <f>NORMDIST(59.9074179430417, 63.371478462932, 1.01288319295039, TRUE)</f>
        <v>3.1310567858124295E-4</v>
      </c>
      <c r="C43">
        <f t="shared" si="1"/>
        <v>6.2398787300652265E-5</v>
      </c>
      <c r="D43">
        <v>3.42</v>
      </c>
    </row>
    <row r="44" spans="1:4" x14ac:dyDescent="0.2">
      <c r="A44" s="3">
        <v>59.968190934618718</v>
      </c>
      <c r="B44">
        <f>NORMDIST(59.9681909346187, 63.371478462932, 1.01288319295039, TRUE)</f>
        <v>3.8971236258204762E-4</v>
      </c>
      <c r="C44">
        <f t="shared" si="1"/>
        <v>7.6606684000804677E-5</v>
      </c>
      <c r="D44">
        <v>3.3599999999999937</v>
      </c>
    </row>
    <row r="45" spans="1:4" x14ac:dyDescent="0.2">
      <c r="A45" s="3">
        <v>60.028963926195736</v>
      </c>
      <c r="B45">
        <f>NORMDIST(60.0289639261957, 63.371478462932, 1.01288319295039, TRUE)</f>
        <v>4.8342414238376264E-4</v>
      </c>
      <c r="C45">
        <f t="shared" si="1"/>
        <v>9.371177980171502E-5</v>
      </c>
      <c r="D45">
        <v>3.3</v>
      </c>
    </row>
    <row r="46" spans="1:4" x14ac:dyDescent="0.2">
      <c r="A46" s="3">
        <v>60.089736917772761</v>
      </c>
      <c r="B46">
        <f>NORMDIST(60.0897369177728, 63.371478462932, 1.01288319295039, TRUE)</f>
        <v>5.9764849793454841E-4</v>
      </c>
      <c r="C46">
        <f t="shared" si="1"/>
        <v>1.1422435555078576E-4</v>
      </c>
      <c r="D46">
        <v>3.24</v>
      </c>
    </row>
    <row r="47" spans="1:4" x14ac:dyDescent="0.2">
      <c r="A47" s="3">
        <v>60.150509909349786</v>
      </c>
      <c r="B47">
        <f>NORMDIST(60.1505099093498, 63.371478462932, 1.01288319295039, TRUE)</f>
        <v>7.3637526155404095E-4</v>
      </c>
      <c r="C47">
        <f t="shared" si="1"/>
        <v>1.3872676361949255E-4</v>
      </c>
      <c r="D47">
        <v>3.18</v>
      </c>
    </row>
    <row r="48" spans="1:4" x14ac:dyDescent="0.2">
      <c r="A48" s="3">
        <v>60.211282900926811</v>
      </c>
      <c r="B48">
        <f>NORMDIST(60.2112829009268, 63.371478462932, 1.01288319295039, TRUE)</f>
        <v>9.0425519982239135E-4</v>
      </c>
      <c r="C48">
        <f t="shared" si="1"/>
        <v>1.6787993826835039E-4</v>
      </c>
      <c r="D48">
        <v>3.1199999999999948</v>
      </c>
    </row>
    <row r="49" spans="1:4" x14ac:dyDescent="0.2">
      <c r="A49" s="3">
        <v>60.272055892503829</v>
      </c>
      <c r="B49">
        <f>NORMDIST(60.2720558925038, 63.371478462932, 1.01288319295039, TRUE)</f>
        <v>1.1066849574092375E-3</v>
      </c>
      <c r="C49">
        <f t="shared" si="1"/>
        <v>2.0242975758684618E-4</v>
      </c>
      <c r="D49">
        <v>3.06</v>
      </c>
    </row>
    <row r="50" spans="1:4" x14ac:dyDescent="0.2">
      <c r="A50" s="3">
        <v>60.332828884080854</v>
      </c>
      <c r="B50">
        <f>NORMDIST(60.3328288840809, 63.371478462932, 1.01288319295039, TRUE)</f>
        <v>1.3498980316304014E-3</v>
      </c>
      <c r="C50">
        <f t="shared" si="1"/>
        <v>2.4321307422116387E-4</v>
      </c>
      <c r="D50">
        <v>3</v>
      </c>
    </row>
    <row r="51" spans="1:4" x14ac:dyDescent="0.2">
      <c r="A51" s="3">
        <v>60.393601875657879</v>
      </c>
      <c r="B51">
        <f>NORMDIST(60.3936018756579, 63.371478462932, 1.01288319295039, TRUE)</f>
        <v>1.6410612341572586E-3</v>
      </c>
      <c r="C51">
        <f t="shared" si="1"/>
        <v>2.9116320252685715E-4</v>
      </c>
      <c r="D51">
        <v>2.94</v>
      </c>
    </row>
    <row r="52" spans="1:4" x14ac:dyDescent="0.2">
      <c r="A52" s="3">
        <v>60.454374867234904</v>
      </c>
      <c r="B52">
        <f>NORMDIST(60.4543748672349, 63.371478462932, 1.01288319295039, TRUE)</f>
        <v>1.988375854894473E-3</v>
      </c>
      <c r="C52">
        <f t="shared" si="1"/>
        <v>3.4731462073721449E-4</v>
      </c>
      <c r="D52">
        <v>2.88</v>
      </c>
    </row>
    <row r="53" spans="1:4" x14ac:dyDescent="0.2">
      <c r="A53" s="3">
        <v>60.515147858811929</v>
      </c>
      <c r="B53">
        <f>NORMDIST(60.5151478588119, 63.371478462932, 1.01288319295039, TRUE)</f>
        <v>2.4011824741892794E-3</v>
      </c>
      <c r="C53">
        <f t="shared" si="1"/>
        <v>4.1280661929480635E-4</v>
      </c>
      <c r="D53">
        <v>2.8199999999999941</v>
      </c>
    </row>
    <row r="54" spans="1:4" x14ac:dyDescent="0.2">
      <c r="A54" s="3">
        <v>60.575920850388947</v>
      </c>
      <c r="B54">
        <f>NORMDIST(60.5759208503889, 63.371478462932, 1.01288319295039, TRUE)</f>
        <v>2.8900680762259457E-3</v>
      </c>
      <c r="C54">
        <f t="shared" si="1"/>
        <v>4.8888560203666628E-4</v>
      </c>
      <c r="D54">
        <v>2.76</v>
      </c>
    </row>
    <row r="55" spans="1:4" x14ac:dyDescent="0.2">
      <c r="A55" s="3">
        <v>60.636693841965972</v>
      </c>
      <c r="B55">
        <f>NORMDIST(60.636693841966, 63.371478462932, 1.01288319295039, TRUE)</f>
        <v>3.4669738030412506E-3</v>
      </c>
      <c r="C55">
        <f t="shared" si="1"/>
        <v>5.7690572681530494E-4</v>
      </c>
      <c r="D55">
        <v>2.7</v>
      </c>
    </row>
    <row r="56" spans="1:4" x14ac:dyDescent="0.2">
      <c r="A56" s="3">
        <v>60.697466833542997</v>
      </c>
      <c r="B56">
        <f>NORMDIST(60.697466833543, 63.371478462932, 1.01288319295039, TRUE)</f>
        <v>4.145301361036401E-3</v>
      </c>
      <c r="C56">
        <f t="shared" si="1"/>
        <v>6.7832755799515036E-4</v>
      </c>
      <c r="D56">
        <v>2.64</v>
      </c>
    </row>
    <row r="57" spans="1:4" x14ac:dyDescent="0.2">
      <c r="A57" s="3">
        <v>60.758239825120022</v>
      </c>
      <c r="B57">
        <f>NORMDIST(60.75823982512, 63.371478462932, 1.01288319295039, TRUE)</f>
        <v>4.9400157577707869E-3</v>
      </c>
      <c r="C57">
        <f t="shared" si="1"/>
        <v>7.9471439673438598E-4</v>
      </c>
      <c r="D57">
        <v>2.58</v>
      </c>
    </row>
    <row r="58" spans="1:4" x14ac:dyDescent="0.2">
      <c r="A58" s="3">
        <v>60.819012816697047</v>
      </c>
      <c r="B58">
        <f>NORMDIST(60.819012816697, 63.371478462932, 1.01288319295039, TRUE)</f>
        <v>5.8677417153322883E-3</v>
      </c>
      <c r="C58">
        <f t="shared" si="1"/>
        <v>9.2772595756150135E-4</v>
      </c>
      <c r="D58">
        <v>2.5199999999999934</v>
      </c>
    </row>
    <row r="59" spans="1:4" x14ac:dyDescent="0.2">
      <c r="A59" s="3">
        <v>60.879785808274065</v>
      </c>
      <c r="B59">
        <f>NORMDIST(60.8797858082741, 63.371478462932, 1.01288319295039, TRUE)</f>
        <v>6.9468507886255261E-3</v>
      </c>
      <c r="C59">
        <f t="shared" si="1"/>
        <v>1.0791090732932378E-3</v>
      </c>
      <c r="D59">
        <v>2.46</v>
      </c>
    </row>
    <row r="60" spans="1:4" x14ac:dyDescent="0.2">
      <c r="A60" s="3">
        <v>60.94055879985109</v>
      </c>
      <c r="B60">
        <f>NORMDIST(60.9405587998511, 63.371478462932, 1.01288319295039, TRUE)</f>
        <v>8.1975359245969309E-3</v>
      </c>
      <c r="C60">
        <f t="shared" si="1"/>
        <v>1.2506851359714048E-3</v>
      </c>
      <c r="D60">
        <v>2.4</v>
      </c>
    </row>
    <row r="61" spans="1:4" x14ac:dyDescent="0.2">
      <c r="A61" s="3">
        <v>61.001331791428115</v>
      </c>
      <c r="B61">
        <f>NORMDIST(61.0013317914281, 63.371478462932, 1.01288319295039, TRUE)</f>
        <v>9.6418699453587522E-3</v>
      </c>
      <c r="C61">
        <f t="shared" si="1"/>
        <v>1.4443340207618213E-3</v>
      </c>
      <c r="D61">
        <v>2.34</v>
      </c>
    </row>
    <row r="62" spans="1:4" x14ac:dyDescent="0.2">
      <c r="A62" s="3">
        <v>61.06210478300514</v>
      </c>
      <c r="B62">
        <f>NORMDIST(61.0621047830051, 63.371478462932, 1.01288319295039, TRUE)</f>
        <v>1.1303844238552491E-2</v>
      </c>
      <c r="C62">
        <f t="shared" si="1"/>
        <v>1.6619742931937385E-3</v>
      </c>
      <c r="D62">
        <v>2.2799999999999945</v>
      </c>
    </row>
    <row r="63" spans="1:4" x14ac:dyDescent="0.2">
      <c r="A63" s="3">
        <v>61.122877774582157</v>
      </c>
      <c r="B63">
        <f>NORMDIST(61.1228777745822, 63.371478462932, 1.01288319295039, TRUE)</f>
        <v>1.3209383807258605E-2</v>
      </c>
      <c r="C63">
        <f t="shared" si="1"/>
        <v>1.9055395687061147E-3</v>
      </c>
      <c r="D63">
        <v>2.2200000000000002</v>
      </c>
    </row>
    <row r="64" spans="1:4" x14ac:dyDescent="0.2">
      <c r="A64" s="3">
        <v>61.183650766159182</v>
      </c>
      <c r="B64">
        <f>NORMDIST(61.1836507661592, 63.371478462932, 1.01288319295039, TRUE)</f>
        <v>1.5386334783927071E-2</v>
      </c>
      <c r="C64">
        <f t="shared" si="1"/>
        <v>2.1769509766684653E-3</v>
      </c>
      <c r="D64">
        <v>2.16</v>
      </c>
    </row>
    <row r="65" spans="1:4" x14ac:dyDescent="0.2">
      <c r="A65" s="3">
        <v>61.244423757736207</v>
      </c>
      <c r="B65">
        <f>NORMDIST(61.2444237577362, 63.371478462932, 1.01288319295039, TRUE)</f>
        <v>1.7864420562817538E-2</v>
      </c>
      <c r="C65">
        <f t="shared" si="1"/>
        <v>2.4780857788904674E-3</v>
      </c>
      <c r="D65">
        <v>2.1</v>
      </c>
    </row>
    <row r="66" spans="1:4" x14ac:dyDescent="0.2">
      <c r="A66" s="3">
        <v>61.305196749313232</v>
      </c>
      <c r="B66">
        <f>NORMDIST(61.3051967493132, 63.371478462932, 1.01288319295039, TRUE)</f>
        <v>2.0675162866069845E-2</v>
      </c>
      <c r="C66">
        <f t="shared" ref="C66:C97" si="2" xml:space="preserve"> B66- B65</f>
        <v>2.8107423032523067E-3</v>
      </c>
      <c r="D66">
        <v>2.04</v>
      </c>
    </row>
    <row r="67" spans="1:4" x14ac:dyDescent="0.2">
      <c r="A67" s="3">
        <v>61.365969740890257</v>
      </c>
      <c r="B67">
        <f>NORMDIST(61.3659697408903, 63.371478462932, 1.01288319295039, TRUE)</f>
        <v>2.3851764341512715E-2</v>
      </c>
      <c r="C67">
        <f t="shared" si="2"/>
        <v>3.1766014754428702E-3</v>
      </c>
      <c r="D67">
        <v>1.979999999999994</v>
      </c>
    </row>
    <row r="68" spans="1:4" x14ac:dyDescent="0.2">
      <c r="A68" s="3">
        <v>61.426742732467275</v>
      </c>
      <c r="B68">
        <f>NORMDIST(61.4267427324673, 63.371478462932, 1.01288319295039, TRUE)</f>
        <v>2.7428949703839866E-2</v>
      </c>
      <c r="C68">
        <f t="shared" si="2"/>
        <v>3.577185362327151E-3</v>
      </c>
      <c r="D68">
        <v>1.92</v>
      </c>
    </row>
    <row r="69" spans="1:4" x14ac:dyDescent="0.2">
      <c r="A69" s="3">
        <v>61.4875157240443</v>
      </c>
      <c r="B69">
        <f>NORMDIST(61.4875157240443, 63.371478462932, 1.01288319295039, TRUE)</f>
        <v>3.1442762980754747E-2</v>
      </c>
      <c r="C69">
        <f t="shared" si="2"/>
        <v>4.0138132769148814E-3</v>
      </c>
      <c r="D69">
        <v>1.86</v>
      </c>
    </row>
    <row r="70" spans="1:4" x14ac:dyDescent="0.2">
      <c r="A70" s="3">
        <v>61.548288715621325</v>
      </c>
      <c r="B70">
        <f>NORMDIST(61.5482887156213, 63.371478462932, 1.01288319295039, TRUE)</f>
        <v>3.5930319112925983E-2</v>
      </c>
      <c r="C70">
        <f t="shared" si="2"/>
        <v>4.4875561321712359E-3</v>
      </c>
      <c r="D70">
        <v>1.8</v>
      </c>
    </row>
    <row r="71" spans="1:4" x14ac:dyDescent="0.2">
      <c r="A71" s="3">
        <v>61.60906170719835</v>
      </c>
      <c r="B71">
        <f>NORMDIST(61.6090617071984, 63.371478462932, 1.01288319295039, TRUE)</f>
        <v>4.0929508978814477E-2</v>
      </c>
      <c r="C71">
        <f t="shared" si="2"/>
        <v>4.999189865888494E-3</v>
      </c>
      <c r="D71">
        <v>1.7399999999999949</v>
      </c>
    </row>
    <row r="72" spans="1:4" x14ac:dyDescent="0.2">
      <c r="A72" s="3">
        <v>61.669834698775375</v>
      </c>
      <c r="B72">
        <f>NORMDIST(61.6698346987754, 63.371478462932, 1.01288319295039, TRUE)</f>
        <v>4.6478657863725362E-2</v>
      </c>
      <c r="C72">
        <f t="shared" si="2"/>
        <v>5.5491488849108844E-3</v>
      </c>
      <c r="D72">
        <v>1.6799999999999933</v>
      </c>
    </row>
    <row r="73" spans="1:4" x14ac:dyDescent="0.2">
      <c r="A73" s="3">
        <v>61.730607690352393</v>
      </c>
      <c r="B73">
        <f>NORMDIST(61.7306076903524, 63.371478462932, 1.01288319295039, TRUE)</f>
        <v>5.2616138454255834E-2</v>
      </c>
      <c r="C73">
        <f t="shared" si="2"/>
        <v>6.1374805905304725E-3</v>
      </c>
      <c r="D73">
        <v>1.62</v>
      </c>
    </row>
    <row r="74" spans="1:4" x14ac:dyDescent="0.2">
      <c r="A74" s="3">
        <v>61.791380681929418</v>
      </c>
      <c r="B74">
        <f>NORMDIST(61.7913806819294, 63.371478462932, 1.01288319295039, TRUE)</f>
        <v>5.9379940594794005E-2</v>
      </c>
      <c r="C74">
        <f t="shared" si="2"/>
        <v>6.7638021405381707E-3</v>
      </c>
      <c r="D74">
        <v>1.56</v>
      </c>
    </row>
    <row r="75" spans="1:4" x14ac:dyDescent="0.2">
      <c r="A75" s="3">
        <v>61.852153673506443</v>
      </c>
      <c r="B75">
        <f>NORMDIST(61.8521536735064, 63.371478462932, 1.01288319295039, TRUE)</f>
        <v>6.6807201268856656E-2</v>
      </c>
      <c r="C75">
        <f t="shared" si="2"/>
        <v>7.4272606740626509E-3</v>
      </c>
      <c r="D75">
        <v>1.5</v>
      </c>
    </row>
    <row r="76" spans="1:4" x14ac:dyDescent="0.2">
      <c r="A76" s="3">
        <v>61.912926665083468</v>
      </c>
      <c r="B76">
        <f>NORMDIST(61.9129266650835, 63.371478462932, 1.01288319295039, TRUE)</f>
        <v>7.4933699534336595E-2</v>
      </c>
      <c r="C76">
        <f t="shared" si="2"/>
        <v>8.1264982654799395E-3</v>
      </c>
      <c r="D76">
        <v>1.4399999999999944</v>
      </c>
    </row>
    <row r="77" spans="1:4" x14ac:dyDescent="0.2">
      <c r="A77" s="3">
        <v>61.973699656660486</v>
      </c>
      <c r="B77">
        <f>NORMDIST(61.9736996566605, 63.371478462932, 1.01288319295039, TRUE)</f>
        <v>8.3793322415020619E-2</v>
      </c>
      <c r="C77">
        <f t="shared" si="2"/>
        <v>8.8596228806840233E-3</v>
      </c>
      <c r="D77">
        <v>1.38</v>
      </c>
    </row>
    <row r="78" spans="1:4" x14ac:dyDescent="0.2">
      <c r="A78" s="3">
        <v>62.034472648237511</v>
      </c>
      <c r="B78">
        <f>NORMDIST(62.0344726482375, 63.371478462932, 1.01288319295039, TRUE)</f>
        <v>9.3417508993474271E-2</v>
      </c>
      <c r="C78">
        <f t="shared" si="2"/>
        <v>9.6241865784536529E-3</v>
      </c>
      <c r="D78">
        <v>1.32</v>
      </c>
    </row>
    <row r="79" spans="1:4" x14ac:dyDescent="0.2">
      <c r="A79" s="3">
        <v>62.095245639814536</v>
      </c>
      <c r="B79">
        <f>NORMDIST(62.0952456398145, 63.371478462932, 1.01288319295039, TRUE)</f>
        <v>0.10383468112129954</v>
      </c>
      <c r="C79">
        <f t="shared" si="2"/>
        <v>1.0417172127825267E-2</v>
      </c>
      <c r="D79">
        <v>1.26</v>
      </c>
    </row>
    <row r="80" spans="1:4" x14ac:dyDescent="0.2">
      <c r="A80" s="3">
        <v>62.156018631391561</v>
      </c>
      <c r="B80">
        <f>NORMDIST(62.1560186313916, 63.371478462932, 1.01288319295039, TRUE)</f>
        <v>0.11506967022172267</v>
      </c>
      <c r="C80">
        <f t="shared" si="2"/>
        <v>1.1234989100423129E-2</v>
      </c>
      <c r="D80">
        <v>1.2</v>
      </c>
    </row>
    <row r="81" spans="1:4" x14ac:dyDescent="0.2">
      <c r="A81" s="3">
        <v>62.216791622968586</v>
      </c>
      <c r="B81">
        <f>NORMDIST(62.2167916229686, 63.371478462932, 1.01288319295039, TRUE)</f>
        <v>0.12714315056280814</v>
      </c>
      <c r="C81">
        <f t="shared" si="2"/>
        <v>1.2073480341085477E-2</v>
      </c>
      <c r="D81">
        <v>1.1399999999999937</v>
      </c>
    </row>
    <row r="82" spans="1:4" x14ac:dyDescent="0.2">
      <c r="A82" s="3">
        <v>62.277564614545604</v>
      </c>
      <c r="B82">
        <f>NORMDIST(62.2775646145456, 63.371478462932, 1.01288319295039, TRUE)</f>
        <v>0.14007109008877372</v>
      </c>
      <c r="C82">
        <f t="shared" si="2"/>
        <v>1.2927939525965576E-2</v>
      </c>
      <c r="D82">
        <v>1.08</v>
      </c>
    </row>
    <row r="83" spans="1:4" x14ac:dyDescent="0.2">
      <c r="A83" s="3">
        <v>62.338337606122629</v>
      </c>
      <c r="B83">
        <f>NORMDIST(62.3383376061226, 63.371478462932, 1.01288319295039, TRUE)</f>
        <v>0.15386423037273519</v>
      </c>
      <c r="C83">
        <f t="shared" si="2"/>
        <v>1.3793140283961475E-2</v>
      </c>
      <c r="D83">
        <v>1.02</v>
      </c>
    </row>
    <row r="84" spans="1:4" x14ac:dyDescent="0.2">
      <c r="A84" s="3">
        <v>62.399110597699654</v>
      </c>
      <c r="B84">
        <f>NORMDIST(62.3991105976997, 63.371478462932, 1.01288319295039, TRUE)</f>
        <v>0.16852760746685799</v>
      </c>
      <c r="C84">
        <f t="shared" si="2"/>
        <v>1.4663377094122798E-2</v>
      </c>
      <c r="D84">
        <v>0.95999999999999619</v>
      </c>
    </row>
    <row r="85" spans="1:4" x14ac:dyDescent="0.2">
      <c r="A85" s="3">
        <v>62.459883589276679</v>
      </c>
      <c r="B85">
        <f>NORMDIST(62.4598835892767, 63.371478462932, 1.01288319295039, TRUE)</f>
        <v>0.18406012534677382</v>
      </c>
      <c r="C85">
        <f t="shared" si="2"/>
        <v>1.553251787991583E-2</v>
      </c>
      <c r="D85">
        <v>0.89999999999999469</v>
      </c>
    </row>
    <row r="86" spans="1:4" x14ac:dyDescent="0.2">
      <c r="A86" s="3">
        <v>62.520656580853704</v>
      </c>
      <c r="B86">
        <f>NORMDIST(62.5206565808537, 63.371478462932, 1.01288319295039, TRUE)</f>
        <v>0.20045419326045727</v>
      </c>
      <c r="C86">
        <f t="shared" si="2"/>
        <v>1.6394067913683447E-2</v>
      </c>
      <c r="D86">
        <v>0.8399999999999932</v>
      </c>
    </row>
    <row r="87" spans="1:4" x14ac:dyDescent="0.2">
      <c r="A87" s="3">
        <v>62.581429572430721</v>
      </c>
      <c r="B87">
        <f>NORMDIST(62.5814295724307, 63.371478462932, 1.01288319295039, TRUE)</f>
        <v>0.21769543758573548</v>
      </c>
      <c r="C87">
        <f t="shared" si="2"/>
        <v>1.724124432527821E-2</v>
      </c>
      <c r="D87">
        <v>0.77999999999999869</v>
      </c>
    </row>
    <row r="88" spans="1:4" x14ac:dyDescent="0.2">
      <c r="A88" s="3">
        <v>62.642202564007746</v>
      </c>
      <c r="B88">
        <f>NORMDIST(62.6422025640077, 63.371478462932, 1.01288319295039, TRUE)</f>
        <v>0.23576249777924541</v>
      </c>
      <c r="C88">
        <f t="shared" si="2"/>
        <v>1.8067060193509926E-2</v>
      </c>
      <c r="D88">
        <v>0.7199999999999972</v>
      </c>
    </row>
    <row r="89" spans="1:4" x14ac:dyDescent="0.2">
      <c r="A89" s="3">
        <v>62.702975555584771</v>
      </c>
      <c r="B89">
        <f>NORMDIST(62.7029755555848, 63.371478462932, 1.01288319295039, TRUE)</f>
        <v>0.25462691467135534</v>
      </c>
      <c r="C89">
        <f t="shared" si="2"/>
        <v>1.8864416892109936E-2</v>
      </c>
      <c r="D89">
        <v>0.65999999999999559</v>
      </c>
    </row>
    <row r="90" spans="1:4" x14ac:dyDescent="0.2">
      <c r="A90" s="3">
        <v>62.763748547161796</v>
      </c>
      <c r="B90">
        <f>NORMDIST(62.7637485471618, 63.371478462932, 1.01288319295039, TRUE)</f>
        <v>0.27425311775008704</v>
      </c>
      <c r="C90">
        <f t="shared" si="2"/>
        <v>1.9626203078731697E-2</v>
      </c>
      <c r="D90">
        <v>0.59999999999999409</v>
      </c>
    </row>
    <row r="91" spans="1:4" x14ac:dyDescent="0.2">
      <c r="A91" s="3">
        <v>62.824521538738814</v>
      </c>
      <c r="B91">
        <f>NORMDIST(62.8245215387388, 63.371478462932, 1.01288319295039, TRUE)</f>
        <v>0.29459851621570288</v>
      </c>
      <c r="C91">
        <f t="shared" si="2"/>
        <v>2.0345398465615838E-2</v>
      </c>
      <c r="D91">
        <v>0.54</v>
      </c>
    </row>
    <row r="92" spans="1:4" x14ac:dyDescent="0.2">
      <c r="A92" s="3">
        <v>62.885294530315839</v>
      </c>
      <c r="B92">
        <f>NORMDIST(62.8852945303158, 63.371478462932, 1.01288319295039, TRUE)</f>
        <v>0.31561369651621812</v>
      </c>
      <c r="C92">
        <f t="shared" si="2"/>
        <v>2.1015180300515246E-2</v>
      </c>
      <c r="D92">
        <v>0.47999999999999809</v>
      </c>
    </row>
    <row r="93" spans="1:4" x14ac:dyDescent="0.2">
      <c r="A93" s="3">
        <v>62.946067521892864</v>
      </c>
      <c r="B93">
        <f>NORMDIST(62.9460675218929, 63.371478462932, 1.01288319295039, TRUE)</f>
        <v>0.33724272684827367</v>
      </c>
      <c r="C93">
        <f t="shared" si="2"/>
        <v>2.1629030332055543E-2</v>
      </c>
      <c r="D93">
        <v>0.4199999999999966</v>
      </c>
    </row>
    <row r="94" spans="1:4" x14ac:dyDescent="0.2">
      <c r="A94" s="3">
        <v>63.006840513469889</v>
      </c>
      <c r="B94">
        <f>NORMDIST(63.0068405134699, 63.371478462932, 1.01288319295039, TRUE)</f>
        <v>0.35942356678202625</v>
      </c>
      <c r="C94">
        <f t="shared" si="2"/>
        <v>2.2180839933752583E-2</v>
      </c>
      <c r="D94">
        <v>0.35999999999999505</v>
      </c>
    </row>
    <row r="95" spans="1:4" x14ac:dyDescent="0.2">
      <c r="A95" s="3">
        <v>63.067613505046914</v>
      </c>
      <c r="B95">
        <f>NORMDIST(63.0676135050469, 63.371478462932, 1.01288319295039, TRUE)</f>
        <v>0.3820885778110551</v>
      </c>
      <c r="C95">
        <f t="shared" si="2"/>
        <v>2.2665011029028848E-2</v>
      </c>
      <c r="D95">
        <v>0.29999999999999355</v>
      </c>
    </row>
    <row r="96" spans="1:4" x14ac:dyDescent="0.2">
      <c r="A96" s="3">
        <v>63.128386496623932</v>
      </c>
      <c r="B96">
        <f>NORMDIST(63.1283864966239, 63.371478462932, 1.01288319295039, TRUE)</f>
        <v>0.40516512830220169</v>
      </c>
      <c r="C96">
        <f t="shared" si="2"/>
        <v>2.3076550491146597E-2</v>
      </c>
      <c r="D96">
        <v>0.23999999999999905</v>
      </c>
    </row>
    <row r="97" spans="1:4" x14ac:dyDescent="0.2">
      <c r="A97" s="3">
        <v>63.189159488200957</v>
      </c>
      <c r="B97">
        <f>NORMDIST(63.189159488201, 63.371478462932, 1.01288319295039, TRUE)</f>
        <v>0.42857628409912774</v>
      </c>
      <c r="C97">
        <f t="shared" si="2"/>
        <v>2.3411155796926042E-2</v>
      </c>
      <c r="D97">
        <v>0.17999999999999752</v>
      </c>
    </row>
    <row r="98" spans="1:4" x14ac:dyDescent="0.2">
      <c r="A98" s="3">
        <v>63.249932479777982</v>
      </c>
      <c r="B98">
        <f>NORMDIST(63.249932479778, 63.371478462932, 1.01288319295039, TRUE)</f>
        <v>0.45224157397943715</v>
      </c>
      <c r="C98">
        <f t="shared" ref="C98:C129" si="3" xml:space="preserve"> B98- B97</f>
        <v>2.3665289880309415E-2</v>
      </c>
      <c r="D98">
        <v>0.11999999999999601</v>
      </c>
    </row>
    <row r="99" spans="1:4" x14ac:dyDescent="0.2">
      <c r="A99" s="3">
        <v>63.310705471355007</v>
      </c>
      <c r="B99">
        <f>NORMDIST(63.310705471355, 63.371478462932, 1.01288319295039, TRUE)</f>
        <v>0.47607781734590371</v>
      </c>
      <c r="C99">
        <f t="shared" si="3"/>
        <v>2.3836243366466559E-2</v>
      </c>
      <c r="D99">
        <v>5.9999999999994502E-2</v>
      </c>
    </row>
    <row r="100" spans="1:4" x14ac:dyDescent="0.2">
      <c r="A100" s="3">
        <v>63.371478462932032</v>
      </c>
      <c r="B100">
        <f>NORMDIST(63.371478462932, 63.371478462932, 1.01288319295039, TRUE)</f>
        <v>0.5</v>
      </c>
      <c r="C100">
        <f t="shared" si="3"/>
        <v>2.3922182654096291E-2</v>
      </c>
      <c r="D100">
        <v>-7.0150511007136565E-15</v>
      </c>
    </row>
    <row r="101" spans="1:4" x14ac:dyDescent="0.2">
      <c r="A101" s="3">
        <v>63.43225145450905</v>
      </c>
      <c r="B101">
        <f>NORMDIST(63.4322514545091, 63.371478462932, 1.01288319295039, TRUE)</f>
        <v>0.52392218265413826</v>
      </c>
      <c r="C101">
        <f t="shared" si="3"/>
        <v>2.3922182654138258E-2</v>
      </c>
      <c r="D101">
        <v>-6.0000000000001517E-2</v>
      </c>
    </row>
    <row r="102" spans="1:4" x14ac:dyDescent="0.2">
      <c r="A102" s="3">
        <v>63.493024446086075</v>
      </c>
      <c r="B102">
        <f>NORMDIST(63.4930244460861, 63.371478462932, 1.01288319295039, TRUE)</f>
        <v>0.54775842602060731</v>
      </c>
      <c r="C102">
        <f t="shared" si="3"/>
        <v>2.3836243366469057E-2</v>
      </c>
      <c r="D102">
        <v>-0.12000000000000303</v>
      </c>
    </row>
    <row r="103" spans="1:4" x14ac:dyDescent="0.2">
      <c r="A103" s="3">
        <v>63.5537974376631</v>
      </c>
      <c r="B103">
        <f>NORMDIST(63.5537974376631, 63.371478462932, 1.01288319295039, TRUE)</f>
        <v>0.57142371590091356</v>
      </c>
      <c r="C103">
        <f t="shared" si="3"/>
        <v>2.3665289880306251E-2</v>
      </c>
      <c r="D103">
        <v>-0.18000000000000455</v>
      </c>
    </row>
    <row r="104" spans="1:4" x14ac:dyDescent="0.2">
      <c r="A104" s="3">
        <v>63.614570429240125</v>
      </c>
      <c r="B104">
        <f>NORMDIST(63.6145704292401, 63.371478462932, 1.01288319295039, TRUE)</f>
        <v>0.59483487169780092</v>
      </c>
      <c r="C104">
        <f t="shared" si="3"/>
        <v>2.3411155796887351E-2</v>
      </c>
      <c r="D104">
        <v>-0.24000000000000607</v>
      </c>
    </row>
    <row r="105" spans="1:4" x14ac:dyDescent="0.2">
      <c r="A105" s="3">
        <v>63.675343420817143</v>
      </c>
      <c r="B105">
        <f>NORMDIST(63.6753434208171, 63.371478462932, 1.01288319295039, TRUE)</f>
        <v>0.61791142218894757</v>
      </c>
      <c r="C105">
        <f t="shared" si="3"/>
        <v>2.3076550491146652E-2</v>
      </c>
      <c r="D105">
        <v>-0.30000000000000054</v>
      </c>
    </row>
    <row r="106" spans="1:4" x14ac:dyDescent="0.2">
      <c r="A106" s="3">
        <v>63.736116412394168</v>
      </c>
      <c r="B106">
        <f>NORMDIST(63.7361164123942, 63.371478462932, 1.01288319295039, TRUE)</f>
        <v>0.64057643321801572</v>
      </c>
      <c r="C106">
        <f t="shared" si="3"/>
        <v>2.2665011029068149E-2</v>
      </c>
      <c r="D106">
        <v>-0.3600000000000021</v>
      </c>
    </row>
    <row r="107" spans="1:4" x14ac:dyDescent="0.2">
      <c r="A107" s="3">
        <v>63.796889403971193</v>
      </c>
      <c r="B107">
        <f>NORMDIST(63.7968894039712, 63.371478462932, 1.01288319295039, TRUE)</f>
        <v>0.6627572731517648</v>
      </c>
      <c r="C107">
        <f t="shared" si="3"/>
        <v>2.2180839933749086E-2</v>
      </c>
      <c r="D107">
        <v>-0.42000000000000359</v>
      </c>
    </row>
    <row r="108" spans="1:4" x14ac:dyDescent="0.2">
      <c r="A108" s="3">
        <v>63.857662395548218</v>
      </c>
      <c r="B108">
        <f>NORMDIST(63.8576623955482, 63.371478462932, 1.01288319295039, TRUE)</f>
        <v>0.68438630348378438</v>
      </c>
      <c r="C108">
        <f t="shared" si="3"/>
        <v>2.1629030332019572E-2</v>
      </c>
      <c r="D108">
        <v>-0.48000000000000514</v>
      </c>
    </row>
    <row r="109" spans="1:4" x14ac:dyDescent="0.2">
      <c r="A109" s="3">
        <v>63.918435387125243</v>
      </c>
      <c r="B109">
        <f>NORMDIST(63.9184353871252, 63.371478462932, 1.01288319295039, TRUE)</f>
        <v>0.70540148378429957</v>
      </c>
      <c r="C109">
        <f t="shared" si="3"/>
        <v>2.101518030051519E-2</v>
      </c>
      <c r="D109">
        <v>-0.54000000000000659</v>
      </c>
    </row>
    <row r="110" spans="1:4" x14ac:dyDescent="0.2">
      <c r="A110" s="3">
        <v>63.979208378702261</v>
      </c>
      <c r="B110">
        <f>NORMDIST(63.9792083787023, 63.371478462932, 1.01288319295039, TRUE)</f>
        <v>0.72574688224995032</v>
      </c>
      <c r="C110">
        <f t="shared" si="3"/>
        <v>2.0345398465650755E-2</v>
      </c>
      <c r="D110">
        <v>-0.60000000000000109</v>
      </c>
    </row>
    <row r="111" spans="1:4" x14ac:dyDescent="0.2">
      <c r="A111" s="3">
        <v>64.039981370279293</v>
      </c>
      <c r="B111">
        <f>NORMDIST(64.0399813702793, 63.371478462932, 1.01288319295039, TRUE)</f>
        <v>0.74537308532868063</v>
      </c>
      <c r="C111">
        <f t="shared" si="3"/>
        <v>1.9626203078730309E-2</v>
      </c>
      <c r="D111">
        <v>-0.66000000000000969</v>
      </c>
    </row>
    <row r="112" spans="1:4" x14ac:dyDescent="0.2">
      <c r="A112" s="3">
        <v>64.100754361856303</v>
      </c>
      <c r="B112">
        <f>NORMDIST(64.1007543618563, 63.371478462932, 1.01288319295039, TRUE)</f>
        <v>0.7642375022207567</v>
      </c>
      <c r="C112">
        <f t="shared" si="3"/>
        <v>1.8864416892076075E-2</v>
      </c>
      <c r="D112">
        <v>-0.7199999999999972</v>
      </c>
    </row>
    <row r="113" spans="1:4" x14ac:dyDescent="0.2">
      <c r="A113" s="3">
        <v>64.161527353433328</v>
      </c>
      <c r="B113">
        <f>NORMDIST(64.1615273534333, 63.371478462932, 1.01288319295039, TRUE)</f>
        <v>0.7823045624142666</v>
      </c>
      <c r="C113">
        <f t="shared" si="3"/>
        <v>1.8067060193509898E-2</v>
      </c>
      <c r="D113">
        <v>-0.77999999999999869</v>
      </c>
    </row>
    <row r="114" spans="1:4" x14ac:dyDescent="0.2">
      <c r="A114" s="3">
        <v>64.222300345010353</v>
      </c>
      <c r="B114">
        <f>NORMDIST(64.2223003450104, 63.371478462932, 1.01288319295039, TRUE)</f>
        <v>0.79954580673957021</v>
      </c>
      <c r="C114">
        <f t="shared" si="3"/>
        <v>1.7241244325303606E-2</v>
      </c>
      <c r="D114">
        <v>-0.84</v>
      </c>
    </row>
    <row r="115" spans="1:4" x14ac:dyDescent="0.2">
      <c r="A115" s="3">
        <v>64.283073336587378</v>
      </c>
      <c r="B115">
        <f>NORMDIST(64.2830733365874, 63.371478462932, 1.01288319295039, TRUE)</f>
        <v>0.81593987465325601</v>
      </c>
      <c r="C115">
        <f t="shared" si="3"/>
        <v>1.6394067913685806E-2</v>
      </c>
      <c r="D115">
        <v>-0.90000000000000169</v>
      </c>
    </row>
    <row r="116" spans="1:4" x14ac:dyDescent="0.2">
      <c r="A116" s="3">
        <v>64.343846328164403</v>
      </c>
      <c r="B116">
        <f>NORMDIST(64.3438463281644, 63.371478462932, 1.01288319295039, TRUE)</f>
        <v>0.83147239253317029</v>
      </c>
      <c r="C116">
        <f t="shared" si="3"/>
        <v>1.5532517879914276E-2</v>
      </c>
      <c r="D116">
        <v>-0.96000000000000318</v>
      </c>
    </row>
    <row r="117" spans="1:4" x14ac:dyDescent="0.2">
      <c r="A117" s="3">
        <v>64.404619319741428</v>
      </c>
      <c r="B117">
        <f>NORMDIST(64.4046193197414, 63.371478462932, 1.01288319295039, TRUE)</f>
        <v>0.84613576962726644</v>
      </c>
      <c r="C117">
        <f t="shared" si="3"/>
        <v>1.4663377094096153E-2</v>
      </c>
      <c r="D117">
        <v>-1.02</v>
      </c>
    </row>
    <row r="118" spans="1:4" x14ac:dyDescent="0.2">
      <c r="A118" s="3">
        <v>64.465392311318453</v>
      </c>
      <c r="B118">
        <f>NORMDIST(64.4653923113185, 63.371478462932, 1.01288319295039, TRUE)</f>
        <v>0.85992890991124815</v>
      </c>
      <c r="C118">
        <f t="shared" si="3"/>
        <v>1.3793140283981709E-2</v>
      </c>
      <c r="D118">
        <v>-1.0800000000000063</v>
      </c>
    </row>
    <row r="119" spans="1:4" x14ac:dyDescent="0.2">
      <c r="A119" s="3">
        <v>64.526165302895478</v>
      </c>
      <c r="B119">
        <f>NORMDIST(64.5261653028955, 63.371478462932, 1.01288319295039, TRUE)</f>
        <v>0.87285684943721531</v>
      </c>
      <c r="C119">
        <f t="shared" si="3"/>
        <v>1.2927939525967158E-2</v>
      </c>
      <c r="D119">
        <v>-1.1400000000000077</v>
      </c>
    </row>
    <row r="120" spans="1:4" x14ac:dyDescent="0.2">
      <c r="A120" s="3">
        <v>64.586938294472503</v>
      </c>
      <c r="B120">
        <f>NORMDIST(64.5869382944725, 63.371478462932, 1.01288319295039, TRUE)</f>
        <v>0.88493032977829911</v>
      </c>
      <c r="C120">
        <f t="shared" si="3"/>
        <v>1.2073480341083798E-2</v>
      </c>
      <c r="D120">
        <v>-1.2000000000000093</v>
      </c>
    </row>
    <row r="121" spans="1:4" x14ac:dyDescent="0.2">
      <c r="A121" s="3">
        <v>64.647711286049528</v>
      </c>
      <c r="B121">
        <f>NORMDIST(64.6477112860495, 63.371478462932, 1.01288319295039, TRUE)</f>
        <v>0.89616531887870177</v>
      </c>
      <c r="C121">
        <f t="shared" si="3"/>
        <v>1.1234989100402659E-2</v>
      </c>
      <c r="D121">
        <v>-1.2600000000000109</v>
      </c>
    </row>
    <row r="122" spans="1:4" x14ac:dyDescent="0.2">
      <c r="A122" s="3">
        <v>64.708484277626539</v>
      </c>
      <c r="B122">
        <f>NORMDIST(64.7084842776265, 63.371478462932, 1.01288319295039, TRUE)</f>
        <v>0.90658249100652577</v>
      </c>
      <c r="C122">
        <f t="shared" si="3"/>
        <v>1.0417172127824004E-2</v>
      </c>
      <c r="D122">
        <v>-1.32</v>
      </c>
    </row>
    <row r="123" spans="1:4" x14ac:dyDescent="0.2">
      <c r="A123" s="3">
        <v>64.769257269203564</v>
      </c>
      <c r="B123">
        <f>NORMDIST(64.7692572692036, 63.371478462932, 1.01288319295039, TRUE)</f>
        <v>0.91620667758499663</v>
      </c>
      <c r="C123">
        <f t="shared" si="3"/>
        <v>9.6241865784708613E-3</v>
      </c>
      <c r="D123">
        <v>-1.38</v>
      </c>
    </row>
    <row r="124" spans="1:4" x14ac:dyDescent="0.2">
      <c r="A124" s="3">
        <v>64.830030260780589</v>
      </c>
      <c r="B124">
        <f>NORMDIST(64.8300302607806, 63.371478462932, 1.01288319295039, TRUE)</f>
        <v>0.92506630046567928</v>
      </c>
      <c r="C124">
        <f t="shared" si="3"/>
        <v>8.8596228806826494E-3</v>
      </c>
      <c r="D124">
        <v>-1.44</v>
      </c>
    </row>
    <row r="125" spans="1:4" x14ac:dyDescent="0.2">
      <c r="A125" s="3">
        <v>64.890803252357614</v>
      </c>
      <c r="B125">
        <f>NORMDIST(64.8908032523576, 63.371478462932, 1.01288319295039, TRUE)</f>
        <v>0.93319279873114425</v>
      </c>
      <c r="C125">
        <f t="shared" si="3"/>
        <v>8.1264982654649653E-3</v>
      </c>
      <c r="D125">
        <v>-1.5</v>
      </c>
    </row>
    <row r="126" spans="1:4" x14ac:dyDescent="0.2">
      <c r="A126" s="3">
        <v>64.951576243934639</v>
      </c>
      <c r="B126">
        <f>NORMDIST(64.9515762439346, 63.371478462932, 1.01288319295039, TRUE)</f>
        <v>0.94062005940520599</v>
      </c>
      <c r="C126">
        <f t="shared" si="3"/>
        <v>7.427260674061742E-3</v>
      </c>
      <c r="D126">
        <v>-1.56</v>
      </c>
    </row>
    <row r="127" spans="1:4" x14ac:dyDescent="0.2">
      <c r="A127" s="3">
        <v>65.012349235511664</v>
      </c>
      <c r="B127">
        <f>NORMDIST(65.0123492355117, 63.371478462932, 1.01288319295039, TRUE)</f>
        <v>0.94738386154575627</v>
      </c>
      <c r="C127">
        <f t="shared" si="3"/>
        <v>6.7638021405502791E-3</v>
      </c>
      <c r="D127">
        <v>-1.6200000000000059</v>
      </c>
    </row>
    <row r="128" spans="1:4" x14ac:dyDescent="0.2">
      <c r="A128" s="3">
        <v>65.073122227088689</v>
      </c>
      <c r="B128">
        <f>NORMDIST(65.0731222270887, 63.371478462932, 1.01288319295039, TRUE)</f>
        <v>0.95352134213628492</v>
      </c>
      <c r="C128">
        <f t="shared" si="3"/>
        <v>6.1374805905286545E-3</v>
      </c>
      <c r="D128">
        <v>-1.6800000000000075</v>
      </c>
    </row>
    <row r="129" spans="1:4" x14ac:dyDescent="0.2">
      <c r="A129" s="3">
        <v>65.133895218665714</v>
      </c>
      <c r="B129">
        <f>NORMDIST(65.1338952186657, 63.371478462932, 1.01288319295039, TRUE)</f>
        <v>0.95907049102119479</v>
      </c>
      <c r="C129">
        <f t="shared" si="3"/>
        <v>5.5491488849098713E-3</v>
      </c>
      <c r="D129">
        <v>-1.7400000000000089</v>
      </c>
    </row>
    <row r="130" spans="1:4" x14ac:dyDescent="0.2">
      <c r="A130" s="3">
        <v>65.194668210242739</v>
      </c>
      <c r="B130">
        <f>NORMDIST(65.1946682102427, 63.371478462932, 1.01288319295039, TRUE)</f>
        <v>0.96406968088707401</v>
      </c>
      <c r="C130">
        <f t="shared" ref="C130:C161" si="4" xml:space="preserve"> B130- B129</f>
        <v>4.9991898658792167E-3</v>
      </c>
      <c r="D130">
        <v>-1.8000000000000105</v>
      </c>
    </row>
    <row r="131" spans="1:4" x14ac:dyDescent="0.2">
      <c r="A131" s="3">
        <v>65.25544120181975</v>
      </c>
      <c r="B131">
        <f>NORMDIST(65.2554412018198, 63.371478462932, 1.01288319295039, TRUE)</f>
        <v>0.96855723701925323</v>
      </c>
      <c r="C131">
        <f t="shared" si="4"/>
        <v>4.4875561321792157E-3</v>
      </c>
      <c r="D131">
        <v>-1.86</v>
      </c>
    </row>
    <row r="132" spans="1:4" x14ac:dyDescent="0.2">
      <c r="A132" s="3">
        <v>65.316214193396775</v>
      </c>
      <c r="B132">
        <f>NORMDIST(65.3162141933968, 63.371478462932, 1.01288319295039, TRUE)</f>
        <v>0.97257105029616675</v>
      </c>
      <c r="C132">
        <f t="shared" si="4"/>
        <v>4.0138132769135249E-3</v>
      </c>
      <c r="D132">
        <v>-1.92</v>
      </c>
    </row>
    <row r="133" spans="1:4" x14ac:dyDescent="0.2">
      <c r="A133" s="3">
        <v>65.3769871849738</v>
      </c>
      <c r="B133">
        <f>NORMDIST(65.3769871849738, 63.371478462932, 1.01288319295039, TRUE)</f>
        <v>0.97614823565849318</v>
      </c>
      <c r="C133">
        <f t="shared" si="4"/>
        <v>3.5771853623264294E-3</v>
      </c>
      <c r="D133">
        <v>-1.98</v>
      </c>
    </row>
    <row r="134" spans="1:4" x14ac:dyDescent="0.2">
      <c r="A134" s="3">
        <v>65.437760176550825</v>
      </c>
      <c r="B134">
        <f>NORMDIST(65.4377601765508, 63.371478462932, 1.01288319295039, TRUE)</f>
        <v>0.97932483713393015</v>
      </c>
      <c r="C134">
        <f t="shared" si="4"/>
        <v>3.1766014754369687E-3</v>
      </c>
      <c r="D134">
        <v>-2.04</v>
      </c>
    </row>
    <row r="135" spans="1:4" x14ac:dyDescent="0.2">
      <c r="A135" s="3">
        <v>65.49853316812785</v>
      </c>
      <c r="B135">
        <f>NORMDIST(65.4985331681279, 63.371478462932, 1.01288319295039, TRUE)</f>
        <v>0.98213557943718732</v>
      </c>
      <c r="C135">
        <f t="shared" si="4"/>
        <v>2.8107423032571743E-3</v>
      </c>
      <c r="D135">
        <v>-2.1</v>
      </c>
    </row>
    <row r="136" spans="1:4" x14ac:dyDescent="0.2">
      <c r="A136" s="3">
        <v>65.559306159704875</v>
      </c>
      <c r="B136">
        <f>NORMDIST(65.5593061597049, 63.371478462932, 1.01288319295039, TRUE)</f>
        <v>0.98461366521607696</v>
      </c>
      <c r="C136">
        <f t="shared" si="4"/>
        <v>2.4780857788896382E-3</v>
      </c>
      <c r="D136">
        <v>-2.1600000000000055</v>
      </c>
    </row>
    <row r="137" spans="1:4" x14ac:dyDescent="0.2">
      <c r="A137" s="3">
        <v>65.620079151281899</v>
      </c>
      <c r="B137">
        <f>NORMDIST(65.6200791512819, 63.371478462932, 1.01288319295039, TRUE)</f>
        <v>0.986790616192745</v>
      </c>
      <c r="C137">
        <f t="shared" si="4"/>
        <v>2.1769509766680351E-3</v>
      </c>
      <c r="D137">
        <v>-2.2200000000000069</v>
      </c>
    </row>
    <row r="138" spans="1:4" x14ac:dyDescent="0.2">
      <c r="A138" s="3">
        <v>65.680852142858924</v>
      </c>
      <c r="B138">
        <f>NORMDIST(65.6808521428589, 63.371478462932, 1.01288319295039, TRUE)</f>
        <v>0.98869615576144754</v>
      </c>
      <c r="C138">
        <f t="shared" si="4"/>
        <v>1.9055395687025412E-3</v>
      </c>
      <c r="D138">
        <v>-2.2800000000000087</v>
      </c>
    </row>
    <row r="139" spans="1:4" x14ac:dyDescent="0.2">
      <c r="A139" s="3">
        <v>65.741625134435949</v>
      </c>
      <c r="B139">
        <f>NORMDIST(65.7416251344359, 63.371478462932, 1.01288319295039, TRUE)</f>
        <v>0.99035813005464157</v>
      </c>
      <c r="C139">
        <f t="shared" si="4"/>
        <v>1.6619742931940351E-3</v>
      </c>
      <c r="D139">
        <v>-2.3400000000000101</v>
      </c>
    </row>
    <row r="140" spans="1:4" x14ac:dyDescent="0.2">
      <c r="A140" s="3">
        <v>65.80239812601296</v>
      </c>
      <c r="B140">
        <f>NORMDIST(65.802398126013, 63.371478462932, 1.01288319295039, TRUE)</f>
        <v>0.9918024640754054</v>
      </c>
      <c r="C140">
        <f t="shared" si="4"/>
        <v>1.4443340207638267E-3</v>
      </c>
      <c r="D140">
        <v>-2.4</v>
      </c>
    </row>
    <row r="141" spans="1:4" x14ac:dyDescent="0.2">
      <c r="A141" s="3">
        <v>65.863171117589985</v>
      </c>
      <c r="B141">
        <f>NORMDIST(65.86317111759, 63.371478462932, 1.01288319295039, TRUE)</f>
        <v>0.99305314921137655</v>
      </c>
      <c r="C141">
        <f t="shared" si="4"/>
        <v>1.2506851359711524E-3</v>
      </c>
      <c r="D141">
        <v>-2.46</v>
      </c>
    </row>
    <row r="142" spans="1:4" x14ac:dyDescent="0.2">
      <c r="A142" s="3">
        <v>65.92394410916701</v>
      </c>
      <c r="B142">
        <f>NORMDIST(65.923944109167, 63.371478462932, 1.01288319295039, TRUE)</f>
        <v>0.99413225828466767</v>
      </c>
      <c r="C142">
        <f t="shared" si="4"/>
        <v>1.0791090732911179E-3</v>
      </c>
      <c r="D142">
        <v>-2.52</v>
      </c>
    </row>
    <row r="143" spans="1:4" x14ac:dyDescent="0.2">
      <c r="A143" s="3">
        <v>65.984717100744035</v>
      </c>
      <c r="B143">
        <f>NORMDIST(65.984717100744, 63.371478462932, 1.01288319295039, TRUE)</f>
        <v>0.99505998424222941</v>
      </c>
      <c r="C143">
        <f t="shared" si="4"/>
        <v>9.2772595756174248E-4</v>
      </c>
      <c r="D143">
        <v>-2.58</v>
      </c>
    </row>
    <row r="144" spans="1:4" x14ac:dyDescent="0.2">
      <c r="A144" s="3">
        <v>66.04549009232106</v>
      </c>
      <c r="B144">
        <f>NORMDIST(66.0454900923211, 63.371478462932, 1.01288319295039, TRUE)</f>
        <v>0.99585469863896492</v>
      </c>
      <c r="C144">
        <f t="shared" si="4"/>
        <v>7.9471439673550748E-4</v>
      </c>
      <c r="D144">
        <v>-2.64</v>
      </c>
    </row>
    <row r="145" spans="1:4" x14ac:dyDescent="0.2">
      <c r="A145" s="3">
        <v>66.106263083898085</v>
      </c>
      <c r="B145">
        <f>NORMDIST(66.1062630838981, 63.371478462932, 1.01288319295039, TRUE)</f>
        <v>0.99653302619695983</v>
      </c>
      <c r="C145">
        <f t="shared" si="4"/>
        <v>6.7832755799490663E-4</v>
      </c>
      <c r="D145">
        <v>-2.7000000000000051</v>
      </c>
    </row>
    <row r="146" spans="1:4" x14ac:dyDescent="0.2">
      <c r="A146" s="3">
        <v>66.16703607547511</v>
      </c>
      <c r="B146">
        <f>NORMDIST(66.1670360754751, 63.371478462932, 1.01288319295039, TRUE)</f>
        <v>0.99710993192377406</v>
      </c>
      <c r="C146">
        <f t="shared" si="4"/>
        <v>5.7690572681423635E-4</v>
      </c>
      <c r="D146">
        <v>-2.7600000000000064</v>
      </c>
    </row>
    <row r="147" spans="1:4" x14ac:dyDescent="0.2">
      <c r="A147" s="3">
        <v>66.227809067052135</v>
      </c>
      <c r="B147">
        <f>NORMDIST(66.2278090670521, 63.371478462932, 1.01288319295039, TRUE)</f>
        <v>0.99759881752581081</v>
      </c>
      <c r="C147">
        <f t="shared" si="4"/>
        <v>4.8888560203674825E-4</v>
      </c>
      <c r="D147">
        <v>-2.8200000000000083</v>
      </c>
    </row>
    <row r="148" spans="1:4" x14ac:dyDescent="0.2">
      <c r="A148" s="3">
        <v>66.28858205862916</v>
      </c>
      <c r="B148">
        <f>NORMDIST(66.2885820586292, 63.371478462932, 1.01288319295039, TRUE)</f>
        <v>0.99801162414510614</v>
      </c>
      <c r="C148">
        <f t="shared" si="4"/>
        <v>4.1280661929532503E-4</v>
      </c>
      <c r="D148">
        <v>-2.8800000000000097</v>
      </c>
    </row>
    <row r="149" spans="1:4" x14ac:dyDescent="0.2">
      <c r="A149" s="3">
        <v>66.349355050206171</v>
      </c>
      <c r="B149">
        <f>NORMDIST(66.3493550502062, 63.371478462932, 1.01288319295039, TRUE)</f>
        <v>0.99835893876584325</v>
      </c>
      <c r="C149">
        <f t="shared" si="4"/>
        <v>3.4731462073711583E-4</v>
      </c>
      <c r="D149">
        <v>-2.94</v>
      </c>
    </row>
    <row r="150" spans="1:4" x14ac:dyDescent="0.2">
      <c r="A150" s="3">
        <v>66.410128041783196</v>
      </c>
      <c r="B150">
        <f>NORMDIST(66.4101280417832, 63.371478462932, 1.01288319295039, TRUE)</f>
        <v>0.99865010196837001</v>
      </c>
      <c r="C150">
        <f t="shared" si="4"/>
        <v>2.9116320252675632E-4</v>
      </c>
      <c r="D150">
        <v>-3</v>
      </c>
    </row>
    <row r="151" spans="1:4" x14ac:dyDescent="0.2">
      <c r="A151" s="3">
        <v>66.470901033360221</v>
      </c>
      <c r="B151">
        <f>NORMDIST(66.4709010333602, 63.371478462932, 1.01288319295039, TRUE)</f>
        <v>0.99889331504259082</v>
      </c>
      <c r="C151">
        <f t="shared" si="4"/>
        <v>2.4321307422081606E-4</v>
      </c>
      <c r="D151">
        <v>-3.06</v>
      </c>
    </row>
    <row r="152" spans="1:4" x14ac:dyDescent="0.2">
      <c r="A152" s="3">
        <v>66.531674024937246</v>
      </c>
      <c r="B152">
        <f>NORMDIST(66.5316740249372, 63.371478462932, 1.01288319295039, TRUE)</f>
        <v>0.9990957448001776</v>
      </c>
      <c r="C152">
        <f t="shared" si="4"/>
        <v>2.0242975758677506E-4</v>
      </c>
      <c r="D152">
        <v>-3.12</v>
      </c>
    </row>
    <row r="153" spans="1:4" x14ac:dyDescent="0.2">
      <c r="A153" s="3">
        <v>66.592447016514271</v>
      </c>
      <c r="B153">
        <f>NORMDIST(66.5924470165143, 63.371478462932, 1.01288319295039, TRUE)</f>
        <v>0.99926362473844621</v>
      </c>
      <c r="C153">
        <f t="shared" si="4"/>
        <v>1.6787993826861136E-4</v>
      </c>
      <c r="D153">
        <v>-3.18</v>
      </c>
    </row>
    <row r="154" spans="1:4" x14ac:dyDescent="0.2">
      <c r="A154" s="3">
        <v>66.653220008091296</v>
      </c>
      <c r="B154">
        <f>NORMDIST(66.6532200080913, 63.371478462932, 1.01288319295039, TRUE)</f>
        <v>0.99940235150206569</v>
      </c>
      <c r="C154">
        <f t="shared" si="4"/>
        <v>1.3872676361947889E-4</v>
      </c>
      <c r="D154">
        <v>-3.24</v>
      </c>
    </row>
    <row r="155" spans="1:4" x14ac:dyDescent="0.2">
      <c r="A155" s="3">
        <v>66.713992999668321</v>
      </c>
      <c r="B155">
        <f>NORMDIST(66.7139929996683, 63.371478462932, 1.01288319295039, TRUE)</f>
        <v>0.99951657585761622</v>
      </c>
      <c r="C155">
        <f t="shared" si="4"/>
        <v>1.1422435555052957E-4</v>
      </c>
      <c r="D155">
        <v>-3.3000000000000065</v>
      </c>
    </row>
    <row r="156" spans="1:4" x14ac:dyDescent="0.2">
      <c r="A156" s="3">
        <v>66.774765991245346</v>
      </c>
      <c r="B156">
        <f>NORMDIST(66.7747659912453, 63.371478462932, 1.01288319295039, TRUE)</f>
        <v>0.99961028763741799</v>
      </c>
      <c r="C156">
        <f t="shared" si="4"/>
        <v>9.371177980177503E-5</v>
      </c>
      <c r="D156">
        <v>-3.3600000000000079</v>
      </c>
    </row>
    <row r="157" spans="1:4" x14ac:dyDescent="0.2">
      <c r="A157" s="3">
        <v>66.835538982822371</v>
      </c>
      <c r="B157">
        <f>NORMDIST(66.8355389828224, 63.371478462932, 1.01288319295039, TRUE)</f>
        <v>0.99968689432141888</v>
      </c>
      <c r="C157">
        <f t="shared" si="4"/>
        <v>7.6606684000890546E-5</v>
      </c>
      <c r="D157">
        <v>-3.4200000000000093</v>
      </c>
    </row>
    <row r="158" spans="1:4" x14ac:dyDescent="0.2">
      <c r="A158" s="3">
        <v>66.896311974399396</v>
      </c>
      <c r="B158">
        <f>NORMDIST(66.8963119743994, 63.371478462932, 1.01288319295039, TRUE)</f>
        <v>0.99974929310871952</v>
      </c>
      <c r="C158">
        <f t="shared" si="4"/>
        <v>6.2398787300632641E-5</v>
      </c>
      <c r="D158">
        <v>-3.4800000000000106</v>
      </c>
    </row>
    <row r="159" spans="1:4" x14ac:dyDescent="0.2">
      <c r="A159" s="3">
        <v>66.957084965976406</v>
      </c>
      <c r="B159">
        <f>NORMDIST(66.9570849659764, 63.371478462932, 1.01288319295039, TRUE)</f>
        <v>0.99979993648399268</v>
      </c>
      <c r="C159">
        <f t="shared" si="4"/>
        <v>5.0643375273162761E-5</v>
      </c>
      <c r="D159">
        <v>-3.54</v>
      </c>
    </row>
    <row r="160" spans="1:4" x14ac:dyDescent="0.2">
      <c r="A160" s="3">
        <v>67.017857957553431</v>
      </c>
      <c r="B160">
        <f>NORMDIST(67.0178579575534, 63.371478462932, 1.01288319295039, TRUE)</f>
        <v>0.99984089140984245</v>
      </c>
      <c r="C160">
        <f t="shared" si="4"/>
        <v>4.0954925849767676E-5</v>
      </c>
      <c r="D160">
        <v>-3.6</v>
      </c>
    </row>
    <row r="161" spans="1:4" x14ac:dyDescent="0.2">
      <c r="A161" s="3">
        <v>67.078630949130456</v>
      </c>
      <c r="B161">
        <f>NORMDIST(67.0786309491305, 63.371478462932, 1.01288319295039, TRUE)</f>
        <v>0.99987389237586155</v>
      </c>
      <c r="C161">
        <f t="shared" si="4"/>
        <v>3.3000966019103295E-5</v>
      </c>
      <c r="D161">
        <v>-3.66</v>
      </c>
    </row>
    <row r="162" spans="1:4" x14ac:dyDescent="0.2">
      <c r="A162" s="3">
        <v>67.139403940707481</v>
      </c>
      <c r="B162">
        <f>NORMDIST(67.1394039407075, 63.371478462932, 1.01288319295039, TRUE)</f>
        <v>0.99990038861102415</v>
      </c>
      <c r="C162">
        <f t="shared" ref="C162:C193" si="5" xml:space="preserve"> B162- B161</f>
        <v>2.649623516259858E-5</v>
      </c>
      <c r="D162">
        <v>-3.72</v>
      </c>
    </row>
    <row r="163" spans="1:4" x14ac:dyDescent="0.2">
      <c r="A163" s="3">
        <v>67.200176932284506</v>
      </c>
      <c r="B163">
        <f>NORMDIST(67.2001769322845, 63.371478462932, 1.01288319295039, TRUE)</f>
        <v>0.99992158582061641</v>
      </c>
      <c r="C163">
        <f t="shared" si="5"/>
        <v>2.1197209592260791E-5</v>
      </c>
      <c r="D163">
        <v>-3.78</v>
      </c>
    </row>
    <row r="164" spans="1:4" x14ac:dyDescent="0.2">
      <c r="A164" s="3">
        <v>67.260949923861531</v>
      </c>
      <c r="B164">
        <f>NORMDIST(67.2609499238615, 63.371478462932, 1.01288319295039, TRUE)</f>
        <v>0.99993848284481679</v>
      </c>
      <c r="C164">
        <f t="shared" si="5"/>
        <v>1.689702420037964E-5</v>
      </c>
      <c r="D164">
        <v>-3.8400000000000061</v>
      </c>
    </row>
    <row r="165" spans="1:4" x14ac:dyDescent="0.2">
      <c r="A165" s="3">
        <v>67.321722915438556</v>
      </c>
      <c r="B165">
        <f>NORMDIST(67.3217229154386, 63.371478462932, 1.01288319295039, TRUE)</f>
        <v>0.99995190365598241</v>
      </c>
      <c r="C165">
        <f t="shared" si="5"/>
        <v>1.3420811165620883E-5</v>
      </c>
      <c r="D165">
        <v>-3.9000000000000075</v>
      </c>
    </row>
    <row r="166" spans="1:4" x14ac:dyDescent="0.2">
      <c r="A166" s="3">
        <v>67.382495907015581</v>
      </c>
      <c r="B166">
        <f>NORMDIST(67.3824959070156, 63.371478462932, 1.01288319295039, TRUE)</f>
        <v>0.99996252511830896</v>
      </c>
      <c r="C166">
        <f t="shared" si="5"/>
        <v>1.0621462326554365E-5</v>
      </c>
      <c r="D166">
        <v>-3.9600000000000088</v>
      </c>
    </row>
    <row r="167" spans="1:4" x14ac:dyDescent="0.2">
      <c r="A167" s="3">
        <v>67.443268898592606</v>
      </c>
      <c r="B167">
        <f>NORMDIST(67.4432688985926, 63.371478462932, 1.01288319295039, TRUE)</f>
        <v>0.99997090092928809</v>
      </c>
      <c r="C167">
        <f t="shared" si="5"/>
        <v>8.3758109791221003E-6</v>
      </c>
      <c r="D167">
        <v>-4.0200000000000102</v>
      </c>
    </row>
    <row r="168" spans="1:4" x14ac:dyDescent="0.2">
      <c r="A168" s="3">
        <v>67.504041890169617</v>
      </c>
      <c r="B168">
        <f>NORMDIST(67.5040418901696, 63.371478462932, 1.01288319295039, TRUE)</f>
        <v>0.99997748214961146</v>
      </c>
      <c r="C168">
        <f t="shared" si="5"/>
        <v>6.5812203233761579E-6</v>
      </c>
      <c r="D168">
        <v>-4.08</v>
      </c>
    </row>
    <row r="169" spans="1:4" x14ac:dyDescent="0.2">
      <c r="A169" s="3">
        <v>67.564814881746642</v>
      </c>
      <c r="B169">
        <f>NORMDIST(67.5648148817466, 63.371478462932, 1.01288319295039, TRUE)</f>
        <v>0.99998263470892634</v>
      </c>
      <c r="C169">
        <f t="shared" si="5"/>
        <v>5.152559314880456E-6</v>
      </c>
      <c r="D169">
        <v>-4.1399999999999997</v>
      </c>
    </row>
    <row r="170" spans="1:4" x14ac:dyDescent="0.2">
      <c r="A170" s="3">
        <v>67.625587873323667</v>
      </c>
      <c r="B170">
        <f>NORMDIST(67.6255878733237, 63.371478462932, 1.01288319295039, TRUE)</f>
        <v>0.9999866542509841</v>
      </c>
      <c r="C170">
        <f t="shared" si="5"/>
        <v>4.0195420577537888E-6</v>
      </c>
      <c r="D170">
        <v>-4.2</v>
      </c>
    </row>
    <row r="171" spans="1:4" x14ac:dyDescent="0.2">
      <c r="A171" s="3">
        <v>67.686360864900692</v>
      </c>
      <c r="B171">
        <f>NORMDIST(67.6863608649007, 63.371478462932, 1.01288319295039, TRUE)</f>
        <v>0.99998977865481598</v>
      </c>
      <c r="C171">
        <f t="shared" si="5"/>
        <v>3.1244038318778422E-6</v>
      </c>
      <c r="D171">
        <v>-4.26</v>
      </c>
    </row>
    <row r="172" spans="1:4" x14ac:dyDescent="0.2">
      <c r="A172" s="3">
        <v>67.747133856477717</v>
      </c>
      <c r="B172">
        <f>NORMDIST(67.7471338564777, 63.371478462932, 1.01288319295039, TRUE)</f>
        <v>0.99999219853996191</v>
      </c>
      <c r="C172">
        <f t="shared" si="5"/>
        <v>2.4198851459322768E-6</v>
      </c>
      <c r="D172">
        <v>-4.32</v>
      </c>
    </row>
    <row r="173" spans="1:4" x14ac:dyDescent="0.2">
      <c r="A173" s="3">
        <v>67.807906848054742</v>
      </c>
      <c r="B173">
        <f>NORMDIST(67.8079068480547, 63.371478462932, 1.01288319295039, TRUE)</f>
        <v>0.99999406603455443</v>
      </c>
      <c r="C173">
        <f t="shared" si="5"/>
        <v>1.8674945925223341E-6</v>
      </c>
      <c r="D173">
        <v>-4.3800000000000052</v>
      </c>
    </row>
    <row r="174" spans="1:4" x14ac:dyDescent="0.2">
      <c r="A174" s="3">
        <v>67.868679839631767</v>
      </c>
      <c r="B174">
        <f>NORMDIST(67.8686798396318, 63.371478462932, 1.01288319295039, TRUE)</f>
        <v>0.99999550205611143</v>
      </c>
      <c r="C174">
        <f t="shared" si="5"/>
        <v>1.4360215569997337E-6</v>
      </c>
      <c r="D174">
        <v>-4.4400000000000066</v>
      </c>
    </row>
    <row r="175" spans="1:4" x14ac:dyDescent="0.2">
      <c r="A175" s="3">
        <v>67.929452831208792</v>
      </c>
      <c r="B175">
        <f>NORMDIST(67.9294528312088, 63.371478462932, 1.01288319295039, TRUE)</f>
        <v>0.99999660232687526</v>
      </c>
      <c r="C175">
        <f t="shared" si="5"/>
        <v>1.1002707638319009E-6</v>
      </c>
      <c r="D175">
        <v>-4.5000000000000089</v>
      </c>
    </row>
    <row r="176" spans="1:4" x14ac:dyDescent="0.2">
      <c r="A176" s="3">
        <v>67.990225822785817</v>
      </c>
      <c r="B176">
        <f>NORMDIST(67.9902258227858, 63.371478462932, 1.01288319295039, TRUE)</f>
        <v>0.99999744231896059</v>
      </c>
      <c r="C176">
        <f t="shared" si="5"/>
        <v>8.3999208533303005E-7</v>
      </c>
      <c r="D176">
        <v>-4.5600000000000103</v>
      </c>
    </row>
    <row r="177" spans="1:4" x14ac:dyDescent="0.2">
      <c r="A177" s="3">
        <v>68.050998814362828</v>
      </c>
      <c r="B177">
        <f>NORMDIST(68.0509988143628, 63.371478462932, 1.01288319295039, TRUE)</f>
        <v>0.99999808129978007</v>
      </c>
      <c r="C177">
        <f t="shared" si="5"/>
        <v>6.3898081947844076E-7</v>
      </c>
      <c r="D177">
        <v>-4.62</v>
      </c>
    </row>
    <row r="178" spans="1:4" x14ac:dyDescent="0.2">
      <c r="A178" s="3">
        <v>68.111771805939853</v>
      </c>
      <c r="B178">
        <f>NORMDIST(68.1117718059399, 63.371478462932, 1.01288319295039, TRUE)</f>
        <v>0.99999856562541556</v>
      </c>
      <c r="C178">
        <f t="shared" si="5"/>
        <v>4.8432563548583829E-7</v>
      </c>
      <c r="D178">
        <v>-4.68</v>
      </c>
    </row>
    <row r="179" spans="1:4" x14ac:dyDescent="0.2">
      <c r="A179" s="3">
        <v>68.172544797516878</v>
      </c>
      <c r="B179">
        <f>NORMDIST(68.1725447975169, 63.371478462932, 1.01288319295039, TRUE)</f>
        <v>0.9999989314089055</v>
      </c>
      <c r="C179">
        <f t="shared" si="5"/>
        <v>3.6578348994176224E-7</v>
      </c>
      <c r="D179">
        <v>-4.74</v>
      </c>
    </row>
    <row r="180" spans="1:4" x14ac:dyDescent="0.2">
      <c r="A180" s="3">
        <v>68.233317789093903</v>
      </c>
      <c r="B180">
        <f>NORMDIST(68.2333177890939, 63.371478462932, 1.01288319295039, TRUE)</f>
        <v>0.99999920667184805</v>
      </c>
      <c r="C180">
        <f t="shared" si="5"/>
        <v>2.7526294255064698E-7</v>
      </c>
      <c r="D180">
        <v>-4.8</v>
      </c>
    </row>
    <row r="181" spans="1:4" x14ac:dyDescent="0.2">
      <c r="A181" s="3">
        <v>68.294090780670928</v>
      </c>
      <c r="B181">
        <f>NORMDIST(68.2940907806709, 63.371478462932, 1.01288319295039, TRUE)</f>
        <v>0.99999941307123552</v>
      </c>
      <c r="C181">
        <f t="shared" si="5"/>
        <v>2.0639938747013531E-7</v>
      </c>
      <c r="D181">
        <v>-4.8600000000000003</v>
      </c>
    </row>
    <row r="182" spans="1:4" x14ac:dyDescent="0.2">
      <c r="A182" s="3">
        <v>68.354863772247953</v>
      </c>
      <c r="B182">
        <f>NORMDIST(68.354863772248, 63.371478462932, 1.01288319295039, TRUE)</f>
        <v>0.99999956727893813</v>
      </c>
      <c r="C182">
        <f t="shared" si="5"/>
        <v>1.5420770260732297E-7</v>
      </c>
      <c r="D182">
        <v>-4.9200000000000053</v>
      </c>
    </row>
    <row r="183" spans="1:4" x14ac:dyDescent="0.2">
      <c r="A183" s="3">
        <v>68.415636763824978</v>
      </c>
      <c r="B183">
        <f>NORMDIST(68.415636763825, 63.371478462932, 1.01288319295039, TRUE)</f>
        <v>0.99999968207863377</v>
      </c>
      <c r="C183">
        <f t="shared" si="5"/>
        <v>1.1479969563854553E-7</v>
      </c>
      <c r="D183">
        <v>-4.9800000000000066</v>
      </c>
    </row>
    <row r="184" spans="1:4" x14ac:dyDescent="0.2">
      <c r="A184" s="3">
        <v>68.476409755402003</v>
      </c>
      <c r="B184">
        <f>NORMDIST(68.476409755402, 63.371478462932, 1.01288319295039, TRUE)</f>
        <v>0.99999976723407691</v>
      </c>
      <c r="C184">
        <f t="shared" si="5"/>
        <v>8.5155443141360365E-8</v>
      </c>
      <c r="D184">
        <v>-5.040000000000008</v>
      </c>
    </row>
    <row r="185" spans="1:4" x14ac:dyDescent="0.2">
      <c r="A185" s="3">
        <v>68.537182746979028</v>
      </c>
      <c r="B185">
        <f>NORMDIST(68.537182746979, 63.371478462932, 1.01288319295039, TRUE)</f>
        <v>0.99999983017325933</v>
      </c>
      <c r="C185">
        <f t="shared" si="5"/>
        <v>6.2939182421395401E-8</v>
      </c>
      <c r="D185">
        <v>-5.1000000000000094</v>
      </c>
    </row>
    <row r="186" spans="1:4" x14ac:dyDescent="0.2">
      <c r="A186" s="3">
        <v>68.597955738556053</v>
      </c>
      <c r="B186">
        <f>NORMDIST(68.5979557385561, 63.371478462932, 1.01288319295039, TRUE)</f>
        <v>0.99999987652507871</v>
      </c>
      <c r="C186">
        <f t="shared" si="5"/>
        <v>4.6351819382728365E-8</v>
      </c>
      <c r="D186">
        <v>-5.1600000000000108</v>
      </c>
    </row>
    <row r="187" spans="1:4" x14ac:dyDescent="0.2">
      <c r="A187" s="3">
        <v>68.658728730133063</v>
      </c>
      <c r="B187">
        <f>NORMDIST(68.6587287301331, 63.371478462932, 1.01288319295039, TRUE)</f>
        <v>0.99999991053843462</v>
      </c>
      <c r="C187">
        <f t="shared" si="5"/>
        <v>3.4013355909578991E-8</v>
      </c>
      <c r="D187">
        <v>-5.22</v>
      </c>
    </row>
    <row r="188" spans="1:4" x14ac:dyDescent="0.2">
      <c r="A188" s="3">
        <v>68.719501721710088</v>
      </c>
      <c r="B188">
        <f>NORMDIST(68.7195017217101, 63.371478462932, 1.01288319295039, TRUE)</f>
        <v>0.99999993540805676</v>
      </c>
      <c r="C188">
        <f t="shared" si="5"/>
        <v>2.4869622139434E-8</v>
      </c>
      <c r="D188">
        <v>-5.28</v>
      </c>
    </row>
    <row r="189" spans="1:4" x14ac:dyDescent="0.2">
      <c r="A189" s="3">
        <v>68.780274713287113</v>
      </c>
      <c r="B189">
        <f>NORMDIST(68.7802747132871, 63.371478462932, 1.01288319295039, TRUE)</f>
        <v>0.99999995352670923</v>
      </c>
      <c r="C189">
        <f t="shared" si="5"/>
        <v>1.81186524672583E-8</v>
      </c>
      <c r="D189">
        <v>-5.34</v>
      </c>
    </row>
    <row r="190" spans="1:4" x14ac:dyDescent="0.2">
      <c r="A190" s="3">
        <v>68.841047704864138</v>
      </c>
      <c r="B190">
        <f>NORMDIST(68.8410477048641, 63.371478462932, 1.01288319295039, TRUE)</f>
        <v>0.99999996667955149</v>
      </c>
      <c r="C190">
        <f t="shared" si="5"/>
        <v>1.3152842259778197E-8</v>
      </c>
      <c r="D190">
        <v>-5.4</v>
      </c>
    </row>
    <row r="191" spans="1:4" x14ac:dyDescent="0.2">
      <c r="A191" s="3">
        <v>68.901820696441163</v>
      </c>
      <c r="B191">
        <f>NORMDIST(68.9018206964412, 63.371478462932, 1.01288319295039, TRUE)</f>
        <v>0.99999997619327086</v>
      </c>
      <c r="C191">
        <f t="shared" si="5"/>
        <v>9.5137193678596077E-9</v>
      </c>
      <c r="D191">
        <v>-5.46</v>
      </c>
    </row>
    <row r="192" spans="1:4" x14ac:dyDescent="0.2">
      <c r="A192" s="3">
        <v>68.962593688018188</v>
      </c>
      <c r="B192">
        <f>NORMDIST(68.9625936880182, 63.371478462932, 1.01288319295039, TRUE)</f>
        <v>0.99999998305001692</v>
      </c>
      <c r="C192">
        <f t="shared" si="5"/>
        <v>6.8567460598245589E-9</v>
      </c>
      <c r="D192">
        <v>-5.5200000000000067</v>
      </c>
    </row>
    <row r="193" spans="1:4" x14ac:dyDescent="0.2">
      <c r="A193" s="3">
        <v>69.023366679595213</v>
      </c>
      <c r="B193">
        <f>NORMDIST(69.0233666795952, 63.371478462932, 1.01288319295039, TRUE)</f>
        <v>0.99999998797407075</v>
      </c>
      <c r="C193">
        <f t="shared" si="5"/>
        <v>4.9240538313455318E-9</v>
      </c>
      <c r="D193">
        <v>-5.5800000000000081</v>
      </c>
    </row>
    <row r="194" spans="1:4" x14ac:dyDescent="0.2">
      <c r="A194" s="3">
        <v>69.084139671172238</v>
      </c>
      <c r="B194">
        <f>NORMDIST(69.0841396711722, 63.371478462932, 1.01288319295039, TRUE)</f>
        <v>0.99999999149749175</v>
      </c>
      <c r="C194">
        <f t="shared" ref="C194:C200" si="6" xml:space="preserve"> B194- B193</f>
        <v>3.5234209994072785E-9</v>
      </c>
      <c r="D194">
        <v>-5.6400000000000095</v>
      </c>
    </row>
    <row r="195" spans="1:4" x14ac:dyDescent="0.2">
      <c r="A195" s="3">
        <v>69.144912662749263</v>
      </c>
      <c r="B195">
        <f>NORMDIST(69.1449126627493, 63.371478462932, 1.01288319295039, TRUE)</f>
        <v>0.99999999400962858</v>
      </c>
      <c r="C195">
        <f t="shared" si="6"/>
        <v>2.5121368318892223E-9</v>
      </c>
      <c r="D195">
        <v>-5.7000000000000108</v>
      </c>
    </row>
    <row r="196" spans="1:4" x14ac:dyDescent="0.2">
      <c r="A196" s="3">
        <v>69.205685654326274</v>
      </c>
      <c r="B196">
        <f>NORMDIST(69.2056856543263, 63.371478462932, 1.01288319295039, TRUE)</f>
        <v>0.99999999579430321</v>
      </c>
      <c r="C196">
        <f t="shared" si="6"/>
        <v>1.7846746303007421E-9</v>
      </c>
      <c r="D196">
        <v>-5.76</v>
      </c>
    </row>
    <row r="197" spans="1:4" x14ac:dyDescent="0.2">
      <c r="A197" s="3">
        <v>69.266458645903299</v>
      </c>
      <c r="B197">
        <f>NORMDIST(69.2664586459033, 63.371478462932, 1.01288319295039, TRUE)</f>
        <v>0.99999999705761866</v>
      </c>
      <c r="C197">
        <f t="shared" si="6"/>
        <v>1.2633154522490031E-9</v>
      </c>
      <c r="D197">
        <v>-5.82</v>
      </c>
    </row>
    <row r="198" spans="1:4" x14ac:dyDescent="0.2">
      <c r="A198" s="3">
        <v>69.327231637480324</v>
      </c>
      <c r="B198">
        <f>NORMDIST(69.3272316374803, 63.371478462932, 1.01288319295039, TRUE)</f>
        <v>0.99999999794866756</v>
      </c>
      <c r="C198">
        <f t="shared" si="6"/>
        <v>8.9104890133029357E-10</v>
      </c>
      <c r="D198">
        <v>-5.88</v>
      </c>
    </row>
    <row r="199" spans="1:4" x14ac:dyDescent="0.2">
      <c r="A199" s="3">
        <v>69.388004629057349</v>
      </c>
      <c r="B199">
        <f>NORMDIST(69.3880046290573, 63.371478462932, 1.01288319295039, TRUE)</f>
        <v>0.99999999857488964</v>
      </c>
      <c r="C199">
        <f t="shared" si="6"/>
        <v>6.2622207419593678E-10</v>
      </c>
      <c r="D199">
        <v>-5.94</v>
      </c>
    </row>
    <row r="200" spans="1:4" x14ac:dyDescent="0.2">
      <c r="A200" s="3">
        <v>69.448777620634374</v>
      </c>
      <c r="B200">
        <f>NORMDIST(69.4487776206344, 63.371478462932, 1.01288319295039, TRUE)</f>
        <v>0.9999999990134123</v>
      </c>
      <c r="C200">
        <f t="shared" si="6"/>
        <v>4.3852266262689454E-10</v>
      </c>
      <c r="D200">
        <v>-6</v>
      </c>
    </row>
    <row r="201" spans="1:4" x14ac:dyDescent="0.2">
      <c r="A201" s="3"/>
      <c r="C201" s="1"/>
    </row>
    <row r="202" spans="1:4" x14ac:dyDescent="0.2">
      <c r="A202" s="3"/>
      <c r="C202" s="1"/>
    </row>
    <row r="203" spans="1:4" x14ac:dyDescent="0.2">
      <c r="A203" s="3"/>
      <c r="C203" s="1"/>
    </row>
    <row r="204" spans="1:4" x14ac:dyDescent="0.2">
      <c r="A204" s="3"/>
      <c r="C204" s="1"/>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
  <sheetViews>
    <sheetView showGridLines="0" workbookViewId="0"/>
  </sheetViews>
  <sheetFormatPr defaultRowHeight="12.75" x14ac:dyDescent="0.2"/>
  <cols>
    <col min="1" max="1" width="5.7109375" customWidth="1"/>
  </cols>
  <sheetData>
    <row r="1" spans="2:11" ht="28.5" customHeight="1" x14ac:dyDescent="0.3">
      <c r="B1" s="39" t="s">
        <v>84</v>
      </c>
      <c r="K1" s="65" t="s">
        <v>90</v>
      </c>
    </row>
    <row r="4" spans="2:11" x14ac:dyDescent="0.2">
      <c r="B4" t="s">
        <v>89</v>
      </c>
    </row>
  </sheetData>
  <hyperlinks>
    <hyperlink ref="K1" location="Model!A1" display="Back to model"/>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CB_DATA_</vt:lpstr>
      <vt:lpstr>Model</vt:lpstr>
      <vt:lpstr>Calcs</vt:lpstr>
      <vt:lpstr>Minitab results</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Simulation with Design of Experiments</dc:title>
  <dc:creator>Crystal Ball</dc:creator>
  <cp:keywords>injection molding, design of experiments, DFSS, design for Six Sigma, tolerance analysis, Cpk, Developer Kit function, cell referencing, process capability, regression</cp:keywords>
  <cp:lastModifiedBy>ewainwri</cp:lastModifiedBy>
  <cp:lastPrinted>2003-12-22T22:11:00Z</cp:lastPrinted>
  <dcterms:created xsi:type="dcterms:W3CDTF">2001-04-12T04:23:42Z</dcterms:created>
  <dcterms:modified xsi:type="dcterms:W3CDTF">2014-06-03T00:34:38Z</dcterms:modified>
  <cp:category>Design for Six Sigma DFSS DoE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