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corona plan\Master Plan\"/>
    </mc:Choice>
  </mc:AlternateContent>
  <bookViews>
    <workbookView xWindow="0" yWindow="0" windowWidth="20436" windowHeight="7596" tabRatio="606"/>
  </bookViews>
  <sheets>
    <sheet name="Columbia" sheetId="463" r:id="rId1"/>
    <sheet name="C2_22" sheetId="464" r:id="rId2"/>
    <sheet name="C321input" sheetId="465" r:id="rId3"/>
    <sheet name="OG" sheetId="461" r:id="rId4"/>
  </sheets>
  <externalReferences>
    <externalReference r:id="rId5"/>
  </externalReferences>
  <definedNames>
    <definedName name="a" localSheetId="0">#REF!</definedName>
    <definedName name="a">#REF!</definedName>
    <definedName name="b">#REF!</definedName>
    <definedName name="Beg_Bal" localSheetId="0">#REF!</definedName>
    <definedName name="Beg_Bal">#REF!</definedName>
    <definedName name="Cum_Int" localSheetId="0">#REF!</definedName>
    <definedName name="Cum_Int">#REF!</definedName>
    <definedName name="Data" localSheetId="0">#REF!</definedName>
    <definedName name="Data">#REF!</definedName>
    <definedName name="DDL_Custom1">[1]!tblCSTM1[Custom Field 1]</definedName>
    <definedName name="DDL_Custom2">[1]!tblCSTM2[Custom Field 2]</definedName>
    <definedName name="DDL_Custom3">[1]!tblCSTM3[Custom Field 3]</definedName>
    <definedName name="DDL_Custom4">[1]!tblCSTM4[Custom Field 4]</definedName>
    <definedName name="DDL_Custom5">[1]!tblCSTM5[Custom Field 5]</definedName>
    <definedName name="DDL_Custom6">[1]!tblCSTM6[Custom Field 6]</definedName>
    <definedName name="End_Bal" localSheetId="0">#REF!</definedName>
    <definedName name="End_Bal">#REF!</definedName>
    <definedName name="Extra_Pay" localSheetId="0">#REF!</definedName>
    <definedName name="Extra_Pay">#REF!</definedName>
    <definedName name="Full_Print" localSheetId="0">#REF!</definedName>
    <definedName name="Full_Print">#REF!</definedName>
    <definedName name="Header_Row" localSheetId="0">ROW(#REF!)</definedName>
    <definedName name="Header_Row">ROW(#REF!)</definedName>
    <definedName name="hggfh" localSheetId="0">IF(Columbia!Values_Entered,Columbia!Header_Row+Columbia!Number_of_Payments,Columbia!Header_Row)</definedName>
    <definedName name="hggfh">IF([0]!Values_Entered,Header_Row+[0]!Number_of_Payments,Header_Row)</definedName>
    <definedName name="Int" localSheetId="0">#REF!</definedName>
    <definedName name="Int">#REF!</definedName>
    <definedName name="Interest_Rate" localSheetId="0">#REF!</definedName>
    <definedName name="Interest_Rate">#REF!</definedName>
    <definedName name="Last_Row" localSheetId="0">IF(Columbia!Values_Entered,Columbia!Header_Row+Columbia!Number_of_Payments,Columbia!Header_Row)</definedName>
    <definedName name="Last_Row">IF([0]!Values_Entered,Header_Row+[0]!Number_of_Payments,Header_Row)</definedName>
    <definedName name="Loan_Amount" localSheetId="0">#REF!</definedName>
    <definedName name="Loan_Amount">#REF!</definedName>
    <definedName name="Loan_Start" localSheetId="0">#REF!</definedName>
    <definedName name="Loan_Start">#REF!</definedName>
    <definedName name="Loan_Years" localSheetId="0">#REF!</definedName>
    <definedName name="Loan_Years">#REF!</definedName>
    <definedName name="mnlk54" localSheetId="0">ROW(#REF!)</definedName>
    <definedName name="mnlk54">ROW(#REF!)</definedName>
    <definedName name="New_ext" localSheetId="0">#REF!</definedName>
    <definedName name="New_ext">#REF!</definedName>
    <definedName name="Num_Pmt_Per_Year" localSheetId="0">#REF!</definedName>
    <definedName name="Num_Pmt_Per_Year">#REF!</definedName>
    <definedName name="Number_of_Payments" localSheetId="0">MATCH(0.01,Columbia!End_Bal,-1)+1</definedName>
    <definedName name="Number_of_Payments">MATCH(0.01,End_Bal,-1)+1</definedName>
    <definedName name="Pay_Date" localSheetId="0">#REF!</definedName>
    <definedName name="Pay_Date">#REF!</definedName>
    <definedName name="Pay_Num" localSheetId="0">#REF!</definedName>
    <definedName name="Pay_Num">#REF!</definedName>
    <definedName name="Payment_Date" localSheetId="0">DATE(YEAR(Columbia!Loan_Start),MONTH(Columbia!Loan_Start)+Payment_Number,DAY(Columbia!Loan_Start))</definedName>
    <definedName name="Payment_Date">DATE(YEAR(Loan_Start),MONTH(Loan_Start)+Payment_Number,DAY(Loan_Start))</definedName>
    <definedName name="Princ" localSheetId="0">#REF!</definedName>
    <definedName name="Princ">#REF!</definedName>
    <definedName name="_xlnm.Print_Area" localSheetId="0">Columbia!$B$1:$AM$118</definedName>
    <definedName name="Print_Area_Reset" localSheetId="0">OFFSET(Columbia!Full_Print,0,0,Columbia!Last_Row)</definedName>
    <definedName name="Print_Area_Reset">OFFSET(Full_Print,0,0,Last_Row)</definedName>
    <definedName name="Sched_Pay" localSheetId="0">#REF!</definedName>
    <definedName name="Sched_Pay">#REF!</definedName>
    <definedName name="Scheduled_Extra_Payments" localSheetId="0">#REF!</definedName>
    <definedName name="Scheduled_Extra_Payments">#REF!</definedName>
    <definedName name="Scheduled_Interest_Rate" localSheetId="0">#REF!</definedName>
    <definedName name="Scheduled_Interest_Rate">#REF!</definedName>
    <definedName name="Scheduled_Monthly_Payment" localSheetId="0">#REF!</definedName>
    <definedName name="Scheduled_Monthly_Payment">#REF!</definedName>
    <definedName name="Total_Interest" localSheetId="0">#REF!</definedName>
    <definedName name="Total_Interest">#REF!</definedName>
    <definedName name="Total_Pay" localSheetId="0">#REF!</definedName>
    <definedName name="Total_Pay">#REF!</definedName>
    <definedName name="Values_Entered" localSheetId="0">IF(Columbia!Loan_Amount*Columbia!Interest_Rate*Columbia!Loan_Years*Columbia!Loan_Start&gt;0,1,0)</definedName>
    <definedName name="Values_Entered">IF(Loan_Amount*Interest_Rate*Loan_Years*Loan_Start&gt;0,1,0)</definedName>
  </definedNames>
  <calcPr calcId="162913"/>
  <fileRecoveryPr autoRecover="0"/>
</workbook>
</file>

<file path=xl/calcChain.xml><?xml version="1.0" encoding="utf-8"?>
<calcChain xmlns="http://schemas.openxmlformats.org/spreadsheetml/2006/main">
  <c r="AHQ62" i="463" l="1"/>
  <c r="AHQ58" i="463"/>
  <c r="AHQ42" i="463"/>
  <c r="AHP62" i="463" l="1"/>
  <c r="AHO66" i="463" l="1"/>
  <c r="AHO64" i="463"/>
  <c r="AHO62" i="463"/>
  <c r="AHO56" i="463"/>
  <c r="AHO46" i="463"/>
  <c r="AHO44" i="463"/>
  <c r="AHN62" i="463" l="1"/>
  <c r="AHN58" i="463"/>
  <c r="AHN50" i="463" l="1"/>
  <c r="AHN44" i="463"/>
  <c r="AHN42" i="463"/>
  <c r="APN23" i="463" l="1"/>
  <c r="AMA42" i="463"/>
  <c r="AHM64" i="463" l="1"/>
  <c r="AHK58" i="463"/>
  <c r="AHK56" i="463"/>
  <c r="AHK50" i="463"/>
  <c r="AHJ66" i="463" l="1"/>
  <c r="AKZ66" i="463" l="1"/>
  <c r="AKV66" i="463"/>
  <c r="AHI64" i="463" l="1"/>
  <c r="AHI56" i="463"/>
  <c r="AHI50" i="463"/>
  <c r="AHI46" i="463"/>
  <c r="AHI42" i="463"/>
  <c r="AHH64" i="463" l="1"/>
  <c r="AHH62" i="463"/>
  <c r="AHH60" i="463"/>
  <c r="AHH44" i="463"/>
  <c r="AIA50" i="463" l="1"/>
  <c r="AHG68" i="463" l="1"/>
  <c r="AHG66" i="463"/>
  <c r="AHG64" i="463"/>
  <c r="AHG60" i="463"/>
  <c r="AHF64" i="463" l="1"/>
  <c r="AHF58" i="463"/>
  <c r="AHD44" i="463"/>
  <c r="AHC50" i="463" l="1"/>
  <c r="AHC42" i="463"/>
  <c r="AHB60" i="463" l="1"/>
  <c r="AHB44" i="463"/>
  <c r="AHA62" i="463" l="1"/>
  <c r="AGY62" i="463" l="1"/>
  <c r="AJL60" i="463" l="1"/>
  <c r="AJN52" i="463" l="1"/>
  <c r="AGX64" i="463" l="1"/>
  <c r="AGX58" i="463"/>
  <c r="AGV60" i="463"/>
  <c r="AGV58" i="463"/>
  <c r="AGV56" i="463"/>
  <c r="AGV42" i="463"/>
  <c r="AKP66" i="463" l="1"/>
  <c r="AGU66" i="463" l="1"/>
  <c r="AGU60" i="463"/>
  <c r="AGT58" i="463" l="1"/>
  <c r="AGT46" i="463"/>
  <c r="AII52" i="463" l="1"/>
  <c r="AIW48" i="463"/>
  <c r="AJT42" i="463" l="1"/>
  <c r="AGS58" i="463" l="1"/>
  <c r="AGS42" i="463"/>
  <c r="AGQ62" i="463" l="1"/>
  <c r="AGO66" i="463" l="1"/>
  <c r="AGO62" i="463"/>
  <c r="AGO60" i="463"/>
  <c r="AGO48" i="463"/>
  <c r="AGN60" i="463" l="1"/>
  <c r="AGN58" i="463"/>
  <c r="AGN50" i="463"/>
  <c r="AGN42" i="463"/>
  <c r="AGM64" i="463"/>
  <c r="AGL64" i="463"/>
  <c r="AGL54" i="463"/>
  <c r="AGL42" i="463"/>
  <c r="AGK60" i="463"/>
  <c r="AGK48" i="463"/>
  <c r="AGJ58" i="463"/>
  <c r="AGH48" i="463"/>
  <c r="AGG60" i="463"/>
  <c r="AGE48" i="463" l="1"/>
  <c r="ANT115" i="463" l="1"/>
  <c r="ANT116" i="463"/>
  <c r="ANT114" i="463"/>
  <c r="AGD60" i="463" l="1"/>
  <c r="AGD48" i="463"/>
  <c r="AGC70" i="463" l="1"/>
  <c r="AGC62" i="463"/>
  <c r="AGC46" i="463"/>
  <c r="AGA58" i="463"/>
  <c r="AGA54" i="463"/>
  <c r="AFZ54" i="463" l="1"/>
  <c r="AFZ52" i="463"/>
  <c r="AFY64" i="463" l="1"/>
  <c r="AFY60" i="463"/>
  <c r="AFY58" i="463"/>
  <c r="AFX56" i="463" l="1"/>
  <c r="AJU30" i="463" l="1"/>
  <c r="AJV30" i="463"/>
  <c r="AJW30" i="463"/>
  <c r="AJT30" i="463"/>
  <c r="AJX29" i="463"/>
  <c r="AJU31" i="463" l="1"/>
  <c r="AJV31" i="463" s="1"/>
  <c r="AJW31" i="463" s="1"/>
  <c r="AFW50" i="463" l="1"/>
  <c r="AFW48" i="463"/>
  <c r="AFV60" i="463" l="1"/>
  <c r="AFV56" i="463"/>
  <c r="AFQ60" i="463" l="1"/>
  <c r="AFQ52" i="463"/>
  <c r="AFP64" i="463" l="1"/>
  <c r="AFP52" i="463"/>
  <c r="AFP48" i="463"/>
  <c r="AFO60" i="463" l="1"/>
  <c r="AFO44" i="463"/>
  <c r="AFN46" i="463" l="1"/>
  <c r="AFL60" i="463" l="1"/>
  <c r="AFL58" i="463"/>
  <c r="AFL54" i="463"/>
  <c r="AFL42" i="463"/>
  <c r="AFK58" i="463" l="1"/>
  <c r="AFK50" i="463"/>
  <c r="AFP68" i="463" l="1"/>
  <c r="AFJ62" i="463" l="1"/>
  <c r="AFJ58" i="463"/>
  <c r="AFD9" i="463" l="1"/>
  <c r="AFI50" i="463" l="1"/>
  <c r="AFI42" i="463"/>
  <c r="AFG70" i="463" l="1"/>
  <c r="AFG64" i="463"/>
  <c r="AFG62" i="463"/>
  <c r="AFG44" i="463"/>
  <c r="AFE60" i="463"/>
  <c r="AFE44" i="463"/>
  <c r="AFD58" i="463" l="1"/>
  <c r="AFD68" i="463"/>
  <c r="AFD54" i="463"/>
  <c r="AFD48" i="463"/>
  <c r="AFC56" i="463" l="1"/>
  <c r="AFC54" i="463"/>
  <c r="AFB64" i="463" l="1"/>
  <c r="AOG36" i="463" l="1"/>
  <c r="AEZ62" i="463" l="1"/>
  <c r="AEZ58" i="463"/>
  <c r="AEZ46" i="463"/>
  <c r="AEX60" i="463" l="1"/>
  <c r="AEX50" i="463"/>
  <c r="AEX48" i="463"/>
  <c r="AEX42" i="463"/>
  <c r="AEW56" i="463" l="1"/>
  <c r="AEW44" i="463"/>
  <c r="AEW42" i="463"/>
  <c r="AEV50" i="463" l="1"/>
  <c r="AEV44" i="463"/>
  <c r="AEV42" i="463"/>
  <c r="AEU54" i="463" l="1"/>
  <c r="AEU50" i="463"/>
  <c r="AEU44" i="463"/>
  <c r="AET58" i="463" l="1"/>
  <c r="AET54" i="463"/>
  <c r="AES60" i="463" l="1"/>
  <c r="AES58" i="463"/>
  <c r="AES54" i="463"/>
  <c r="AES50" i="463" l="1"/>
  <c r="AES46" i="463"/>
  <c r="AEQ58" i="463" l="1"/>
  <c r="AEQ50" i="463"/>
  <c r="AEP58" i="463" l="1"/>
  <c r="AEP54" i="463"/>
  <c r="AEA70" i="463" l="1"/>
  <c r="AEK70" i="463"/>
  <c r="AEM50" i="463"/>
  <c r="AEN42" i="463"/>
  <c r="AEM42" i="463" l="1"/>
  <c r="AEL54" i="463" l="1"/>
  <c r="AEL50" i="463"/>
  <c r="AEL48" i="463"/>
  <c r="AEL44" i="463"/>
  <c r="AEK60" i="463" l="1"/>
  <c r="AEK50" i="463"/>
  <c r="AEK42" i="463"/>
  <c r="AEI54" i="463" l="1"/>
  <c r="AEI60" i="463"/>
  <c r="AEI58" i="463"/>
  <c r="AEH60" i="463" l="1"/>
  <c r="AEH58" i="463"/>
  <c r="AEH46" i="463" l="1"/>
  <c r="AEG58" i="463" l="1"/>
  <c r="AEG54" i="463"/>
  <c r="AEG50" i="463"/>
  <c r="AEG44" i="463"/>
  <c r="AEF54" i="463" l="1"/>
  <c r="AEF42" i="463"/>
  <c r="AEE58" i="463" l="1"/>
  <c r="AEE50" i="463"/>
  <c r="AEE42" i="463"/>
  <c r="AEE60" i="463" l="1"/>
  <c r="AED60" i="463" l="1"/>
  <c r="AED54" i="463"/>
  <c r="AED44" i="463"/>
  <c r="AEB62" i="463"/>
  <c r="AEB60" i="463"/>
  <c r="AEB54" i="463"/>
  <c r="AEB50" i="463"/>
  <c r="AEA54" i="463" l="1"/>
  <c r="AEA44" i="463"/>
  <c r="ADZ60" i="463"/>
  <c r="ADZ58" i="463"/>
  <c r="ADZ56" i="463"/>
  <c r="ADZ54" i="463"/>
  <c r="ADY62" i="463" l="1"/>
  <c r="ADY60" i="463"/>
  <c r="ADY58" i="463"/>
  <c r="ADY54" i="463"/>
  <c r="ADY46" i="463"/>
  <c r="ADY44" i="463"/>
  <c r="ADV46" i="463" l="1"/>
  <c r="ADU60" i="463" l="1"/>
  <c r="ADU54" i="463"/>
  <c r="ADU50" i="463"/>
  <c r="ADU46" i="463"/>
  <c r="ADT56" i="463" l="1"/>
  <c r="ADT54" i="463"/>
  <c r="ADT50" i="463"/>
  <c r="ADS54" i="463" l="1"/>
  <c r="ADS60" i="463"/>
  <c r="ADR54" i="463" l="1"/>
  <c r="ADR50" i="463"/>
  <c r="ADR44" i="463"/>
  <c r="ADQ58" i="463" l="1"/>
  <c r="ADN50" i="463"/>
  <c r="ADQ50" i="463"/>
  <c r="ADP60" i="463" l="1"/>
  <c r="ADN60" i="463" l="1"/>
  <c r="ADN58" i="463"/>
  <c r="ADN54" i="463"/>
  <c r="ADM58" i="463" l="1"/>
  <c r="ADM54" i="463"/>
  <c r="ADM46" i="463"/>
  <c r="ADL58" i="463" l="1"/>
  <c r="ADL48" i="463"/>
  <c r="ADL42" i="463"/>
  <c r="ADK54" i="463" l="1"/>
  <c r="ACV58" i="463" l="1"/>
  <c r="ACU54" i="463" l="1"/>
  <c r="ACT54" i="463" l="1"/>
  <c r="ACS60" i="463"/>
  <c r="ACS56" i="463"/>
  <c r="ACR58" i="463" l="1"/>
  <c r="ACR54" i="463"/>
  <c r="ACQ58" i="463" l="1"/>
  <c r="ACP58" i="463" l="1"/>
  <c r="ACP54" i="463"/>
  <c r="ACO58" i="463" l="1"/>
  <c r="ACO48" i="463"/>
  <c r="ACN54" i="463" l="1"/>
  <c r="ACN50" i="463"/>
  <c r="ACN42" i="463"/>
  <c r="ACM42" i="463" l="1"/>
  <c r="ACK54" i="463" l="1"/>
  <c r="ACJ62" i="463" l="1"/>
  <c r="ACJ58" i="463"/>
  <c r="ACJ50" i="463"/>
  <c r="ACD60" i="463" l="1"/>
  <c r="ACI58" i="463" l="1"/>
  <c r="ACI56" i="463"/>
  <c r="ACI54" i="463"/>
  <c r="ACI50" i="463"/>
  <c r="ACH58" i="463" l="1"/>
  <c r="ACH46" i="463"/>
  <c r="ACG50" i="463" l="1"/>
  <c r="ACF56" i="463" l="1"/>
  <c r="ACF54" i="463"/>
  <c r="ACF46" i="463"/>
  <c r="ACE58" i="463"/>
  <c r="ACE50" i="463"/>
  <c r="ACE48" i="463"/>
  <c r="ACE46" i="463"/>
  <c r="ACE44" i="463"/>
  <c r="ACE42" i="463"/>
  <c r="ACD58" i="463" l="1"/>
  <c r="ACD54" i="463"/>
  <c r="ACD50" i="463"/>
  <c r="AAY50" i="463" l="1"/>
  <c r="ACA54" i="463" l="1"/>
  <c r="ACA42" i="463"/>
  <c r="ABZ58" i="463" l="1"/>
  <c r="ABZ50" i="463"/>
  <c r="ABY58" i="463" l="1"/>
  <c r="ABY54" i="463"/>
  <c r="ABY48" i="463"/>
  <c r="ABX50" i="463" l="1"/>
  <c r="ABV64" i="463"/>
  <c r="ABU60" i="463"/>
  <c r="ABX48" i="463"/>
  <c r="ABV44" i="463" l="1"/>
  <c r="ABV42" i="463"/>
  <c r="ABU54" i="463" l="1"/>
  <c r="ABU44" i="463"/>
  <c r="ABU42" i="463"/>
  <c r="ABT50" i="463" l="1"/>
  <c r="ABT42" i="463"/>
  <c r="ABS58" i="463" l="1"/>
  <c r="ABS54" i="463"/>
  <c r="ABR68" i="463" l="1"/>
  <c r="ABR54" i="463"/>
  <c r="ABR44" i="463"/>
  <c r="ABR42" i="463"/>
  <c r="ACN25" i="463" l="1"/>
  <c r="ABQ54" i="463" l="1"/>
  <c r="ABQ50" i="463"/>
  <c r="ABQ46" i="463"/>
  <c r="ABQ42" i="463"/>
  <c r="ABP44" i="463" l="1"/>
  <c r="ABO60" i="463" l="1"/>
  <c r="ABO58" i="463"/>
  <c r="ABN50" i="463" l="1"/>
  <c r="ABN48" i="463"/>
  <c r="ABN46" i="463"/>
  <c r="ABM54" i="463" l="1"/>
  <c r="ABM44" i="463"/>
  <c r="ABL62" i="463" l="1"/>
  <c r="ABL60" i="463"/>
  <c r="ABL58" i="463"/>
  <c r="ABL42" i="463" l="1"/>
  <c r="ABK42" i="463"/>
  <c r="ABK50" i="463" l="1"/>
  <c r="ABK58" i="463"/>
  <c r="ABK54" i="463"/>
  <c r="ABK48" i="463"/>
  <c r="ABJ68" i="463" l="1"/>
  <c r="ABJ64" i="463"/>
  <c r="ABJ54" i="463"/>
  <c r="ABJ44" i="463"/>
  <c r="ABH60" i="463" l="1"/>
  <c r="ABH48" i="463"/>
  <c r="ABH42" i="463"/>
  <c r="ABG66" i="463" l="1"/>
  <c r="ABG60" i="463"/>
  <c r="ABG58" i="463"/>
  <c r="ABG56" i="463"/>
  <c r="ABF48" i="463"/>
  <c r="ABF60" i="463"/>
  <c r="ABF62" i="463"/>
  <c r="ABF58" i="463"/>
  <c r="ABG42" i="463"/>
  <c r="ABF46" i="463" l="1"/>
  <c r="ABF44" i="463"/>
  <c r="ABF42" i="463"/>
  <c r="ABE58" i="463" l="1"/>
  <c r="ABE48" i="463"/>
  <c r="ABD58" i="463" l="1"/>
  <c r="ABD48" i="463"/>
  <c r="ABC62" i="463" l="1"/>
  <c r="ABC56" i="463"/>
  <c r="ABC44" i="463"/>
  <c r="ABA68" i="463" l="1"/>
  <c r="ABA64" i="463"/>
  <c r="ABA50" i="463"/>
  <c r="ABA48" i="463"/>
  <c r="ABA42" i="463"/>
  <c r="AAZ60" i="463" l="1"/>
  <c r="AAZ58" i="463"/>
  <c r="AAZ44" i="463"/>
  <c r="AAY60" i="463" l="1"/>
  <c r="AAY58" i="463"/>
  <c r="AAY48" i="463"/>
  <c r="AAY44" i="463"/>
  <c r="AAW68" i="463" l="1"/>
  <c r="AAW58" i="463"/>
  <c r="AAW56" i="463"/>
  <c r="AAW42" i="463"/>
  <c r="AAR66" i="463" l="1"/>
  <c r="AAV60" i="463"/>
  <c r="AAV44" i="463"/>
  <c r="AAU58" i="463" l="1"/>
  <c r="AAU50" i="463"/>
  <c r="AAS64" i="463" l="1"/>
  <c r="AAS50" i="463"/>
  <c r="AAS48" i="463"/>
  <c r="AAR50" i="463" l="1"/>
  <c r="AAR60" i="463"/>
  <c r="AAR48" i="463"/>
  <c r="AAR46" i="463"/>
  <c r="AAR44" i="463"/>
  <c r="AAR42" i="463"/>
  <c r="AAQ42" i="463"/>
  <c r="AAP48" i="463" l="1"/>
  <c r="AAP44" i="463"/>
  <c r="AAP42" i="463"/>
  <c r="AAL64" i="463" l="1"/>
  <c r="AAO58" i="463" l="1"/>
  <c r="AAO56" i="463"/>
  <c r="AAO50" i="463"/>
  <c r="AAN60" i="463" l="1"/>
  <c r="AAN58" i="463"/>
  <c r="AAN54" i="463"/>
  <c r="AAM60" i="463" l="1"/>
  <c r="AAM52" i="463"/>
  <c r="AAM48" i="463"/>
  <c r="AAM44" i="463"/>
  <c r="AAL66" i="463" l="1"/>
  <c r="AAK68" i="463" l="1"/>
  <c r="AAK60" i="463"/>
  <c r="AAK58" i="463"/>
  <c r="AAK54" i="463"/>
  <c r="AAK50" i="463"/>
  <c r="AAK48" i="463"/>
  <c r="AAJ58" i="463" l="1"/>
  <c r="AAJ54" i="463"/>
  <c r="AAJ48" i="463"/>
  <c r="AAJ44" i="463"/>
  <c r="AAD58" i="463" l="1"/>
  <c r="AAD50" i="463"/>
  <c r="AAD48" i="463"/>
  <c r="AAC54" i="463"/>
  <c r="AAC42" i="463"/>
  <c r="AAB60" i="463" l="1"/>
  <c r="AAB50" i="463"/>
  <c r="AAA62" i="463"/>
  <c r="AAA56" i="463"/>
  <c r="AAA48" i="463"/>
  <c r="ACR98" i="463" l="1"/>
  <c r="ACU99" i="463" s="1"/>
  <c r="ACU103" i="463"/>
  <c r="ACU102" i="463"/>
  <c r="ACU101" i="463"/>
  <c r="ACU97" i="463"/>
  <c r="ANO104" i="463"/>
  <c r="ANR103" i="463"/>
  <c r="ANR102" i="463"/>
  <c r="ANR101" i="463"/>
  <c r="ANR99" i="463"/>
  <c r="ANR97" i="463"/>
  <c r="AMI104" i="463"/>
  <c r="AML103" i="463"/>
  <c r="AML102" i="463"/>
  <c r="AML101" i="463"/>
  <c r="AML99" i="463"/>
  <c r="AML97" i="463"/>
  <c r="ALF104" i="463"/>
  <c r="ALI103" i="463"/>
  <c r="ALI102" i="463"/>
  <c r="ALI101" i="463"/>
  <c r="ALI99" i="463"/>
  <c r="ALI97" i="463"/>
  <c r="AJZ104" i="463"/>
  <c r="AKC103" i="463"/>
  <c r="AKC102" i="463"/>
  <c r="AKC101" i="463"/>
  <c r="AKC99" i="463"/>
  <c r="AKC97" i="463"/>
  <c r="AIT104" i="463"/>
  <c r="AIW103" i="463"/>
  <c r="AIW102" i="463"/>
  <c r="AIW101" i="463"/>
  <c r="AIW99" i="463"/>
  <c r="AIW97" i="463"/>
  <c r="AHO104" i="463"/>
  <c r="AHR103" i="463"/>
  <c r="AHR102" i="463"/>
  <c r="AHR101" i="463"/>
  <c r="AHR99" i="463"/>
  <c r="AHR97" i="463"/>
  <c r="AGI104" i="463"/>
  <c r="AGL103" i="463"/>
  <c r="AGL102" i="463"/>
  <c r="AGL101" i="463"/>
  <c r="AGL99" i="463"/>
  <c r="AGL97" i="463"/>
  <c r="AFD104" i="463"/>
  <c r="AFG103" i="463"/>
  <c r="AFG102" i="463"/>
  <c r="AFG101" i="463"/>
  <c r="AFG99" i="463"/>
  <c r="AFG97" i="463"/>
  <c r="ADX104" i="463"/>
  <c r="AEA103" i="463"/>
  <c r="AEA102" i="463"/>
  <c r="AEA101" i="463"/>
  <c r="AEA99" i="463"/>
  <c r="AEA97" i="463"/>
  <c r="ACR104" i="463" l="1"/>
  <c r="AML104" i="463"/>
  <c r="AKC104" i="463"/>
  <c r="ANR104" i="463"/>
  <c r="ALI104" i="463"/>
  <c r="AIW104" i="463"/>
  <c r="AHR104" i="463"/>
  <c r="AGL104" i="463"/>
  <c r="AFG104" i="463"/>
  <c r="AEA104" i="463"/>
  <c r="ACU104" i="463"/>
  <c r="ZZ60" i="463" l="1"/>
  <c r="ZZ42" i="463"/>
  <c r="ZX58" i="463"/>
  <c r="ZX60" i="463"/>
  <c r="ZX54" i="463"/>
  <c r="ZX50" i="463"/>
  <c r="ZX44" i="463"/>
  <c r="ZW48" i="463" l="1"/>
  <c r="ZV64" i="463" l="1"/>
  <c r="ZU64" i="463"/>
  <c r="ZU44" i="463"/>
  <c r="ZU42" i="463"/>
  <c r="ZT48" i="463" l="1"/>
  <c r="ZT42" i="463"/>
  <c r="ZO62" i="463" l="1"/>
  <c r="ZO60" i="463"/>
  <c r="ZO58" i="463"/>
  <c r="ZO52" i="463"/>
  <c r="ZN66" i="463" l="1"/>
  <c r="ZN48" i="463"/>
  <c r="ZM44" i="463" l="1"/>
  <c r="ZL58" i="463" l="1"/>
  <c r="ZK58" i="463" l="1"/>
  <c r="ZK54" i="463"/>
  <c r="ZK48" i="463"/>
  <c r="ZI58" i="463"/>
  <c r="ZI46" i="463"/>
  <c r="ZI44" i="463"/>
  <c r="ZH64" i="463" l="1"/>
  <c r="ZH48" i="463"/>
  <c r="ZH44" i="463"/>
  <c r="ZG58" i="463" l="1"/>
  <c r="ZG56" i="463"/>
  <c r="ZG44" i="463"/>
  <c r="ZF62" i="463" l="1"/>
  <c r="ZF50" i="463"/>
  <c r="ZE58" i="463" l="1"/>
  <c r="ZE44" i="463"/>
  <c r="ZE42" i="463"/>
  <c r="ZD58" i="463" l="1"/>
  <c r="ZE54" i="463"/>
  <c r="ZD50" i="463"/>
  <c r="ZD44" i="463"/>
  <c r="ZB42" i="463"/>
  <c r="ZB60" i="463"/>
  <c r="ZB58" i="463"/>
  <c r="ZB56" i="463"/>
  <c r="ZB54" i="463"/>
  <c r="YZ48" i="463" l="1"/>
  <c r="YZ42" i="463"/>
  <c r="YY62" i="463" l="1"/>
  <c r="YY66" i="463"/>
  <c r="YY58" i="463"/>
  <c r="YY52" i="463"/>
  <c r="YY42" i="463"/>
  <c r="YX54" i="463" l="1"/>
  <c r="YX58" i="463" l="1"/>
  <c r="YX48" i="463"/>
  <c r="YW58" i="463" l="1"/>
  <c r="YW42" i="463"/>
  <c r="YU58" i="463"/>
  <c r="YU54" i="463"/>
  <c r="YU48" i="463"/>
  <c r="YU42" i="463"/>
  <c r="YT48" i="463" l="1"/>
  <c r="YS60" i="463" l="1"/>
  <c r="YS54" i="463"/>
  <c r="YS48" i="463"/>
  <c r="YN62" i="463" l="1"/>
  <c r="YR48" i="463"/>
  <c r="YQ54" i="463" l="1"/>
  <c r="YQ52" i="463"/>
  <c r="YQ44" i="463"/>
  <c r="YP66" i="463" l="1"/>
  <c r="YP60" i="463"/>
  <c r="YP58" i="463"/>
  <c r="YN54" i="463" l="1"/>
  <c r="YN48" i="463"/>
  <c r="YL50" i="463" l="1"/>
  <c r="YL48" i="463"/>
  <c r="YJ60" i="463" l="1"/>
  <c r="YJ58" i="463"/>
  <c r="YI58" i="463" l="1"/>
  <c r="YI54" i="463"/>
  <c r="YI48" i="463"/>
  <c r="YI42" i="463"/>
  <c r="YH58" i="463" l="1"/>
  <c r="YF60" i="463" l="1"/>
  <c r="YF58" i="463"/>
  <c r="YF54" i="463"/>
  <c r="YF50" i="463"/>
  <c r="YE58" i="463" l="1"/>
  <c r="YE48" i="463"/>
  <c r="YE46" i="463"/>
  <c r="YD66" i="463" l="1"/>
  <c r="YD58" i="463"/>
  <c r="YD48" i="463"/>
  <c r="YD46" i="463"/>
  <c r="YC58" i="463" l="1"/>
  <c r="YC54" i="463"/>
  <c r="XX64" i="463" l="1"/>
  <c r="XX42" i="463"/>
  <c r="XW54" i="463" l="1"/>
  <c r="XW48" i="463"/>
  <c r="XV58" i="463" l="1"/>
  <c r="XV48" i="463"/>
  <c r="XU42" i="463" l="1"/>
  <c r="XU58" i="463"/>
  <c r="XT54" i="463" l="1"/>
  <c r="XR64" i="463"/>
  <c r="XR58" i="463"/>
  <c r="XR42" i="463"/>
  <c r="XQ66" i="463" l="1"/>
  <c r="XQ46" i="463"/>
  <c r="ZV96" i="463" l="1"/>
  <c r="ZX96" i="463" s="1"/>
  <c r="ZZ96" i="463" s="1"/>
  <c r="ZV95" i="463"/>
  <c r="ZX95" i="463" s="1"/>
  <c r="ZZ95" i="463" s="1"/>
  <c r="XV100" i="463"/>
  <c r="XV97" i="463"/>
  <c r="XV96" i="463"/>
  <c r="XK96" i="463"/>
  <c r="XM96" i="463" s="1"/>
  <c r="XO96" i="463" s="1"/>
  <c r="XK95" i="463"/>
  <c r="XM95" i="463" s="1"/>
  <c r="XO95" i="463" s="1"/>
  <c r="YQ96" i="463"/>
  <c r="YS96" i="463" s="1"/>
  <c r="YU96" i="463" s="1"/>
  <c r="YQ95" i="463"/>
  <c r="YS95" i="463" s="1"/>
  <c r="YU95" i="463" s="1"/>
  <c r="ABB96" i="463"/>
  <c r="ABD96" i="463" s="1"/>
  <c r="ABF96" i="463" s="1"/>
  <c r="ABB95" i="463"/>
  <c r="ABD95" i="463" s="1"/>
  <c r="ABF95" i="463" s="1"/>
  <c r="ACG96" i="463"/>
  <c r="ACI96" i="463" s="1"/>
  <c r="ACK96" i="463" s="1"/>
  <c r="ACG95" i="463"/>
  <c r="ACI95" i="463" s="1"/>
  <c r="ACK95" i="463" s="1"/>
  <c r="ADM95" i="463"/>
  <c r="ADO95" i="463" s="1"/>
  <c r="ADQ95" i="463" s="1"/>
  <c r="ADM96" i="463"/>
  <c r="ADO96" i="463" s="1"/>
  <c r="ADQ96" i="463" s="1"/>
  <c r="ADQ94" i="463"/>
  <c r="ACK94" i="463"/>
  <c r="ACK97" i="463" l="1"/>
  <c r="ACK98" i="463" s="1"/>
  <c r="ADQ97" i="463"/>
  <c r="ADQ98" i="463" s="1"/>
  <c r="XP64" i="463"/>
  <c r="XP42" i="463"/>
  <c r="XO62" i="463" l="1"/>
  <c r="XO58" i="463"/>
  <c r="XO44" i="463"/>
  <c r="XJ66" i="463" l="1"/>
  <c r="XN58" i="463"/>
  <c r="XN56" i="463"/>
  <c r="XN54" i="463"/>
  <c r="XN42" i="463"/>
  <c r="XM58" i="463" l="1"/>
  <c r="XM42" i="463"/>
  <c r="XK46" i="463"/>
  <c r="XK42" i="463"/>
  <c r="XJ60" i="463" l="1"/>
  <c r="XJ48" i="463"/>
  <c r="XI46" i="463" l="1"/>
  <c r="XI42" i="463"/>
  <c r="XH64" i="463" l="1"/>
  <c r="XH58" i="463"/>
  <c r="XH46" i="463"/>
  <c r="XH42" i="463"/>
  <c r="XF62" i="463" l="1"/>
  <c r="XF50" i="463"/>
  <c r="XF46" i="463"/>
  <c r="XF42" i="463"/>
  <c r="XE64" i="463" l="1"/>
  <c r="XE42" i="463"/>
  <c r="XC58" i="463"/>
  <c r="XC44" i="463"/>
  <c r="XB46" i="463" l="1"/>
  <c r="XB44" i="463"/>
  <c r="XB42" i="463"/>
  <c r="XA64" i="463" l="1"/>
  <c r="XA58" i="463"/>
  <c r="WZ62" i="463" l="1"/>
  <c r="WZ60" i="463"/>
  <c r="WZ54" i="463"/>
  <c r="WZ50" i="463"/>
  <c r="WZ46" i="463"/>
  <c r="WV60" i="463" l="1"/>
  <c r="WU60" i="463"/>
  <c r="WU58" i="463"/>
  <c r="WU48" i="463"/>
  <c r="WU46" i="463"/>
  <c r="WU42" i="463"/>
  <c r="WT60" i="463" l="1"/>
  <c r="WT58" i="463"/>
  <c r="WT44" i="463"/>
  <c r="WS66" i="463" l="1"/>
  <c r="WS60" i="463"/>
  <c r="WS50" i="463"/>
  <c r="WS48" i="463"/>
  <c r="WS46" i="463"/>
  <c r="WR48" i="463" l="1"/>
  <c r="WR50" i="463"/>
  <c r="WR44" i="463"/>
  <c r="WR42" i="463"/>
  <c r="WN82" i="463" l="1"/>
  <c r="WQ64" i="463" l="1"/>
  <c r="WQ58" i="463"/>
  <c r="WQ56" i="463"/>
  <c r="WQ46" i="463"/>
  <c r="WP64" i="463"/>
  <c r="WP62" i="463"/>
  <c r="WO60" i="463" l="1"/>
  <c r="WO46" i="463"/>
  <c r="WV100" i="463" l="1"/>
  <c r="WV97" i="463"/>
  <c r="WN56" i="463"/>
  <c r="WN54" i="463"/>
  <c r="WN48" i="463"/>
  <c r="WM64" i="463" l="1"/>
  <c r="WM58" i="463"/>
  <c r="WM50" i="463"/>
  <c r="WM48" i="463"/>
  <c r="WM46" i="463"/>
  <c r="WL58" i="463" l="1"/>
  <c r="WL48" i="463"/>
  <c r="WL42" i="463"/>
  <c r="WK62" i="463" l="1"/>
  <c r="WK60" i="463"/>
  <c r="WK46" i="463"/>
  <c r="WJ54" i="463" l="1"/>
  <c r="WJ64" i="463" l="1"/>
  <c r="WJ58" i="463"/>
  <c r="WJ50" i="463"/>
  <c r="WH42" i="463" l="1"/>
  <c r="WG64" i="463" l="1"/>
  <c r="WF60" i="463" l="1"/>
  <c r="WF56" i="463"/>
  <c r="WF54" i="463"/>
  <c r="WF42" i="463"/>
  <c r="WE62" i="463" l="1"/>
  <c r="WC52" i="463"/>
  <c r="J528" i="461" l="1"/>
  <c r="J527" i="461"/>
  <c r="WC54" i="463" l="1"/>
  <c r="WC64" i="463"/>
  <c r="WC58" i="463"/>
  <c r="VZ42" i="463" l="1"/>
  <c r="VZ64" i="463"/>
  <c r="J521" i="461" l="1"/>
  <c r="J522" i="461"/>
  <c r="J523" i="461"/>
  <c r="J524" i="461"/>
  <c r="J525" i="461"/>
  <c r="J520" i="461"/>
  <c r="VY54" i="463" l="1"/>
  <c r="VX64" i="463"/>
  <c r="VX60" i="463"/>
  <c r="VX54" i="463"/>
  <c r="VX44" i="463"/>
  <c r="J507" i="461" l="1"/>
  <c r="J508" i="461"/>
  <c r="J509" i="461"/>
  <c r="J510" i="461"/>
  <c r="J511" i="461"/>
  <c r="J512" i="461"/>
  <c r="J513" i="461"/>
  <c r="J514" i="461"/>
  <c r="J515" i="461"/>
  <c r="J516" i="461"/>
  <c r="J517" i="461"/>
  <c r="J518" i="461"/>
  <c r="J497" i="461" l="1"/>
  <c r="J498" i="461"/>
  <c r="J499" i="461"/>
  <c r="J500" i="461"/>
  <c r="J501" i="461"/>
  <c r="J502" i="461"/>
  <c r="J503" i="461"/>
  <c r="J504" i="461"/>
  <c r="J505" i="461"/>
  <c r="J506" i="461"/>
  <c r="J496" i="461"/>
  <c r="VW56" i="463" l="1"/>
  <c r="VW54" i="463"/>
  <c r="VV60" i="463" l="1"/>
  <c r="VV58" i="463"/>
  <c r="J494" i="461" l="1"/>
  <c r="VU58" i="463" l="1"/>
  <c r="VU54" i="463"/>
  <c r="VU42" i="463"/>
  <c r="VS64" i="463"/>
  <c r="VS48" i="463"/>
  <c r="VR46" i="463" l="1"/>
  <c r="VQ54" i="463" l="1"/>
  <c r="VP54" i="463" l="1"/>
  <c r="VP48" i="463"/>
  <c r="VP44" i="463"/>
  <c r="VO64" i="463" l="1"/>
  <c r="VO56" i="463"/>
  <c r="VO48" i="463"/>
  <c r="VN64" i="463" l="1"/>
  <c r="VN50" i="463"/>
  <c r="VN48" i="463"/>
  <c r="VN42" i="463"/>
  <c r="VL64" i="463"/>
  <c r="VL60" i="463"/>
  <c r="VL48" i="463"/>
  <c r="J487" i="461" l="1"/>
  <c r="J488" i="461"/>
  <c r="J489" i="461"/>
  <c r="J490" i="461"/>
  <c r="J491" i="461"/>
  <c r="J492" i="461"/>
  <c r="J493" i="461"/>
  <c r="J486" i="461"/>
  <c r="J476" i="461" l="1"/>
  <c r="J477" i="461"/>
  <c r="J478" i="461"/>
  <c r="J479" i="461"/>
  <c r="J480" i="461"/>
  <c r="J481" i="461"/>
  <c r="J482" i="461"/>
  <c r="J483" i="461"/>
  <c r="J484" i="461"/>
  <c r="J475" i="461"/>
  <c r="VK64" i="463" l="1"/>
  <c r="VK42" i="463"/>
  <c r="VJ42" i="463" l="1"/>
  <c r="VH62" i="463" l="1"/>
  <c r="VI62" i="463"/>
  <c r="VI60" i="463"/>
  <c r="E412" i="461" l="1"/>
  <c r="J471" i="461" l="1"/>
  <c r="J472" i="461"/>
  <c r="J473" i="461"/>
  <c r="VH64" i="463" l="1"/>
  <c r="VH52" i="463"/>
  <c r="VH48" i="463"/>
  <c r="VH44" i="463"/>
  <c r="VG64" i="463"/>
  <c r="VG62" i="463"/>
  <c r="VG56" i="463"/>
  <c r="VE52" i="463"/>
  <c r="VE48" i="463"/>
  <c r="VE42" i="463"/>
  <c r="VD64" i="463" l="1"/>
  <c r="VD52" i="463"/>
  <c r="VD44" i="463"/>
  <c r="J465" i="461" l="1"/>
  <c r="J466" i="461"/>
  <c r="J467" i="461"/>
  <c r="J468" i="461"/>
  <c r="J469" i="461"/>
  <c r="J470" i="461"/>
  <c r="J441" i="461" l="1"/>
  <c r="J442" i="461"/>
  <c r="J443" i="461"/>
  <c r="J444" i="461"/>
  <c r="J445" i="461"/>
  <c r="J446" i="461"/>
  <c r="J447" i="461"/>
  <c r="J448" i="461"/>
  <c r="J449" i="461"/>
  <c r="J450" i="461"/>
  <c r="J451" i="461"/>
  <c r="J452" i="461"/>
  <c r="J453" i="461"/>
  <c r="J454" i="461"/>
  <c r="J455" i="461"/>
  <c r="J456" i="461"/>
  <c r="J457" i="461"/>
  <c r="J458" i="461"/>
  <c r="J459" i="461"/>
  <c r="J460" i="461"/>
  <c r="J461" i="461"/>
  <c r="J462" i="461"/>
  <c r="J463" i="461"/>
  <c r="J464" i="461"/>
  <c r="J440" i="461"/>
  <c r="VC60" i="463" l="1"/>
  <c r="VC48" i="463"/>
  <c r="VC42" i="463"/>
  <c r="J414" i="461" l="1"/>
  <c r="J415" i="461"/>
  <c r="J416" i="461"/>
  <c r="J417" i="461"/>
  <c r="J418" i="461"/>
  <c r="J419" i="461"/>
  <c r="J420" i="461"/>
  <c r="J421" i="461"/>
  <c r="J422" i="461"/>
  <c r="J423" i="461"/>
  <c r="J424" i="461"/>
  <c r="J425" i="461"/>
  <c r="J426" i="461"/>
  <c r="J427" i="461"/>
  <c r="J428" i="461"/>
  <c r="J429" i="461"/>
  <c r="J430" i="461"/>
  <c r="J431" i="461"/>
  <c r="J432" i="461"/>
  <c r="J433" i="461"/>
  <c r="J434" i="461"/>
  <c r="J435" i="461"/>
  <c r="J436" i="461"/>
  <c r="J437" i="461"/>
  <c r="J438" i="461"/>
  <c r="J413" i="461"/>
  <c r="J407" i="461"/>
  <c r="J408" i="461"/>
  <c r="J409" i="461"/>
  <c r="J410" i="461"/>
  <c r="J411" i="461"/>
  <c r="J406" i="461"/>
  <c r="VB48" i="463" l="1"/>
  <c r="VB44" i="463"/>
  <c r="VB42" i="463"/>
  <c r="VB62" i="463"/>
  <c r="VB60" i="463"/>
  <c r="VB56" i="463"/>
  <c r="VA62" i="463" l="1"/>
  <c r="VA60" i="463"/>
  <c r="VA50" i="463"/>
  <c r="VA48" i="463"/>
  <c r="VA46" i="463"/>
  <c r="UZ42" i="463"/>
  <c r="UZ56" i="463"/>
  <c r="UZ52" i="463"/>
  <c r="UZ50" i="463"/>
  <c r="UZ48" i="463"/>
  <c r="UZ46" i="463"/>
  <c r="UZ44" i="463"/>
  <c r="UW64" i="463" l="1"/>
  <c r="UW62" i="463"/>
  <c r="UW50" i="463"/>
  <c r="UW46" i="463"/>
  <c r="UW44" i="463"/>
  <c r="UV56" i="463" l="1"/>
  <c r="UV52" i="463"/>
  <c r="UV44" i="463"/>
  <c r="UU62" i="463"/>
  <c r="UU48" i="463"/>
  <c r="UU44" i="463"/>
  <c r="UT46" i="463" l="1"/>
  <c r="J400" i="461"/>
  <c r="J401" i="461"/>
  <c r="J402" i="461"/>
  <c r="J403" i="461"/>
  <c r="J404" i="461"/>
  <c r="US64" i="463" l="1"/>
  <c r="US62" i="463"/>
  <c r="US60" i="463"/>
  <c r="US52" i="463"/>
  <c r="US44" i="463"/>
  <c r="UR56" i="463" l="1"/>
  <c r="UR48" i="463"/>
  <c r="UP64" i="463"/>
  <c r="UP62" i="463"/>
  <c r="UP60" i="463"/>
  <c r="UP56" i="463"/>
  <c r="UP50" i="463"/>
  <c r="UP46" i="463"/>
  <c r="VR96" i="463" l="1"/>
  <c r="VR97" i="463"/>
  <c r="VR102" i="463" l="1"/>
  <c r="J399" i="461"/>
  <c r="UN62" i="463" l="1"/>
  <c r="UN60" i="463"/>
  <c r="UN48" i="463"/>
  <c r="UN46" i="463"/>
  <c r="UN44" i="463"/>
  <c r="UN42" i="463"/>
  <c r="WX97" i="463" l="1"/>
  <c r="WX96" i="463"/>
  <c r="UM64" i="463" l="1"/>
  <c r="UM52" i="463"/>
  <c r="UM42" i="463"/>
  <c r="J398" i="461" l="1"/>
  <c r="J397" i="461"/>
  <c r="J396" i="461"/>
  <c r="J395" i="461"/>
  <c r="J394" i="461"/>
  <c r="J393" i="461"/>
  <c r="J392" i="461"/>
  <c r="J390" i="461"/>
  <c r="J391" i="461"/>
  <c r="J389" i="461" l="1"/>
  <c r="UL56" i="463" l="1"/>
  <c r="UL54" i="463"/>
  <c r="UK64" i="463"/>
  <c r="UK62" i="463"/>
  <c r="UK46" i="463"/>
  <c r="UG62" i="463"/>
  <c r="UG60" i="463"/>
  <c r="UG48" i="463"/>
  <c r="J383" i="461" l="1"/>
  <c r="J384" i="461"/>
  <c r="J385" i="461"/>
  <c r="J386" i="461"/>
  <c r="J387" i="461"/>
  <c r="J388" i="461"/>
  <c r="J380" i="461" l="1"/>
  <c r="J381" i="461"/>
  <c r="J382" i="461"/>
  <c r="UF64" i="463" l="1"/>
  <c r="UF62" i="463"/>
  <c r="UE64" i="463" l="1"/>
  <c r="UE62" i="463"/>
  <c r="UE50" i="463"/>
  <c r="WN94" i="463" l="1"/>
  <c r="WN93" i="463"/>
  <c r="UD62" i="463" l="1"/>
  <c r="UD50" i="463"/>
  <c r="UD48" i="463"/>
  <c r="UD46" i="463" l="1"/>
  <c r="VD95" i="463" l="1"/>
  <c r="UC62" i="463" l="1"/>
  <c r="UC56" i="463"/>
  <c r="UC52" i="463"/>
  <c r="UB64" i="463" l="1"/>
  <c r="UB60" i="463"/>
  <c r="UB54" i="463"/>
  <c r="UB44" i="463"/>
  <c r="UB42" i="463"/>
  <c r="WD101" i="463" l="1"/>
  <c r="UA56" i="463" l="1"/>
  <c r="UA52" i="463"/>
  <c r="UA46" i="463"/>
  <c r="UA42" i="463"/>
  <c r="TZ62" i="463" l="1"/>
  <c r="TZ50" i="463"/>
  <c r="TZ48" i="463"/>
  <c r="TY62" i="463" l="1"/>
  <c r="TY50" i="463"/>
  <c r="TY48" i="463"/>
  <c r="TY46" i="463"/>
  <c r="TY44" i="463"/>
  <c r="TY42" i="463"/>
  <c r="TX62" i="463" l="1"/>
  <c r="TX48" i="463"/>
  <c r="TX42" i="463"/>
  <c r="J374" i="461" l="1"/>
  <c r="J375" i="461"/>
  <c r="J376" i="461"/>
  <c r="J377" i="461"/>
  <c r="J378" i="461"/>
  <c r="J379" i="461"/>
  <c r="TW50" i="463" l="1"/>
  <c r="TW46" i="463"/>
  <c r="TU64" i="463" l="1"/>
  <c r="TU58" i="463"/>
  <c r="TU48" i="463"/>
  <c r="TU44" i="463"/>
  <c r="TU42" i="463"/>
  <c r="TT64" i="463" l="1"/>
  <c r="TT62" i="463"/>
  <c r="TT54" i="463"/>
  <c r="TT48" i="463"/>
  <c r="TS44" i="463" l="1"/>
  <c r="TS42" i="463"/>
  <c r="TQ44" i="463" l="1"/>
  <c r="TP64" i="463" l="1"/>
  <c r="TP50" i="463"/>
  <c r="TP44" i="463"/>
  <c r="TO64" i="463" l="1"/>
  <c r="TO62" i="463"/>
  <c r="TO48" i="463" l="1"/>
  <c r="TO44" i="463"/>
  <c r="TM64" i="463" l="1"/>
  <c r="TM58" i="463"/>
  <c r="TM52" i="463"/>
  <c r="WH94" i="463" l="1"/>
  <c r="WF92" i="463" l="1"/>
  <c r="WH92" i="463" s="1"/>
  <c r="WF91" i="463"/>
  <c r="WH91" i="463" s="1"/>
  <c r="TL62" i="463" l="1"/>
  <c r="TL60" i="463"/>
  <c r="TL48" i="463"/>
  <c r="TL42" i="463"/>
  <c r="J373" i="461" l="1"/>
  <c r="J372" i="461"/>
  <c r="WK92" i="463" l="1"/>
  <c r="WK91" i="463"/>
  <c r="WK93" i="463" l="1"/>
  <c r="J360" i="461"/>
  <c r="J361" i="461"/>
  <c r="J362" i="461"/>
  <c r="J363" i="461"/>
  <c r="J364" i="461"/>
  <c r="J365" i="461"/>
  <c r="J366" i="461"/>
  <c r="J367" i="461"/>
  <c r="J368" i="461"/>
  <c r="J369" i="461"/>
  <c r="J370" i="461"/>
  <c r="J371" i="461"/>
  <c r="TK60" i="463" l="1"/>
  <c r="TK46" i="463"/>
  <c r="ABN102" i="463" l="1"/>
  <c r="ABM102" i="463"/>
  <c r="ABF94" i="463" s="1"/>
  <c r="ABF97" i="463" s="1"/>
  <c r="ABF98" i="463" s="1"/>
  <c r="AAH102" i="463"/>
  <c r="AAG102" i="463"/>
  <c r="ZZ94" i="463" s="1"/>
  <c r="ZZ97" i="463" s="1"/>
  <c r="ZZ98" i="463" s="1"/>
  <c r="ZC102" i="463"/>
  <c r="ZB102" i="463"/>
  <c r="YU94" i="463" s="1"/>
  <c r="YU97" i="463" s="1"/>
  <c r="YU98" i="463" s="1"/>
  <c r="XW102" i="463"/>
  <c r="XV102" i="463"/>
  <c r="XO94" i="463" s="1"/>
  <c r="XO97" i="463" s="1"/>
  <c r="XO98" i="463" s="1"/>
  <c r="TJ62" i="463" l="1"/>
  <c r="TJ60" i="463"/>
  <c r="TJ58" i="463"/>
  <c r="TJ50" i="463"/>
  <c r="TJ48" i="463"/>
  <c r="TI64" i="463" l="1"/>
  <c r="TI62" i="463"/>
  <c r="TI58" i="463"/>
  <c r="TI52" i="463"/>
  <c r="TI44" i="463"/>
  <c r="J359" i="461"/>
  <c r="J356" i="461"/>
  <c r="J357" i="461"/>
  <c r="J358" i="461"/>
  <c r="TF58" i="463" l="1"/>
  <c r="TF52" i="463"/>
  <c r="TF50" i="463"/>
  <c r="TF42" i="463"/>
  <c r="TE50" i="463" l="1"/>
  <c r="TE46" i="463"/>
  <c r="TE42" i="463"/>
  <c r="J355" i="461" l="1"/>
  <c r="J354" i="461"/>
  <c r="J353" i="461"/>
  <c r="J352" i="461" l="1"/>
  <c r="J351" i="461"/>
  <c r="J344" i="461" l="1"/>
  <c r="J345" i="461"/>
  <c r="J346" i="461"/>
  <c r="J347" i="461"/>
  <c r="J348" i="461"/>
  <c r="J349" i="461"/>
  <c r="J350" i="461"/>
  <c r="J343" i="461"/>
  <c r="J341" i="461"/>
  <c r="J342" i="461"/>
  <c r="J340" i="461"/>
  <c r="TD58" i="463" l="1"/>
  <c r="TD52" i="463"/>
  <c r="TD42" i="463"/>
  <c r="TC70" i="463" l="1"/>
  <c r="TC60" i="463"/>
  <c r="TC50" i="463"/>
  <c r="TC48" i="463"/>
  <c r="SY64" i="463" l="1"/>
  <c r="TA56" i="463"/>
  <c r="TA52" i="463"/>
  <c r="TB60" i="463"/>
  <c r="TB58" i="463"/>
  <c r="TB54" i="463"/>
  <c r="TB44" i="463"/>
  <c r="TA64" i="463" l="1"/>
  <c r="TA62" i="463"/>
  <c r="TA60" i="463"/>
  <c r="TA58" i="463"/>
  <c r="TA48" i="463"/>
  <c r="SY60" i="463" l="1"/>
  <c r="SY58" i="463"/>
  <c r="SY44" i="463"/>
  <c r="SW58" i="463" l="1"/>
  <c r="SW56" i="463"/>
  <c r="SW48" i="463"/>
  <c r="SW42" i="463"/>
  <c r="SX64" i="463"/>
  <c r="SX60" i="463"/>
  <c r="SX58" i="463"/>
  <c r="SX52" i="463"/>
  <c r="SX44" i="463" l="1"/>
  <c r="SU60" i="463" l="1"/>
  <c r="SU58" i="463"/>
  <c r="SU48" i="463"/>
  <c r="J336" i="461" l="1"/>
  <c r="J337" i="461"/>
  <c r="J338" i="461"/>
  <c r="J339" i="461"/>
  <c r="SR52" i="463" l="1"/>
  <c r="ST64" i="463"/>
  <c r="ST62" i="463"/>
  <c r="ST58" i="463"/>
  <c r="ST48" i="463"/>
  <c r="ST42" i="463"/>
  <c r="SS62" i="463"/>
  <c r="SS60" i="463"/>
  <c r="SS58" i="463"/>
  <c r="SS56" i="463"/>
  <c r="SS48" i="463" l="1"/>
  <c r="SS42" i="463"/>
  <c r="SR60" i="463" l="1"/>
  <c r="SR42" i="463"/>
  <c r="J335" i="461" l="1"/>
  <c r="J334" i="461"/>
  <c r="SQ60" i="463" l="1"/>
  <c r="SQ58" i="463"/>
  <c r="SQ48" i="463"/>
  <c r="SP60" i="463" l="1"/>
  <c r="SP56" i="463"/>
  <c r="SP42" i="463"/>
  <c r="SO60" i="463"/>
  <c r="SO58" i="463"/>
  <c r="SO48" i="463"/>
  <c r="SN64" i="463"/>
  <c r="SN62" i="463"/>
  <c r="SN60" i="463"/>
  <c r="SN58" i="463"/>
  <c r="SN48" i="463"/>
  <c r="SN44" i="463"/>
  <c r="J333" i="461" l="1"/>
  <c r="SL62" i="463" l="1"/>
  <c r="SL60" i="463"/>
  <c r="SJ60" i="463"/>
  <c r="SI42" i="463"/>
  <c r="SI58" i="463"/>
  <c r="SI48" i="463"/>
  <c r="SI44" i="463"/>
  <c r="SH60" i="463"/>
  <c r="SH58" i="463"/>
  <c r="SG60" i="463"/>
  <c r="SG58" i="463"/>
  <c r="SG52" i="463"/>
  <c r="SG48" i="463"/>
  <c r="SF60" i="463"/>
  <c r="SF48" i="463"/>
  <c r="J315" i="461" l="1"/>
  <c r="J316" i="461"/>
  <c r="J317" i="461"/>
  <c r="J318" i="461"/>
  <c r="J319" i="461"/>
  <c r="J320" i="461"/>
  <c r="J321" i="461"/>
  <c r="J322" i="461"/>
  <c r="J323" i="461"/>
  <c r="J324" i="461"/>
  <c r="J325" i="461"/>
  <c r="J326" i="461"/>
  <c r="J327" i="461"/>
  <c r="J328" i="461"/>
  <c r="J329" i="461"/>
  <c r="J330" i="461"/>
  <c r="J331" i="461"/>
  <c r="J332" i="461"/>
  <c r="J314" i="461"/>
  <c r="SE58" i="463" l="1"/>
  <c r="SE48" i="463"/>
  <c r="SE46" i="463"/>
  <c r="SE44" i="463"/>
  <c r="SC62" i="463"/>
  <c r="SC60" i="463"/>
  <c r="SC58" i="463"/>
  <c r="SC48" i="463"/>
  <c r="SC44" i="463"/>
  <c r="SC42" i="463"/>
  <c r="J313" i="461" l="1"/>
  <c r="J294" i="461" l="1"/>
  <c r="J295" i="461"/>
  <c r="J296" i="461"/>
  <c r="J297" i="461"/>
  <c r="J298" i="461"/>
  <c r="J299" i="461"/>
  <c r="J300" i="461"/>
  <c r="J301" i="461"/>
  <c r="J302" i="461"/>
  <c r="J303" i="461"/>
  <c r="J304" i="461"/>
  <c r="J305" i="461"/>
  <c r="J306" i="461"/>
  <c r="J307" i="461"/>
  <c r="J308" i="461"/>
  <c r="J309" i="461"/>
  <c r="J310" i="461"/>
  <c r="J311" i="461"/>
  <c r="J312" i="461"/>
  <c r="J293" i="461"/>
  <c r="SB62" i="463" l="1"/>
  <c r="SB60" i="463"/>
  <c r="SB48" i="463"/>
  <c r="SB42" i="463"/>
  <c r="SA60" i="463" l="1"/>
  <c r="SA58" i="463"/>
  <c r="SA56" i="463"/>
  <c r="SA42" i="463"/>
  <c r="RZ58" i="463" l="1"/>
  <c r="J292" i="461" l="1"/>
  <c r="J291" i="461"/>
  <c r="RY64" i="463" l="1"/>
  <c r="RY60" i="463"/>
  <c r="RY42" i="463"/>
  <c r="RX64" i="463" l="1"/>
  <c r="RX58" i="463"/>
  <c r="RX56" i="463"/>
  <c r="RX48" i="463"/>
  <c r="RV62" i="463"/>
  <c r="RV58" i="463"/>
  <c r="RV44" i="463"/>
  <c r="RU58" i="463" l="1"/>
  <c r="RT64" i="463" l="1"/>
  <c r="RT58" i="463"/>
  <c r="RT42" i="463"/>
  <c r="RS58" i="463" l="1"/>
  <c r="RS48" i="463"/>
  <c r="RR60" i="463" l="1"/>
  <c r="RR42" i="463"/>
  <c r="J284" i="461" l="1"/>
  <c r="J285" i="461"/>
  <c r="J286" i="461"/>
  <c r="J287" i="461"/>
  <c r="J288" i="461"/>
  <c r="J289" i="461"/>
  <c r="J290" i="461"/>
  <c r="RP48" i="463" l="1"/>
  <c r="RN60" i="463" l="1"/>
  <c r="RN42" i="463"/>
  <c r="VE86" i="463" l="1"/>
  <c r="VE85" i="463"/>
  <c r="RM56" i="463" l="1"/>
  <c r="RM48" i="463"/>
  <c r="RL60" i="463" l="1"/>
  <c r="RL56" i="463"/>
  <c r="RL42" i="463"/>
  <c r="RK48" i="463"/>
  <c r="J276" i="461" l="1"/>
  <c r="J277" i="461"/>
  <c r="J278" i="461"/>
  <c r="J279" i="461"/>
  <c r="J280" i="461"/>
  <c r="J281" i="461"/>
  <c r="J282" i="461"/>
  <c r="J283" i="461"/>
  <c r="RJ46" i="463" l="1"/>
  <c r="RH62" i="463"/>
  <c r="RH60" i="463"/>
  <c r="RH58" i="463"/>
  <c r="RF60" i="463" l="1"/>
  <c r="RE64" i="463" l="1"/>
  <c r="RD60" i="463" l="1"/>
  <c r="RD58" i="463"/>
  <c r="RD54" i="463"/>
  <c r="RC62" i="463" l="1"/>
  <c r="RC60" i="463"/>
  <c r="RC48" i="463"/>
  <c r="RB64" i="463"/>
  <c r="RB48" i="463"/>
  <c r="QZ48" i="463" l="1"/>
  <c r="J275" i="461" l="1"/>
  <c r="J274" i="461"/>
  <c r="J273" i="461"/>
  <c r="QY62" i="463" l="1"/>
  <c r="QY58" i="463"/>
  <c r="QY50" i="463"/>
  <c r="QX58" i="463" l="1"/>
  <c r="QW50" i="463" l="1"/>
  <c r="QV64" i="463"/>
  <c r="QV62" i="463"/>
  <c r="QV52" i="463"/>
  <c r="QV42" i="463"/>
  <c r="J243" i="461" l="1"/>
  <c r="J244" i="461"/>
  <c r="J245" i="461"/>
  <c r="J246" i="461"/>
  <c r="J247" i="461"/>
  <c r="J248" i="461"/>
  <c r="J249" i="461"/>
  <c r="J250" i="461"/>
  <c r="J251" i="461"/>
  <c r="J252" i="461"/>
  <c r="J253" i="461"/>
  <c r="J254" i="461"/>
  <c r="J255" i="461"/>
  <c r="J256" i="461"/>
  <c r="J257" i="461"/>
  <c r="J258" i="461"/>
  <c r="J259" i="461"/>
  <c r="J260" i="461"/>
  <c r="J261" i="461"/>
  <c r="J262" i="461"/>
  <c r="J263" i="461"/>
  <c r="J264" i="461"/>
  <c r="J265" i="461"/>
  <c r="J266" i="461"/>
  <c r="J267" i="461"/>
  <c r="J268" i="461"/>
  <c r="J269" i="461"/>
  <c r="J270" i="461"/>
  <c r="J271" i="461"/>
  <c r="J272" i="461"/>
  <c r="J242" i="461"/>
  <c r="QU62" i="463" l="1"/>
  <c r="QU56" i="463"/>
  <c r="QU52" i="463"/>
  <c r="QU44" i="463" l="1"/>
  <c r="QS46" i="463"/>
  <c r="QS44" i="463"/>
  <c r="QQ62" i="463" l="1"/>
  <c r="QO56" i="463" l="1"/>
  <c r="QO44" i="463"/>
  <c r="QN56" i="463" l="1"/>
  <c r="J240" i="461" l="1"/>
  <c r="J241" i="461"/>
  <c r="J236" i="461" l="1"/>
  <c r="J237" i="461"/>
  <c r="J238" i="461"/>
  <c r="J239" i="461"/>
  <c r="QM64" i="463" l="1"/>
  <c r="QL42" i="463" l="1"/>
  <c r="QJ62" i="463" l="1"/>
  <c r="QJ42" i="463"/>
  <c r="J234" i="461" l="1"/>
  <c r="J235" i="461"/>
  <c r="QI64" i="463" l="1"/>
  <c r="QI42" i="463"/>
  <c r="QH64" i="463" l="1"/>
  <c r="QH42" i="463"/>
  <c r="QH44" i="463" l="1"/>
  <c r="QG42" i="463"/>
  <c r="J232" i="461" l="1"/>
  <c r="J233" i="461"/>
  <c r="QE62" i="463" l="1"/>
  <c r="QE58" i="463"/>
  <c r="QE44" i="463"/>
  <c r="QE42" i="463"/>
  <c r="QD42" i="463" l="1"/>
  <c r="QC60" i="463" l="1"/>
  <c r="QC58" i="463"/>
  <c r="QC56" i="463"/>
  <c r="QC44" i="463"/>
  <c r="QC42" i="463"/>
  <c r="J227" i="461" l="1"/>
  <c r="J228" i="461"/>
  <c r="J229" i="461"/>
  <c r="J230" i="461"/>
  <c r="J231" i="461"/>
  <c r="J226" i="461" l="1"/>
  <c r="PW69" i="463" l="1"/>
  <c r="PZ64" i="463"/>
  <c r="PZ58" i="463"/>
  <c r="PZ42" i="463"/>
  <c r="PY58" i="463" l="1"/>
  <c r="PY48" i="463"/>
  <c r="PY42" i="463"/>
  <c r="PW62" i="463"/>
  <c r="J221" i="461"/>
  <c r="J222" i="461"/>
  <c r="J223" i="461"/>
  <c r="J224" i="461"/>
  <c r="J225" i="461"/>
  <c r="PV62" i="463" l="1"/>
  <c r="YB105" i="463" l="1"/>
  <c r="YA105" i="463"/>
  <c r="XZ105" i="463"/>
  <c r="XY105" i="463"/>
  <c r="XX105" i="463"/>
  <c r="XW105" i="463"/>
  <c r="XV105" i="463"/>
  <c r="WZ105" i="463"/>
  <c r="WY105" i="463"/>
  <c r="WX105" i="463"/>
  <c r="WW105" i="463"/>
  <c r="WV105" i="463"/>
  <c r="WU105" i="463"/>
  <c r="WT105" i="463"/>
  <c r="VU105" i="463"/>
  <c r="VT105" i="463"/>
  <c r="VS105" i="463"/>
  <c r="VR105" i="463"/>
  <c r="VQ105" i="463"/>
  <c r="VP105" i="463"/>
  <c r="VO105" i="463"/>
  <c r="UQ104" i="463"/>
  <c r="UP104" i="463"/>
  <c r="UO104" i="463"/>
  <c r="UN104" i="463"/>
  <c r="UM104" i="463"/>
  <c r="UL104" i="463"/>
  <c r="UK104" i="463"/>
  <c r="TJ105" i="463"/>
  <c r="TI105" i="463"/>
  <c r="TH105" i="463"/>
  <c r="TG105" i="463"/>
  <c r="TF105" i="463"/>
  <c r="TE105" i="463"/>
  <c r="TD105" i="463"/>
  <c r="SE105" i="463"/>
  <c r="SD105" i="463"/>
  <c r="SC105" i="463"/>
  <c r="SB105" i="463"/>
  <c r="SA105" i="463"/>
  <c r="RZ105" i="463"/>
  <c r="RY105" i="463"/>
  <c r="RA105" i="463"/>
  <c r="QZ105" i="463"/>
  <c r="QY105" i="463"/>
  <c r="QX105" i="463"/>
  <c r="QW105" i="463"/>
  <c r="QV105" i="463"/>
  <c r="QU105" i="463"/>
  <c r="J219" i="461" l="1"/>
  <c r="J220" i="461"/>
  <c r="PT60" i="463" l="1"/>
  <c r="J218" i="461" l="1"/>
  <c r="J214" i="461" l="1"/>
  <c r="J215" i="461"/>
  <c r="J216" i="461"/>
  <c r="J217" i="461"/>
  <c r="J213" i="461"/>
  <c r="PS58" i="463" l="1"/>
  <c r="PS56" i="463"/>
  <c r="PS48" i="463"/>
  <c r="J211" i="461" l="1"/>
  <c r="J212" i="461"/>
  <c r="PR64" i="463" l="1"/>
  <c r="PP64" i="463" l="1"/>
  <c r="J197" i="461" l="1"/>
  <c r="J198" i="461"/>
  <c r="J199" i="461"/>
  <c r="J200" i="461"/>
  <c r="J201" i="461"/>
  <c r="J202" i="461"/>
  <c r="J203" i="461"/>
  <c r="J204" i="461"/>
  <c r="J205" i="461"/>
  <c r="J206" i="461"/>
  <c r="J207" i="461"/>
  <c r="J208" i="461"/>
  <c r="J209" i="461"/>
  <c r="J210" i="461"/>
  <c r="J196" i="461"/>
  <c r="J165" i="461" l="1"/>
  <c r="J166" i="461"/>
  <c r="J167" i="461"/>
  <c r="J168" i="461"/>
  <c r="J169" i="461"/>
  <c r="J170" i="461"/>
  <c r="J171" i="461"/>
  <c r="J172" i="461"/>
  <c r="J173" i="461"/>
  <c r="J174" i="461"/>
  <c r="J175" i="461"/>
  <c r="J176" i="461"/>
  <c r="J177" i="461"/>
  <c r="J178" i="461"/>
  <c r="J179" i="461"/>
  <c r="J180" i="461"/>
  <c r="J181" i="461"/>
  <c r="J182" i="461"/>
  <c r="J183" i="461"/>
  <c r="J184" i="461"/>
  <c r="J185" i="461"/>
  <c r="J186" i="461"/>
  <c r="J187" i="461"/>
  <c r="J188" i="461"/>
  <c r="J189" i="461"/>
  <c r="J190" i="461"/>
  <c r="J191" i="461"/>
  <c r="J192" i="461"/>
  <c r="J193" i="461"/>
  <c r="J194" i="461"/>
  <c r="J195" i="461"/>
  <c r="J164" i="461" l="1"/>
  <c r="J153" i="461" l="1"/>
  <c r="J154" i="461"/>
  <c r="J155" i="461"/>
  <c r="J156" i="461"/>
  <c r="J157" i="461"/>
  <c r="J158" i="461"/>
  <c r="J159" i="461"/>
  <c r="J160" i="461"/>
  <c r="J161" i="461"/>
  <c r="J162" i="461"/>
  <c r="J163" i="461"/>
  <c r="J119" i="461"/>
  <c r="J120" i="461"/>
  <c r="J121" i="461"/>
  <c r="J122" i="461"/>
  <c r="J123" i="461"/>
  <c r="J124" i="461"/>
  <c r="J125" i="461"/>
  <c r="J126" i="461"/>
  <c r="J127" i="461"/>
  <c r="J128" i="461"/>
  <c r="J129" i="461"/>
  <c r="J130" i="461"/>
  <c r="J131" i="461"/>
  <c r="J132" i="461"/>
  <c r="J133" i="461"/>
  <c r="J134" i="461"/>
  <c r="J135" i="461"/>
  <c r="J136" i="461"/>
  <c r="J137" i="461"/>
  <c r="J138" i="461"/>
  <c r="J139" i="461"/>
  <c r="J140" i="461"/>
  <c r="J141" i="461"/>
  <c r="J142" i="461"/>
  <c r="J143" i="461"/>
  <c r="J144" i="461"/>
  <c r="J145" i="461"/>
  <c r="J146" i="461"/>
  <c r="J147" i="461"/>
  <c r="J148" i="461"/>
  <c r="J149" i="461"/>
  <c r="J150" i="461"/>
  <c r="J151" i="461"/>
  <c r="J152" i="461"/>
  <c r="PO60" i="463" l="1"/>
  <c r="PN60" i="463"/>
  <c r="PN56" i="463"/>
  <c r="PN48" i="463"/>
  <c r="PM60" i="463" l="1"/>
  <c r="PM56" i="463"/>
  <c r="PM54" i="463"/>
  <c r="PI60" i="463" l="1"/>
  <c r="PH60" i="463" l="1"/>
  <c r="PH58" i="463"/>
  <c r="PH52" i="463"/>
  <c r="PG60" i="463" l="1"/>
  <c r="PF58" i="463" l="1"/>
  <c r="PF42" i="463"/>
  <c r="PG73" i="463" l="1"/>
  <c r="PG75" i="463" s="1"/>
  <c r="PF73" i="463"/>
  <c r="PF75" i="463" s="1"/>
  <c r="PE73" i="463"/>
  <c r="PE75" i="463" s="1"/>
  <c r="PD73" i="463"/>
  <c r="PD75" i="463" s="1"/>
  <c r="OQ60" i="463" l="1"/>
  <c r="OR52" i="463"/>
  <c r="SR112" i="463" l="1"/>
  <c r="TE112" i="463"/>
  <c r="OM62" i="463" l="1"/>
  <c r="OL58" i="463" l="1"/>
  <c r="J114" i="461" l="1"/>
  <c r="J115" i="461"/>
  <c r="J116" i="461"/>
  <c r="J117" i="461"/>
  <c r="J118" i="461"/>
  <c r="OK62" i="463" l="1"/>
  <c r="OK58" i="463"/>
  <c r="OK44" i="463"/>
  <c r="OK42" i="463"/>
  <c r="OJ58" i="463" l="1"/>
  <c r="OI60" i="463" l="1"/>
  <c r="OH50" i="463" l="1"/>
  <c r="OH46" i="463"/>
  <c r="OH42" i="463"/>
  <c r="OE64" i="463" l="1"/>
  <c r="OE60" i="463"/>
  <c r="OE42" i="463"/>
  <c r="OD62" i="463" l="1"/>
  <c r="OC54" i="463" l="1"/>
  <c r="OC52" i="463"/>
  <c r="OB54" i="463"/>
  <c r="OB48" i="463"/>
  <c r="OB44" i="463"/>
  <c r="J109" i="461" l="1"/>
  <c r="J110" i="461"/>
  <c r="J111" i="461"/>
  <c r="J112" i="461"/>
  <c r="J113" i="461"/>
  <c r="OA64" i="463" l="1"/>
  <c r="OA54" i="463"/>
  <c r="NY62" i="463"/>
  <c r="NY56" i="463"/>
  <c r="NY42" i="463"/>
  <c r="J107" i="461" l="1"/>
  <c r="J108" i="461"/>
  <c r="NX52" i="463" l="1"/>
  <c r="NX48" i="463"/>
  <c r="NW54" i="463" l="1"/>
  <c r="NW44" i="463"/>
  <c r="NV64" i="463" l="1"/>
  <c r="NU62" i="463" l="1"/>
  <c r="NU54" i="463"/>
  <c r="NU48" i="463"/>
  <c r="NU44" i="463"/>
  <c r="NT56" i="463" l="1"/>
  <c r="NR56" i="463"/>
  <c r="OI97" i="463"/>
  <c r="OI98" i="463"/>
  <c r="OI99" i="463"/>
  <c r="OI100" i="463"/>
  <c r="OI101" i="463"/>
  <c r="OI96" i="463"/>
  <c r="OH102" i="463"/>
  <c r="J99" i="461"/>
  <c r="J100" i="461"/>
  <c r="J101" i="461"/>
  <c r="J102" i="461"/>
  <c r="J103" i="461"/>
  <c r="J104" i="461"/>
  <c r="J105" i="461"/>
  <c r="J106" i="461"/>
  <c r="VC86" i="463"/>
  <c r="VC85" i="463"/>
  <c r="NO54" i="463"/>
  <c r="NN48" i="463"/>
  <c r="NM64" i="463"/>
  <c r="NM52" i="463"/>
  <c r="NM48" i="463"/>
  <c r="J96" i="461"/>
  <c r="J97" i="461"/>
  <c r="J98" i="461"/>
  <c r="J95" i="461"/>
  <c r="NJ60" i="463"/>
  <c r="NJ56" i="463"/>
  <c r="ND71" i="463"/>
  <c r="ND70" i="463"/>
  <c r="NI42" i="463"/>
  <c r="J94" i="461"/>
  <c r="J93" i="461"/>
  <c r="WT102" i="463"/>
  <c r="WS102" i="463"/>
  <c r="VN102" i="463"/>
  <c r="VM102" i="463"/>
  <c r="NH54" i="463"/>
  <c r="NH52" i="463"/>
  <c r="NH44" i="463"/>
  <c r="NG58" i="463"/>
  <c r="NF58" i="463"/>
  <c r="NF56" i="463"/>
  <c r="QH96" i="463"/>
  <c r="QH95" i="463"/>
  <c r="TX86" i="463"/>
  <c r="TX85" i="463"/>
  <c r="UH102" i="463"/>
  <c r="UG102" i="463"/>
  <c r="SS81" i="463"/>
  <c r="SS80" i="463"/>
  <c r="TC102" i="463"/>
  <c r="TB102" i="463"/>
  <c r="NE62" i="463"/>
  <c r="NE58" i="463"/>
  <c r="J85" i="461"/>
  <c r="J86" i="461"/>
  <c r="J87" i="461"/>
  <c r="J88" i="461"/>
  <c r="J89" i="461"/>
  <c r="J90" i="461"/>
  <c r="J91" i="461"/>
  <c r="J92" i="461"/>
  <c r="NC44" i="463"/>
  <c r="NB54" i="463"/>
  <c r="NB58" i="463"/>
  <c r="NB42" i="463"/>
  <c r="NA54" i="463"/>
  <c r="RU28" i="463"/>
  <c r="RV34" i="463" s="1"/>
  <c r="RV35" i="463" s="1"/>
  <c r="RR28" i="463"/>
  <c r="RR34" i="463" s="1"/>
  <c r="RR35" i="463" s="1"/>
  <c r="RO99" i="463"/>
  <c r="RP96" i="463"/>
  <c r="MZ62" i="463"/>
  <c r="MZ58" i="463"/>
  <c r="MY58" i="463"/>
  <c r="MY54" i="463"/>
  <c r="MZ42" i="463"/>
  <c r="RW102" i="463"/>
  <c r="RV102" i="463"/>
  <c r="RN96" i="463"/>
  <c r="RN95" i="463"/>
  <c r="MX58" i="463"/>
  <c r="MX56" i="463"/>
  <c r="MX52" i="463"/>
  <c r="MV62" i="463"/>
  <c r="MV58" i="463"/>
  <c r="MU58" i="463"/>
  <c r="MU54" i="463"/>
  <c r="MU48" i="463"/>
  <c r="MT62" i="463"/>
  <c r="MT54" i="463"/>
  <c r="MT44" i="463"/>
  <c r="J73" i="461"/>
  <c r="J74" i="461"/>
  <c r="J75" i="461"/>
  <c r="J76" i="461"/>
  <c r="J77" i="461"/>
  <c r="J78" i="461"/>
  <c r="J79" i="461"/>
  <c r="J80" i="461"/>
  <c r="J81" i="461"/>
  <c r="J82" i="461"/>
  <c r="J83" i="461"/>
  <c r="J84" i="461"/>
  <c r="J67" i="461"/>
  <c r="J68" i="461"/>
  <c r="J69" i="461"/>
  <c r="J70" i="461"/>
  <c r="J71" i="461"/>
  <c r="J72" i="461"/>
  <c r="MS56" i="463"/>
  <c r="MR60" i="463"/>
  <c r="MQ58" i="463"/>
  <c r="MQ54" i="463"/>
  <c r="MQ64" i="463"/>
  <c r="MN62" i="463"/>
  <c r="MN44" i="463"/>
  <c r="MM54" i="463"/>
  <c r="J56" i="461"/>
  <c r="J57" i="461"/>
  <c r="J58" i="461"/>
  <c r="J59" i="461"/>
  <c r="J60" i="461"/>
  <c r="J61" i="461"/>
  <c r="J62" i="461"/>
  <c r="J63" i="461"/>
  <c r="J64" i="461"/>
  <c r="J65" i="461"/>
  <c r="J66" i="461"/>
  <c r="ML60" i="463"/>
  <c r="ML58" i="463"/>
  <c r="ML48" i="463"/>
  <c r="ML44" i="463"/>
  <c r="MJ64" i="463"/>
  <c r="MJ54" i="463"/>
  <c r="MA64" i="463"/>
  <c r="MI62" i="463"/>
  <c r="MF62" i="463"/>
  <c r="MI52" i="463"/>
  <c r="MG52" i="463"/>
  <c r="LZ52" i="463"/>
  <c r="LZ48" i="463"/>
  <c r="J48" i="461"/>
  <c r="J49" i="461"/>
  <c r="J50" i="461"/>
  <c r="J51" i="461"/>
  <c r="J52" i="461"/>
  <c r="J53" i="461"/>
  <c r="J54" i="461"/>
  <c r="J55" i="461"/>
  <c r="PQ105" i="463"/>
  <c r="PP105" i="463"/>
  <c r="PO105" i="463"/>
  <c r="PN105" i="463"/>
  <c r="PM105" i="463"/>
  <c r="PL105" i="463"/>
  <c r="PK105" i="463"/>
  <c r="OL105" i="463"/>
  <c r="OK105" i="463"/>
  <c r="OJ105" i="463"/>
  <c r="OI105" i="463"/>
  <c r="OH105" i="463"/>
  <c r="OG105" i="463"/>
  <c r="OF105" i="463"/>
  <c r="KL108" i="463"/>
  <c r="KL113" i="463" s="1"/>
  <c r="ID113" i="463"/>
  <c r="JF112" i="463"/>
  <c r="ID112" i="463"/>
  <c r="ID111" i="463"/>
  <c r="MA105" i="463"/>
  <c r="MA106" i="463" s="1"/>
  <c r="LZ105" i="463"/>
  <c r="LZ106" i="463" s="1"/>
  <c r="LY105" i="463"/>
  <c r="LY106" i="463" s="1"/>
  <c r="LX105" i="463"/>
  <c r="LX106" i="463" s="1"/>
  <c r="LW105" i="463"/>
  <c r="LW106" i="463" s="1"/>
  <c r="LV105" i="463"/>
  <c r="LV106" i="463" s="1"/>
  <c r="LU105" i="463"/>
  <c r="LU106" i="463" s="1"/>
  <c r="NE105" i="463"/>
  <c r="ND105" i="463"/>
  <c r="NC105" i="463"/>
  <c r="NB105" i="463"/>
  <c r="NA105" i="463"/>
  <c r="MZ105" i="463"/>
  <c r="MY105" i="463"/>
  <c r="KY105" i="463"/>
  <c r="KX105" i="463"/>
  <c r="KW105" i="463"/>
  <c r="KV105" i="463"/>
  <c r="KU105" i="463"/>
  <c r="KT105" i="463"/>
  <c r="KS105" i="463"/>
  <c r="JP105" i="463"/>
  <c r="JO105" i="463"/>
  <c r="JN105" i="463"/>
  <c r="JM105" i="463"/>
  <c r="JL105" i="463"/>
  <c r="JK105" i="463"/>
  <c r="JJ105" i="463"/>
  <c r="IL105" i="463"/>
  <c r="IK105" i="463"/>
  <c r="IJ105" i="463"/>
  <c r="II105" i="463"/>
  <c r="IH105" i="463"/>
  <c r="IG105" i="463"/>
  <c r="IF105" i="463"/>
  <c r="HB105" i="463"/>
  <c r="HA105" i="463"/>
  <c r="GZ105" i="463"/>
  <c r="GY105" i="463"/>
  <c r="GX105" i="463"/>
  <c r="GW105" i="463"/>
  <c r="GV105" i="463"/>
  <c r="FQ105" i="463"/>
  <c r="FP105" i="463"/>
  <c r="FO105" i="463"/>
  <c r="FN105" i="463"/>
  <c r="FM105" i="463"/>
  <c r="FL105" i="463"/>
  <c r="FK105" i="463"/>
  <c r="ER105" i="463"/>
  <c r="EQ105" i="463"/>
  <c r="EP105" i="463"/>
  <c r="EO105" i="463"/>
  <c r="EN105" i="463"/>
  <c r="EM105" i="463"/>
  <c r="EL105" i="463"/>
  <c r="DJ104" i="463"/>
  <c r="DI104" i="463"/>
  <c r="DH104" i="463"/>
  <c r="DG104" i="463"/>
  <c r="DF104" i="463"/>
  <c r="DE104" i="463"/>
  <c r="DD104" i="463"/>
  <c r="QR102" i="463"/>
  <c r="QQ102" i="463"/>
  <c r="PL102" i="463"/>
  <c r="PK102" i="463"/>
  <c r="OF102" i="463"/>
  <c r="OE102" i="463"/>
  <c r="NA102" i="463"/>
  <c r="MZ97" i="463"/>
  <c r="MZ102" i="463" s="1"/>
  <c r="LS102" i="463"/>
  <c r="LR102" i="463"/>
  <c r="KP102" i="463"/>
  <c r="KO102" i="463"/>
  <c r="JH102" i="463"/>
  <c r="JG102" i="463"/>
  <c r="IG102" i="463"/>
  <c r="IF96" i="463"/>
  <c r="IF102" i="463" s="1"/>
  <c r="GY97" i="463"/>
  <c r="GY102" i="463" s="1"/>
  <c r="FS101" i="463"/>
  <c r="EL101" i="463"/>
  <c r="EK101" i="463"/>
  <c r="DE101" i="463"/>
  <c r="DD101" i="463"/>
  <c r="MN96" i="463"/>
  <c r="MN99" i="463" s="1"/>
  <c r="MN100" i="463" s="1"/>
  <c r="NI96" i="463"/>
  <c r="NJ96" i="463" s="1"/>
  <c r="NG96" i="463"/>
  <c r="MP96" i="463"/>
  <c r="JQ96" i="463"/>
  <c r="KV96" i="463" s="1"/>
  <c r="OO93" i="463"/>
  <c r="OO94" i="463" s="1"/>
  <c r="OO95" i="463" s="1"/>
  <c r="NI95" i="463"/>
  <c r="NJ95" i="463" s="1"/>
  <c r="NG95" i="463"/>
  <c r="JQ95" i="463"/>
  <c r="KV95" i="463" s="1"/>
  <c r="HY87" i="463"/>
  <c r="HX93" i="463"/>
  <c r="HY93" i="463" s="1"/>
  <c r="ON94" i="463"/>
  <c r="NI94" i="463"/>
  <c r="NJ94" i="463" s="1"/>
  <c r="NG94" i="463"/>
  <c r="JQ94" i="463"/>
  <c r="KV94" i="463" s="1"/>
  <c r="NJ93" i="463"/>
  <c r="NI93" i="463"/>
  <c r="NG93" i="463"/>
  <c r="NI92" i="463"/>
  <c r="NJ92" i="463" s="1"/>
  <c r="NG92" i="463"/>
  <c r="KB92" i="463"/>
  <c r="KC92" i="463" s="1"/>
  <c r="JZ92" i="463"/>
  <c r="NI91" i="463"/>
  <c r="NJ91" i="463" s="1"/>
  <c r="NG91" i="463"/>
  <c r="KB91" i="463"/>
  <c r="KC91" i="463" s="1"/>
  <c r="JZ91" i="463"/>
  <c r="KB90" i="463"/>
  <c r="KC90" i="463" s="1"/>
  <c r="JZ90" i="463"/>
  <c r="OB89" i="463"/>
  <c r="KC89" i="463"/>
  <c r="KB89" i="463"/>
  <c r="JZ89" i="463"/>
  <c r="NG86" i="463"/>
  <c r="NI86" i="463" s="1"/>
  <c r="NG87" i="463"/>
  <c r="NI87" i="463" s="1"/>
  <c r="KB88" i="463"/>
  <c r="KC88" i="463" s="1"/>
  <c r="JZ88" i="463"/>
  <c r="NL87" i="463"/>
  <c r="KB87" i="463"/>
  <c r="KC87" i="463" s="1"/>
  <c r="JZ87" i="463"/>
  <c r="LL83" i="463"/>
  <c r="LP64" i="463"/>
  <c r="LO64" i="463"/>
  <c r="JH64" i="463"/>
  <c r="JD64" i="463"/>
  <c r="GZ64" i="463"/>
  <c r="FM64" i="463"/>
  <c r="LP62" i="463"/>
  <c r="LO62" i="463"/>
  <c r="JS62" i="463"/>
  <c r="JQ62" i="463"/>
  <c r="JJ62" i="463"/>
  <c r="HT62" i="463"/>
  <c r="HI62" i="463"/>
  <c r="HC62" i="463"/>
  <c r="GZ62" i="463"/>
  <c r="GO62" i="463"/>
  <c r="FU62" i="463"/>
  <c r="EF62" i="463"/>
  <c r="LP60" i="463"/>
  <c r="LO60" i="463"/>
  <c r="JR60" i="463"/>
  <c r="JL60" i="463"/>
  <c r="JJ60" i="463"/>
  <c r="JC60" i="463"/>
  <c r="HE60" i="463"/>
  <c r="GZ60" i="463"/>
  <c r="GY60" i="463"/>
  <c r="GW60" i="463"/>
  <c r="FW60" i="463"/>
  <c r="LP58" i="463"/>
  <c r="LO58" i="463"/>
  <c r="HX58" i="463"/>
  <c r="HM58" i="463"/>
  <c r="GX58" i="463"/>
  <c r="FU58" i="463"/>
  <c r="ES58" i="463"/>
  <c r="EI58" i="463"/>
  <c r="IW56" i="463"/>
  <c r="HV56" i="463"/>
  <c r="GU56" i="463"/>
  <c r="FZ56" i="463"/>
  <c r="FX56" i="463"/>
  <c r="FU56" i="463"/>
  <c r="FG56" i="463"/>
  <c r="EX56" i="463"/>
  <c r="LU54" i="463"/>
  <c r="LN54" i="463"/>
  <c r="LH54" i="463"/>
  <c r="JQ54" i="463"/>
  <c r="JH54" i="463"/>
  <c r="IX54" i="463"/>
  <c r="GK54" i="463"/>
  <c r="LN52" i="463"/>
  <c r="JS52" i="463"/>
  <c r="JH52" i="463"/>
  <c r="JB52" i="463"/>
  <c r="FX52" i="463"/>
  <c r="FW52" i="463"/>
  <c r="FU52" i="463"/>
  <c r="LB49" i="463"/>
  <c r="LB51" i="463" s="1"/>
  <c r="JA50" i="463"/>
  <c r="IW50" i="463"/>
  <c r="GI50" i="463"/>
  <c r="GG50" i="463"/>
  <c r="GD50" i="463"/>
  <c r="GB50" i="463"/>
  <c r="GA50" i="463"/>
  <c r="FX50" i="463"/>
  <c r="LB48" i="463"/>
  <c r="JL48" i="463"/>
  <c r="JG48" i="463"/>
  <c r="JR46" i="463"/>
  <c r="JF46" i="463"/>
  <c r="IY46" i="463"/>
  <c r="LX44" i="463"/>
  <c r="LV44" i="463"/>
  <c r="LR44" i="463"/>
  <c r="JJ44" i="463"/>
  <c r="HM44" i="463"/>
  <c r="GK44" i="463"/>
  <c r="JQ42" i="463"/>
  <c r="IQ42" i="463"/>
  <c r="HR42" i="463"/>
  <c r="GK42" i="463"/>
  <c r="GH42" i="463"/>
  <c r="FY42" i="463"/>
  <c r="FV42" i="463"/>
  <c r="FL42" i="463"/>
  <c r="EW42" i="463"/>
  <c r="ET42" i="463"/>
  <c r="DX41" i="463"/>
  <c r="DW41" i="463"/>
  <c r="DV41" i="463"/>
  <c r="DU41" i="463"/>
  <c r="DT41" i="463"/>
  <c r="DS41" i="463"/>
  <c r="DR41" i="463"/>
  <c r="DQ41" i="463"/>
  <c r="DP41" i="463"/>
  <c r="DO41" i="463"/>
  <c r="DN41" i="463"/>
  <c r="DM41" i="463"/>
  <c r="DL41" i="463"/>
  <c r="DK41" i="463"/>
  <c r="DJ41" i="463"/>
  <c r="DI41" i="463"/>
  <c r="DH41" i="463"/>
  <c r="DG41" i="463"/>
  <c r="DF41" i="463"/>
  <c r="DE41" i="463"/>
  <c r="DD41" i="463"/>
  <c r="DC41" i="463"/>
  <c r="DB41" i="463"/>
  <c r="DA41" i="463"/>
  <c r="CZ41" i="463"/>
  <c r="CY41" i="463"/>
  <c r="CX41" i="463"/>
  <c r="CW41" i="463"/>
  <c r="CV41" i="463"/>
  <c r="CU41" i="463"/>
  <c r="CT41" i="463"/>
  <c r="CR41" i="463"/>
  <c r="CQ41" i="463"/>
  <c r="CP41" i="463"/>
  <c r="CO41" i="463"/>
  <c r="CN41" i="463"/>
  <c r="CM41" i="463"/>
  <c r="CL41" i="463"/>
  <c r="CK41" i="463"/>
  <c r="CJ41" i="463"/>
  <c r="CI41" i="463"/>
  <c r="CH41" i="463"/>
  <c r="CG41" i="463"/>
  <c r="CF41" i="463"/>
  <c r="CE41" i="463"/>
  <c r="CD41" i="463"/>
  <c r="CC41" i="463"/>
  <c r="CB41" i="463"/>
  <c r="CA41" i="463"/>
  <c r="BZ41" i="463"/>
  <c r="BY41" i="463"/>
  <c r="BX41" i="463"/>
  <c r="BW41" i="463"/>
  <c r="BV41" i="463"/>
  <c r="BU41" i="463"/>
  <c r="BT41" i="463"/>
  <c r="BS41" i="463"/>
  <c r="BR41" i="463"/>
  <c r="BQ41" i="463"/>
  <c r="BP41" i="463"/>
  <c r="BO41" i="463"/>
  <c r="BM41" i="463"/>
  <c r="BL41" i="463"/>
  <c r="BK41" i="463"/>
  <c r="BJ41" i="463"/>
  <c r="BI41" i="463"/>
  <c r="BH41" i="463"/>
  <c r="BG41" i="463"/>
  <c r="BF41" i="463"/>
  <c r="BE41" i="463"/>
  <c r="BD41" i="463"/>
  <c r="BC41" i="463"/>
  <c r="BB41" i="463"/>
  <c r="BA41" i="463"/>
  <c r="AZ41" i="463"/>
  <c r="AY41" i="463"/>
  <c r="AX41" i="463"/>
  <c r="AW41" i="463"/>
  <c r="AV41" i="463"/>
  <c r="AU41" i="463"/>
  <c r="AT41" i="463"/>
  <c r="AS41" i="463"/>
  <c r="AR41" i="463"/>
  <c r="AQ41" i="463"/>
  <c r="AP41" i="463"/>
  <c r="AO41" i="463"/>
  <c r="AN41" i="463"/>
  <c r="AM41" i="463"/>
  <c r="AL41" i="463"/>
  <c r="AK41" i="463"/>
  <c r="AJ41" i="463"/>
  <c r="AI41" i="463"/>
  <c r="AG41" i="463"/>
  <c r="AF41" i="463"/>
  <c r="AE41" i="463"/>
  <c r="AD41" i="463"/>
  <c r="AC41" i="463"/>
  <c r="AB41" i="463"/>
  <c r="AA41" i="463"/>
  <c r="Z41" i="463"/>
  <c r="Y41" i="463"/>
  <c r="X41" i="463"/>
  <c r="W41" i="463"/>
  <c r="V41" i="463"/>
  <c r="U41" i="463"/>
  <c r="T41" i="463"/>
  <c r="S41" i="463"/>
  <c r="R41" i="463"/>
  <c r="Q41" i="463"/>
  <c r="P41" i="463"/>
  <c r="O41" i="463"/>
  <c r="N41" i="463"/>
  <c r="M41" i="463"/>
  <c r="L41" i="463"/>
  <c r="K41" i="463"/>
  <c r="J41" i="463"/>
  <c r="I41" i="463"/>
  <c r="H41" i="463"/>
  <c r="G41" i="463"/>
  <c r="F41" i="463"/>
  <c r="E41" i="463"/>
  <c r="D41" i="463"/>
  <c r="C41" i="463"/>
  <c r="CU39" i="463"/>
  <c r="CV39" i="463" s="1"/>
  <c r="CW39" i="463" s="1"/>
  <c r="CX39" i="463" s="1"/>
  <c r="CY39" i="463" s="1"/>
  <c r="CZ39" i="463" s="1"/>
  <c r="DA39" i="463" s="1"/>
  <c r="DB39" i="463" s="1"/>
  <c r="DC39" i="463" s="1"/>
  <c r="DD39" i="463" s="1"/>
  <c r="DE39" i="463" s="1"/>
  <c r="DF39" i="463" s="1"/>
  <c r="DG39" i="463" s="1"/>
  <c r="DH39" i="463" s="1"/>
  <c r="DI39" i="463" s="1"/>
  <c r="DJ39" i="463" s="1"/>
  <c r="DK39" i="463" s="1"/>
  <c r="DL39" i="463" s="1"/>
  <c r="DM39" i="463" s="1"/>
  <c r="DN39" i="463" s="1"/>
  <c r="DO39" i="463" s="1"/>
  <c r="DP39" i="463" s="1"/>
  <c r="DQ39" i="463" s="1"/>
  <c r="DR39" i="463" s="1"/>
  <c r="DS39" i="463" s="1"/>
  <c r="DT39" i="463" s="1"/>
  <c r="DU39" i="463" s="1"/>
  <c r="DV39" i="463" s="1"/>
  <c r="DW39" i="463" s="1"/>
  <c r="DX39" i="463" s="1"/>
  <c r="BP39" i="463"/>
  <c r="BQ39" i="463" s="1"/>
  <c r="BR39" i="463" s="1"/>
  <c r="BS39" i="463" s="1"/>
  <c r="BT39" i="463" s="1"/>
  <c r="BU39" i="463" s="1"/>
  <c r="BV39" i="463" s="1"/>
  <c r="BW39" i="463" s="1"/>
  <c r="BX39" i="463" s="1"/>
  <c r="BY39" i="463" s="1"/>
  <c r="BZ39" i="463" s="1"/>
  <c r="CA39" i="463" s="1"/>
  <c r="CB39" i="463" s="1"/>
  <c r="CC39" i="463" s="1"/>
  <c r="CD39" i="463" s="1"/>
  <c r="CE39" i="463" s="1"/>
  <c r="CF39" i="463" s="1"/>
  <c r="CG39" i="463" s="1"/>
  <c r="CH39" i="463" s="1"/>
  <c r="CI39" i="463" s="1"/>
  <c r="CJ39" i="463" s="1"/>
  <c r="CK39" i="463" s="1"/>
  <c r="CL39" i="463" s="1"/>
  <c r="CM39" i="463" s="1"/>
  <c r="CN39" i="463" s="1"/>
  <c r="CO39" i="463" s="1"/>
  <c r="CP39" i="463" s="1"/>
  <c r="CQ39" i="463" s="1"/>
  <c r="CR39" i="463" s="1"/>
  <c r="AJ39" i="463"/>
  <c r="AK39" i="463" s="1"/>
  <c r="AL39" i="463" s="1"/>
  <c r="AM39" i="463" s="1"/>
  <c r="AN39" i="463" s="1"/>
  <c r="AO39" i="463" s="1"/>
  <c r="AP39" i="463" s="1"/>
  <c r="AQ39" i="463" s="1"/>
  <c r="AR39" i="463" s="1"/>
  <c r="AS39" i="463" s="1"/>
  <c r="AT39" i="463" s="1"/>
  <c r="AU39" i="463" s="1"/>
  <c r="AV39" i="463" s="1"/>
  <c r="AW39" i="463" s="1"/>
  <c r="AX39" i="463" s="1"/>
  <c r="AY39" i="463" s="1"/>
  <c r="AZ39" i="463" s="1"/>
  <c r="BA39" i="463" s="1"/>
  <c r="BB39" i="463" s="1"/>
  <c r="BC39" i="463" s="1"/>
  <c r="BD39" i="463" s="1"/>
  <c r="BE39" i="463" s="1"/>
  <c r="BF39" i="463" s="1"/>
  <c r="BG39" i="463" s="1"/>
  <c r="BH39" i="463" s="1"/>
  <c r="BI39" i="463" s="1"/>
  <c r="BJ39" i="463" s="1"/>
  <c r="BK39" i="463" s="1"/>
  <c r="BL39" i="463" s="1"/>
  <c r="BM39" i="463" s="1"/>
  <c r="D39" i="463"/>
  <c r="E39" i="463" s="1"/>
  <c r="F39" i="463" s="1"/>
  <c r="G39" i="463" s="1"/>
  <c r="H39" i="463" s="1"/>
  <c r="I39" i="463" s="1"/>
  <c r="J39" i="463" s="1"/>
  <c r="K39" i="463" s="1"/>
  <c r="L39" i="463" s="1"/>
  <c r="M39" i="463" s="1"/>
  <c r="N39" i="463" s="1"/>
  <c r="O39" i="463" s="1"/>
  <c r="P39" i="463" s="1"/>
  <c r="Q39" i="463" s="1"/>
  <c r="R39" i="463" s="1"/>
  <c r="S39" i="463" s="1"/>
  <c r="T39" i="463" s="1"/>
  <c r="U39" i="463" s="1"/>
  <c r="V39" i="463" s="1"/>
  <c r="W39" i="463" s="1"/>
  <c r="X39" i="463" s="1"/>
  <c r="Y39" i="463" s="1"/>
  <c r="Z39" i="463" s="1"/>
  <c r="AA39" i="463" s="1"/>
  <c r="AB39" i="463" s="1"/>
  <c r="AC39" i="463" s="1"/>
  <c r="AD39" i="463" s="1"/>
  <c r="AE39" i="463" s="1"/>
  <c r="AF39" i="463" s="1"/>
  <c r="AG39" i="463" s="1"/>
  <c r="PL38" i="463"/>
  <c r="PK28" i="463"/>
  <c r="PK38" i="463" s="1"/>
  <c r="IE26" i="463"/>
  <c r="JJ26" i="463" s="1"/>
  <c r="KP26" i="463" s="1"/>
  <c r="LI26" i="463" s="1"/>
  <c r="JJ28" i="463"/>
  <c r="KO28" i="463"/>
  <c r="KO38" i="463" s="1"/>
  <c r="LT28" i="463"/>
  <c r="LT38" i="463" s="1"/>
  <c r="MZ28" i="463"/>
  <c r="MZ38" i="463" s="1"/>
  <c r="JJ34" i="463"/>
  <c r="KP34" i="463" s="1"/>
  <c r="LU34" i="463" s="1"/>
  <c r="NA34" i="463" s="1"/>
  <c r="JJ35" i="463"/>
  <c r="KP35" i="463" s="1"/>
  <c r="LU35" i="463" s="1"/>
  <c r="NA35" i="463" s="1"/>
  <c r="JJ36" i="463"/>
  <c r="KP36" i="463" s="1"/>
  <c r="LU36" i="463" s="1"/>
  <c r="NA36" i="463" s="1"/>
  <c r="OF36" i="463" s="1"/>
  <c r="OE38" i="463"/>
  <c r="NC26" i="463"/>
  <c r="NC28" i="463"/>
  <c r="NC34" i="463"/>
  <c r="NC35" i="463"/>
  <c r="NB38" i="463"/>
  <c r="JI38" i="463"/>
  <c r="GW38" i="463"/>
  <c r="JJ37" i="463"/>
  <c r="KP37" i="463" s="1"/>
  <c r="LU37" i="463" s="1"/>
  <c r="NA37" i="463" s="1"/>
  <c r="OF37" i="463" s="1"/>
  <c r="LY28" i="463"/>
  <c r="LY34" i="463"/>
  <c r="KE28" i="463"/>
  <c r="KE34" i="463"/>
  <c r="HU34" i="463"/>
  <c r="HU35" i="463"/>
  <c r="LL34" i="463"/>
  <c r="LJ34" i="463"/>
  <c r="HZ34" i="463"/>
  <c r="MP28" i="463"/>
  <c r="MP26" i="463"/>
  <c r="GS11" i="463"/>
  <c r="HC9" i="463"/>
  <c r="HC7" i="463"/>
  <c r="DX6" i="463"/>
  <c r="DW6" i="463"/>
  <c r="DV6" i="463"/>
  <c r="DU6" i="463"/>
  <c r="DT6" i="463"/>
  <c r="DS6" i="463"/>
  <c r="DR6" i="463"/>
  <c r="DQ6" i="463"/>
  <c r="DP6" i="463"/>
  <c r="DO6" i="463"/>
  <c r="DN6" i="463"/>
  <c r="DM6" i="463"/>
  <c r="DL6" i="463"/>
  <c r="DK6" i="463"/>
  <c r="DJ6" i="463"/>
  <c r="DI6" i="463"/>
  <c r="DH6" i="463"/>
  <c r="DG6" i="463"/>
  <c r="DF6" i="463"/>
  <c r="DE6" i="463"/>
  <c r="DD6" i="463"/>
  <c r="DC6" i="463"/>
  <c r="DB6" i="463"/>
  <c r="DA6" i="463"/>
  <c r="CZ6" i="463"/>
  <c r="CY6" i="463"/>
  <c r="CX6" i="463"/>
  <c r="CW6" i="463"/>
  <c r="CV6" i="463"/>
  <c r="CU6" i="463"/>
  <c r="CT6" i="463"/>
  <c r="CR6" i="463"/>
  <c r="CQ6" i="463"/>
  <c r="CP6" i="463"/>
  <c r="CO6" i="463"/>
  <c r="CN6" i="463"/>
  <c r="CM6" i="463"/>
  <c r="CL6" i="463"/>
  <c r="CK6" i="463"/>
  <c r="CJ6" i="463"/>
  <c r="CI6" i="463"/>
  <c r="CH6" i="463"/>
  <c r="CG6" i="463"/>
  <c r="CF6" i="463"/>
  <c r="CE6" i="463"/>
  <c r="CD6" i="463"/>
  <c r="CC6" i="463"/>
  <c r="CB6" i="463"/>
  <c r="CA6" i="463"/>
  <c r="BZ6" i="463"/>
  <c r="BY6" i="463"/>
  <c r="BX6" i="463"/>
  <c r="BW6" i="463"/>
  <c r="BV6" i="463"/>
  <c r="BU6" i="463"/>
  <c r="BT6" i="463"/>
  <c r="BS6" i="463"/>
  <c r="BR6" i="463"/>
  <c r="BQ6" i="463"/>
  <c r="BP6" i="463"/>
  <c r="BO6" i="463"/>
  <c r="BM6" i="463"/>
  <c r="BL6" i="463"/>
  <c r="BK6" i="463"/>
  <c r="BJ6" i="463"/>
  <c r="BI6" i="463"/>
  <c r="BH6" i="463"/>
  <c r="BG6" i="463"/>
  <c r="BF6" i="463"/>
  <c r="BE6" i="463"/>
  <c r="BD6" i="463"/>
  <c r="BC6" i="463"/>
  <c r="BB6" i="463"/>
  <c r="BA6" i="463"/>
  <c r="AZ6" i="463"/>
  <c r="AY6" i="463"/>
  <c r="AX6" i="463"/>
  <c r="AW6" i="463"/>
  <c r="AV6" i="463"/>
  <c r="AU6" i="463"/>
  <c r="AT6" i="463"/>
  <c r="AS6" i="463"/>
  <c r="AR6" i="463"/>
  <c r="AQ6" i="463"/>
  <c r="AP6" i="463"/>
  <c r="AO6" i="463"/>
  <c r="AN6" i="463"/>
  <c r="AM6" i="463"/>
  <c r="AL6" i="463"/>
  <c r="AK6" i="463"/>
  <c r="AJ6" i="463"/>
  <c r="AI6" i="463"/>
  <c r="AG6" i="463"/>
  <c r="AF6" i="463"/>
  <c r="AE6" i="463"/>
  <c r="AD6" i="463"/>
  <c r="AC6" i="463"/>
  <c r="AB6" i="463"/>
  <c r="AA6" i="463"/>
  <c r="Z6" i="463"/>
  <c r="Y6" i="463"/>
  <c r="X6" i="463"/>
  <c r="W6" i="463"/>
  <c r="V6" i="463"/>
  <c r="U6" i="463"/>
  <c r="T6" i="463"/>
  <c r="S6" i="463"/>
  <c r="R6" i="463"/>
  <c r="Q6" i="463"/>
  <c r="P6" i="463"/>
  <c r="O6" i="463"/>
  <c r="N6" i="463"/>
  <c r="M6" i="463"/>
  <c r="M16" i="463" s="1"/>
  <c r="L6" i="463"/>
  <c r="K6" i="463"/>
  <c r="J6" i="463"/>
  <c r="I6" i="463"/>
  <c r="H6" i="463"/>
  <c r="G6" i="463"/>
  <c r="F6" i="463"/>
  <c r="E6" i="463"/>
  <c r="D6" i="463"/>
  <c r="C6" i="463"/>
  <c r="CU4" i="463"/>
  <c r="CV4" i="463" s="1"/>
  <c r="CW4" i="463" s="1"/>
  <c r="CX4" i="463" s="1"/>
  <c r="CY4" i="463" s="1"/>
  <c r="CZ4" i="463" s="1"/>
  <c r="DA4" i="463" s="1"/>
  <c r="DB4" i="463" s="1"/>
  <c r="DC4" i="463" s="1"/>
  <c r="DD4" i="463" s="1"/>
  <c r="DE4" i="463" s="1"/>
  <c r="DF4" i="463" s="1"/>
  <c r="DG4" i="463" s="1"/>
  <c r="DH4" i="463" s="1"/>
  <c r="DI4" i="463" s="1"/>
  <c r="DJ4" i="463" s="1"/>
  <c r="DK4" i="463" s="1"/>
  <c r="DL4" i="463" s="1"/>
  <c r="DM4" i="463" s="1"/>
  <c r="DN4" i="463" s="1"/>
  <c r="DO4" i="463" s="1"/>
  <c r="DP4" i="463" s="1"/>
  <c r="DQ4" i="463" s="1"/>
  <c r="DR4" i="463" s="1"/>
  <c r="DS4" i="463" s="1"/>
  <c r="DT4" i="463" s="1"/>
  <c r="DU4" i="463" s="1"/>
  <c r="DV4" i="463" s="1"/>
  <c r="DW4" i="463" s="1"/>
  <c r="DX4" i="463" s="1"/>
  <c r="BP4" i="463"/>
  <c r="BQ4" i="463" s="1"/>
  <c r="BR4" i="463" s="1"/>
  <c r="BS4" i="463" s="1"/>
  <c r="BT4" i="463" s="1"/>
  <c r="BU4" i="463" s="1"/>
  <c r="BV4" i="463" s="1"/>
  <c r="BW4" i="463" s="1"/>
  <c r="BX4" i="463" s="1"/>
  <c r="BY4" i="463" s="1"/>
  <c r="BZ4" i="463" s="1"/>
  <c r="CA4" i="463" s="1"/>
  <c r="CB4" i="463" s="1"/>
  <c r="CC4" i="463" s="1"/>
  <c r="CD4" i="463" s="1"/>
  <c r="CE4" i="463" s="1"/>
  <c r="CF4" i="463" s="1"/>
  <c r="CG4" i="463" s="1"/>
  <c r="CH4" i="463" s="1"/>
  <c r="CI4" i="463" s="1"/>
  <c r="CJ4" i="463" s="1"/>
  <c r="CK4" i="463" s="1"/>
  <c r="CL4" i="463" s="1"/>
  <c r="CM4" i="463" s="1"/>
  <c r="CN4" i="463" s="1"/>
  <c r="CO4" i="463" s="1"/>
  <c r="CP4" i="463" s="1"/>
  <c r="CQ4" i="463" s="1"/>
  <c r="CR4" i="463" s="1"/>
  <c r="AJ4" i="463"/>
  <c r="AK4" i="463" s="1"/>
  <c r="AL4" i="463" s="1"/>
  <c r="AM4" i="463" s="1"/>
  <c r="AN4" i="463" s="1"/>
  <c r="AO4" i="463" s="1"/>
  <c r="AP4" i="463" s="1"/>
  <c r="AQ4" i="463" s="1"/>
  <c r="AR4" i="463" s="1"/>
  <c r="AS4" i="463" s="1"/>
  <c r="AT4" i="463" s="1"/>
  <c r="AU4" i="463" s="1"/>
  <c r="AV4" i="463" s="1"/>
  <c r="AW4" i="463" s="1"/>
  <c r="AX4" i="463" s="1"/>
  <c r="AY4" i="463" s="1"/>
  <c r="AZ4" i="463" s="1"/>
  <c r="BA4" i="463" s="1"/>
  <c r="BB4" i="463" s="1"/>
  <c r="BC4" i="463" s="1"/>
  <c r="BD4" i="463" s="1"/>
  <c r="BE4" i="463" s="1"/>
  <c r="BF4" i="463" s="1"/>
  <c r="BG4" i="463" s="1"/>
  <c r="BH4" i="463" s="1"/>
  <c r="BI4" i="463" s="1"/>
  <c r="BJ4" i="463" s="1"/>
  <c r="BK4" i="463" s="1"/>
  <c r="BL4" i="463" s="1"/>
  <c r="BM4" i="463" s="1"/>
  <c r="D4" i="463"/>
  <c r="E4" i="463" s="1"/>
  <c r="F4" i="463" s="1"/>
  <c r="G4" i="463" s="1"/>
  <c r="H4" i="463" s="1"/>
  <c r="I4" i="463" s="1"/>
  <c r="J4" i="463" s="1"/>
  <c r="K4" i="463" s="1"/>
  <c r="L4" i="463" s="1"/>
  <c r="M4" i="463" s="1"/>
  <c r="N4" i="463" s="1"/>
  <c r="O4" i="463" s="1"/>
  <c r="P4" i="463" s="1"/>
  <c r="Q4" i="463" s="1"/>
  <c r="R4" i="463" s="1"/>
  <c r="S4" i="463" s="1"/>
  <c r="T4" i="463" s="1"/>
  <c r="U4" i="463" s="1"/>
  <c r="V4" i="463" s="1"/>
  <c r="W4" i="463" s="1"/>
  <c r="X4" i="463" s="1"/>
  <c r="Y4" i="463" s="1"/>
  <c r="Z4" i="463" s="1"/>
  <c r="AA4" i="463" s="1"/>
  <c r="AB4" i="463" s="1"/>
  <c r="AC4" i="463" s="1"/>
  <c r="AD4" i="463" s="1"/>
  <c r="AE4" i="463" s="1"/>
  <c r="AF4" i="463" s="1"/>
  <c r="AG4" i="463" s="1"/>
  <c r="J47" i="461"/>
  <c r="J45" i="461"/>
  <c r="J46" i="461"/>
  <c r="J44" i="461"/>
  <c r="J43" i="461"/>
  <c r="J42" i="461"/>
  <c r="J41" i="461"/>
  <c r="J35" i="461"/>
  <c r="J36" i="461"/>
  <c r="J37" i="461"/>
  <c r="J38" i="461"/>
  <c r="J39" i="461"/>
  <c r="J40" i="461"/>
  <c r="J34" i="461"/>
  <c r="J33" i="461"/>
  <c r="J32" i="461"/>
  <c r="J30" i="461"/>
  <c r="J31" i="461"/>
  <c r="J29" i="461"/>
  <c r="J28" i="461"/>
  <c r="J27" i="461"/>
  <c r="J26" i="461"/>
  <c r="J25" i="461"/>
  <c r="J23" i="461"/>
  <c r="J24" i="461"/>
  <c r="J20" i="461"/>
  <c r="J21" i="461"/>
  <c r="J22" i="461"/>
  <c r="J19" i="461"/>
  <c r="J18" i="461"/>
  <c r="J17" i="461"/>
  <c r="J16" i="461"/>
  <c r="J15" i="461"/>
  <c r="J3" i="461"/>
  <c r="J4" i="461"/>
  <c r="J5" i="461"/>
  <c r="J6" i="461"/>
  <c r="J7" i="461"/>
  <c r="J8" i="461"/>
  <c r="J9" i="461"/>
  <c r="J10" i="461"/>
  <c r="J11" i="461"/>
  <c r="J12" i="461"/>
  <c r="J13" i="461"/>
  <c r="J14" i="461"/>
  <c r="J2" i="461"/>
  <c r="RA93" i="463"/>
  <c r="RA94" i="463" s="1"/>
  <c r="OI102" i="463" l="1"/>
  <c r="HY94" i="463"/>
  <c r="HY95" i="463" s="1"/>
  <c r="QH97" i="463"/>
  <c r="QH98" i="463" s="1"/>
  <c r="QH100" i="463" s="1"/>
  <c r="VC87" i="463"/>
  <c r="VC88" i="463" s="1"/>
  <c r="VC90" i="463" s="1"/>
  <c r="IE38" i="463"/>
  <c r="JJ38" i="463" s="1"/>
  <c r="KP38" i="463" s="1"/>
  <c r="LU38" i="463" s="1"/>
  <c r="KP28" i="463"/>
  <c r="LU28" i="463" s="1"/>
  <c r="NA28" i="463" s="1"/>
  <c r="OF28" i="463" s="1"/>
  <c r="KE35" i="463"/>
  <c r="KE36" i="463" s="1"/>
  <c r="HU36" i="463"/>
  <c r="HV36" i="463" s="1"/>
  <c r="SS82" i="463"/>
  <c r="SS83" i="463" s="1"/>
  <c r="SS85" i="463" s="1"/>
  <c r="LY35" i="463"/>
  <c r="LY36" i="463" s="1"/>
  <c r="NC38" i="463"/>
  <c r="NI88" i="463"/>
  <c r="TX87" i="463"/>
  <c r="TX88" i="463" s="1"/>
  <c r="ND35" i="463"/>
  <c r="OF35" i="463"/>
  <c r="RN97" i="463"/>
  <c r="RN98" i="463" s="1"/>
  <c r="RN100" i="463" s="1"/>
  <c r="OF34" i="463"/>
  <c r="ND34" i="463"/>
  <c r="LI36" i="463"/>
  <c r="LK36" i="463" s="1"/>
  <c r="LK26" i="463"/>
  <c r="LU26" i="463"/>
  <c r="NA26" i="463" s="1"/>
  <c r="LI28" i="463" l="1"/>
  <c r="LK28" i="463" s="1"/>
  <c r="LM28" i="463" s="1"/>
  <c r="ND28" i="463"/>
  <c r="LM26" i="463"/>
  <c r="NA38" i="463"/>
  <c r="OF26" i="463"/>
  <c r="OF38" i="463" s="1"/>
  <c r="ND26" i="463"/>
  <c r="LM34" i="463" l="1"/>
  <c r="LI34" i="463"/>
  <c r="LK34" i="463"/>
  <c r="LI37" i="463"/>
  <c r="LK37" i="463" s="1"/>
  <c r="ND38" i="463"/>
</calcChain>
</file>

<file path=xl/comments1.xml><?xml version="1.0" encoding="utf-8"?>
<comments xmlns="http://schemas.openxmlformats.org/spreadsheetml/2006/main">
  <authors>
    <author>DELL</author>
    <author>Windows User</author>
    <author>Gourab</author>
  </authors>
  <commentList>
    <comment ref="AOH4" authorId="0" shapeId="0">
      <text>
        <r>
          <rPr>
            <b/>
            <sz val="9"/>
            <color indexed="81"/>
            <rFont val="Tahoma"/>
            <family val="2"/>
          </rPr>
          <t xml:space="preserve">EID-UL-FITR
</t>
        </r>
      </text>
    </comment>
    <comment ref="AQZ4" authorId="0" shapeId="0">
      <text>
        <r>
          <rPr>
            <b/>
            <sz val="9"/>
            <color indexed="81"/>
            <rFont val="Tahoma"/>
            <family val="2"/>
          </rPr>
          <t>EID-UL-ADHA</t>
        </r>
      </text>
    </comment>
    <comment ref="AUL4" authorId="0" shapeId="0">
      <text>
        <r>
          <rPr>
            <b/>
            <sz val="9"/>
            <color indexed="81"/>
            <rFont val="Tahoma"/>
            <family val="2"/>
          </rPr>
          <t>Durga Puja</t>
        </r>
      </text>
    </comment>
    <comment ref="ZA39" authorId="1" shapeId="0">
      <text>
        <r>
          <rPr>
            <b/>
            <sz val="14"/>
            <color indexed="81"/>
            <rFont val="Tahoma"/>
            <family val="2"/>
          </rPr>
          <t>Ramadan Start</t>
        </r>
      </text>
    </comment>
    <comment ref="AOH39" authorId="0" shapeId="0">
      <text>
        <r>
          <rPr>
            <b/>
            <sz val="9"/>
            <color indexed="81"/>
            <rFont val="Tahoma"/>
            <family val="2"/>
          </rPr>
          <t>EID-UL-FITR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QZ39" authorId="0" shapeId="0">
      <text>
        <r>
          <rPr>
            <b/>
            <sz val="14"/>
            <color indexed="81"/>
            <rFont val="Tahoma"/>
            <family val="2"/>
          </rPr>
          <t>Eid Ul Adha</t>
        </r>
      </text>
    </comment>
    <comment ref="AUL39" authorId="0" shapeId="0">
      <text>
        <r>
          <rPr>
            <b/>
            <sz val="9"/>
            <color indexed="81"/>
            <rFont val="Tahoma"/>
            <family val="2"/>
          </rPr>
          <t>Durga Puja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S60" authorId="2" shapeId="0">
      <text>
        <r>
          <rPr>
            <b/>
            <sz val="9"/>
            <color indexed="81"/>
            <rFont val="Tahoma"/>
            <family val="2"/>
          </rPr>
          <t>3250</t>
        </r>
      </text>
    </comment>
  </commentList>
</comments>
</file>

<file path=xl/sharedStrings.xml><?xml version="1.0" encoding="utf-8"?>
<sst xmlns="http://schemas.openxmlformats.org/spreadsheetml/2006/main" count="11083" uniqueCount="2872">
  <si>
    <t>PRODUCTION PLAN FLOW CHART FOR THE MONTH OF:</t>
  </si>
  <si>
    <t>C</t>
  </si>
  <si>
    <t>DAY</t>
  </si>
  <si>
    <t>WED</t>
  </si>
  <si>
    <t>THU</t>
  </si>
  <si>
    <t>FRI</t>
  </si>
  <si>
    <t>SAT</t>
  </si>
  <si>
    <t>SUN</t>
  </si>
  <si>
    <t>MON</t>
  </si>
  <si>
    <t>TUE</t>
  </si>
  <si>
    <t>WK HR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</si>
  <si>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</si>
  <si>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</si>
  <si>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</si>
  <si>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</si>
  <si>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</si>
  <si>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</si>
  <si>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</si>
  <si>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</si>
  <si>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</si>
  <si>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Qty</t>
  </si>
  <si>
    <t>Line 11 (S)</t>
  </si>
  <si>
    <t>Line 12 (S)</t>
  </si>
  <si>
    <t>Buyer</t>
  </si>
  <si>
    <t>Molton</t>
  </si>
  <si>
    <t xml:space="preserve">Line 13 (S) </t>
  </si>
  <si>
    <t xml:space="preserve">Line 14 (S) </t>
  </si>
  <si>
    <t xml:space="preserve">Line 15 (S) </t>
  </si>
  <si>
    <t>Line 10(S)</t>
  </si>
  <si>
    <t xml:space="preserve">Line (9) </t>
  </si>
  <si>
    <t xml:space="preserve"> </t>
  </si>
  <si>
    <t>GU</t>
  </si>
  <si>
    <t>ZARA</t>
  </si>
  <si>
    <t>Day 1</t>
  </si>
  <si>
    <t>Day 2</t>
  </si>
  <si>
    <t>Day 3</t>
  </si>
  <si>
    <t>Day 4</t>
  </si>
  <si>
    <t>Day 5</t>
  </si>
  <si>
    <t>Day 6</t>
  </si>
  <si>
    <t>Day 7</t>
  </si>
  <si>
    <t>Peak Target</t>
  </si>
  <si>
    <t>Build Up</t>
  </si>
  <si>
    <t>Day Hour</t>
  </si>
  <si>
    <t>July- ''2019</t>
  </si>
  <si>
    <t>Target Aus -160445() Sum 20, Qty-5062 (stone), 6000 (Bone) pcs,o/o 6011,@ 130 pcs/Hr, Del: 23 May 1500 Stone), 20 June 4000 (Bone)</t>
  </si>
  <si>
    <t>Target Aus -176647( ) Win'19, Qty-5428 pcs,o/o 5428,Peak @ 150 pcs/Hr, Fab-27 May,Del: july</t>
  </si>
  <si>
    <t>VF Asia - 3408929 (Cascade) Fall 19,Qty-3000,@Peak/BU: 180/3, Fab-1st May. Del:  22 July 3000</t>
  </si>
  <si>
    <t>VF Asia Lee- 3521928 (Art Indigo) Fall 19, Qty-3100pcs, cum 36200 o/f 36200,Fab- 30 April,@Peak 180,Build Up: 3 Days, Fab-,Dlvy: 27 July</t>
  </si>
  <si>
    <t>VF Asia Lee- 3521979 (MOxy) Fall 19, Qty-3800pcs,@Peak 180,Build Up: 3 Days, Fab-,Dlvy: 27 July</t>
  </si>
  <si>
    <t>VF Asia Lee- 3408906 (Relic) Fall 19, Qty-3000pcs,@Peak 180,Build Up: 3 Days, Fab-,Dlvy: 27 July</t>
  </si>
  <si>
    <t>VF Asia Lee- 3051389 (Verona) Fall 19, Qty-6600 pcs,,@Peak 180,Build Up: 3 Days, Fab-,Dlvy: 27 July</t>
  </si>
  <si>
    <t>VF Asia Lee- 3051301 (Black) Fall 19, Qty-6300 pcs,,@Peak 180,Build Up: 3 Days, Fab-,Dlvy: 27 July</t>
  </si>
  <si>
    <t>AUGUST</t>
  </si>
  <si>
    <t>EID UL ADHA</t>
  </si>
  <si>
    <t>SEPTEMBER</t>
  </si>
  <si>
    <t>VF Asia Lee- 3381841 (Lt Indigo P) Fall 19, Qty-3099pcs,@Peak 180,Build Up: 3 Days, Fab-,Dlvy: 27 July</t>
  </si>
  <si>
    <t>VF Asia Lee- 3381901 (Black) Fall 19, Qty-3000 pcs,@Peak 180,Build Up: 3 Days, Fab-,Dlvy: 27 July</t>
  </si>
  <si>
    <t>VF Asia Lee- 3381917 (CAMDEN) Fall 19, Qty-3743 pcs,@Peak 180,Build Up: 3 Days, Fab-,Dlvy: 27 July</t>
  </si>
  <si>
    <t>VF Asia Lee- R210801 (No Refill) Fall 19, Qty-6480 pcs,@Peak 180,Build Up: 3 Days, Fab-,Dlvy: 20 July</t>
  </si>
  <si>
    <t>Zara - 9794 004 400  Quantity-60000 Pcs</t>
  </si>
  <si>
    <t>Target-USA-C-4-19(Boys), Qty- 10,94,919 Pcs</t>
  </si>
  <si>
    <t>Zara - 9794-254-400 (Marta OC 15) Qty-124327 Pcs</t>
  </si>
  <si>
    <t>Zara - 9794 234 485(Bass 861),  Qty-50,000 Pcs</t>
  </si>
  <si>
    <t>Target-USA-C-419(Mens), Qty- 3,48,049 Pcs</t>
  </si>
  <si>
    <t>Zara - 9794 243 462(Cometa 991) Qty-50,000 Pcs</t>
  </si>
  <si>
    <t>Zara - 206-406 (HI rise Agolde shorts) Qty-35,000 pcs,Fabric-21 may;Peak @220/hr Fab - 5/21; Del-30 June 15k, 7 July 10k, 14 July 10k</t>
  </si>
  <si>
    <t>Target-USA-C-4-19(Boys), Qty-105880 ,#531705 (Ranch)</t>
  </si>
  <si>
    <t>VF Asia - 3408901 (Black) Fall 19, Qty- 6300 Pcs @153/hrsPeak-170,build up-4 Days, Fab-15 April,@130/Hr, Dlvy: 24 Aug</t>
  </si>
  <si>
    <t>VF Asia Lee- 3408964 (Royel Chakra) Fall 19, Qty-3100pcs, cum 36200 o/f 36200,Fab- 30 April,@Peak 180,Build Up: 3 Days, Fab-,Dlvy: 22 July</t>
  </si>
  <si>
    <t>VF Asia Lee- 3408964 (Royel Chakra) Fall 19, Qty-3400pcs, cum 36200 o/f 36200,Fab- 30 April,@Peak 180,Build Up: 3 Days, Fab-,Dlvy: 24 Aug</t>
  </si>
  <si>
    <t>VF Asia - 3517933(Infinity) Fall 19,Qty-5800Pcs cum 20200 o/f 24200,@Peak/BU: 180/3, Fab-1st May. Del: 24 Aug</t>
  </si>
  <si>
    <t>VF Asia Lee- 35K7933 (Infinity) Fall 19, Qty-1200 pcs,@Peak 180,Build Up: 3 Days, Fab-,Dlvy: 20 July</t>
  </si>
  <si>
    <t>VF Asia - 3517971 (Liberty Blue) Fall19, Qty-3000@Peak/BU:190/4, Del: 24 Aug</t>
  </si>
  <si>
    <t>VF Asia Lee- 3521938 (Art Indigo) Fall 19, Qty-3800 pcs,@Peak 180,Build Up: 3 Days, Fab-,Dlvy: 27 July</t>
  </si>
  <si>
    <t>VF Asia Lee- 3408706 (Relic) Fall 19, Qty-3400 pcs,@Peak 180,Build Up: 3 Days, Fab-,Dlvy: 27 July</t>
  </si>
  <si>
    <t>VF Asia Lee- R210804(Fire and Ice) Fall 19, Qty-1500 pcs,@Peak 180,Build Up: 3 Days, Fab-,Dlvy: 3 Aug</t>
  </si>
  <si>
    <t>Target Aus -168866( ) Win'19, Qty-6496 pcs,o/o 6496,Peak @ 150 pcs/Hr, Fab-,Del: 21 july</t>
  </si>
  <si>
    <t>Gu -H050A (19, FW) (Projection) Qty- 56000 Pcs,Peak@240/Hrs, Del: 29 Sep</t>
  </si>
  <si>
    <t>Gu -H003A (20, Sp) (Projection) Qty- 55272Pcs,Peak@280/Hrs, Del: 7 Sep</t>
  </si>
  <si>
    <t>Zara - 205-807 (HI rise Agolde shorts: wash No-2) Qty-45,000 pcs,Peak @240/hr Fab - 5/27; Del: 25 July 15 k,30 July 10k</t>
  </si>
  <si>
    <t xml:space="preserve">BRFS Womens-493994 (FALL-1 ) , Qty- 42255 o/o 42255, Fab-19 may ,Del: 7 july </t>
  </si>
  <si>
    <t>VF Asia - 3517933(Infinity) Fall 19,Qty-7000Pcs cum 20200 o/f 24200,@Peak/BU: 180/3, Fab-3 june. Del: 20 July</t>
  </si>
  <si>
    <t>VF Asia - 35L7933(Infinity) Fall 19,Qty-1600,@Peak/BU: 180/3, Fab-3 june. Del:  20 July</t>
  </si>
  <si>
    <t>VF Asia Lee- 3381865 (Westin-new) Fall 19, Qty-3639pcs,@Peak 180,Build Up: 3 Days, Fab-3 june,Dlvy: 27 July</t>
  </si>
  <si>
    <t>Gu -H050A (20, SP) (Projection) Qty- 68950Pcs,Peak@240/Hrs, Del: 29 Sep</t>
  </si>
  <si>
    <t>Zara -877 406 (compact Skinney Long Pant) Qty-35000pcs,Fab+ Acc ready-16 June;Peak @180/hr Fab - 16 june;Del:20 June 15k,30 june 15k,7 Aug 10k,23 Aug 10k</t>
  </si>
  <si>
    <t>Zara -877 400(compact Skinney Long Pant) Qty-35000pcs,Fab+ Acc ready-16 June;Peak @180/hr Fab - 16 june;Del:20 June 15k,30 june 15k,7 Aug 10k,23 Aug 10k</t>
  </si>
  <si>
    <t>Target Aus -171073P( ) Win'19, Qty-8184 pcs,o/o 6496,Peak @ 150 pcs/Hr, Fab-,Del: 21 july</t>
  </si>
  <si>
    <t>Target Aus -174016( ) Win'19, Qty-13902 pcs,o/o 6496,Peak @ 150 pcs/Hr, Fab-,Del: 15 Aug</t>
  </si>
  <si>
    <t>Target Aus -168866( ) Win'19, Qty-5002 pcs,o/o 6496,Peak @ 150 pcs/Hr, Fab-,Del: 30 Aug</t>
  </si>
  <si>
    <t>Target Aus -168860( ) Win'19, Qty-2102 pcs,o/o 6496,Peak @ 150 pcs/Hr, Fab-,Del: 30 Aug</t>
  </si>
  <si>
    <t>Target Aus -168861( ) Win'19, Qty-4711 pcs,o/o 6496,Peak @ 150 pcs/Hr, Fab-,Del: 30 Aug</t>
  </si>
  <si>
    <t>Target Aus -168858( ) Win'19, Qty-5008 pcs,o/o 6496,Peak @ 150 pcs/Hr, Fab-,Del: 30 Aug</t>
  </si>
  <si>
    <t>Target Aus -163621( ) Win'19, Qty-5004 pcs,o/o 6496,Peak @ 150 pcs/Hr, Fab-,Del: 30 Aug</t>
  </si>
  <si>
    <t>26 Days</t>
  </si>
  <si>
    <t>Gu -H001A (20, Spring) (Projection) Qty- 56148 Pcs,Peak@230/Hrs, Del: 29 Sep</t>
  </si>
  <si>
    <t>Target-USA-C-4-19(Boys), Qty-66507 ,#531705 (Shane)</t>
  </si>
  <si>
    <t>BRFS Womens-182076, Hol-19, Qty 1000, Del-Sep</t>
  </si>
  <si>
    <t>BRFS Womens-269056, Hol-19, Qty 900, Del-Sep</t>
  </si>
  <si>
    <t>BRFS Mens-493994 Hol-19, Qty-6618, Del-sep.</t>
  </si>
  <si>
    <t>Zara - 9794 243 462(Cometa 991) Qty-69,000 Pcs</t>
  </si>
  <si>
    <t>Zara -902 4000 () Qty-2027pcs,Del:10 Sep</t>
  </si>
  <si>
    <t>Target Aus -174008( ) Sum-20, Qty- pcs,o/o 6496,Peak @ 150 pcs/Hr, Fab-,Del: 30 Aug</t>
  </si>
  <si>
    <t>Target Aus -168858( ) Sum 20, Qty-5008 pcs,o/o 6496,Peak @ 150 pcs/Hr, Fab-,Del: 30 Aug</t>
  </si>
  <si>
    <t>BRFS Womens-245574, Hol-19, Qty 792, Del-Sep</t>
  </si>
  <si>
    <t>Target Aus -193044( ) Sum 20 Q2, Qty-1115pcs,Peak @ 150 pcs/Hr, Fab-,Del: 15 Sep</t>
  </si>
  <si>
    <t>Target Aus -168861( ) Sum 20 Q2, Qty-4711 pcs,o/o 6496,Peak @ 150 pcs/Hr, Fab-,Del: 30 Aug</t>
  </si>
  <si>
    <t>Target Aus -176647( ) Sum 20 Q2, Qty-3500 pcs,o/o 6496,Peak @ 150 pcs/Hr, Fab-,Del: 15 Aug</t>
  </si>
  <si>
    <t>Target Aus -168856( ) Sum 20, Qty-4308 pcs,o/o 6496,Peak @ 150 pcs/Hr, Fab-,Del:29 Sep</t>
  </si>
  <si>
    <t>VF Asia Lee- 3591580/3591579 (Vintage) Hall 19, Qty-2000 pcs,@Peak 180,Build Up: 3 Days,Dlvy: 7-Oct</t>
  </si>
  <si>
    <t>VF Asia - 3408901 (Black) Hall 19, Qty- 3000+3500 Pcs @153/hrsPeak-170,build up-4 Days, Fab-15 April,@130/Hr, Dlvy: 7-Oct+26 Oct</t>
  </si>
  <si>
    <t>October</t>
  </si>
  <si>
    <t>Novembor</t>
  </si>
  <si>
    <t>December</t>
  </si>
  <si>
    <t>January</t>
  </si>
  <si>
    <t>February</t>
  </si>
  <si>
    <t>March</t>
  </si>
  <si>
    <t>Target-USA-C-4-19(Boys), Qty-55000 ,#533471 (Ranch)</t>
  </si>
  <si>
    <t>Target Aus -174016 Sum 20, Qty-13902 pcs,o/o 6496,Peak @ 150 pcs/Hr, Fab-,Del: 15 Aug</t>
  </si>
  <si>
    <t>Target Aus -168854/168866/168860/171074P  Sum-20, Qty-2102 pcs,o/o 6496,Peak @ 150 pcs/Hr, Fab-,Del: 30 Aug</t>
  </si>
  <si>
    <t>BRFS Womens-493615/500628/491829, Hol-19, Qty -1185, Del-Sep</t>
  </si>
  <si>
    <t>Gu -H063A (20, Sp) Qty-9,246, Fab-30-Aug, PO-21 Aug, Peak@190/Hrs, Del: 13-Jan</t>
  </si>
  <si>
    <t>Kontoor - 351797S (Expedition) Hall 19, Qty- 3000 Pcs @153/hrsPeak-170,build up-4 Days, Fab-15 April,@130/Hr, Dlvy: 21 Sep</t>
  </si>
  <si>
    <t>Kontoor - 3181533 (Infinity) Hall 19, Qty- 3000 Pcs @153/hrsPeak-170,build up-4 Days, Fab-15 April,@130/Hr, Dlvy: 28 Sep</t>
  </si>
  <si>
    <t>Kontoor - 3087528 (Renegrade) Fall'19, Qty- 2600 Pcs @130/hrs, Fab-20 march, Del: 5-Oct</t>
  </si>
  <si>
    <t>Kontoor - 35L7933(Infinity) Hall 19,Qty-2100,@Peak/BU: 180/3, Del: 7-Oct</t>
  </si>
  <si>
    <t>Kontoor- 3181501 (Black) Hall 19, Qty-1601 pcs,@Peak 180,Build Up: 3 Days,Dlvy: 28 Sep</t>
  </si>
  <si>
    <t>Kontoor- 3407739 (Shipwreck) Hall 19, Qty-1801 pcs,@Peak 180,Build Up: 3 Days,Dlvy: 7-Oct</t>
  </si>
  <si>
    <t>Kontoor- 3407756 (Crystal Water) Hall 19, Qty-1580 pcs,@Peak 180,Build Up: 3 Days,Dlvy: 7-Oct</t>
  </si>
  <si>
    <t>Kontoor- 3408928 (Renegade) Holl 19, Qty-4000 pcs,@Peak 180,Build Up: 3 Days,Dlvy: 26 Oct</t>
  </si>
  <si>
    <t>Kontoor- 338196S (Nightgame) SPR-20, Qty-4000 pcs,@Peak 180,Build Up: 3 Days,Dlvy: 26-Oct</t>
  </si>
  <si>
    <t>Kontoor- 338190M (Black) Holl 19, Qty-3000 pcs,@Peak 180,Build Up: 3 Days,Dlvy: 31-Oct</t>
  </si>
  <si>
    <t>Kontoor- 3408946 (Majestic) Holl 19, Qty-3000 pcs,@Peak 180,Build Up: 3 Days,Dlvy: 26 Oct</t>
  </si>
  <si>
    <t>Kontoor- 3408964 (Royel Chakra) Hall 19, Qty-3000pcs,@Peak 180,Build Up: 3 Days, Fab-,Dlvy: 7-Oct</t>
  </si>
  <si>
    <t>Kontoor- 3408929 (Cascade) Holl 19, Qty-3000 pcs,@Peak 180,Build Up: 3 Days,Dlvy: 7 Oct</t>
  </si>
  <si>
    <t>Target-USA-C-1-20(Boys), Qty- 5,95,000 Pcs</t>
  </si>
  <si>
    <t>Zara - 9794-254-400 (Marta OC 15) Qty-144327 Pcs</t>
  </si>
  <si>
    <t>Zara - 9794-254-400 (Marta OC 15) Qty-50,000 Pcs,Fab-15-Sep.</t>
  </si>
  <si>
    <t>Target-USA-C1-20(Mens), Qty- 3,80,000 Pcs</t>
  </si>
  <si>
    <t>T-USA</t>
  </si>
  <si>
    <t>Kontoor</t>
  </si>
  <si>
    <t>Zara</t>
  </si>
  <si>
    <t>Zara -902 400 () Qty-2027pcs,Del:10 Sep</t>
  </si>
  <si>
    <t>Gu -N020A (20, Sp) (Projection) Qty- 48100Pcs,Fab-8 Aug,PO-21 Aug,Peak@250/Hrs BU-3 Days, Del: 13 Dec</t>
  </si>
  <si>
    <t>Gu -N050A (20, Sp) (Projection) Qty-90,820,Fab-8 Aug,PO-21 Aug,Peak@250/Hrs BU: 3 Days, Del: 6-Dec/2200, 13-Dec/88620</t>
  </si>
  <si>
    <t xml:space="preserve">Kontoor - 92SSWWL 2019, Qty- 467,500 Pcs @200/hrsPeak BU-4 Days, Fab-30 Aug, Dlvy: 25-Nov/150000, 02-Dec/30000, 09-Dec/20000, 16-Dec/14000, Feb+/254500. </t>
  </si>
  <si>
    <t>Gu -H073A (20, Sp) (Projection) Qty- 25992 Pcs,Fab-20 Aug,PO-21 Aug,Peak@240/Hrs BU: 4 Days, Del: 13 Oct</t>
  </si>
  <si>
    <t xml:space="preserve">Kontoor - #338183P (Infinity) SP 20, Qty- 3000 Pcs, Fab: 13-Sep, Del: 30-Nov (P-8210PTS, Qty-6000) </t>
  </si>
  <si>
    <t xml:space="preserve">Kontoor - #338186R (Westen) SP 20, Qty- 3000 Pcs, Fab: 13-Sep, Del: 30-Nov (P-8210PTS, Qty-6000) </t>
  </si>
  <si>
    <t xml:space="preserve">Kontoor - #3196001 (Black) SP 20, Qty- 4100 Pcs, Fab: 24-Sep, Del: 23-Nov (P-8208WMS, Q-15200) </t>
  </si>
  <si>
    <r>
      <t xml:space="preserve">Kontoor - #3196017 (Camden) SP 20, Qty- 4400 Pcs, </t>
    </r>
    <r>
      <rPr>
        <b/>
        <sz val="16"/>
        <color rgb="FFFF0000"/>
        <rFont val="Arial"/>
        <family val="2"/>
      </rPr>
      <t>Fab: 23-Sep,</t>
    </r>
    <r>
      <rPr>
        <b/>
        <sz val="16"/>
        <color rgb="FFFFFF00"/>
        <rFont val="Arial"/>
        <family val="2"/>
      </rPr>
      <t xml:space="preserve"> Del: 23-Nov (P-8208WMS, Q-15200) </t>
    </r>
  </si>
  <si>
    <t xml:space="preserve">Kontoor - #338191W (White) SP 20, Qty- 4300 Pcs, Fab: 24-Sep, Del: 23-Nov (P-8208PTS, Qty-12800) </t>
  </si>
  <si>
    <t xml:space="preserve">Kontoor - #3778334 (Far Out) SP 20, Qty- 1000 Pcs, Fab: TBA, Del: 07-Dec (P-8030MS) </t>
  </si>
  <si>
    <t xml:space="preserve">Kontoor - #3530980 (Retro Stone) SP 20, Qty- 670 Pcs, Fab: TBA, Del: 30-Nov (P-8074MS) </t>
  </si>
  <si>
    <t xml:space="preserve">Kontoor - #3537055 (Prairie Blue) SP 20, Qty- 545 Pcs, Fab: TBA, Del: 30-Nov (P-8082MS) </t>
  </si>
  <si>
    <t xml:space="preserve">Kontoor - #3536698 (Loved To Death) SP 20, Qty- 715 Pcs, Fab: TBA, Del: 07-Dec (P-8144MS) </t>
  </si>
  <si>
    <t xml:space="preserve">Kontoor - #3591589 (Long Live Lee) SP 20, Qty- 1500 Pcs, Fab: TBA, Del: 30-Nov (P-8195MS) </t>
  </si>
  <si>
    <t xml:space="preserve">Kontoor - #3591594 (Vintage Oliver Herr.) SP 20, Qty- 1180 Pcs, Fab: TBA, Del: 30-Nov (P-8195MS) </t>
  </si>
  <si>
    <t xml:space="preserve">Kontoor - #3534788 (Canyon Fade) SP 20, Qty- 1450 Pcs, Fab: TBA, Del: 07-Dec (P-8266MS) </t>
  </si>
  <si>
    <t>Target Aus -184788(Black) Win-20 Q3, Qty-6501 pcs, Fab: 25-Sep, Del:  Del: 10-Nov/4500, 22-Dec/1200, 12-Jan/801</t>
  </si>
  <si>
    <t>Target Aus -174016(Light Wash) Win-20 Q3, Qty-2970 pcs, Fab: 10-Oct, Del:  Del: 03-Nov/990, 24-Nov/990, 01-Dec/990</t>
  </si>
  <si>
    <t>Target Aus -184740(Mid Wash) Win-20 Q3, Fab: 10-Oct, Qty-8700 pcs, Del:  Del: 10-Nov/7200, 22-Dec/1500</t>
  </si>
  <si>
    <t>Target Aus -189230(Indigo) Win-20 Q3, Qty-2544 pcs, Fab: 15-Oct, Del: 10-Nov</t>
  </si>
  <si>
    <t>Target Aus -191550(Light Wash) Win-20 Q3, Qty-16020 pcs, Fab: 15-Oct, Del: 8-Dec/10020, 19-Jan/1000, 16-Feb+/5000</t>
  </si>
  <si>
    <t>Target Aus -184731(Dark Wash) Win-20 Q3, Fab: 15-Oct, Qty-16480 pcs, Fab: 15-Oct, Del: 8-Dec/12480, 12-Jan++/4000</t>
  </si>
  <si>
    <t>Target Aus -183204A(Blue) Win-20 Q3, Qty-6111 pcs, Fab: 10-Oct, Del: 8-Dec/5105, 05-Jan/500, 19-Jan/506</t>
  </si>
  <si>
    <t>Target Aus -189204(Blue) Win-20 Q3, Qty-14280 pcs, Fab: TBA, Del: 8-Dec/8304, 22-Dec/996, 05-Jan/996, 19-Jan+/3984</t>
  </si>
  <si>
    <t>Target Aus -189216(Indigo) Win-20 Q3, Qty-3900 pcs, Fab: TBA, Del: 8-Dec/3156, 19-Jan/744</t>
  </si>
  <si>
    <t>Target Aus -193242(Blue) Win-20 Q3, Qty-6780 pcs, Fab: TBA, Del: 8-Dec/3792, 22-Dec/996, 5-Jan/996, 19-Jan/996</t>
  </si>
  <si>
    <t>Target Aus -193238(Indigo) Win-20 Q3, Qty-6636 pcs, Fab: TBA, Del: 8-Dec/3156, 22-Dec/492, 29-Dec/996, 5-Jan/996, 12-Jan/996</t>
  </si>
  <si>
    <t>Target Aus -184037A(Mid Blue) Win-20 Q3, Qty-6811 pcs, Fab: 1-Nov, Del: 15-Dec/2700, 22-Dec/950, 19-Jan/1660, 2-Feb/1501</t>
  </si>
  <si>
    <t>Target Aus -188267(Black) Win-20 Q3, Qty-3792 pcs, Fab: 10-Oct, Del: 15-Dec/90, 22-Dec/2910, 19-Jan/792</t>
  </si>
  <si>
    <t>Target Aus -161358(Indigo) Win-20 Q3, Qty-11008 pcs, Fab: 30-Oct, Del: 10-Nov/3000, 8-Dec/1500, 22-Dec/2002, 5-Jan+/4506</t>
  </si>
  <si>
    <t>Target Aus -189227(Indigo) Win-20 Q3, Qty-816 pcs, Fab: 20-Oct, Del: 8-Dec</t>
  </si>
  <si>
    <t>Target Aus -189305(Indigo) Win-20 Q3, Qty-816 pcs, Fab: 20-Oct, Del: 8-Dec</t>
  </si>
  <si>
    <t>Target Aus -190354(Indigo) Win-20 Q3, Qty-816 pcs, Fab: 20-Oct, Del: 8-Dec</t>
  </si>
  <si>
    <t>Target Aus -189220(Rinse) Win-20 Q3, Qty-1944 pcs, Fab: 15-Oct, Del: 8-Dec/696, 19-Jan/624, 16-Feb/624</t>
  </si>
  <si>
    <t xml:space="preserve">Kontoor - #377853W (Blue Phoen) SP 20, Qty- 3000 Pcs, Fab: 30-Sep, Del: 30-Nov (P-8243PTS, Q-3000) </t>
  </si>
  <si>
    <t xml:space="preserve">Kontoor - #3784776 (Expedition) SP 20, Qty- 3900 Pcs, Fab: 30-Sep, Del: 23-Nov (P-8265WMS, Qty-16400) </t>
  </si>
  <si>
    <t xml:space="preserve">Kontoor - #3784776 (Expedition) SP 20, Qty- 3000 Pcs, Fab: 30-Sep, Del: 28-Dec (P-8265WMS, Qty-16400) </t>
  </si>
  <si>
    <t>Target Aus -193239(Blue) Win-20 Q3, Qty-5784 pcs, Fab: 15-Oct, Del: 8-Dec/3300, 22-Dec/492, 29-Dec/996, 19-Jan/996</t>
  </si>
  <si>
    <t>Target Aus -189270B(Mid Wash) Win-20 Q3, Fab: 15-Oct, Qty-5600 pcs, Del: 8-Dec/4400, 12-Jan/1200</t>
  </si>
  <si>
    <t>T-Aus</t>
  </si>
  <si>
    <t>Target-USA-C-1-20(Boys), Qty- 4,90,000 Pcs</t>
  </si>
  <si>
    <t>Free for Zara</t>
  </si>
  <si>
    <t>Zara-Hi rise sculpt (Marta oc 15) Qty-50,000 Pcs,Fab-09-Nov.</t>
  </si>
  <si>
    <t xml:space="preserve">Kontoor - #338191T (Camden) SP 20, Qty- 4800 Pcs, Fab: 23-Sep, Del: 07-Dec (P-8208PTS, Qty-12800) </t>
  </si>
  <si>
    <t xml:space="preserve">Kontoor - #338196S (Nighygames) SP 20, Qty- 3700 Pcs, Fab: 23-Sep, Del: 07-Dec (P-8208PTS, Qty-12800) </t>
  </si>
  <si>
    <t xml:space="preserve">Kontoor - #3380401 (Black) SP 20, Qty- 3000 Pcs, Fab: 30-Sep, Del: 23-Nov (P-8260MSS, Qty-25900) </t>
  </si>
  <si>
    <t xml:space="preserve">Kontoor - #3380410 (White) SP 20, Qty- 3100 Pcs, Fab: 22-Sep, Del: 23-Nov (P-8260MSS, Qty-25900) </t>
  </si>
  <si>
    <t xml:space="preserve">Kontoor - #3784710 (White) SP 20, Qty- 5200 Pcs, Fab: TBA, Del: 30-Nov (P-8265WMS, Qty-16400) </t>
  </si>
  <si>
    <t>Target Aus -188268(Blue) Win-20 Q3, Qty-3495 pcs, Fab: 10-Oct, Del: 5-Jan/90, 12-Jan/3405</t>
  </si>
  <si>
    <t>BRFS Womens- 245574 (VMI)</t>
  </si>
  <si>
    <t>Gu -H075A (20, Sp) (Projection) Qty- 42728 Pcs,Fab-30 Aug,PO-21 Aug,Peak@220/Hrs BU-4 days, Del: 11 Oct C#60</t>
  </si>
  <si>
    <t>Gu -H075A (20, Sp) (Projection) Qty- 42728 Pcs,Fab-30 Aug,PO-21 Aug,Peak@220/Hrs BU-4 days, Del: 11 Oct C#40</t>
  </si>
  <si>
    <t>Gu -H075A (20, Sp) (Projection) Qty- 42728 Pcs,Fab-30 Aug,PO-21 Aug,Peak@220/Hrs BU-4 days, Del: 11 Oct C#67</t>
  </si>
  <si>
    <t>Kontoor- 3408964 (Royel Chakra) SPR-20, Qty-4000+4000 pcs,@Peak 180,Build Up: 3 Days, Fab-,Dlvy: 26-Oct</t>
  </si>
  <si>
    <t xml:space="preserve">Kontoor - 92SSWWL 2019, Qty- 270,000 Pcs @200/hrsPeak, Fab-30 Aug, Dlvy: 25-Nov/150000, 02-Dec/30000, 09-Dec/20000, 16-Dec/14000, Feb+/56000 </t>
  </si>
  <si>
    <t xml:space="preserve">Kontoor - #3784719 (Monaco) SP 20, Qty- 4300 Pcs, Fab: 30-Sep, Del: 23-Nov (P-8265WMS, Qty-16400) </t>
  </si>
  <si>
    <t xml:space="preserve">Kontoor - #3517971 (Liberty Blue) SP 20, Qty- 2600 Pcs, Fab: 25-Sep, Trim: 30-Sep Del: 30-Nov (P-7742MS, Q-6900) </t>
  </si>
  <si>
    <t xml:space="preserve">Kontoor - #3517976 (Expedition) SP 20, Qty- 2000 Pcs, Fab: 25-Sep, Del: 30-Nov (P-7742MS, Q-6900) </t>
  </si>
  <si>
    <t xml:space="preserve">Kontoor - #3517901 (Black) SP 20, Qty- 2300 Pcs, Fab: 25-Sep, Del: 30-Nov (P-7742MS, Q-6900) </t>
  </si>
  <si>
    <t xml:space="preserve">Kontoor - #4606214 (Dazed) SP 20, Qty- 10500 Pcs, Fab: 25-Sep, Del: 16-Nov (P-8269MSS, Qty-140400, PT-170/Hr) </t>
  </si>
  <si>
    <t xml:space="preserve">Kontoor - #460621Q (Dazed) SP 20, Qty- 3800 Pcs, Fab: 25-Sep, Del: 16-Nov (P-8269MSS, Qty-140400, PT-170/Hr) </t>
  </si>
  <si>
    <t xml:space="preserve">Kontoor - #4606209 (Moon Rock) SP 20, Qty- 17000 Pcs, Fab: 8-Oct, Del: 16-Nov (P-8269MSS, Qty-140400, PT-170/Hr) </t>
  </si>
  <si>
    <t xml:space="preserve">Kontoor - #460620V (Moon Rock) SP 20, Qty- 7500 Pcs, Fab: 8-Oct, Del: 16-Nov (P-8269MSS, Qty-140400, PT-170/Hr) </t>
  </si>
  <si>
    <t xml:space="preserve">Kontoor - #4606214 (Dazed) SP 20, Qty- 10000 Pcs, Fab: 25-Sep, Del: 07-Dec (P-8269MSS, Qty-140400, PT-170/Hr) </t>
  </si>
  <si>
    <t xml:space="preserve">Kontoor - #460620V (Moon Rock) SP 20, Qty- 3000 Pcs, Fab: 8-Oct, Del: 28-Dec (P-8269MSS, Qty-140400, PT-170/Hr) </t>
  </si>
  <si>
    <t xml:space="preserve">Kontoor - #4606209 (Moon Rock) SP 20, Qty- 9000 Pcs, Fab: 8-Oct, Del: 28-Dec (P-8269MSS, Qty-140400, PT-170/Hr) </t>
  </si>
  <si>
    <t xml:space="preserve">Kontoor - #4606201 (Black) SP 20, Qty- 17000 Pcs, Fab: 25-Sep, Del: 16-Nov (P-8269MSS, Qty-140400, PT-170/Hr) </t>
  </si>
  <si>
    <t xml:space="preserve">Kontoor - #460620M (Black) SP 20, Qty- 9000 Pcs, Fab: 25-Sep, Del: 16-Nov (P-8269MSS, Qty-140400, PT-170/Hr) </t>
  </si>
  <si>
    <t xml:space="preserve">Kontoor - #4606246 (Rainstorm) SP 20, Qty- 16000 Pcs, Fab: 08-Oct, Del: 16-Nov (P-8269MSS, Qty-140400, PT-170/Hr) </t>
  </si>
  <si>
    <t xml:space="preserve">Kontoor - #4606201 (Black) SP 20, Qty- 13700 Pcs, Fab: 25-Sep, Del: 28-Dec (P-8269MSS, Qty-140400, PT-170/Hr) </t>
  </si>
  <si>
    <t xml:space="preserve">Kontoor - #460620M (Black) SP 20, Qty- 3400 Pcs, Fab: 25-Sep, Del: 28-Dec (P-8269MSS, Qty-140400, PT-170/Hr) </t>
  </si>
  <si>
    <t xml:space="preserve">Kontoor - #3380430 (Blue Phoen) SP 20, Qty- 7100 Pcs, Fab: 27-Sep, Del: 23-Nov/4100, 7-Dec/3000 (P-8260MSS, Qty-25900) </t>
  </si>
  <si>
    <t xml:space="preserve">Kontoor - #3196066 (Nightgames) SP 20, Qty- 3500 Pcs, Fab: 23-Sep, Del: 7-Dec/3500 (P-8208WMS, Q-15200) </t>
  </si>
  <si>
    <t xml:space="preserve">Kontoor - #3196066 (Nightgames) SP 20, Qty- 3200 Pcs, Fab: 23-Sep, Del: 23-Nov/3200, (P-8208WMS, Q-15200) </t>
  </si>
  <si>
    <t xml:space="preserve">Kontoor - #3408928 (Renegade) SP 20, Qty- 2000 Pcs, Fab: 30-Sep, Del: 30-Nov (P-7743MS, Qty-15000) </t>
  </si>
  <si>
    <t xml:space="preserve">Kontoor - #34L8928 (Renegade) SP 20, Qty- 1000 Pcs, Fab: 30-Sep, Del: 30-Nov (P-7743MS, Qty-15000) </t>
  </si>
  <si>
    <t xml:space="preserve">Kontoor - #3408946 (Majestic) SP 20, Qty- 1600 Pcs, Fab: 30-Sep, Del: 30-Nov (P-7743MS, Qty-15000) </t>
  </si>
  <si>
    <t xml:space="preserve">Kontoor - #34L8946 (Majestic) SP 20, Qty- 1400 Pcs, Fab: 30-Sep, Del: 30-Nov (P-7743MS, Qty-15000) </t>
  </si>
  <si>
    <t xml:space="preserve">Kontoor - #3408929 (Cascade) SP 20, Qty- 3000 Pcs, Fab: TBA, Del: 04-Jan (P-7743MS, Qty-15000) </t>
  </si>
  <si>
    <t xml:space="preserve">Kontoor - #3408928 (Renegade) SP 20, Qty- 3000 Pcs, Fab: TBA, Del: 04-Jan (P-7743MS, Qty-15000) </t>
  </si>
  <si>
    <t xml:space="preserve">Kontoor - #3381966 (Nightgames) SP 20, Qty- 7100 Pcs, Fab: 27-Sep, Trim: 30-Sep, Del: 23-Nov/3000, 7-Dec/4100 (P-8208MSS, Q-41200 PT-180/hr) </t>
  </si>
  <si>
    <t xml:space="preserve">Kontoor - #3381917 (Camden) SP 20, Qty- 6000 Pcs, Fab: 27-Sep, Trim: 30-Sep, Del: 23-Nov/3000, 7-Dec/3000 (P-8208MSS, Q-41200 PT-180/hr) </t>
  </si>
  <si>
    <t xml:space="preserve">Kontoor - #3381930 (Blue Phoen) SP 20, Qty- 5300 Pcs, Fab: 27-Sep, Trim: 30-Sep Del: 07-Dec (P-8208MSS, Q-41200 PT-180/hr) </t>
  </si>
  <si>
    <t xml:space="preserve">Kontoor - #3381910 (White) SP 20, Qty- 3000 Pcs, Fab: 2-Oct, Trim: 10-Oct, Del: 23-Nov (P-8208MSS, Q-41200 PT-180/hr) </t>
  </si>
  <si>
    <t xml:space="preserve">Kontoor - #3381901 (Black) SP 20, Qty- 6000 Pcs, Fab: 16-Oct, Trim: 10-Oct, Del: 23-Nov/3000, 30-Nov/3000 (P-8208MSS, Q-41200 PT-180/hr) </t>
  </si>
  <si>
    <t xml:space="preserve">Kontoor - #3381910 (White) SP 20, Qty- 3000 Pcs, Fab: 24-Sep, Del: 14-Dec (P-8208MSS, Q-41200 PT-180/hr) </t>
  </si>
  <si>
    <t xml:space="preserve">Kontoor - #3381917 (Camden) SP 20, Qty- 3200 Pcs, Fab: TBA, Del: 28-Dec (P-8208MSS, Q-41200 PT-180/hr) </t>
  </si>
  <si>
    <t xml:space="preserve">Kontoor - #3193930 (Blue Phoen) SP 20, Qty- 6000 Pcs, Fab: 23-Sep, Del: 23-Nov (P-8260WMS, Qty-24800) </t>
  </si>
  <si>
    <t xml:space="preserve">Kontoor - #3193901 (Black) SP 20, Qty- 3000 Pcs, Fab: 30-Sep, Del: 23-Nov (P-8260WMS, Qty-24800) </t>
  </si>
  <si>
    <t xml:space="preserve">Kontoor - #3193910 (White) SP 20, Qty- 5200 Pcs, Fab: 22-Sep, Del: 23-Nov (P-8260WMS, Qty-24800) </t>
  </si>
  <si>
    <t xml:space="preserve">Kontoor - #3778421 (Monaco) SP 20, Qty- 5300 Pcs, Fab: 30-Sep, Del: 28-Dec (P-8265MSS, Qty-49135) </t>
  </si>
  <si>
    <t xml:space="preserve">Kontoor - #3778476 (Expedition) SP 20, Qty- 3000 Pcs, Fab: 30-Sep, Del: 28-Dec (P-8265MSS, Qty-49135) </t>
  </si>
  <si>
    <t xml:space="preserve">Kontoor - #3778443 (Grnsboro B) SP 20, Qty- 5000 Pcs, Fab: 30-Sep, Del: 23-Nov (P-8265MSS, Qty-49135) </t>
  </si>
  <si>
    <t xml:space="preserve">Kontoor - #3778421 (Monaco) SP 20, Qty- 7500 Pcs, Fab: 30-Sep, Del: 23-Nov (P-8265MSS, Qty-49135) </t>
  </si>
  <si>
    <t xml:space="preserve">Kontoor - #3778455 (Hunter Cam) SP 20, Qty- 5435 Pcs, Fab: 08-Oct, Del: 23-Nov (P-8265MSS, Qty-49135) </t>
  </si>
  <si>
    <t xml:space="preserve">Kontoor - #3778476 (Expedition) SP 20, Qty- 12000 Pcs, Fab: 30-Sep, Del: 23-Nov (P-8265MSS, Qty-49135) </t>
  </si>
  <si>
    <t xml:space="preserve">Kontoor - #3778410 (White) SP 20, Qty- 7900 Pcs, Fab: TBA, Del: 30-Nov (P-8265MSS, Qty-49135) </t>
  </si>
  <si>
    <t xml:space="preserve">Kontoor - #3778476 (Expedition) SP 20, Qty- 3000 Pcs, Fab: TBA, Del: 04-Jan (P-8265MSS, Qty-49135) </t>
  </si>
  <si>
    <t xml:space="preserve">Kontoor - #3381833 (Infinity) SP 20, Qty- 3300 Pcs, Fab: 20-Oct, Del: 7-Dec (P-8210MSS, Qty-15591) </t>
  </si>
  <si>
    <t xml:space="preserve">Kontoor - #3381833 (Infinity) SP 20, Qty- 3000 Pcs, Fab: 13-Sep &amp; 8-Oct, Del: 30-Nov/3000 (P-8210MSS, Qty-15591) </t>
  </si>
  <si>
    <t xml:space="preserve">Kontoor - #3381841 (Lt Indigo P) SP 20, Qty-1590 Pcs, Fab: 13-Sep, Del: 28-Dec (P-8210MSS, Qty-15591) </t>
  </si>
  <si>
    <t xml:space="preserve">Kontoor - #3381811 (Ecru) SP 20, Qty-1501 Pcs, Fab: TBA, Del: 4-Jan (P-8210MSS, Qty-15591) </t>
  </si>
  <si>
    <t xml:space="preserve">Kontoor - #3381865 (Westen) SP 20, Qty- 3000 Pcs, Fab: 13-Sep, Del: 30-Nov (P-8210MSS, Qty-15591) </t>
  </si>
  <si>
    <t xml:space="preserve">Kontoor - #3381865 (Westen) SP 20, Qty- 3200 Pcs, Fab: 20-Oct, Del: 30-Nov (P-8210MSS, Qty-15591) </t>
  </si>
  <si>
    <t xml:space="preserve">Kontoor - #3193976 (Expedition) SP 20, Qty- 3300 Pcs, Fab: 23-Sep, Del: 23-Nov (P-8260WMS, Qty-24800) </t>
  </si>
  <si>
    <t>Target Aus -184739(Light Wash) Win-20 Q3, Fab: 10-Oct, Qty-4800 pcs, Del: 22-Dec</t>
  </si>
  <si>
    <t>Gu -N076A (20, Sp) Qty-52,364, Fab-30-Aug, PO-21 Aug, Peak@240/Hrs BU-3 Days, Del: 30-Dec Col#64/27160</t>
  </si>
  <si>
    <t xml:space="preserve">Kontoor - #3778539 (Bewitched) SP 20, Qty- 3400 Pcs, Fab: 30-Sep, Del: 30-Nov (P-8243MSS, Q-25901) </t>
  </si>
  <si>
    <t xml:space="preserve">Kontoor - #3778526 (Camden) SP 20, Qty- 3000 Pcs, Fab: 30-Sep, Del: 30-Nov (P-8243MSS, Q-25901) </t>
  </si>
  <si>
    <t xml:space="preserve">Kontoor - #3778530 (Blue Phoen) SP 20, Qty- 3900 Pcs, Fab: 30-Sep, Del: 30-Nov (P-8243MSS, Q-25901) </t>
  </si>
  <si>
    <t xml:space="preserve">Kontoor - #3778544 (Rinse) SP 20, Qty- 4400 Pcs, Fab: 30-Sep, Del: 30-Nov (P-8243MSS, Q-25901) </t>
  </si>
  <si>
    <t xml:space="preserve">Kontoor - #3778585 (Dazedleopa) SP 20, Qty- 3000 Pcs, Fab: TBA, Del: 30-Nov (P-8243MSS, Q-25901) </t>
  </si>
  <si>
    <t xml:space="preserve">Kontoor - #3778501 (Black) SP 20, Qty- 3700 Pcs, Fab: 23-Sep, Del: 30-Nov (P-8243MSS, Q-25901) </t>
  </si>
  <si>
    <t>Gu -N076A (20, Sp) Qty-52,364, Fab-30-Aug, PO-21 Aug, Peak@240/Hrs BU-3 Days, Del: 30-Dec Col#01,#68/27300</t>
  </si>
  <si>
    <t xml:space="preserve">Kontoor - #3778539 (Bewitched) SP 20, Qty- 1501 Pcs, Fab: TBA, Del: 28-Dec (P-8243MSS, Q-25901) </t>
  </si>
  <si>
    <t>Target Aus -186058P(Indigo) Win-20 Q4, Qty-1700 pcs, Fab: TBA, Del: 23-Feb/1200, 22-Mar/500</t>
  </si>
  <si>
    <t xml:space="preserve">Kontoor - #3778410 (White) SP 20, Qty- 3300 Pcs, Fab: TBA, Del: 28-Dec (P-8265MSS, Qty-49135) </t>
  </si>
  <si>
    <t>Gu -H076A (20, Sp) (Projection) Qty- 32172 Pcs,Fab-20 Aug,PO-21 Aug,Peak@200/Hrs BU-4 Days, Del: 13-Dec C#67/9619</t>
  </si>
  <si>
    <t>Gu -H076A (20, Sp) (Projection) Qty- 32172 Pcs,Fab-20 Aug,PO-21 Aug,Peak@200/Hrs BU-4 Days, Del: 13-Dec C#40/C#60/22553</t>
  </si>
  <si>
    <t xml:space="preserve">Kontoor - #460624S (Rainstorm) SP 20, Qty- 4800 Pcs, Fab: 08-Oct, Del: 16-Nov (P-8269MSS, Qty-140400, PT-170/Hr) </t>
  </si>
  <si>
    <t xml:space="preserve">Kontoor - #3380410 (White) SP 20, Qty- 5300 Pcs, Fab: 20-Nov, Del: 14-Dec (P-8260MSS, Qty-25900) </t>
  </si>
  <si>
    <t>Zara - 934-400(Authentic classic ;Fabric Maddona LS 001) Qty-3800pcs,Peak @180/hr Fab:10-Oct, Del: 25-Oct</t>
  </si>
  <si>
    <t>BRFS Womens- 245574, Qty- 2400, Del: 30-Oct</t>
  </si>
  <si>
    <t>Zara - 243 462(Cometa 991) Qty-2300 Pcs Fab: 30-Sep, Del: 10-Nov</t>
  </si>
  <si>
    <t>Zara - 206 406(Cometa 991) Qty-950 Pcs Fab: 30-Sep, Del: 10-Nov</t>
  </si>
  <si>
    <t xml:space="preserve">Kontoor - #3534765 (Tie Dye High) SP 20, Qty- 1800 Pcs, Fab: TBA, Del: 7-Dec (P-7993MS) </t>
  </si>
  <si>
    <t>VF Asia Lee- 3521800 (BeachWD BL) Fall 19, Qty-3000pcs,@Peak 180,Build Up: 3 Days, Fab-,Dlvy: 27 July</t>
  </si>
  <si>
    <t>Target Aus -168886(Sand) Sum-19 Q2, Qty-500 (Short Quantity)</t>
  </si>
  <si>
    <t xml:space="preserve">Kontoor - #377853V (Bewitched) SP 20, Qty- 3000 Pcs, Fab: 30-Sep, Del: 030-Nov (P-8243PTS, Q-6000) </t>
  </si>
  <si>
    <t xml:space="preserve">Kontoor - #3380430 (Blue Phoen) SP 20, Qty- 3000 Pcs, Fab: 25-Oct, Del: 7-Dec/3000 (P-8260MSS, Qty-25900) </t>
  </si>
  <si>
    <t>BRFS</t>
  </si>
  <si>
    <t>O:31</t>
  </si>
  <si>
    <t>O:36</t>
  </si>
  <si>
    <t>C/O</t>
  </si>
  <si>
    <t>Target Aus -184724(Light Wash) Win-20 Q3, Qty-14800 pcs, Fab:10-Oct, Del: 8-Dec/6000, 12-Jan/3000, 26-Jan++/5800</t>
  </si>
  <si>
    <t>Target Aus -161358(Indigo) Win-20 Q3, Qty-10008 pcs,  Fab:30-Sep, Del: 10-Nov/3000, 29-Dec/1500, 12-Jan++/6508</t>
  </si>
  <si>
    <t>Target Aus -161356(Black) Win-20 Q3, Qty-13304 pcs, Fab: 30-Sep, Del:  Del: 10-Nov/3000, 29-Dec/2500, 12-Jan++/7804</t>
  </si>
  <si>
    <t>Target Aus -163437(Blue) Win-20 Q3, Qty-11580 pcs, Fab: 30-Oct, Del: 10-Nov/3060, 29-Dec/1500, 12-Jan/2004, 26-Jan++/5016</t>
  </si>
  <si>
    <t>Target Aus -174009(Black) Win-20 Q3, Qty-6810 pcs, Pick Tgt: 190/hr., Fab:30-Sep, Del: 22-Dec/3405, 19-Jan/3405</t>
  </si>
  <si>
    <t>Target Aus -182004(Mid Wash) Win-20 Q3, Qty-1500 pcs, Fab: 10-Oct, Del: 5-Jan/1100, 9-Feb/400</t>
  </si>
  <si>
    <t>Target Aus -183221(Blue) Win-20 Q3, Qty-6750 pcs, Fab: 10-Oct, Del: 22-Dec/4125, 26-Jan++/2625</t>
  </si>
  <si>
    <t>Target Aus -189269(Rinse) Win-20 Q3, Qty-1300 pcs, Fab: 10-Oct, Del: 5-Jan/900, 9-Feb/400</t>
  </si>
  <si>
    <t>Target Aus -193191(Blue) Win-20 Q3, Qty-1100 pcs, Fab: 10-Oct, Del: 5-Jan/900, 9-Feb/200</t>
  </si>
  <si>
    <t>Target Aus -189307(Indigo) Win-20 Q3, Qty-816 pcs, Fab:20-Oct, Del: 15-Dec</t>
  </si>
  <si>
    <t>Target Aus -190229(Rinse) Win-20 Q3, Fab: 10-Sep, Qty-1400 pcs, Del: 5-Jan/900, 9-feb/500</t>
  </si>
  <si>
    <t>Target Aus -190269(Rinse) Win-20 Q3, Qty-1400 pcs, Del: 5-Jan/900, 9-Feb/500</t>
  </si>
  <si>
    <t>Target Aus -184723B(Black) Win-20 Q3, Qty-15504 pcs, Fab: 31-Oct, Del: 8-Dec/6000, 12-Jan/3504, 26-Jan++/6000</t>
  </si>
  <si>
    <t>Target Aus -184746B(Mid Wash) Win-20 Q3, Qty-13500 pcs,Fab: 15-Oct, Del: 15-Dec/6000, 19-Jan/3000, 16-Feb/4500</t>
  </si>
  <si>
    <t>Target Aus -184746B(Mid Wash) Win-20 Q3, Qty-13500 pcs, Fab: 15-Oct, Del: 15-Dec/6000, 19-Jan/3000, 16-Feb/4500</t>
  </si>
  <si>
    <t>Target Aus -184749B(Black) Win-20 Q3, Qty-12000 pcs, Fab: 15-Oct,  Del: 8-Dec/6000, 19-Jan/3000, 16-Feb/3000</t>
  </si>
  <si>
    <t>Total</t>
  </si>
  <si>
    <t>Maddox</t>
  </si>
  <si>
    <t>CRD</t>
  </si>
  <si>
    <t>TBA</t>
  </si>
  <si>
    <t>Target-USA #533471 (Boys-Ranch), C2'20 Qty-12500, Fab: TBA, Del: 31-Jan++</t>
  </si>
  <si>
    <t>Target-USA #531705 (Boys-Molton), C2'20 Qty-10819, Fab: TBA, Del: 31-Jan++</t>
  </si>
  <si>
    <t>Target-USA #531705 (Boys-Shane), C2'20 Qty-11000, Fab: TBA, Del: 31-Jan++</t>
  </si>
  <si>
    <t xml:space="preserve">Kontoor - #4606246 (Rainstorm) SP 20, Qty- 12300 Pcs, Fab: 08-Oct, Del: 21-Dec/1000, 28-Dec/11300 (P-8269MSS, Qty-140400, PT-170/Hr) </t>
  </si>
  <si>
    <t>Gu -H050A (20SS) Qty- 30000 Pcs,Peak@240/Hrs, Del: 04-Jan, Fab: 05-Dec, #01-5424, #64-9600, #67-14976</t>
  </si>
  <si>
    <t>Target-USA #552521 (Mens-Fishbone), C2'20 Qty-7560, Fab: TBA, Del: 27-Feb++</t>
  </si>
  <si>
    <t>Target-USA #552521 (Mens-Gerad), C2'20 Qty-7752, Fab: TBA, Del: 27-Feb++</t>
  </si>
  <si>
    <t>Target-USA #546363 (Mens-Cola), C2'20 Qty-20328, Fab: TBA, Del: 5-Mar++</t>
  </si>
  <si>
    <t>Target Aus -194853(TBA) Win-20 Q3, Qty-4800 pcs, Fab:TBA, Del: 22-Dec</t>
  </si>
  <si>
    <t xml:space="preserve">Kontoor - #3778359 (Retro Pink) SP 20, Qty- 600 Pcs, Fab: TBA, Del: 07-Dec (P-8030MS) </t>
  </si>
  <si>
    <t xml:space="preserve">Kontoor - #3381966 (Nightgames) SP 20, Qty- 4600 Pcs, Fab: 23-Sep, Del: 04-Jan (P-8208MSS, Q-41200 PT-180/hr) </t>
  </si>
  <si>
    <t xml:space="preserve">Kontoor - #3381901 (Black) SP 20, Qty- 3000 Pcs, Fab: 30-Sep, Del: 04-Jan (P-8208MSS, Q-41200 PT-180/hr) </t>
  </si>
  <si>
    <t xml:space="preserve">Kontoor - #3193901 (Black) SP 20, Qty- 3000 Pcs, Fab: TBA, Del: 11-Jan (P-8260WMS, Qty-24800) </t>
  </si>
  <si>
    <t xml:space="preserve">Kontoor - #3193930 (Blue Phoen) SP 20, Qty- 4300 Pcs, Fab: TBA, Del: 13-Jan (P-8260WMS, Qty-24800) </t>
  </si>
  <si>
    <t>Target Aus -177574(White) Win-20 Q3, Qty-4008 pcs, Fab:3-Dec, Del: 15-Dec/3000, 12-Jan/1008</t>
  </si>
  <si>
    <t xml:space="preserve">Kontoor - #3408901 (Black) SP 20, Qty- 3000 Pcs, Fab: TBA, Del: 11-Jan (P-7743MS, Qty-15000) </t>
  </si>
  <si>
    <t xml:space="preserve">Kontoor - #3380430 (Blue Phoen) SP 20, Qty- 4000 Pcs, Fab: TBA, Del: 11-Jan (P-8260MSS, Qty-25900) </t>
  </si>
  <si>
    <t xml:space="preserve">Kontoor - #3380401 (Black) SP 20, Qty- 3400 Pcs, Fab: TBA, Del: 11-Jan (P-8260MSS, Qty-25900) </t>
  </si>
  <si>
    <t>Target Aus -191578(Mid Wash) Win-20 Q4, Qty-11500, Fab: TBA, Del: 8-Mar/8500</t>
  </si>
  <si>
    <t>Target Aus -195117(Mid Wash) Win-20 Q4, Qty-1500 pcs, Fab: TBA, Del: 5-Apr</t>
  </si>
  <si>
    <t>Wed</t>
  </si>
  <si>
    <t>Thu</t>
  </si>
  <si>
    <t>Fri</t>
  </si>
  <si>
    <t>Sat</t>
  </si>
  <si>
    <t>Sun</t>
  </si>
  <si>
    <t>Mon</t>
  </si>
  <si>
    <t>Tue</t>
  </si>
  <si>
    <t>PRODUCTION PLAN FLOW CHART FOR THE MONTH OF: April</t>
  </si>
  <si>
    <t>PRODUCTION PLAN FLOW CHART FOR THE MONTH OF: May</t>
  </si>
  <si>
    <t>Zara- 9794 051 400(Sum-20 )</t>
  </si>
  <si>
    <t>Target-USA-C1-20 (535248-Davies)</t>
  </si>
  <si>
    <t>Target-USA-C1-20 (563378-Brezze)</t>
  </si>
  <si>
    <t>Target-USA-C1-20 (543145-Caleb)</t>
  </si>
  <si>
    <t>Target-USA-C1-20 (558369-Mohawk)</t>
  </si>
  <si>
    <t>Zara-Damaged Mom fit 807(Sum-20)</t>
  </si>
  <si>
    <t>Target-USA-C1-20 (558369-Cartridge)</t>
  </si>
  <si>
    <t>Zara-Mini Flare (Boli OC 834)</t>
  </si>
  <si>
    <t>Target-USA-C1-20 (522960-Hiltop)</t>
  </si>
  <si>
    <t>Zara-Damaged Mom fit 401(Sum-20)</t>
  </si>
  <si>
    <t>Zara-Damaged Mom fit 400(Sum-20)</t>
  </si>
  <si>
    <t>Zara-Damaged Mom fit 407(Sum-20)</t>
  </si>
  <si>
    <t>Target-USA-C1-20 (563379-Lakeside)</t>
  </si>
  <si>
    <t>Target-USA-C1-20 (563377-Hazy)</t>
  </si>
  <si>
    <t>Target-USA-C1-20 (537913-Bristol)</t>
  </si>
  <si>
    <t>Target-USA-C1-20 (543390-Happy)</t>
  </si>
  <si>
    <t>Target-USA-C1-20 (531688-Thurmond)</t>
  </si>
  <si>
    <t>Target-USA-C1-20 (563383-Winter Tan)</t>
  </si>
  <si>
    <t>Target-USA-C1-20 (563383-Peat Moss)</t>
  </si>
  <si>
    <t>Target-USA-C1-20 (531690-West)</t>
  </si>
  <si>
    <t xml:space="preserve">Target-USA-C1-20 (534658-Dust Bowl) </t>
  </si>
  <si>
    <t>Target-USA-C1-20 (546725-Brax)</t>
  </si>
  <si>
    <t>Target-USA-C2-20 (543390-Carefree)</t>
  </si>
  <si>
    <t>Target-USA-C2-20 (543390-Happy)</t>
  </si>
  <si>
    <t>Target-USA-C2-20 (537913-Bristol)</t>
  </si>
  <si>
    <t>Target-USA-C2-20 (522960-Hiltop)</t>
  </si>
  <si>
    <t>Target-USA-C2-20 (563378-Brezze)</t>
  </si>
  <si>
    <t>Target-USA-C1-20 (558352-Cordura)</t>
  </si>
  <si>
    <t>Target-USA-C2-20 (543145-Caleb)</t>
  </si>
  <si>
    <t>Target-USA-C2-20 (567146-Hemera)</t>
  </si>
  <si>
    <t>Target-USA-C2-20 (563382-Bloom)</t>
  </si>
  <si>
    <t>Target-USA-C2-20 (563377-Hazy)</t>
  </si>
  <si>
    <t>Target-USA-C2-20 (563379-Lakeside)</t>
  </si>
  <si>
    <t>Target-USA-C2-20 (563383-Winter Tan)</t>
  </si>
  <si>
    <t>Target-USA-C1-20 (543390-Carefree)</t>
  </si>
  <si>
    <t>Target-USA-C2-20 (531688-Thurmond)</t>
  </si>
  <si>
    <t>Target-USA-C2-20 (531691-Davies)</t>
  </si>
  <si>
    <t>Target-USA-C2-20 (558369-Mohawk)</t>
  </si>
  <si>
    <t>Target-USA-C2-20 (558369-Cartridge)</t>
  </si>
  <si>
    <t>Target-USA-C2-20 (565336-Falcon)</t>
  </si>
  <si>
    <t>Target-USA-C2-20 (535248-Davies)</t>
  </si>
  <si>
    <t>Target-USA-C2-20 (558369-Vladimir)</t>
  </si>
  <si>
    <t>Target-USA-C2-20 (552515-Davies)</t>
  </si>
  <si>
    <t>EID-UL-FITR
HOLIDAY</t>
  </si>
  <si>
    <t>Target-USA-C3-20 Boys, Qty-10,42,762</t>
  </si>
  <si>
    <t>Target-USA-C3-20 Mens, Qty-4,78,832</t>
  </si>
  <si>
    <t>Target-USA-C3-20 OU, Qty-77,141</t>
  </si>
  <si>
    <t>PRODUCTION PLAN FLOW CHART FOR THE MONTH OF: June</t>
  </si>
  <si>
    <t>KB</t>
  </si>
  <si>
    <t>8HR</t>
  </si>
  <si>
    <t>8Hr</t>
  </si>
  <si>
    <t>9Hr</t>
  </si>
  <si>
    <t>10Hr</t>
  </si>
  <si>
    <t>CAL</t>
  </si>
  <si>
    <t>CGL</t>
  </si>
  <si>
    <t>Boys</t>
  </si>
  <si>
    <t>ITB</t>
  </si>
  <si>
    <t>Mens</t>
  </si>
  <si>
    <t>Season</t>
  </si>
  <si>
    <t>Target Aus -189220(Rinse) Win-20 Q4, Qty-2016 pcs, Fab: TBA, Del: 8-Mar/1008, 29-Mar/1008</t>
  </si>
  <si>
    <t>Target Aus -183207(Indigo) Win-20 Q4, Qty-4784 pcs, Fab: TBA, Del: 8-Mar/84, 15-Mar/3900</t>
  </si>
  <si>
    <t>Target Aus -161356(Black) Win-20 Q4, Qty-11992 pcs, Fab: 10-Jan, Del: 1-Mar to 12-Apr/7992, 26-Apr/4000</t>
  </si>
  <si>
    <t>Target Aus -163437(Blue) Win-20 Q4, Qty-8976 pcs, Fab: 10-Jan, Del: 1-Mar to 12-Apr/5976, 26-Apr+/3000</t>
  </si>
  <si>
    <t>Target Aus -169254(Blue) Win-20 Q4, Qty-5000 pcs, Fab: 10-Jan, Del: 1-Mar/4000, 5-Apr/1000</t>
  </si>
  <si>
    <t>Target Aus -183221(Blue) Win-20 Q4, Qty-1250 pcs, Fab: 10-Jan, Del: 16-Feb</t>
  </si>
  <si>
    <t>Target Aus -184722(Dark Wash) Win-20 Q4, Qty-11400 pcs, Fab: 10-Jan, Del: 2-Feb/4500, 15-Mar/3100, Rest:3800</t>
  </si>
  <si>
    <t>Target Aus -184724(Blue) Win-20 Q4, Qty-8600 pcs, Fab: 10-Jan, Del: 9-Feb/5600, 22-Mar/3000</t>
  </si>
  <si>
    <t>Target Aus -184731(Dark Wash) Win-20 Q4, Fab: TBA, Qty-8000 pcs, Fab: TBA, Del: 15-Mar/1000/week</t>
  </si>
  <si>
    <t>Target Aus -188267(Black) Win-20 Q4, Qty-1606, Fab: 10-Jan, Del: 16-Feb/803, 22-Mar/803</t>
  </si>
  <si>
    <t>Target Aus -189207(Washed Blue) Win-20 Q4, Qty-8112 pcs, Fab: 10-Jan, Del: 2-Feb to 16-Feb/3108, 1-Mar++/5004</t>
  </si>
  <si>
    <t>Target Aus -190355(TBA) Win-20 Q4, Qty-3348 pcs, Fab: 10-Jan, Del: 2-Feb</t>
  </si>
  <si>
    <t xml:space="preserve">Target Aus -193238(Indigo) Win-20 Q4, Qty-8224 pcs, Fab: 10-Jan, Del: 16-Feb++/3024, 5-Apr/4000, 12-Apr/1200 </t>
  </si>
  <si>
    <t>Target Aus -193239(Blue) Win-20 Q4, Qty-2736 pcs, Fab: 5-Jan, Del: 16-Feb/1008, 1-Mar++</t>
  </si>
  <si>
    <t>Target Aus -193242(Blue) Win-20 Q4, Qty-6200 pcs, Fab: 10-Jan, Del: 16-Feb to 22-Mar/4200, 5-Apr/2000</t>
  </si>
  <si>
    <t>Target Aus -184723B(Black) Win-20 Q4, Qty-9300 pcs, Fab: 5-Jan, Del: 9-Feb/6000, 22-Mar/3300.</t>
  </si>
  <si>
    <t xml:space="preserve">Kontoor - #2015042 (Maddox) Sum 20, Qty- 6700 Pcs, Fab: TBA, Del: 25-Jan (P-7025MW) </t>
  </si>
  <si>
    <t xml:space="preserve">Kontoor - #2015443 (Theo) Sum 20, Qty- 3000 Pcs, Fab: TBA, Del: 25-Jan (P-7434MW) </t>
  </si>
  <si>
    <t xml:space="preserve">Kontoor - #2015143 (Theo) Sum 20, Qty- 3000 Pcs, Fab: TBA, Del: 25-Jan (P-7920MW) </t>
  </si>
  <si>
    <t xml:space="preserve">Kontoor - #2015475 (Zander) Sum 20, Qty- 3000 Pcs, Fab: TBA, Del: 25-Jan (P-7434MW) </t>
  </si>
  <si>
    <t xml:space="preserve">Kontoor - #2015275 (Zander) Sum 20, Qty- 3000 Pcs, Fab: TBA, Del: 25-Jan (P-7449MW) </t>
  </si>
  <si>
    <t xml:space="preserve">Kontoor - #2015279 (Blue Strike) Sum 20, Qty- 3000 Pcs, Fab: TBA, Del: 25-Jan (P-7449MW) </t>
  </si>
  <si>
    <t>Kontoor_Mens #2015279(Blue Strike) Sum 20, QTY: 8200, Fab: TBA, Del: 15-Feb</t>
  </si>
  <si>
    <t>Kontoor_Mens #2015443(Theo) Sum 20, QTY: 3000, Fab: TBA, Del: 15-Feb</t>
  </si>
  <si>
    <t>Kontoor_Mens #2015275(Zander) Sum 20, QTY: 5000, Fab: TBA, Del: 15-Feb</t>
  </si>
  <si>
    <t>Kontoor_Mens #2015042(Maddox) Sum 20, QTY: 4000, Fab: TBA, Del: 15-Feb</t>
  </si>
  <si>
    <t xml:space="preserve">Kontoor - #4606246 (Rainstorm) Sum 20, Qty- 9000 Pcs, Fab: TBA, Del: 25-Jan (P-8269MSS) </t>
  </si>
  <si>
    <t xml:space="preserve">Kontoor - #4606201 (Black) Sum 20, Qty- 12000 Pcs, Fab: TBA, Del: 25-Jan (P-8269MSS) </t>
  </si>
  <si>
    <t xml:space="preserve">Kontoor - #460620M (Black) Sum 20, Qty- 3800 Pcs, Fab: TBA, Del: 25-Jan (P-8269MSS) </t>
  </si>
  <si>
    <t xml:space="preserve">Kontoor - #4606209 (Moon Rock) Sum 20, Qty- 9000 Pcs, Fab: TBA Del: 25-Jan (P-8269MSS) </t>
  </si>
  <si>
    <t xml:space="preserve">Kontoor - #4606214 (Dazed) Sum 20, Qty- 5000 Pcs, Fab: TBA, Del: 25-Jan (P-8269MSS) </t>
  </si>
  <si>
    <t xml:space="preserve">Kontoor - #3408964 (Royal Chakra) Sum 20, Qty- 3000 Pcs, Fab: TBA, Del: 25-Jan (P-7743MS) </t>
  </si>
  <si>
    <t xml:space="preserve">Kontoor - #3408946 (Majestic) Sum 20, Qty- 3000 Pcs, Fab: TBA, Del: 25-Jan (P-7743MS) </t>
  </si>
  <si>
    <t xml:space="preserve">Kontoor - #3408901 (Black) Sum 20, Qty- 3000 Pcs, Fab: TBA, Del: 25-Jan (P-7743MS) </t>
  </si>
  <si>
    <t xml:space="preserve">Kontoor - #3784776 (Expedition) Sum 20, Qty- 3900 Pcs, Fab: TBA, Del: 25-Jan (P-8265WMS, Qty-16400) </t>
  </si>
  <si>
    <t xml:space="preserve">Kontoor - #3778476 (Expedition) Sum 20, Qty- 5600 Pcs, Fab: TBA, Del: 25-Jan (P-8265MSS, Qty-49135) </t>
  </si>
  <si>
    <t xml:space="preserve">Kontoor - #3381910 (White) Sum 20, Qty- 3600 Pcs, Del: 25-Jan (P-8208MSS) </t>
  </si>
  <si>
    <t>Gu -H001A (20SS) Qty- 20124 Pcs,Peak@250/Hrs, Fab: 12-Jan, Del: 16-Feb, #60-4968/#64-7248/#68-7908.</t>
  </si>
  <si>
    <t>Target Aus -161358(Indigo) Win-20 Q3, Qty-11008 pcs, Fab: 30-Oct, Del: 10-Nov/3000, 29-Dec/1500, 12-Jan/2002, 26-Jan+/4506</t>
  </si>
  <si>
    <t>Target Aus -186058P(Indigo) Win-20 Q3, Qty-4400 pcs, Fab: 10-Jan, Del: 12-Jan/3800</t>
  </si>
  <si>
    <t>Gu -N087A (20SS) Qty-58624 Pcs,Peak@230/Hrs, FAB: 27-Dec, #62 (35,211) Del: 18-Jan/3908, 23-Jan/4489, 25-Jan/7134, 30-Jan/6684, 5-Feb/12996</t>
  </si>
  <si>
    <t>Gu -N087A (20SS) Qty-58624 Pcs,Peak@230/Hrs, FAB: 27-Dec, #68 (23,413) Del: 18-Jan/3508, 23-Jan/4019, 25-Jan/4450, 30-Jan/3444, 5-Feb/7992</t>
  </si>
  <si>
    <t>Gu -H050A (20SS) Qty- 19,956 Pcs,Peak@290/Hrs, Fab: 12-Jan, Del: 06-Feb, #01-2004/#64-12948/#67-5004</t>
  </si>
  <si>
    <t>Black</t>
  </si>
  <si>
    <t>PRODUCTION PLAN FLOW CHART FOR THE MONTH OF: July</t>
  </si>
  <si>
    <t>PRODUCTION PLAN FLOW CHART FOR THE MONTH OF: August</t>
  </si>
  <si>
    <t>EID</t>
  </si>
  <si>
    <t>-UL AZHA
HOLIDAY</t>
  </si>
  <si>
    <t>Target-USA-C3-20 ITB, Qty-2,81,006</t>
  </si>
  <si>
    <t>OU</t>
  </si>
  <si>
    <t>T-AUS</t>
  </si>
  <si>
    <t>Target-USA-C3-20 Boys-Jacket, Qty-10,42,762</t>
  </si>
  <si>
    <t>Gu -N086A (20SS) (Projection) Qty-2376 Pcs,Peak@105/Hrs, FAB: 25-Dec, Del: 26-Jan</t>
  </si>
  <si>
    <t xml:space="preserve">Kontoor - #3380401 (Black) Sum 20, Qty- 3900 Pcs, Fab: 30-Dec, Del: 25-Jan (P-8260MSS) </t>
  </si>
  <si>
    <t xml:space="preserve">Kontoor - #3380430 (Blue Phoen) Sum 20, Qty- 4100 Pcs, Fab: OK, Del: 25-Jan (P-8260MSS) </t>
  </si>
  <si>
    <t>Target-USA #569486 (Boys-Ebony), C2'20 Qty-12477, Fab: 31-Dec, Del: 31-Jan++</t>
  </si>
  <si>
    <t>Target Aus -190356(Washed Black) Win-20 Q4, Qty-5352 pcs, Fab: 28-Dec, Del: 2-Feb/3000, 9-Feb/2352</t>
  </si>
  <si>
    <t xml:space="preserve">Kontoor - #3408928 (Renegade) Fall 20, Qty- 3000 Pcs, Fab: TBA, Del: 28-Mar (P-7743MS) </t>
  </si>
  <si>
    <t xml:space="preserve">Kontoor - #3408946 (Majestic) Fall 20, Qty- 3000 Pcs, Fab: TBA, Del: 25-Apr (P-7743MS) </t>
  </si>
  <si>
    <t>Zara-9794 036 400(Sum-20)</t>
  </si>
  <si>
    <t>Zara-9794 036 401(Sum-20)</t>
  </si>
  <si>
    <t>Zara-9794 036 407(Sum-20)</t>
  </si>
  <si>
    <t>Zara-9794 036 807(Sum-20)</t>
  </si>
  <si>
    <t>Target-USA-C2-20 (552516-Tia Sophia)</t>
  </si>
  <si>
    <t>Zara- 9794 041 400(Sum-20 )</t>
  </si>
  <si>
    <t>Target-USA-C2-20 (552514-Amalaya op-01)</t>
  </si>
  <si>
    <t xml:space="preserve">Kontoor - #460620M (Black) Sum 20, Qty- 4100 Pcs, Fab: TBA, Del: 29-Feb (P-8269MSS) </t>
  </si>
  <si>
    <t xml:space="preserve">Kontoor - #4606201 (Black) Sum 20, Qty- 10100 Pcs, Fab: TBA, Del: 29-Feb (P-8269MSS) </t>
  </si>
  <si>
    <t xml:space="preserve">Kontoor - #4606209 (Moon Rock) Sum 20, Qty- 12432 Pcs, Fab: TBA Del: 29-Feb (P-8269MSS) </t>
  </si>
  <si>
    <t xml:space="preserve">Kontoor - #460620V (Moon Rock) Sum 20, Qty- 5300 Pcs, Fab: TBA Del: 29-Feb (P-8269MSS) </t>
  </si>
  <si>
    <t xml:space="preserve">Kontoor - #4606214 (Dazed) Sum 20, Qty- 8070 Pcs, Fab: TBA, Del: 29-Feb (P-8269MSS) </t>
  </si>
  <si>
    <t xml:space="preserve">Kontoor - #4606246 (Rainstorm) Sum 20, Qty- 12200 Pcs, Fab: TBA, Del: 29-Feb (P-8269MSS) </t>
  </si>
  <si>
    <r>
      <t xml:space="preserve">Kontoor - #3196017 (Camden) Sum 20, Qty- 3000 Pcs, </t>
    </r>
    <r>
      <rPr>
        <b/>
        <sz val="16"/>
        <color rgb="FFFF0000"/>
        <rFont val="Arial"/>
        <family val="2"/>
      </rPr>
      <t>Fab: TBA,</t>
    </r>
    <r>
      <rPr>
        <b/>
        <sz val="16"/>
        <color rgb="FFFFFF00"/>
        <rFont val="Arial"/>
        <family val="2"/>
      </rPr>
      <t xml:space="preserve"> Del: 29-Feb (P-8208WMS) </t>
    </r>
  </si>
  <si>
    <t xml:space="preserve">Kontoor - #3380430 (Blue Phoen) Fall 20, Qty- 1751 Pcs, Fab: TBA, Del: 02-May (P-8260MSS) </t>
  </si>
  <si>
    <t>Nightshade</t>
  </si>
  <si>
    <t>Seattle</t>
  </si>
  <si>
    <t>352203R</t>
  </si>
  <si>
    <t>352207T</t>
  </si>
  <si>
    <t>Kontoor - #3087101 (Black) Fall 20, Qty- 1501 Pcs, Fab: TBA, Del: 6-Jun</t>
  </si>
  <si>
    <t>Gu -H076A (20, Sp) (Short Qty) Qty- 2320 Pcs,Fab-14-Jan, Del: 26-Jan</t>
  </si>
  <si>
    <t>Gu -N060A (20SS) Qty-13480 Pcs,Peak@190/Hrs, FAB: 25-Dec, Del: 09-Feb</t>
  </si>
  <si>
    <t>Kontoor - 92SSWWL Sum 20, Qty- 83,500 Pcs @200/hrsPeak, Fab-OK, Del: 12-Mar/41750, 26-Mar/41,750</t>
  </si>
  <si>
    <t>Target Aus -191550(Light Wash) Win-20 Q4, Qty-1500 pcs, Fab: 28-Dec, Del: 28-Apr/1500</t>
  </si>
  <si>
    <t>Target Aus -184749B(Black) Win-20 Q4, Qty-3000 pcs, Fab: TBA, Del: 22-Mar/1500, 19-Apr/1500,</t>
  </si>
  <si>
    <t>Target Aus -184037A(Mid Blue) Win-20 Q4, Qty-1980 pcs, Fab: 30-Dec, Del: 22-Mar++/1980</t>
  </si>
  <si>
    <t>Target Aus -161358(Indigo) Win-20 Q4, Qty-9991 pcs,  Fab: 10-Jan, Del: 16-Feb/1494, 1-Mar++ Rest</t>
  </si>
  <si>
    <t>Kontoor_Mens #2161535(JET) Sum 20, QTY: 145,300, Fab: TBA, Del: 11-Apr/90,300, 18-Apr/15,000, 25-Apr/30000, 2-May/10000</t>
  </si>
  <si>
    <t>Gu -F052A (20FW) Qty- 40,240 Pcs, Peak@180/Hrs, Fab: 25-Jan, Del: 4-Apr/10,240, 13-May/30,000</t>
  </si>
  <si>
    <t>Kontoor - 92SSWWL, Fall 20, Qty- 186,626 Pcs @200/hrsPeak, Fab-15-Feb, Del: 21-Apr/44,800, 5-May/21,826, 19-May/60,000, 2-Jun/60,000</t>
  </si>
  <si>
    <t>Target Aus -184723B(Black) Win-20 Q4, Qty-9304 pcs, Fab: 5-Jan, Del: 15-Mar/3160, 22-Mar/1800, 12-Apr+/4344.</t>
  </si>
  <si>
    <t>Kontoor_Mens #2015475(Zander) Sum 20, QTY: 3000, Fab: 28-Jan, Del: 21-Mar</t>
  </si>
  <si>
    <t>Kontoor_Mens #MRB47MY(Melody) Sum 20, QTY: 3000, Fab: 23-Jan, Del: 9-Apr</t>
  </si>
  <si>
    <t>Kontoor_Mens #2015247(Bruiser) Sum 20, QTY: 12000, Fab: 12-Feb &amp; 24-Feb, Del: 28-Mar</t>
  </si>
  <si>
    <t>Kontoor_Mens #2015443(Theo) Sum 20, QTY: 3000, Fab: 26-Jan, Del: 4-Apr</t>
  </si>
  <si>
    <t>Kontoor_Mens #2018319(Pacific) Sum 20, QTY: 13600, Fab: 30-Jan, Del: 21-Mar/3,500, 28-Mar/10,100.</t>
  </si>
  <si>
    <t>Kontoor_Mens #2015475(Zander) Sum 20, QTY: 3000, Fab: 26-Jan, Del: 4-Apr</t>
  </si>
  <si>
    <t>Gu -H001A (20SS) Qty- 9,972 Pcs,Peak@250/Hrs, Fab: 25-Jan, Del: 14-Mar, #60-4968/#64-7248/#68-7908.</t>
  </si>
  <si>
    <t>Target Aus -193242(Blue) Win-20 Q4, Qty-6200 pcs, Fab: 19-Feb, Del: 16-Feb to 22-Mar/4200, 5-Apr/2000</t>
  </si>
  <si>
    <t>Target Aus -189205(Indigo) Win-20 Q4, Qty-10361 pcs, Fab: 05-Feb, Del: 2-Feb/5040, 9-Feb/1320, 1-Mar/996, 22-Mar/996, 5-Apr/2000</t>
  </si>
  <si>
    <t xml:space="preserve">Target Aus -189211(Indigo) Win-20 Q4, Qty-12360 pcs, Fab: 5-Feb, Del: 2-Feb to 16-Feb/4320, 1-Mar++/8040, </t>
  </si>
  <si>
    <t>Shane</t>
  </si>
  <si>
    <t>Ranch</t>
  </si>
  <si>
    <t xml:space="preserve">Kontoor - #3517901 (Black) SP 20, Qty- 3000 Pcs, Fab: TBA, Del: 06-Jun (P-7742MS) </t>
  </si>
  <si>
    <r>
      <t xml:space="preserve">Kontoor_Mens #2105279_BT(Blue Strike) Sum 20, QTY: 1100, Fab: 01-Feb, Del: 28-Mar, </t>
    </r>
    <r>
      <rPr>
        <b/>
        <sz val="16"/>
        <color rgb="FFFF0000"/>
        <rFont val="Arial"/>
        <family val="2"/>
      </rPr>
      <t>Sample Approval Jan-30</t>
    </r>
  </si>
  <si>
    <t>Kontoor_Mens #2018357(Inked) Sum 20, QTY: 13360, Fab: 10-Feb, Del: 21-Mar/3500, 28-Mar/9860, Sample App 8-Feb</t>
  </si>
  <si>
    <t>Kontoor_Mens #2161535(JET) Sum 20, QTY: 145,300, Fab: 30-Jan, Del: 11-Apr/90,300, 18-Apr/15,000, 25-Apr/30000, 2-May/10000, Sample App 2-Feb</t>
  </si>
  <si>
    <t>Gu -H050A (20FW) Qty- 21,024 Pcs,Peak@290/Hrs, Fab: 26-Jan,  Del: 12-Mar</t>
  </si>
  <si>
    <t>Target Aus -184724(Blue) Win-20 Q4, Qty-8608 pcs, Fab: 10-Jan, Del: 15-Mar/3160, 22-Mar/1504, 12-Apr+/3960</t>
  </si>
  <si>
    <t>Kontoor_Mens #2018312(Majestic) Sum 20, QTY: 12,960, Fab: 04-Feb, Del: 21-Mar/3700, 28-Mar/9260, Sample App 8-Feb</t>
  </si>
  <si>
    <t>Kontoor_Mens #2015247(Bruiser) Sum 20, QTY: 12000, Fab: 22-Feb &amp; 24-Feb, Del: 28-Mar</t>
  </si>
  <si>
    <t>Kontoor_Mens #2015274(Wipeout) Sum 20, QTY: 3000, Fab: 22-Feb &amp; 24-Feb, Del: 28-Mar</t>
  </si>
  <si>
    <t>Kontoor_Mens #2015048 (Viking) Sum 20, QTY: 16000, Fab: 22-Feb &amp; 24-Feb, Del: 28-Mar</t>
  </si>
  <si>
    <t>Kontoor_Mens #2015149(Lewie) Sum 20, QTY: 5500, Fab: 22-Feb &amp; 24-Feb, Del: 28-Mar</t>
  </si>
  <si>
    <t>Zara- 9794 093 400(Sum-20 )</t>
  </si>
  <si>
    <t>Zara- 9794 093 400(Sum-20 ) Qty-35,000</t>
  </si>
  <si>
    <t>Zara-9794 036 401(Sum-20) Qty-50,000</t>
  </si>
  <si>
    <t>Target-USA-C3-20 Mens, Qty-4,78,832, Jacket</t>
  </si>
  <si>
    <t xml:space="preserve">Kontoor - #3408946 (Majestic) SUM 20, Qty- 4600 Pcs, Fab: 15-Feb, Del: 28-Mar (P-7743MS) </t>
  </si>
  <si>
    <t xml:space="preserve">Kontoor - #3408964 (Royal Chakra) SUM 20, Qty- 3000 Pcs, Fab: 15-Feb, Del: 28-Mar (P-7743MS) </t>
  </si>
  <si>
    <t xml:space="preserve">Kontoor - #3408901 (Black) SUM 20, Qty- 3600 Pcs, Fab: 15-Feb, Del: 28-Mar (P-7743MS) </t>
  </si>
  <si>
    <t xml:space="preserve">Kontoor - #3408928 (Renegade) SUM 20, Qty- 3400 Pcs, Fab: 15-Feb, Del: 28-Mar (P-7743MS) </t>
  </si>
  <si>
    <t>Ran</t>
  </si>
  <si>
    <t>Mol</t>
  </si>
  <si>
    <t>Sha</t>
  </si>
  <si>
    <t>Kontoor_Mens #2105275_BT (Zander) Sum 20, QTY: 1200, Fab: 28-Jan, Del: 21-Mar, Sample Approval Jan-30</t>
  </si>
  <si>
    <t>COLA</t>
  </si>
  <si>
    <t>Gerad</t>
  </si>
  <si>
    <t>FB</t>
  </si>
  <si>
    <t>Target-USA-C-3-20(Mens-Fishbone), Qty-13,596, #552521, Fab: 26-Jan, Del: 30-Apr (Plan-7050)</t>
  </si>
  <si>
    <t>Target-USA-C-3-20(Mens-Gerad), Qty-10,392,#552521, Fab: 26-Jan, Del: 30-Apr (Plan-4978)</t>
  </si>
  <si>
    <t>Target-USA-C-3-20(Mens-Gerad), Qty-9,646,#552521, Fab: 26-Jan, Del: 30-Apr (Plan-9022)</t>
  </si>
  <si>
    <t>Target-USA-C-3-20(Mens-Fishbone), Qty-13,596, #552521, Fab: 26-Jan, Del: 30-Apr (Plan-3650)</t>
  </si>
  <si>
    <t>Target-USA-C-3-20(Mens-Cola), Qty-25,668, #546363, Fab: 16-Feb, Del: 30-Apr/8910 (Plan-12000)</t>
  </si>
  <si>
    <t>Gu -F052A (20FW) Qty- 40,240 Pcs, Peak@240/Hrs, Fab: 25-Jan, Del: 4-Apr/10,240, 13-May/30,000</t>
  </si>
  <si>
    <t>Kontoor_Mens #2090131(Price) Sum 20, QTY: 3750, Fab: OK, Del: 11-Apr (Proto: 8329MW)</t>
  </si>
  <si>
    <t>Gu -N076A (20SS Projection) Qty-10000, Fab-13-Apr, Peak@240/Hrs, Del: 20-May</t>
  </si>
  <si>
    <t>Kontoor, Fall'20, #3538937 (Medium Blue) Qty: 500, FAB: TBA, DEL: 16-May</t>
  </si>
  <si>
    <t>Kontoor_Mens #2015279(Blue Strike) Sum 20, QTY: 2128, Fab: 1-Feb, Del: 28-Mar</t>
  </si>
  <si>
    <t>Kontoor_Mens #2018324(Executive) Sum 20, QTY: 14,993, Fab: 16-Feb, Del: 28-Mar</t>
  </si>
  <si>
    <t>Kontoor - #3522001 (Black) Fall 20, Qty- 23,800 Pcs, Fab: OK, Rest-17/2, Del: 04-Apr/9000, 18-Apr/11000, 6-Jun/3800</t>
  </si>
  <si>
    <t>Kontoor - #3522006 (Gray Denim) Fall 20, Qty- 16,600 Pcs, Fab: 20-Feb &amp; 2-Mar, Del: 04-Apr/7000, 18-Apr/3400, 9-May/3000, 6-Jun/3200</t>
  </si>
  <si>
    <t>Kontoor - #3522026 (Anchor) Fall 20, Qty- 63,400 Pcs, Fab: 16-Feb, Del: 28-Mar/14000 Pcs</t>
  </si>
  <si>
    <t>Kontoor - #3522095 (Seattle) Fall 20, Qty- 64,500 Pcs, Fab: 16-Feb, Del: 04-Apr/14000 Pcs</t>
  </si>
  <si>
    <t>Kontoor - #3522077 (Nightshade) Fall 20, Qty- 53,500 Pcs, Fab: 16-Feb, Del: 28-Mar/11000 Pcs</t>
  </si>
  <si>
    <t>Kontoor - #352202S (Anchor) Fall 20, Qty- 18,000 Pcs, Fab: 18-Apr, Del: 9-May/3000 Pcs</t>
  </si>
  <si>
    <t>Kontoor - #352202S (Anchor) Fall 20, Qty- 18,000 Pcs, Fab: 9-May, Del: 6-Jun/3000 Pcs</t>
  </si>
  <si>
    <t>Kontoor - #3522001 (Black) Fall 20, Qty- 23,800 Pcs, Fab: OK, Rest-17/2, Del: 6-Jun/3800</t>
  </si>
  <si>
    <t>T-AUS, Sum'21(Q1), #201340 (Black) Qty: 5690, FAB: TBA, DEL: 3-May/4290 (Del:10-May App)</t>
  </si>
  <si>
    <t>T-AUS, Sum'21(Q1), #199980 (MID Wash) Qty: 5490, FAB: TBA, DEL: 3-May/4290 (Del:10-May App)</t>
  </si>
  <si>
    <t>RANCH</t>
  </si>
  <si>
    <t>MOLTON</t>
  </si>
  <si>
    <t>SHANE</t>
  </si>
  <si>
    <t>FISHBONE</t>
  </si>
  <si>
    <t xml:space="preserve">GERAD </t>
  </si>
  <si>
    <t>Gu -F050A (20FW) Qty- 45,000 Pcs, Peak@270/Hrs, Fab: 12-Mar, Del: 10-Apr/45,000</t>
  </si>
  <si>
    <t>Gu -F072A (20FW) (Projection) Qty-25,870 Pcs, Peak@TBA/Hrs, Del: 29-May</t>
  </si>
  <si>
    <t>here</t>
  </si>
  <si>
    <t>Freeze</t>
  </si>
  <si>
    <t>332K</t>
  </si>
  <si>
    <t>Target-USA-C4-20, Qty-15,00,000. Plan (13,000,000)</t>
  </si>
  <si>
    <t>PRODUCTION PLAN FLOW CHART FOR THE MONTH OF: September</t>
  </si>
  <si>
    <t>PRODUCTION PLAN FLOW CHART FOR THE MONTH OF: October</t>
  </si>
  <si>
    <t>STL</t>
  </si>
  <si>
    <t>COLOR</t>
  </si>
  <si>
    <t>30-Aug</t>
  </si>
  <si>
    <t>BU</t>
  </si>
  <si>
    <t>Column3</t>
  </si>
  <si>
    <t>T-AUS, Sum'21(Q1), #161356 Qty: 3600, FAB: TBA, DEL: 10-May/1800</t>
  </si>
  <si>
    <t>T-AUS, Sum'21(Q1), #161358 Qty: 3000, FAB: TBA, DEL: 10-May/1500</t>
  </si>
  <si>
    <t>T-AUS, Sum'21(Q1), #163437 Qty: 2000, FAB: TBA, DEL: 10-May/1000</t>
  </si>
  <si>
    <t>T-AUS, Sum'21(Q1), #184722 Qty: 2400, FAB: TBA, DEL: 10-May/1200</t>
  </si>
  <si>
    <t>T-AUS, Sum'21(Q1), #184724 Qty: 4000, FAB: TBA, DEL: 10-May/1600</t>
  </si>
  <si>
    <t>T-AUS, Sum'21(Q1), #184731 Qty: 2400, FAB: TBA, DEL: 10-May/1200</t>
  </si>
  <si>
    <t>T-AUS, Sum'21(Q1), #189205 Qty: 7000, FAB: TBA, DEL: 3-May/2000</t>
  </si>
  <si>
    <t>T-AUS, Sum'21(Q1), #189211 Qty: 6000, FAB: TBA, DEL: 3-May/2000</t>
  </si>
  <si>
    <t>T-AUS, Sum'21(Q1), #191550 Qty: 1600, FAB: TBA, DEL: 10-May/800</t>
  </si>
  <si>
    <t>T-AUS, Sum'21(Q1), #191578 Qty: 1600, FAB: TBA, DEL: 10-May/800</t>
  </si>
  <si>
    <t>T-AUS, Sum'21(Q1), #193238 Qty: 7000, FAB: TBA, DEL: 3-May/2000</t>
  </si>
  <si>
    <t>T-AUS, Sum'21(Q1), #193242 Qty: 6200, FAB: TBA, DEL: 3-May/1500</t>
  </si>
  <si>
    <t>T-AUS, Sum'21(Q1), #198714 Qty: 2000, FAB: TBA, DEL: 21-Jun/2000</t>
  </si>
  <si>
    <t>Fall'20</t>
  </si>
  <si>
    <t>92SSWWL</t>
  </si>
  <si>
    <t>WILSON</t>
  </si>
  <si>
    <t>20-Jun</t>
  </si>
  <si>
    <t>27-Jun</t>
  </si>
  <si>
    <t>92SSWWL(Projection)</t>
  </si>
  <si>
    <t>30-Jul</t>
  </si>
  <si>
    <t>30-Sep</t>
  </si>
  <si>
    <t>96UFMBB</t>
  </si>
  <si>
    <t>Blue Banks</t>
  </si>
  <si>
    <t>Wright Blue</t>
  </si>
  <si>
    <t>Coastal Blue</t>
  </si>
  <si>
    <t>Seaside Indigo</t>
  </si>
  <si>
    <t>Wilson</t>
  </si>
  <si>
    <t>Peak Tgt</t>
  </si>
  <si>
    <t>Fab</t>
  </si>
  <si>
    <t>LEE Misses</t>
  </si>
  <si>
    <t>11 Blank</t>
  </si>
  <si>
    <t>KONTOOR</t>
  </si>
  <si>
    <t>4-Jul</t>
  </si>
  <si>
    <t>Renegade</t>
  </si>
  <si>
    <t>Royal Chakra</t>
  </si>
  <si>
    <t>35L7933</t>
  </si>
  <si>
    <t>Infinity</t>
  </si>
  <si>
    <t>FW'20</t>
  </si>
  <si>
    <t>60120F121A</t>
  </si>
  <si>
    <t>#65, #68</t>
  </si>
  <si>
    <t>1-May</t>
  </si>
  <si>
    <t>60120F127A</t>
  </si>
  <si>
    <t>60120F001A</t>
  </si>
  <si>
    <t>13-Mar</t>
  </si>
  <si>
    <t>12-Apr</t>
  </si>
  <si>
    <t>#65, #68, #80</t>
  </si>
  <si>
    <t>VF Asia Lee- 2015145 (Echo) Sp 19, Qty-23000pcs,Fab- 15 June, @Peak 150,Build Up: 3 Days, Fab-,Dlvy: 27 July</t>
  </si>
  <si>
    <t>VF Asia Lee- 3408928 (Renegade) Fall 19, Qty-13300 pcs,, Fab-,@Peak 180,Build Up: 3 Days, Fab-,Dlvy: 24 Aug</t>
  </si>
  <si>
    <t>Target-USA-C-4-19(Boys-Ebony), Qty-22517, #559486 Del: 2-Oct/15760, 9-Oct/4000, 16-Oct/2757</t>
  </si>
  <si>
    <t>VF Asia - 3517976( Expedition) Sp 19,Qty-4200 Pcs, @Peak/BU: 180/3, Fab-1st May. Del:  24 Aug</t>
  </si>
  <si>
    <t>Kontoor - 35L7976( Expedition) Hall 19,Qty-2400Pcs, @Peak/BU: 180/3, Del:  7-Oct</t>
  </si>
  <si>
    <t>Target-USA-C-1-20(Mens-Cola), Qty-10440, #546363, Fab: 15-Nov, Del:12-Jan onward/4968 Pcs</t>
  </si>
  <si>
    <t>Target-USA-C-3-20(Boys-Shane), Qty-87,861, #569245, Fab: TBA, Del: TBA</t>
  </si>
  <si>
    <t>VF Asia Lee- 3381811 (Ecru) Fall 19, Qty-3103pcs,, @Peak 180,Build Up: 3 Days, Fab-,Dlvy: 27 July</t>
  </si>
  <si>
    <t>VF Asia - 3536601/3591581( Vintage) Holl 19,Qty-1000 Pcs, @Peak/BU: 180/3, Fab-1st May. Del:  24 Aug</t>
  </si>
  <si>
    <t>Target-USA-C-1-20(Boys-Ranch), Qty-53608, #533471, Fab: 1-Aug, Del: 15-Oct/26700, 29-Oct/16150, 12-Nov/10758</t>
  </si>
  <si>
    <t>Target-USA-C-1-20(Mens-Fishbone), Qty-29046, #552521, Fab: In-House, Del: 29-Sep/13008,</t>
  </si>
  <si>
    <t>Target-USA-C-3-20(Boys-Molton), Qty-76,919, #569245, Fab: TBA, Del: TBA</t>
  </si>
  <si>
    <t>Gu - F001A (20, SP) (Projection) Qty- 56162Pcs,Peak@270/Hrs,,  Del: 29 Sep</t>
  </si>
  <si>
    <t>VF Asia - 3538079/980( Vintage) Holl 19,Qty-1000 Pcs, @Peak/BU: 180/3, Fab-1st May. Del:  24 Aug</t>
  </si>
  <si>
    <t>Target-USA-C-4-19(Boys), Qty-55000, #533471 (Ranch)</t>
  </si>
  <si>
    <t>Target-USA-C-1-20(Mens-Cola), Qty-7608, #546363, Fab: 07-Sep, Del: 10-Nov/807, 24-Nov/1540, 15-Dec/2793, 10-Jan/2468.</t>
  </si>
  <si>
    <t>Target-USA-C-3-19(Menss), Qty-546363, # (Cola)</t>
  </si>
  <si>
    <t>Target-USA-C-1-20(Mens), Qty-66520, #552521 (Gerad)</t>
  </si>
  <si>
    <t>VF Asia Lee- 3381833 (Infinity) Fall 19, Qty-4000pcs,, @Peak 180,Build Up: 3 Days, Fab-3 june,Dlvy: 27 July</t>
  </si>
  <si>
    <t>Target-USA-C-4-19(Boys), Qty-66507, #531705 (Shane)</t>
  </si>
  <si>
    <t>Target-USA-C-1-20(Mens-Gerad), Qty-30379, # 552521, Fab: In-House, Del: 29-Sep/13008</t>
  </si>
  <si>
    <t>Target-USA-C-1-20(Boys-Shane), Qty-42270, #531705, Fab: 29-Aug, Del: 15-Oct/21160, 29-Oct/12640, 12-Nov/8470</t>
  </si>
  <si>
    <t xml:space="preserve">BRFS Womens-493994 (FALL-1 ),  Qty- 42255 o/o 42255, Fab-19 may, Del: 7 july </t>
  </si>
  <si>
    <t>Target-USA-C-4-19(Boys), Qty-66520, #531705 (Molton)</t>
  </si>
  <si>
    <t>Target-USA-C-1-20(Mens-Fishbone), Qty-29046, #552521, Fab: 15-Nov, Del: 12-Jan onward/11414 Pcs</t>
  </si>
  <si>
    <t>Target-USA-C-3-20(Boys-Ranch), Qty-113,190, #569214, Fab: TBA, Del: TBA</t>
  </si>
  <si>
    <t>Target-USA-C-4-19(Boys), Qty-105880, #531705 (Shane)</t>
  </si>
  <si>
    <t>Target-USA-C-4-19(Boys), Qty-105880, #531705 (Ranch)</t>
  </si>
  <si>
    <t>Target-USA-C-1-20(Mens-Fishbone), Qty-29046, #552521, Fab: 20-Sep, Del: 10-Nov/1743, 24-Nov/3978, 15-Dec/5733, 10-Jan/4584.</t>
  </si>
  <si>
    <t>Target-USA-C-1-20(Mens-Gerad), Qty-30379, #552521, Fab: 20-Sep, Del: 10-Nov/1889, 24-Nov/4309, 15-Dec/6209, 10-Jan/4964.</t>
  </si>
  <si>
    <t>Target-USA-C-4-19(Boys), Qty-105880, #531705 (Molton)</t>
  </si>
  <si>
    <t>Target-USA-C-4-19(Boys), Qty-55000, #531705 (Molton)</t>
  </si>
  <si>
    <t>Target-USA-C-1-20(Boys), Qty-66520, #552521 (Fishbone)</t>
  </si>
  <si>
    <t>Target-USA-C-1-20(Boys-Molton), Qty-42224, #531705, Fab: 29-Aug, Del: 15-Oct/21160, 29-Oct/12640, 12-Nov/8424</t>
  </si>
  <si>
    <t>Target-USA-C-4-19(Boys), Qty-66520, #531705 (Shane)</t>
  </si>
  <si>
    <t>Target-USA-C-1-20(Mens-Gerad), Qty-30379, #552521, Fab: 15-Nov, Del: 12-Jan onward/13253 Pcs</t>
  </si>
  <si>
    <t>Gu -F050A (20FW) Qty- 49,093 Pcs, Peak@300/Hrs, Fab: 12-Mar, Del: 19-Apr</t>
  </si>
  <si>
    <t>60120F087A</t>
  </si>
  <si>
    <t>10-May</t>
  </si>
  <si>
    <t>20-May</t>
  </si>
  <si>
    <t>Target Aus -189211(Indigo) Win-20 Q4, Qty-12360 pcs, Fab: 5-Feb, Del: 2-Feb to 16-Feb/4320, 1-Mar++/8040, Bal-2390</t>
  </si>
  <si>
    <t>Target Aus -189205(Indigo) Win-20 Q4, Qty-10361 pcs, Fab: 05-Feb, Del:, 5-Apr/2000, Bal-1750</t>
  </si>
  <si>
    <t>Target Aus -193238(Indigo) Win-20 Q4, Qty-8224 pcs, Fab: 10-Jan, Del: 16-Feb++/3024, 5-Apr/4000, 12-Apr/1200, Bal-4075</t>
  </si>
  <si>
    <t>GU, FW'20,  #60120F001A (#65, #68, #80) Qty: 37692, FAB: 13-Mar, DEL: 19-Apr Peak Tgt: 230, BU-3 (#64, 12,338 Pcs)</t>
  </si>
  <si>
    <t>GU, FW'20,  #60120F001A (#65, #68, #80) Qty: 37692, FAB: 13-Mar, DEL: 19-Apr Peak Tgt: 230, BU-3 (#80, 9,475 Pcs, Fab: 1-Apr, Del: 5-May) #68/15,879</t>
  </si>
  <si>
    <t>GU, FW'20,  #60120F087A (TBA) Qty: 15000, FAB: 1-Apr, DEL: 10-May Peak Tgt: 230, BU-3</t>
  </si>
  <si>
    <t>Gu -N050A (20SS Projection) Qty-30000, Fab-15-Apr, Peak@250/Hrs, Del: 20-May</t>
  </si>
  <si>
    <t>GU, FW'20,  #60120F121A (Projection) Qty- 10,000 Pcs, Peak@180/Hrs, Fab: 18-Apr, Del: 17-May(PH-3)</t>
  </si>
  <si>
    <t>T-AUS, Sum'21(Q1), #197690B (Light Wash) Qty: 4406, FAB: TBA, DEL: 3-May/3900</t>
  </si>
  <si>
    <t>T-AUS, Sum'21(Q1), #198921B (Blue) Qty: 4603, FAB: TBA, DEL: 3-May/2997</t>
  </si>
  <si>
    <t>T-AUS, Sum'21(Q1), #163437 (Blue) Qty: 5997, FAB: TBA, DEL: 10-May/1000 (Plan-1997)</t>
  </si>
  <si>
    <t>T-AUS, Sum'21(Q1), #198920 (Black) Qty: 5390, FAB: TBA, DEL: 3-May/3388</t>
  </si>
  <si>
    <t>Sum'21(Q1)</t>
  </si>
  <si>
    <t>White</t>
  </si>
  <si>
    <t>5-Jul</t>
  </si>
  <si>
    <t>7-Jun</t>
  </si>
  <si>
    <t>201146B</t>
  </si>
  <si>
    <t>Blue</t>
  </si>
  <si>
    <t>WFFSJCR</t>
  </si>
  <si>
    <t>Carnie Red</t>
  </si>
  <si>
    <t>16-May</t>
  </si>
  <si>
    <t>Sum'20</t>
  </si>
  <si>
    <t>Bering Sea cord</t>
  </si>
  <si>
    <t>6-Jun</t>
  </si>
  <si>
    <t>MRB47BL</t>
  </si>
  <si>
    <t>Blues</t>
  </si>
  <si>
    <t>18-Jul</t>
  </si>
  <si>
    <t>Executive</t>
  </si>
  <si>
    <t>11-Jul</t>
  </si>
  <si>
    <t>Sum'21(Q2)</t>
  </si>
  <si>
    <t>PROJECTION</t>
  </si>
  <si>
    <t>Apr-Jun</t>
  </si>
  <si>
    <t>BL-135, SL-95</t>
  </si>
  <si>
    <t>Avg</t>
  </si>
  <si>
    <t>60120F028A</t>
  </si>
  <si>
    <t>GU, FW'20,  #60120F028A (TBA) Qty: 31670, FAB: TBA, DEL: 30-Jul, Peak Tgt: TBA, BU-TBA</t>
  </si>
  <si>
    <t>Kontoor_Mens #MRB47SR(Synthesizer) Sum 20, QTY: 5000, Fab: 23-Jan, Del: 9-Apr</t>
  </si>
  <si>
    <t>Majestic</t>
  </si>
  <si>
    <t>Gu -F064A (20FW) (Projection) Qty- 8,516 Pcs, Peak@200/Hrs, Fab: 15-Apr, Del: 18-May</t>
  </si>
  <si>
    <t>Gu -F070A (20FW) (Projection) Qty- 1500 Pcs, Peak@220/Hrs, Fab: 15-Apr, Del: 18-May</t>
  </si>
  <si>
    <t>Gu -F072A (20FW) (Projection) Qty-25,870 Pcs, Peak@TBA/Hrs, Fab: 23-Mar, Del: 31-May</t>
  </si>
  <si>
    <t>Gu -F073A (20FW) (Projection) Qty- 1236 Pcs, Peak@220/Hrs, Fab: 23-Mar, Del: 06-May</t>
  </si>
  <si>
    <t>GU, FW'20,  #60120F121A (#65, #68) Qty: 20297, FAB: 23-Mar, DEL: 1-May Peak Tgt: 180/Hrs, BU-TBA (Rev Del: 29-Apr/288, 3-Jun/19980)</t>
  </si>
  <si>
    <t>GU, FW'20,  #60120F087A (TBA) Qty: 15000, FAB: 12-Apr, DEL: 10-May Peak Tgt: 230, BU-3</t>
  </si>
  <si>
    <t>9794 234 400</t>
  </si>
  <si>
    <t>Sum'21</t>
  </si>
  <si>
    <t>Sum'22</t>
  </si>
  <si>
    <t>Sum'23</t>
  </si>
  <si>
    <t>8-Apr</t>
  </si>
  <si>
    <t>OK</t>
  </si>
  <si>
    <t>9794 014 407</t>
  </si>
  <si>
    <t>18-May</t>
  </si>
  <si>
    <t>9794 093 400</t>
  </si>
  <si>
    <t>ZARA, Sum'21,  #9794 234 400 () Qty: 2554, FAB: OK, DEL: 8-Apr, Peak Tgt: TBA, BU-TBA</t>
  </si>
  <si>
    <t>Target-USA-C-3-20(Mens-Cola), Qty-25,668, #546363, Fab: 16-Feb, Del: 30-Apr/8910 (Plan-12000), Bal: 2860</t>
  </si>
  <si>
    <t>Target-USA-C-3-20(Boys-Ranch), Qty-113,190, #569214, Fab: TBA, Del: TBA, Bal: 12500</t>
  </si>
  <si>
    <t>Target-USA-C-3-20(Boys-Molton), Qty-76,919, #569245, Fab: TBA, Del: TBA, Bal: 26750</t>
  </si>
  <si>
    <t>Target-USA-C-3-20(Mens-Fishbone), Qty-13,596, #552521, Fab: 26-Jan, Del: 30-Apr (Plan-7050), Bal: 1350</t>
  </si>
  <si>
    <t>Target-USA-C-3-20(Boys-Shane), Qty-87,861, #569245, Fab: TBA, Del: TBA, Bal: 15950</t>
  </si>
  <si>
    <t>EID
-UL-
FITR
HOLIDAY</t>
  </si>
  <si>
    <t>KONTOOR, Fall'20,  #2161535 (JET) Qty: 15000, FAB: X-XXX, DEL: 20-Apr, Peak Tgt: 160, BU-5, Bln: 15000</t>
  </si>
  <si>
    <t>KONTOOR, Fall'20,  #2161535 (JET) Qty: 30000, FAB: X-XXX, DEL: 27-Apr, Peak Tgt: 160, BU-5, Bln: 30000</t>
  </si>
  <si>
    <t>KONTOOR, Fall'20,  #92SSWWL (WILSON) Qty: 21826, FAB: X-XXX, DEL: 5-May, Peak Tgt: 200, BU-3, Bln: 21826</t>
  </si>
  <si>
    <t>KONTOOR, Fall'20,  #92SSWWL (WILSON) Qty: 60000, FAB: X-XXX, DEL: 19-May, Peak Tgt: 200, BU-3, Bln: 60000</t>
  </si>
  <si>
    <t>KONTOOR, Fall'20,  #92SSWWL (WILSON) Qty: 60000, FAB: X-XXX, DEL: 2-Jun, Peak Tgt: 200, BU-3, Bln: 60000</t>
  </si>
  <si>
    <t>KONTOOR, Fall'20,  #92SSWWL (WILSON) Qty: 50000, FAB: X-XXX, DEL: 16-Jun, Peak Tgt: 200, BU-3, Bln: 50000</t>
  </si>
  <si>
    <t>KONTOOR, Sum'20,  #2090120 (Kansas Fade) Qty: 3750, FAB: X-XXX, DEL: 13-Apr, Peak Tgt: 180, BU-3, Bln: 3390</t>
  </si>
  <si>
    <t>KONTOOR, Sum'20,  #2090101 (Black) Qty: 3459, FAB: X-XXX, DEL: 13-Apr, Peak Tgt: 180, BU-3, Bln: 3099</t>
  </si>
  <si>
    <t>KONTOOR, Sum'20,  #2090131 (Price) Qty: 3750, FAB: X-XXX, DEL: 13-Apr, Peak Tgt: 180, BU-3, Bln: 3340</t>
  </si>
  <si>
    <t>KONTOOR, Sum'20,  #2090250 (Raw Selvedge) Qty: 2809, FAB: X-XXX, DEL: 13-Apr, Peak Tgt: 180, BU-3, Bln: 2779</t>
  </si>
  <si>
    <t>KONTOOR, Sum'20,  #2090240 (Oswald) Qty: 3490, FAB: X-XXX, DEL: 27-Apr, Peak Tgt: 180, BU-3, Bln: 3108</t>
  </si>
  <si>
    <t>KONTOOR, Sum'20,  #2090141 (Evening) Qty: 3621, FAB: X-XXX, DEL: 27-Apr, Peak Tgt: 180, BU-3, Bln: 3591</t>
  </si>
  <si>
    <t>KONTOOR, Fall'20,  #3087568 (RAYNE) Qty: 5400, FAB: X-XXX, DEL: 27-Apr, Peak Tgt: 180, BU-3, Bln: 5400</t>
  </si>
  <si>
    <t>KONTOOR, Fall'20,  #3087528 (RENEGADE) Qty: 3000, FAB: X-XXX, DEL: 11-May, Peak Tgt: 180, BU-3, Bln: 3000</t>
  </si>
  <si>
    <t>KONTOOR, Fall'20,  #3522026 (Anchor) Qty: 38500, FAB: X-XXX, DEL: 1-Jun, Peak Tgt: 200, BU-3, Bln: 34532</t>
  </si>
  <si>
    <t>KONTOOR, Fall'20,  #3087126 (Anchor) Qty: 8000, FAB: X-XXX, DEL: 1-Jun, Peak Tgt: 200, BU-3, Bln: 7942</t>
  </si>
  <si>
    <t>KONTOOR, Fall'20,  #3087135 (Seattle) Qty: 8000, FAB: X-XXX, DEL: 1-Jun, Peak Tgt: 200, BU-3, Bln: 7932</t>
  </si>
  <si>
    <t>KONTOOR, Fall'20,  #3087101 (Black) Qty: 1500, FAB: X-XXX, DEL: 8-Jun, Peak Tgt: 200, BU-3, Bln: 1500</t>
  </si>
  <si>
    <t>KONTOOR, Fall'20,  #352200M (Black) Qty: 2500, FAB: X-XXX, DEL: 1-Jun, Peak Tgt: 200, BU-3, Bln: 2473</t>
  </si>
  <si>
    <t>KONTOOR, Sum'20,  #3526815 (Merriam Blue) Qty: 500, FAB: X-XXX, DEL: 18-May, Peak Tgt: XXX, BU-X, Bln: 500</t>
  </si>
  <si>
    <t>KONTOOR, Sum'20,  #3526870 (Canyon Rose) Qty: 500, FAB: X-XXX, DEL: 18-May, Peak Tgt: XXX, BU-X, Bln: 500</t>
  </si>
  <si>
    <t>KONTOOR, Sum'20,  #3527021 (Salina) Qty: 900, FAB: X-XXX, DEL: 18-May, Peak Tgt: XXX, BU-X, Bln: 900</t>
  </si>
  <si>
    <t>KONTOOR, Sum'20,  #3526918 (Overland) Qty: 500, FAB: X-XXX, DEL: 18-May, Peak Tgt: XXX, BU-X, Bln: 500</t>
  </si>
  <si>
    <t>KONTOOR, Sum'20,  #3527120 (Betty Lee) Qty: 1100, FAB: X-XXX, DEL: 18-May, Peak Tgt: XXX, BU-X, Bln: 1100</t>
  </si>
  <si>
    <t>KONTOOR, Sum'20,  #3526919 (Loco) Qty: 500, FAB: X-XXX, DEL: 18-May, Peak Tgt: XXX, BU-X, Bln: 500</t>
  </si>
  <si>
    <t>KONTOOR, Sum'20,  #3527723 (Distance) Qty: 1200, FAB: X-XXX, DEL: 18-May, Peak Tgt: XXX, BU-X, Bln: 1200</t>
  </si>
  <si>
    <t>KONTOOR, Sum'20,  #3528313 (Acid Wash) Qty: 500, FAB: X-XXX, DEL: 18-May, Peak Tgt: XXX, BU-X, Bln: 500</t>
  </si>
  <si>
    <t>KONTOOR, Sum'20,  #3528387 (1987) Qty: 500, FAB: X-XXX, DEL: 18-May, Peak Tgt: XXX, BU-X, Bln: 500</t>
  </si>
  <si>
    <t>KONTOOR, Sum'20,  #3526812 (Vintage Indigo) Qty: 500, FAB: X-XXX, DEL: 8-Jun, Peak Tgt: XXX, BU-X, Bln: 500</t>
  </si>
  <si>
    <t>KONTOOR, Sum'20,  #3526842 (Bering Sea cord) Qty: 700, FAB: X-XXX, DEL: 8-Jun, Peak Tgt: XXX, BU-X, Bln: 700</t>
  </si>
  <si>
    <t>KONTOOR, Sum'20,  #3527022 (Vegas Blue) Qty: 600, FAB: X-XXX, DEL: 8-Jun, Peak Tgt: XXX, BU-X, Bln: 600</t>
  </si>
  <si>
    <t>KONTOOR, Sum'20,  #3526813 (Acid Wash Black) Qty: 500, FAB: X-XXX, DEL: 8-Jun, Peak Tgt: XXX, BU-X, Bln: 500</t>
  </si>
  <si>
    <t>KONTOOR, Fall'20,  #3087528 (RENEGADE) Qty: 3300, FAB: X-XXX, DEL: 3-Aug, Peak Tgt: 180, BU-3, Bln: 3300</t>
  </si>
  <si>
    <t>BLACK</t>
  </si>
  <si>
    <t>28-Jun</t>
  </si>
  <si>
    <t>9-Jun</t>
  </si>
  <si>
    <t>KONTOOR, Fall'20,  #3087501 (Black) Qty: 3400, FAB: X-XXX, DEL: 29-Jun, Peak Tgt: 180, BU-3, Bln: 3400 (Cancel)</t>
  </si>
  <si>
    <t>KONTOOR, Fall'20,  #G94UFBB (Blue Banks) Qty: 4542+120, FAB: X-XXX, DEL: 18-May, Peak Tgt: 180, BU-3, Bln: 4542 (cancel)</t>
  </si>
  <si>
    <t>KONTOOR, Fall'20,  #G94UFWB (Wright Blue) Qty: 4542+120, FAB: X-XXX, DEL: 18-May, Peak Tgt: 180, BU-3, Bln: 4542 (Cancel)</t>
  </si>
  <si>
    <t>KONTOOR, Fall'20,  #WFFSJCR (Carnie Red) Qty: 365, FAB: X-XXX, DEL: 15-Jun, Peak Tgt: 180, BU-3, Bln: 365 (Cancel)</t>
  </si>
  <si>
    <t>KONTOOR, Fall'20,  #2161535 (JET) Qty: 90000, FAB: X-XXX, DEL: 13-Apr, Peak Tgt: 160, BU-5, Bln: 54555</t>
  </si>
  <si>
    <t>KONTOOR, Fall'20,  #92SSWWL (WILSON) Qty: 45000, FAB: X-XXX, DEL: 21-Apr, Peak Tgt: 200, BU-3, Bln: 35545</t>
  </si>
  <si>
    <t>Target Aus -184722(Dark Wash) Win-20 Q4, Qty-11400 pcs, Short qty-1300</t>
  </si>
  <si>
    <t>Target Aus -184724(Blue) Win-20 Q4, Qty-8600 pcs, Short qty-870</t>
  </si>
  <si>
    <t>KONTOOR, Fall'20,  #3522095 (Seattle) Qty: 40500, FAB: X-XXX, DEL: 1-Jun, Peak Tgt: 200, BU-3, Bln: 40500 (PO#LFLH81203B-18544Pcs)</t>
  </si>
  <si>
    <t>KONTOOR, Fall'20,  #3522077 (Nightshade) Qty: 36000, FAB: X-XXX, DEL: 1-Jun, Peak Tgt: 200, BU-3, Bln: 36000 (PO#LFLH00803A-9000Pcs)</t>
  </si>
  <si>
    <t>KONTOOR, Fall'20,  #3522077 (Nightshade) Qty: 36000, FAB: X-XXX, DEL: 1-Jun, Peak Tgt: 200, BU-3, Bln: 36000 (PO#LFLH81103A-15456 Pcs)</t>
  </si>
  <si>
    <t>KONTOOR, Fall'20,  #3522026 (Anchor) Qty: 38500, FAB: X-XXX, DEL: 1-Jun, Peak Tgt: 200, BU-3, Bln: 34532 (PO#LFLH00703A-15456)</t>
  </si>
  <si>
    <t>KONTOOR, Sum'20,  #2018324 (Executive) Qty: 6500, FAB: X-XXX, DEL: 10-Aug, Peak Tgt: 160, BU-5, Bln: 6500 (Cancel)</t>
  </si>
  <si>
    <t>KONTOOR, Sum'20,  #2018312 (Majestic) Qty: 4000, FAB: X-XXX, DEL: 10-Aug, Peak Tgt: 160, BU-5, Bln: 4000 (Cancel)</t>
  </si>
  <si>
    <t>T-AUS, Sum'21(Q1), #198715(Black) Qty: 2004, FAB: TBA, DEL: 26-Jul</t>
  </si>
  <si>
    <t>578/722-8000 PCS 30-jun</t>
  </si>
  <si>
    <t>ZARA, Sum'21,  #9794 014 407 () Qty: 1604, FAB: , DEL: 18-May, Peak Tgt: TBA, BU-TBA</t>
  </si>
  <si>
    <t>ZARA, Sum'21,  #9794 093 400 () Qty: 1755, FAB: , DEL: 18-May, Peak Tgt: TBA, BU-TBA</t>
  </si>
  <si>
    <t>KONTOOR, Fall'20,  #3408964 (ROYAL CHAKRA) Qty: 3000, FAB: X-XXX, DEL: 29-Jun, Peak Tgt: 180, BU-3, Bln: 3000</t>
  </si>
  <si>
    <t>KONTOOR, Fall'20,  #3522095 (Seattle) Qty: 40500, FAB: X-XXX, DEL: 1-Jun, Peak Tgt: 200, BU-3, (PO#LFLH00903A-6500 Pcs)</t>
  </si>
  <si>
    <t>T-AUS, Sum'21(Q1), #184722 (Dark Wash) Qty: 1200, FAB: TBA, DEL: 21-Jun/1200</t>
  </si>
  <si>
    <t>T-AUS, Sum'21(Q1), #184723B Qty: 3576, FAB: TBA, DEL: 28-Jun/2041, 12-Jul/1535</t>
  </si>
  <si>
    <t>T-AUS, Sum'21(Q1), #184749B Qty: 1024, FAB: TBA, DEL: 19-Jul</t>
  </si>
  <si>
    <t>T-AUS, Sum'21(Q1), #191550 (Light Wash) Qty: 8245, FAB: TBA, DEL: 20-Sep/2144 (Plan-4288)</t>
  </si>
  <si>
    <t>Target-USA-C-4-20(Boys-Shane), Qty-78273, #569245, Fab: TBA, Del: TBA, Bal</t>
  </si>
  <si>
    <t>Target-USA-C-4-20(Boys-Molton), Qty-63032, #569245, Fab: TBA, Del: TBA, Bal: 26750</t>
  </si>
  <si>
    <t>Target-USA-C-4-20(Mens-Dust), Qty-73,206, #TBA, Fab: TBA, Del: TBA,</t>
  </si>
  <si>
    <t>T-AUS, Sum'21(Q1), #198715(Black) Qty: 2004, FAB: TBA, DEL: 26-Jul (Cancel)</t>
  </si>
  <si>
    <t>T-AUS, Sum'21(Q1), #198714(Blue) Qty: 2004, FAB: TBA, DEL: 26-Jul/2004 (Cancel)</t>
  </si>
  <si>
    <t>T-AUS, Sum'21(Q1), #186058P (Blue Black) Qty: 5000, FAB: 10-Apr, DEL: 17-May/1000, 21-Jun/1000 (Plan-2000)</t>
  </si>
  <si>
    <t>T-AUS, Sum'21(Q1), #189205 (Black/Blue) Qty: 7016, FAB: TBA, DEL: 17-May/2004 (Plan-2004)</t>
  </si>
  <si>
    <t>T-AUS, Sum'21(Q1), #189211 (Black/Blue) Qty: 6020, FAB: 6-Apr, DEL: 21-Jun/1008, 19-Jul/1008, (Plan-2016)</t>
  </si>
  <si>
    <t>KONTOOR, Fall'20,  #352207T (Nightshade) Qty: 12000, FAB: X-XXX, DEL: 1-Jun, Peak Tgt: 200, BU-3, Bln: 12000 (Plan-4432)</t>
  </si>
  <si>
    <t>T-AUS, Sum'21(Q1), #198931 (Blue) Qty: 4000, FAB: TBA, DEL: 10-May/4000 (Dropped)</t>
  </si>
  <si>
    <t>KONTOOR, Sum'20,  #2018312 (Majestic) Qty: 17500, FAB: TBA, DEL: 4-Jul, Peak Tgt: 160, BU-5 (Drop)</t>
  </si>
  <si>
    <t>Kontoor - #3087501 (Black) Fall 20, Qty- 3400 Pcs, Fab: TBA, Del: 30-Jun (P-7743WM) (Cancel)</t>
  </si>
  <si>
    <t>T-AUS, Sum'21(Q1), #161356 (Black) Qty: 9596, FAB: TBA, DEL: 17-May/1804, 21-Jun/1500 (Plan-3604)</t>
  </si>
  <si>
    <t>T-AUS, Sum'21(Q1), #161358 (Indigo) Qty: 6996, FAB: TBA, DEL: 21-Jun/1496, 5-Jul/1500 (Del:17-May App Plan-2996)</t>
  </si>
  <si>
    <t>T-AUS, Sum'21(Q1), #161356 (Black) Qty: 9596, FAB: TBA, DEL: 19-Jul/1496, 9-Aug/1500 (Plan-5992)</t>
  </si>
  <si>
    <t>T-AUS, Sum'21(Q1), #161358 (Indigo) Qty: 6996, FAB: TBA, DEL: 19-Jul/1001, 2-Aug/996 (Plan-3994)</t>
  </si>
  <si>
    <t>T-AUS, Sum'21(Q1), #163437 (Blue) Qty: 5997, FAB: TBA, DEL: 19-Jul/1001, 02-Aug/996 (Plan-3994)</t>
  </si>
  <si>
    <t>KONTOOR, Fall'20,  #352207T (Nightshade) Qty: 12000, FAB: X-XXX, DEL: 29-Jun, Peak Tgt: 200, BU-3, (Plan PO#LFLH81403B-4432)</t>
  </si>
  <si>
    <t>KONTOOR, Fall'20,  #352202S (Anchor) Qty: 12000, FAB: X-XXX, DEL: 15-Jun, Peak Tgt: 200, BU-3, Bln: 12000</t>
  </si>
  <si>
    <t>KONTOOR, Fall'20,  #352203R (Seattle) Qty: 15500, FAB: X-XXX, DEL: 15-Jun/3784, 29-Jun/4932, Peak Tgt: 200, BU-3, (Plan-8716 Pcs)</t>
  </si>
  <si>
    <t>KONTOOR, Fall'20,  #352203R (Seattle) Qty: 3000, FAB: X-XXX, DEL: 6-Jul, Peak Tgt: 200, BU-3, Bln: 3000 (Cancel)</t>
  </si>
  <si>
    <t>KONTOOR, Fall'20,  #352207T (Nightshade) Qty: 3000, FAB: X-XXX, DEL: 18-May, Peak Tgt: 200, BU-3, Bln: 3000 (Cancel)</t>
  </si>
  <si>
    <t>KONTOOR, Fall'20,  #352207T (Nightshade) Qty: 3000, FAB: X-XXX, DEL: 6-Jul, Peak Tgt: 200, BU-3, Bln: 3000 (Cancel)</t>
  </si>
  <si>
    <t>KONTOOR, Fall'20,  #352202S (Anchor) Qty: 3000, FAB: X-XXX, DEL: 29-Jun, Peak Tgt: 200, BU-3, Bln: 3000 (Cancel)</t>
  </si>
  <si>
    <t>KONTOOR, Fall'20,  #352202S (Anchor) Qty: 3000, FAB: X-XXX, DEL: 3-Aug, Peak Tgt: 200, BU-3, Bln: 3000 (Cancel)</t>
  </si>
  <si>
    <t>KONTOOR, Fall'20,  #352207T (Nightshade) Qty: 12000, FAB: X-XXX, DEL: 13-Jul, Peak Tgt: 200, BU-3, (Plan-7568)</t>
  </si>
  <si>
    <t>T-AUS, Sum'21(Q1), #163437 (Blue) Qty: 5997, FAB: 20-May, DEL: 21-Jun/1997 (Plan-1997)</t>
  </si>
  <si>
    <t>T-AUS, Sum'21(Q1),  #201146B (Blue) Qty: 6387, FAB: 15-Jun), DEL: 17-Jul, Peak Tgt: TBA, BU-TBA</t>
  </si>
  <si>
    <t>T-AUS, Sum'21(Q1), #203621(TBA) Qty: 2000, FAB: TBA, DEL: 19-Jul (Cancel)</t>
  </si>
  <si>
    <t>T-AUS, Sum'21(Q1), #198920 (Black) Qty: 5390, FAB: 15-Jun, DEL: (12-Jul, rev.)</t>
  </si>
  <si>
    <t>PRODUCTION PLAN FLOW CHART FOR THE MONTH OF: November</t>
  </si>
  <si>
    <t>PRODUCTION PLAN FLOW CHART FOR THE MONTH OF: December</t>
  </si>
  <si>
    <t>GU, FW'20,  #60120F127A (Total Qty-20388) (#65, #68) Qty: #65/7440, #65/3828, Del: 27-Jun/5568, 30-Jun/5700</t>
  </si>
  <si>
    <t>SP'21</t>
  </si>
  <si>
    <t>G96RTWL</t>
  </si>
  <si>
    <t>8-Aug</t>
  </si>
  <si>
    <t>Oxford Tan Corduroy</t>
  </si>
  <si>
    <t>22-Aug</t>
  </si>
  <si>
    <t>Olive Night Corduroy</t>
  </si>
  <si>
    <t>Navy Peony Corduroy</t>
  </si>
  <si>
    <t>Misty Rose Corduroy</t>
  </si>
  <si>
    <t>Wisteria</t>
  </si>
  <si>
    <t>Betty Lee</t>
  </si>
  <si>
    <t>Lawrence KS</t>
  </si>
  <si>
    <t>KONTOOR, SP'21,  #G96RTWL (Wilson) Qty: 3500, FAB: TBA, DEL: 8-Aug, Peak Tgt: TBA, BU-TBA</t>
  </si>
  <si>
    <t>KONTOOR, SP'21,  #3526920 (Betty Lee) Qty: 790, FAB: TBA, DEL: 22-Aug, Peak Tgt: TBA, BU-TBA</t>
  </si>
  <si>
    <t>KONTOOR, SP'21,  #3536780 (Lawrence KS) Qty: 930, FAB: TBA, DEL: 22-Aug, Peak Tgt: TBA, BU-TBA</t>
  </si>
  <si>
    <t>EID-UL AZHA
HOLIDAY</t>
  </si>
  <si>
    <t>KONTOOR, Fall'20,  #92SSWWL (WILSON) Qty: 60000, FAB: X-XXX, DEL: 28-Jul, Peak Tgt: 200, BU-3, Bln: 60000</t>
  </si>
  <si>
    <t>Target-USA-C-3-20 #569582 (Mens Highbrow), Qty-21869 Del: 28-Jun/13504</t>
  </si>
  <si>
    <t>GU, FW'20,  #60120F121A (#65, #68) Qty: 20297, FAB: 23-Mar, DEL: 1-May Peak Tgt: 210/Hrs, BU-4 Days (Rev Del: 29-Apr/288, 3-Jun/19980)</t>
  </si>
  <si>
    <t>KONTOOR, Fall'20,  #G96RTWL (WILSON) Qty: 3463+120, FAB: X-XXX, DEL: 13-Jun, Peak Tgt: 180, BU-3, Bln: 3463</t>
  </si>
  <si>
    <t>KONTOOR, Fall'20,  #96UFMWB (Wright Blue) Qty: 6558, FAB: X-XXX, DEL: 11-Jul, Peak Tgt: 180, BU-3, Bln: 6558</t>
  </si>
  <si>
    <t>KONTOOR, Fall'20,  #96UFMBB (Blue Banks) Qty: 7902, FAB: X-XXX, DEL: 4-Jul, Peak Tgt: 180, BU-3, Bln: 7902</t>
  </si>
  <si>
    <t>KONTOOR, Fall'20,  #95UFMCU (Coastal Blue) Qty: 9800, FAB: X-XXX, DEL: 11-Jul/5000, 18-Jul/1604, Peak Tgt: 180, BU-3, Bln: 5000</t>
  </si>
  <si>
    <t>KONTOOR, Fall'20,  #96UFMWB (Wright Blue) Qty: 3104, FAB: X-XXX, DEL: 25-Jul/1604, 22-Aug/1500, Peak Tgt: 180, BU-3, Bln: 1604</t>
  </si>
  <si>
    <t>KONTOOR, Fall'20,  #96UFMBB (Blue Banks) Qty: 2683, FAB: X-XXX, DEL: 25-Jul/1604, 8-Aug/1079, Peak Tgt: 180, BU-3, Bln: 2683</t>
  </si>
  <si>
    <t>KONTOOR, Fall'20,  #352202S (Anchor) Qty: 12000, FAB: X-XXX, DEL: 13-Jun, Peak Tgt: 200, BU-3, Bln: 12000</t>
  </si>
  <si>
    <t>Target-USA-C-3-20(Boys-Shane), Qty-87,861, #569245, Fab: TBA, Del: TBA, Plan-13600, Upto 2-Jul</t>
  </si>
  <si>
    <t>Target-USA-C-3-20(Boys-Molton), Qty-76,919, #569245, Fab: TBA, Del: TBA, Up to 2-Jul</t>
  </si>
  <si>
    <t>Target-USA-C-3-20(Boys-Ranch), Qty-113,190, #569214, Fab: TBA, Del: TBA, Bal: 24400</t>
  </si>
  <si>
    <t>Target-USA-C-3-20 #569582 (Mens Highbrow), Qty-21869 Del: 28-Jun/13504, 2-Jul/1536, 8-Jul/990 (Bal-20147)</t>
  </si>
  <si>
    <t>KONTOOR, Sum'20,  #2018324 (Executive) Qty: 3000, FAB: 1-Jun, DEL: 15-Aug, Peak Tgt: 160, BU-5, Bln: 3000</t>
  </si>
  <si>
    <t>KONTOOR, Sum'20,  #2018312 (Majestic) Qty: 4000, FAB: 1-Jun, DEL: 22-Aug, Peak Tgt: 160, BU-5, Bln: 4000</t>
  </si>
  <si>
    <t>T-AUS, Sum'21(Q1), #184731 Qty: 10515, FAB: TBA, DEL: 16-Aug (Plan-1329)</t>
  </si>
  <si>
    <t>KONTOOR, Fall'20,  #92SSWWL (WILSON) Qty: 50000, FAB: X-XXX, DEL: 9-Aug, Peak Tgt: 200, BU-3, Bln: 50000</t>
  </si>
  <si>
    <t>KONTOOR, Fall'20,  #92SSWWL (WILSON) Qty: 50000, FAB: X-XXX, DEL: 16-Aug, Peak Tgt: 200, BU-3, Bln: 50000</t>
  </si>
  <si>
    <t>KONTOOR, Fall'20,  #92SSWWL (WILSON) Qty: 28000, FAB: X-XXX, DEL: 13-Sep, Peak Tgt: 200, BU-3, Bln: 28000</t>
  </si>
  <si>
    <t>KONTOOR, Fall'20,  #92SSWWL (WILSON) Qty: 70000, FAB: X-XXX, DEL: 16-Aug, Peak Tgt: 200, BU-3, Bln: 70000</t>
  </si>
  <si>
    <t>KONTOOR, Fall'20,  #3087135 (Seattle) Qty: 3600, FAB: X-XXX, DEL: 25-Jul, Peak Tgt: 200, BU-3, Bln: 3600</t>
  </si>
  <si>
    <t>KONTOOR, Fall'20,  #3087135 (Seattle) Qty: 3100, FAB: X-XXX, DEL: 1-Aug, Peak Tgt: 200, BU-3, Bln: 3100</t>
  </si>
  <si>
    <t>KONTOOR, Fall'20,  #3522026 (Anchor) Qty: 5000, FAB: X-XXX, DEL: 1-Aug, Peak Tgt: 200, BU-3, Bln: 5000</t>
  </si>
  <si>
    <t>Indigo</t>
  </si>
  <si>
    <t>18-Oct</t>
  </si>
  <si>
    <t>27-Sep</t>
  </si>
  <si>
    <t>197586B</t>
  </si>
  <si>
    <t>Khaki</t>
  </si>
  <si>
    <t>23-Aug</t>
  </si>
  <si>
    <t>197634B</t>
  </si>
  <si>
    <t>Dark Indigo</t>
  </si>
  <si>
    <t>198111C</t>
  </si>
  <si>
    <t>6-Sep</t>
  </si>
  <si>
    <t>198112A</t>
  </si>
  <si>
    <t>Midwash</t>
  </si>
  <si>
    <t>23-Aug/3994, 27-Sep/1496</t>
  </si>
  <si>
    <t>23-Aug/3500</t>
  </si>
  <si>
    <t>6-Sep/3900</t>
  </si>
  <si>
    <t>20-Sep/1000</t>
  </si>
  <si>
    <t>13-Sep/1000</t>
  </si>
  <si>
    <t>T-AUS, Sum'21(Q1), #184731 Qty: 10515, FAB: TBA, DEL: 21-Jun/440, 28-Jun/809 (Plan-2498)</t>
  </si>
  <si>
    <t>T-AUS, Sum'21(Q1), #191550 (Light Wash) Qty: 8245, FAB: TBA, DEL: 21-Jun/615, 28-Jun/220 (Plan-2645)</t>
  </si>
  <si>
    <t>T-AUS, Sum'21(Q1), #191578 (MID Wash) Qty: 8070, FAB: TBA, DEL: 21-Jun/220, 28-Jun/615 (Plan-2645)</t>
  </si>
  <si>
    <t>T-AUS, Sum'21(Q2),  #161356 (Black) Qty: 4000, FAB: TBA, DEL: 20-Sep/1000, Peak Tgt: 180, BU-3</t>
  </si>
  <si>
    <t>KONTOOR, Fall'20,  #3087126 (Anchor) Qty: 8600, FAB: X-XXX, DEL: 27-Jun, Peak Tgt: 200, BU-3, Bln: 8600</t>
  </si>
  <si>
    <t>KONTOOR, Fall'20,  #3522026 (Anchor) Qty: 38500, FAB: X-XXX, DEL: 4-Jul, Peak Tgt: 200, BU-3, (PO#LFLH00703B-16544)</t>
  </si>
  <si>
    <t>Kontoor - #3522006 (Gray Denim) Fall 20, Qty- 16,600 Pcs, Fab: 20-Feb &amp; 2-Mar, Del: 27-Jun/3000</t>
  </si>
  <si>
    <t>KONTOOR, Fall'20,  #2161535 (JET) Qty: 10000, FAB: X-XXX, DEL: 4-Jul, Peak Tgt: 160, BU-5, Bln: 10000</t>
  </si>
  <si>
    <t>KONTOOR, Fall'20,  #3087177 (Nightshade) Qty: 3000, FAB: X-XXX, DEL: 20-Jun, Peak Tgt: 200, BU-3, Bln: 3000</t>
  </si>
  <si>
    <t>KONTOOR, Fall'20,  #3522095 (Seattle) Qty: 40500, FAB: X-XXX, DEL: 11-Jul, Peak Tgt: 200, BU-3, (Plan PO#LFLH81203A-18544)</t>
  </si>
  <si>
    <t>KONTOOR, Fall'20,  #3522077 (Nightshade) Qty: 36000, FAB: X-XXX, DEL: 11-Jul, Peak Tgt: 200, BU-3, (Plan PO#LFLH81103B-11544 Pcs)</t>
  </si>
  <si>
    <t>Target-USA-C-4-20(Boys-Shane), Qty-81,048, #569245, Fab: TBA, Del: 16-Jul/4992, Plan-15012</t>
  </si>
  <si>
    <t>KONTOOR, Fall'20,  #92SSWWL (WILSON) Qty: 28000, FAB: X-XXX, DEL: 13-Sep, Peak Tgt: 200, BU-3, Bln: 27999</t>
  </si>
  <si>
    <t>KONTOOR, Fall'20,  #3522077 (Nightshade) Qty: 6500, FAB: X-XXX, DEL: 1-Aug, Peak Tgt: 200, BU-3, Bln: 6500</t>
  </si>
  <si>
    <t>Target-USA-C-4-20(Boys-Shane), Qty-68000, #569245, Fab: TBA, Del: TBA, Bal</t>
  </si>
  <si>
    <t>SS21</t>
  </si>
  <si>
    <t>H050A</t>
  </si>
  <si>
    <t>H001A</t>
  </si>
  <si>
    <t>H052A</t>
  </si>
  <si>
    <t>N020A</t>
  </si>
  <si>
    <t>N050A</t>
  </si>
  <si>
    <t>N054A</t>
  </si>
  <si>
    <t>15-Oct</t>
  </si>
  <si>
    <t>19-Jul</t>
  </si>
  <si>
    <t>SP21</t>
  </si>
  <si>
    <t>34L8928</t>
  </si>
  <si>
    <t>RENEGADE</t>
  </si>
  <si>
    <t>RAYNE</t>
  </si>
  <si>
    <t>MAJESTIC</t>
  </si>
  <si>
    <t>ROYALCHAKR</t>
  </si>
  <si>
    <t>29-Sep</t>
  </si>
  <si>
    <t>INFINITY</t>
  </si>
  <si>
    <t>Gray Denim</t>
  </si>
  <si>
    <t>KONTOOR, SP21,  #3522006 (Gray Denim) Qty: 2001, FAB: TBA, DEL: 29-Sep, Peak Tgt: 200, BU-3</t>
  </si>
  <si>
    <t>Target-USA-C3-20 chase (Mens, Qty-57,000)</t>
  </si>
  <si>
    <t>Target-USA-C4-20 BB, Qty-7,84,000.</t>
  </si>
  <si>
    <t>Gu -60320F132B (20FW) (Mens) Qty- 5,000 Pcs, Peak@215/Hrs, Del: 20-Jul</t>
  </si>
  <si>
    <t>Target-USA-C3-20 Mens, Qty-44,351, Jacket</t>
  </si>
  <si>
    <t>Target-USA-C4-20 ITB , Qty-2,27,000.</t>
  </si>
  <si>
    <t>Gu -F064A (20FW) Qty- 8,520 Pcs, Peak@205/Hrs, Del: 16-Jul</t>
  </si>
  <si>
    <t>Gu -F050A (20FW) (Projection) Qty- 65,000 Pcs, Peak@300/Hrs, Del:16-Aug</t>
  </si>
  <si>
    <t>Gu -F001A (20FW) (Projection) Qty- 45,000 Pcs, Peak@235/Hrs, Del: 16-Aug</t>
  </si>
  <si>
    <t>Target-USA-C4-20 BB JKT, Qty-7,000.</t>
  </si>
  <si>
    <t xml:space="preserve">Target-USA-C4-20 Mens , Qty-2,64,000. </t>
  </si>
  <si>
    <t>Gu -F050A (20FW) (Projection) Qty- 65,000 Pcs, Peak@300/Hrs, Del:01-Sep/15K, 15-Sep/15K</t>
  </si>
  <si>
    <t>Gu -F001A (20FW) (Projection) Qty- 45,000 Pcs, Peak@235/Hrs, Del: 15-Sep/15K, 2-Oct/20K</t>
  </si>
  <si>
    <t>Gu -F050A (20FW) (Projection) Qty- 65,000 Pcs, Peak@300/Hrs, Del:02-Oct/10K</t>
  </si>
  <si>
    <t>KONTOOR, SP21,  #92SSWWL (WILSON) Qty: 14000, FAB: X-XXX, DEL: 20-Sep, Peak Tgt: 200, BU-3</t>
  </si>
  <si>
    <t>KONTOOR, Fall'20,  #352203R (Seattle) Qty: 15500, FAB: X-XXX, DEL: 27-Jun/3000, 11-Jul/3784, Peak Tgt: 200, BU-3, Bln: 15500 (Plan-6784 Pcs)</t>
  </si>
  <si>
    <t>Target-USA-C-3-20 #570574 (Mens Tenacious), Qty-38,610 Del: 2-Jul/24924, 8-Jul/1908 (Plan-26832) Up to 8-Jul</t>
  </si>
  <si>
    <t>Target-USA-C-3-20 #570574 (Mens Tenacious), Qty-38,610 Del: 2-Jul/24924, 8-Jul/1908 (Plan-26832)</t>
  </si>
  <si>
    <t>Target-USA-C-4-20(Boys-Molton), Qty-45,975, #569245, Fab: TBA, Del: 29-Jul/2982, Plan-11955</t>
  </si>
  <si>
    <t>T-AUS, Sum'21(Q1), #184724 Qty: 5731, FAB: TBA, DEL: 21-Jun/2400, 28-Jun/1631 (Plan-4080)</t>
  </si>
  <si>
    <t>T-AUS, Sum'21(Q1), #184724 Qty: 5731, FAB: End July, DEL: 9-Aug/1652 (Plan-1652)</t>
  </si>
  <si>
    <t>T-AUS, Sum'21(Q1), #186058P (Blue Black) Qty: 5000, FAB: 10-Apr, DEL: 13-Sep/1000, 11-Nov/1000 (Plan-2000)</t>
  </si>
  <si>
    <t>T-AUS, Sum'21(Q1), #189211 (Black/Blue) Qty: 6020, FAB: 6-Apr, DEL: 30-Aug/2004, 13-Sep/1008, 11-Oct/1008 (Plan-4020)</t>
  </si>
  <si>
    <t>T-AUS, Sum'21(Q1), #199676(Blue) Qty: 2000, FAB: TBA, DEL: 2-Aug (Sample 24-Jun) Move to Q3</t>
  </si>
  <si>
    <t>Target-USA-C-3-20(Boys-Ranch), Qty-113,190, #569214, Fab: TBA, Del: TBA, Bal: 19,300.</t>
  </si>
  <si>
    <t>T-AUS, Sum'21(Q1), #197594(Black) Qty: 9382, FAB: TBA, DEL: 12-Jul/5808 (Plan-5808) (Sample 27-May) (15-Jul/Snvy)</t>
  </si>
  <si>
    <t>T-AUS, Sum'21(Q1),  #201146B (Blue) Qty: 6387, FAB: 15-Jun), DEL: 15-Jul, Peak Tgt: TBA, BU-TBA</t>
  </si>
  <si>
    <t>T-AUS, Sum'21(Q1), #203077(Mid Wash) Qty: 4406, FAB: TBA, DEL: 21-Jun/3900 (Sample 3-Jun) (9-Jul/Snvy)</t>
  </si>
  <si>
    <t>T-AUS, Sum'21(Q1), #197597B (Light Blue) Qty: 9876, FAB: TBA, DEL: 12-Jul/5800 (Plan-5800) (15-Jul/Snvy)</t>
  </si>
  <si>
    <t>T-AUS, Sum'21(Q1),  #199590 (White) Qty: 6481, FAB: TBA, DEL: 21-Jun/4484 (Sample 15-Jun) (9-Jul/Snvy)</t>
  </si>
  <si>
    <t>T-AUS, Sum'21(Q1), #198921B (Blue) Qty: 4603, FAB: 15-Jun, DEL: 12-Jul (9-Jul/Snvy)</t>
  </si>
  <si>
    <t>Target-USA-C-4-20(Boys-BOOTCUT#2), Qty-82,992, #569204, Fab: 5-Jul, Del: 29-Jul/4992, 13-Aug/9996</t>
  </si>
  <si>
    <t>T-AUS, Sum'21(Q1), #198720 Qty: 5004, FAB: TBA, DEL: 23-Aug/5004</t>
  </si>
  <si>
    <t>KONTOOR, SP'21,  #2109142 (Maddox) Qty: 3000, FAB: TBAn, DEL: 26-Sep, Peak Tgt: 160, BU-5</t>
  </si>
  <si>
    <t>KONTOOR, SP21,  #3517933 (INFINITY) Qty: 2001, FAB: TBA, DEL: 26-Sep, Peak Tgt: 180, BU-3</t>
  </si>
  <si>
    <t>KONTOOR, SP21,  #3087501 (BLACK) Qty: 3500, FAB: TBA, DEL: 26-Sep, Peak Tgt: 180, BU-3</t>
  </si>
  <si>
    <t>GU, SS21,  #H052A (TBA) Qty: 10000, FAB: TBA, DEL: 01-Jan, Peak Tgt: 240, BU-3 (Ph-3)</t>
  </si>
  <si>
    <t>PRODUCTION PLAN FLOW CHART FOR THE MONTH OF: March</t>
  </si>
  <si>
    <t>PRODUCTION PLAN FLOW CHART FOR THE MONTH OF: February</t>
  </si>
  <si>
    <t>PRODUCTION PLAN FLOW CHART FOR THE MONTH OF: January</t>
  </si>
  <si>
    <t>SS21 (Pro)</t>
  </si>
  <si>
    <t>H100A</t>
  </si>
  <si>
    <t>16-Jan</t>
  </si>
  <si>
    <t>H105A</t>
  </si>
  <si>
    <t>15-Dec</t>
  </si>
  <si>
    <t>125(110)</t>
  </si>
  <si>
    <t>H023A</t>
  </si>
  <si>
    <t>240(220)</t>
  </si>
  <si>
    <t>160(?)</t>
  </si>
  <si>
    <t>H103A</t>
  </si>
  <si>
    <t>H056A</t>
  </si>
  <si>
    <t>14-Nov</t>
  </si>
  <si>
    <t>165(152)</t>
  </si>
  <si>
    <t>H106A</t>
  </si>
  <si>
    <t>N101A</t>
  </si>
  <si>
    <t>15-Jan</t>
  </si>
  <si>
    <t>T-AUS, Sum'21(Q1), #193242 (W. Blue) Qty: 5304, FAB: 6-Apr, DEL: 11-Oct (Plan-1500)</t>
  </si>
  <si>
    <t>165(150)</t>
  </si>
  <si>
    <t>T-AUS, Sum'21(Q2),  #163437 (Blue) Qty: 4988, FAB: TBA, DEL: 11-Oct/1496, Peak Tgt: 180, BU-3 (Plan-2988)</t>
  </si>
  <si>
    <t>T-AUS, Sum'21(Q2),  #197634B (Dark Indigo) Qty: 1995, FAB: TBA, DEL: 23-Aug, (30-Aug/Snv)</t>
  </si>
  <si>
    <t>Light Wash</t>
  </si>
  <si>
    <t>13-Sep/5000</t>
  </si>
  <si>
    <t>18-Aug</t>
  </si>
  <si>
    <t>Ecru</t>
  </si>
  <si>
    <t>20-Sep</t>
  </si>
  <si>
    <t>KONTOOR, SP'21,  #2109142 (Maddox) Qty: 1600+1400, FAB: TBAn, DEL: 15-Aug, Peak Tgt: 160, BU-5</t>
  </si>
  <si>
    <t>KONTOOR, SP21,  #3087568 (RAYNE) Qty: 1356, FAB: TBA, DEL: 26-Sep, Peak Tgt: 180, BU-3 (From Fall 20)</t>
  </si>
  <si>
    <t>KONTOOR, Sum'20,  #MRB47BL (Blues) Qty: 3000, FAB: 15-Aug, DEL: 3-Sep, Peak Tgt: 180, BU-3, Bln: 3000</t>
  </si>
  <si>
    <t>077 Line-10</t>
  </si>
  <si>
    <t>Wrangler</t>
  </si>
  <si>
    <t>Target-USA-C-3-20 #570574 (Mens Tenacious), Qty-38,610 Del: 19-Aug/2394, Plan-9570</t>
  </si>
  <si>
    <r>
      <t xml:space="preserve">T-AUS, Sum'21(Q1),  #203990 (BLACK) Qty: 6108, FAB: 9-Jun, DEL: 26-Jul/803, 2-Aug/1001 , Peak Tgt: 180, BU-3 </t>
    </r>
    <r>
      <rPr>
        <b/>
        <sz val="16"/>
        <color rgb="FFFF0000"/>
        <rFont val="Arial"/>
        <family val="2"/>
      </rPr>
      <t>(Sample 1-Jul)</t>
    </r>
  </si>
  <si>
    <t>KONTOOR, Fall'20,  #95UFMSI (Seaside Indigo) Qty: 8781, FAB: X-XXX, DEL: 111-Jul, Peak Tgt: 180, BU-3, Bln: 6000</t>
  </si>
  <si>
    <t>T-AUS, Sum'21(Q1), #198923 (MID WASH) Qty: 3983, FAB: TBA, DEL: 21-Jun (Sample 3-Jun) (9-Jul/Snvy) (Plan 3150)</t>
  </si>
  <si>
    <t>T-AUS, Sum'21(Q1), #193238 (W. Blue) Qty: 4020, FAB: 6-Apr, DEL: 23-Aug/2004, 30-Aug/1008</t>
  </si>
  <si>
    <t>KONTOOR, SP'21,  #3527716 (Oxford Tan Corduroy) Qty: 2135, FAB: OK, DEL: 22-Aug, Peak Tgt: TBA, BU-TBA</t>
  </si>
  <si>
    <t>KONTOOR, SP'21,  #3527733 (Olive Night Corduroy) Qty: 1285, FAB: OK, DEL: 22-Aug, Peak Tgt: TBA, BU-TBA</t>
  </si>
  <si>
    <t>KONTOOR, SP'21,  #3536725 (Misty Rose Corduroy) Qty: 930, FAB: OK, DEL: 22-Aug, Peak Tgt: TBA, BU-TBA</t>
  </si>
  <si>
    <t>KONTOOR, SP'21,  #3526931 (Navy Peony Corduroy) Qty: 730, FAB: OK, DEL: 22-Aug, Peak Tgt: TBA, BU-TBA</t>
  </si>
  <si>
    <t>Target-USA-C-4-20(Boys-Molton), Qty-45975, #569245, Fab: TBA, Del: 27-Aug/9996 to 24-Sep, Plan: 28038</t>
  </si>
  <si>
    <t>T-AUS, Sum'21(Q1), #193242 (W. Blue) Qty: 5304, FAB: 6-Apr, DEL: 6-Sep (Plan-3804)</t>
  </si>
  <si>
    <t>KONTOOR, SP21,  #3408964 (ROYAL CHAKRA) Qty: 4536, FAB: TBA, DEL: 26-Sep, Peak Tgt: 180, BU-3</t>
  </si>
  <si>
    <t>KONTOOR, SP21,  #3087135 (Seattle) Qty: 2001, FAB: TBA, DEL: 26-Sep, Peak Tgt: 200, BU-3</t>
  </si>
  <si>
    <t>KONTOOR, SP21,  #3522077 (Nightshade) Qty: 3000, FAB: TBA, DEL: 26-Sep, Peak Tgt: 200, BU-3</t>
  </si>
  <si>
    <t>KONTOOR, SP21,  #3522001 (Black) Qty: 1501, FAB: TBA, DEL: 26-Sep, Peak Tgt: 200, BU-3</t>
  </si>
  <si>
    <t>GU, FW'20,  #60120F127A, Qty-24996, Del: 7-Sep/15000, 14-Sep/9996</t>
  </si>
  <si>
    <t>Gu -F036C (20FW), Qty- 51,696 Pcs, Peak@220/Hrs, Fab: 6-Jul, Del: 20-Aug/26664, 3-Sep/15012, 14-Sep/10020</t>
  </si>
  <si>
    <t>Distance</t>
  </si>
  <si>
    <t>Jet</t>
  </si>
  <si>
    <t>17-Nov</t>
  </si>
  <si>
    <t>KONTOOR, Sum'20,  #2015042 (Maddox) Qty: 23000, FAB: X-XXX, DEL: 22-Aug, Peak Tgt: 160, BU-5, Bln: 23000</t>
  </si>
  <si>
    <t>T-AUS, Sum'21(Q1), #197597B (Light Blue) Qty: 9876, FAB: TBA, DEL: 2-Aug/2038 (Plan-2038)</t>
  </si>
  <si>
    <t>T-AUS, Sum'21(Q1), #189205 (Black/Blue) Qty: 7016, FAB: TBA, DEL: 30-Aug/3012</t>
  </si>
  <si>
    <t>Gu -F005A (20FW), Qty- 35,004 Pcs, Peak@250/Hrs, Del: 31-Aug</t>
  </si>
  <si>
    <t>Gu -F005A (20FW) Qty- 15,012 Pcs, Peak@250/Hrs, Del: 15-Sep/10008, 01-Oct/5004</t>
  </si>
  <si>
    <t>Target-USA-C-4-20(Boys-Ranch), Qty-135,000, #569214, Fab: TBA, Del: TBA</t>
  </si>
  <si>
    <t>Target-USA-C-4-20(Boys-Ranch), Qty-135,000, #569214, Fab: TBA, Del: 29-Jul/20798, 13-Aug/24720</t>
  </si>
  <si>
    <t>T-AUS, Sum'21(Q1), #197597B (Light Blue) Qty: 9876, FAB: 19-Jul, DEL: 16-Aug/2038 (Plan-2038)</t>
  </si>
  <si>
    <t>Target-USA-C-4-20(Boys-Shane), Qty-68000, #569245, Fab: TBA, Del: 17-Sep to 8-Oct, Bal-27,100</t>
  </si>
  <si>
    <t>T-AUS, Sum'21(Q1), #189205 (Black/Blue) Qty: 7016, FAB: TBA, DEL: 11-Oct/2004 (Plan-2004)</t>
  </si>
  <si>
    <t>T-AUS, Sum'21(Q2), #191578 (MID Wash) Qty: 2144, FAB: TBA, DEL: 18-Oct</t>
  </si>
  <si>
    <t>T-AUS, Sum'21(Q2), #191550 (Light Wash) Qty: 2144, FAB: TBA, DEL: 18-Oct</t>
  </si>
  <si>
    <t>GU, SS21,  #H050A (TBA) Qty: 10000, FAB: TBA, DEL: 16-Dec &amp; 26-Dec, Peak Tgt: 290, BU-3  (Ph-3)</t>
  </si>
  <si>
    <t>GU, SS21,  #H001A (TBA) Qty: 10000, FAB: TBA, DEL: 16-Dec &amp; 26-Dec, Peak Tgt: 225, BU-3</t>
  </si>
  <si>
    <t>Wrangler (Pro)</t>
  </si>
  <si>
    <t>17-Oct</t>
  </si>
  <si>
    <t>Regular</t>
  </si>
  <si>
    <t>Lee Mens (Pro)</t>
  </si>
  <si>
    <t>LEE Misses (Pro)</t>
  </si>
  <si>
    <t>Ladies</t>
  </si>
  <si>
    <t>26-Dec</t>
  </si>
  <si>
    <t>24-Oct</t>
  </si>
  <si>
    <t>21-Nov</t>
  </si>
  <si>
    <t>12-Dec</t>
  </si>
  <si>
    <t>19-Dec</t>
  </si>
  <si>
    <t>03</t>
  </si>
  <si>
    <t>19/7</t>
  </si>
  <si>
    <t>21-Oct</t>
  </si>
  <si>
    <t>KONTOOR, Sum'20,  #2109142 (Maddox) Qty: 8500, FAB: 30-Jun, DEL: 08-Aug, Peak Tgt: 160, BU-5, Bln: 8500</t>
  </si>
  <si>
    <t>KONTOOR, Sum'20,  #2105042 (Maddox) Qty: 3000, FAB:30-Jun, DEL: 08-Aug, Peak Tgt: 160, BU-5, Bln: 3000</t>
  </si>
  <si>
    <t>Target-USA-C-4-20(Boys-Shane), Qty-68000, #569245, Fab: TBA, Del: 20-Aug/5110, Bal</t>
  </si>
  <si>
    <t>ZARA,  #9794 001 400  () Qty: 1214, FAB: , DEL: 7-Aug, Peak Tgt: 60, BU-TBA</t>
  </si>
  <si>
    <t>ROYALCHAKRA</t>
  </si>
  <si>
    <t>3-Oct</t>
  </si>
  <si>
    <t>31-Oct</t>
  </si>
  <si>
    <t>ZFC9BI2</t>
  </si>
  <si>
    <t>ZFC9BI4</t>
  </si>
  <si>
    <t>Dark</t>
  </si>
  <si>
    <t>Mid</t>
  </si>
  <si>
    <t>SORA BLUE</t>
  </si>
  <si>
    <t>KONTOOR, SP21,  #3408964 (ROYALCHAKRA) Qty: 3000, FAB: TBA, DEL: 3-Oct, Peak Tgt: 180, BU-3</t>
  </si>
  <si>
    <t>KONTOOR, SP21,  #3408901 (Black) Qty: 3000, FAB: TBA, DEL: 31-Oct, Peak Tgt: 180, BU-3</t>
  </si>
  <si>
    <t xml:space="preserve">Molton </t>
  </si>
  <si>
    <t>Target-USA-C-4-20 #569582 (Mens Highbrow), Qty-7164, Del: 2-Sep/1710  (Plan-8765, C3+C4)</t>
  </si>
  <si>
    <t>Target-USA-C-4-20 #570574 (Mens Tenacious), Qty-15072 Del: 16-Sep/4872 (Plan-7416)</t>
  </si>
  <si>
    <t>T-AUS, Sum'21(Q2),  #163437 (Blue) Qty: 4988, FAB: 22-Jul, DEL: 13-Sep/1000, Peak Tgt: 180, BU-3 (Plan-2000)</t>
  </si>
  <si>
    <t>T-AUS, Sum'21(Q2),  #206401 (Black) Qty: 4292, FAB: OK, DEL: 30-Aug/3500</t>
  </si>
  <si>
    <t>T-AUS, Sum'21(Q2),  #201170 (Indigo) Qty: 6986, FAB: OK, DEL: 23-Aug/3994, 27-Sep/1496, (30-Aug/Snv)</t>
  </si>
  <si>
    <t>KONTOOR, SP21,  #92SSWWL (WILSON) Qty: 30000, FAB: X-XXX, DEL: 27-Sep, Peak Tgt: 200, BU-3</t>
  </si>
  <si>
    <t>T-AUS, Sum'21(Q1), #201340 (Black) Qty: 5694, FAB: TBA, DEL: 3-Sep</t>
  </si>
  <si>
    <t>T-AUS, Sum'21(Q1), #199980 (MID Wash) Qty: 5487, FAB: TBA, DEL: 10-Sep</t>
  </si>
  <si>
    <t>KONTOOR, SP21,  #3408928 (RENEGADE) Qty: 3000, FAB: TBA, DEL: 19-Sep, Peak Tgt: 180, BU-3</t>
  </si>
  <si>
    <t>KONTOOR, SP21,  #3408946 (MAJESTIC) Qty: 1501, FAB: TBA, DEL: 19-Sep, Peak Tgt: 180, BU-3</t>
  </si>
  <si>
    <t>KONTOOR, SP21,  #34L8928 (RENEGADE) Qty: 1501, FAB: TBA, DEL: 19-Sep, Peak Tgt: 180, BU-3</t>
  </si>
  <si>
    <t>KONTOOR, SP21,  #3087528 (RENEGADE) Qty: 2001, FAB: TBA, DEL: 19-Sep, Peak Tgt: 180, BU-3</t>
  </si>
  <si>
    <t>GU, SS21 (Pro),  #H103A (TBA) Qty: 1300, FAB: 7-Sep, DEL: 19-Oct, Peak Tgt: 140, BU-4</t>
  </si>
  <si>
    <t>GU, SS21,  #N050A (TBA) Qty: 41300, FAB: 22-Jul, DEL: 16-Oct/1300, 02-Jan/35000, 13-Feb/5000 Peak Tgt: 250, BU-3 (Pre Del 15-Oct)</t>
  </si>
  <si>
    <t>GU, SS21 (Pro),  #H023A (TBA) Qty: 50000, FAB: 24-Aug, DEL: 15-Oct/40000, 22-Oct/10000,  Peak Tgt: 240, BU-3</t>
  </si>
  <si>
    <t>GU, SS21 (Pro),  #H056A (TBA) Qty: 25,000, FAB: 11-Sep, DEL: 15-Nov, Peak Tgt: 170(152), BU-3</t>
  </si>
  <si>
    <t>GU, SS21 (Pro),  #H059A (TBA) Qty: 50,000, FAB: 7-Sep, DEL: 26-Oct/40000, 1-Nov/10000, Peak Tgt: 235, BU-3</t>
  </si>
  <si>
    <t>C1'21</t>
  </si>
  <si>
    <t>Nov-Dec</t>
  </si>
  <si>
    <t>Highbrow</t>
  </si>
  <si>
    <t>Tenacious</t>
  </si>
  <si>
    <t>T-USA, C1'21,  #569214 (Ranch) Qty: 69000, FAB: TBA, DEL: Nov-Dec, Peak Tgt: 210, BU-3</t>
  </si>
  <si>
    <t>T-USA, C1'21,  #569245 (Molton) Qty: 81000, FAB: TBA, DEL: Nov-Dec, Peak Tgt: 210, BU-3</t>
  </si>
  <si>
    <t>T-USA, C1'21,  #569245 (Shane) Qty: 56000, FAB: TBA, DEL: Nov-Dec, Peak Tgt: 210, BU-3</t>
  </si>
  <si>
    <t>GU, FW20,  #F001A (TBA) Qty: 30000, FAB: 20-Jul, DEL: 15-Sep/25000, 22-Sep/5000, Peak Tgt: 225, BU-3</t>
  </si>
  <si>
    <t>Kontoor ,SP'21 , #2161535 (Jet) Qty: 44000, FAB: TBA, DEL: 28-Nov Peak Tgt: 160, BU-4 (TBA)</t>
  </si>
  <si>
    <t>Kontoor ,SP'21 , #2018324 (Executive) Qty: 3000, FAB: TBA, DEL: 28-Nov Peak Tgt: 160, BU-4 (TBA)</t>
  </si>
  <si>
    <t>Kontoor ,SP'21 , #2161535 (Jet) Qty: 21500, FAB: TBA, DEL: 26-Dec Peak Tgt: 160, BU-4 (TBA)</t>
  </si>
  <si>
    <t>Kontoor ,SP'21 , #2162030 (Distance) Qty: 30000, FAB: TBA, DEL: 30-Jan Peak Tgt: 160, BU-4 (TBA)</t>
  </si>
  <si>
    <t>Kontoor ,SP'21 , #462621W (WHITE) Qty: 1501, FAB: TBA, DEL: 28-Nov Peak Tgt: 200, BU-5 (LFCM0075)</t>
  </si>
  <si>
    <t>Kontoor ,SP'21 , #3384104 (DEVOTION) Qty: 7600, FAB: TBA, DEL: 28-Nov Peak Tgt: 180, BU-3 (LFDM0073)</t>
  </si>
  <si>
    <t>Kontoor ,SP'21 , #338410Q (DEVOTION) Qty: 8000, FAB: TBA, DEL: 28-Nov Peak Tgt: 180, BU-3 (LFDM0073)</t>
  </si>
  <si>
    <t>Kontoor ,SP'21 , #3384107 (INFINITY) Qty: 8100, FAB: TBA, DEL: 28-Nov Peak Tgt: 180, BU-3 (LFDM0073)</t>
  </si>
  <si>
    <t>Kontoor ,SP'21 , #338410T (INFINITY) Qty: 3000, FAB: TBA, DEL: 28-Nov Peak Tgt: 180, BU-3 (LFDM0073)</t>
  </si>
  <si>
    <t>Kontoor ,SP'21 , #3380439 (BEWITCHED) Qty: 5000, FAB: TBA, DEL: 28-Nov Peak Tgt: 180, BU-3 (LFDM0109)</t>
  </si>
  <si>
    <t>Kontoor ,SP'21 , #3382936 (EXPANSE BL) Qty: 6200, FAB: TBA, DEL: 28-Nov Peak Tgt: 180, BU-3 (LFDM0145)</t>
  </si>
  <si>
    <t>Kontoor ,SP'21 , #3382975 (MODERN CYA) Qty: 2001, FAB: TBA, DEL: 28-Nov Peak Tgt: 180, BU-3 (LFDM0145)</t>
  </si>
  <si>
    <t>Kontoor ,SP'21 , #3382763 (BALTIC) Qty: 2500, FAB: TBA, DEL: 28-Nov Peak Tgt: 180, BU-3 (LFDM0146)</t>
  </si>
  <si>
    <t>Kontoor ,SP'21 , #3784755 (HUNTER CAM) Qty: 3000, FAB: TBA, DEL: 28-Nov Peak Tgt: 180, BU-3 (LFDM/LFDW0108)</t>
  </si>
  <si>
    <t>Kontoor ,SP'21 , #338410T (INFINITY) Qty: 5000, FAB: TBA, DEL: 26-Dec Peak Tgt: 180, BU-3 (LFDM0073)</t>
  </si>
  <si>
    <t>Kontoor ,SP'21 , #3384107 (INFINITY) Qty: 3000, FAB: TBA, DEL: 26-Dec Peak Tgt: 180, BU-3 (LFDM0073)</t>
  </si>
  <si>
    <t>Kontoor ,SP'21 , #3384104 (DEVOTION) Qty: 3000, FAB: TBA, DEL: 26-Dec Peak Tgt: 180, BU-3 (LFDM0073)</t>
  </si>
  <si>
    <t>Kontoor ,SP'21 , #338410Q (DEVOTION) Qty: 8000, FAB: TBA, DEL: 26-Dec Peak Tgt: 180, BU-3 (LFDM0073)</t>
  </si>
  <si>
    <t>Kontoor ,SP'21 , #3380439 (BEWITCHED) Qty: 3000, FAB: TBA, DEL: 26-Dec Peak Tgt: 180, BU-3 (LFDM0109)</t>
  </si>
  <si>
    <t>Kontoor ,SP'21 , #3087528 (RENEGADE) Qty: 2600, FAB: TBA, DEL: 26-Dec Peak Tgt: 180, BU-3 (7743WM)</t>
  </si>
  <si>
    <t>Kontoor ,SP'21 , #Lee Riders (Infinity) Qty: 908, FAB: TBA, DEL: 26-Dec Peak Tgt: 200, BU-3 (LFDM0081B)</t>
  </si>
  <si>
    <t>Kontoor ,SP'21 , #Lee Riders (Influx) Qty: 1043, FAB: TBA, DEL: 26-Dec Peak Tgt: 200, BU-3 (LFDM0081A)</t>
  </si>
  <si>
    <t>Kontoor ,SP'21 , #Lee Riders (Utramarine) Qty: 1130, FAB: TBA, DEL: 26-Dec Peak Tgt: 200, BU-3 (LFDM0081E)</t>
  </si>
  <si>
    <t>Kontoor ,SP'21 , #Lee Riders (Influx) Qty: 569, FAB: TBA, DEL: 26-Dec Peak Tgt: 200, BU-3 (LFDM0086B)</t>
  </si>
  <si>
    <t>Kontoor ,SP'21 , #Lee Riders (Liberty) Qty: 499, FAB: TBA, DEL: 26-Dec Peak Tgt: 200, BU-3 (LFDM0086A)</t>
  </si>
  <si>
    <t>Kontoor ,SP'21 , #Lee Riders (Dark Indigo) Qty: 1299, FAB: TBA, DEL: 26-Dec Peak Tgt: 200, BU-3 (LFDM0085A)</t>
  </si>
  <si>
    <t>Gu -F036C (20FW), Qty- 51,696 Pcs, Peak@220/Hrs, Fab: 6-Jul, Del: 20-Aug/26664, 3-Sep/15012, 14-Sep/10020 (Col #68)</t>
  </si>
  <si>
    <t>Gu -F036C (20FW), Qty- 51,696 Pcs, Peak@220/Hrs, Fab: 6-Jul, Del: 20-Aug/26664, 3-Sep/15012, 14-Sep/10020 (Col #67)</t>
  </si>
  <si>
    <t>Gu -F036C (20FW), Qty- 51,696 Pcs, Peak@220/Hrs, Fab: 6-Jul, Del: 20-Aug/26664, 3-Sep/15012, 14-Sep/10020 (Col #64)</t>
  </si>
  <si>
    <t>Gu -F005A (20FW), Qty- 35,004 Pcs, Peak@250/Hrs, Del: 31-Aug (Col #64)</t>
  </si>
  <si>
    <t>T-AUS, Sum'21(Q1), #189211 (Black/Blue) Qty: 6020, FAB: 6-Apr, DEL: 30-Aug/2004, 6-Sep/1008, 4-Oct/1008 (Plan-2016)</t>
  </si>
  <si>
    <t>GU, SS21 (Pro),  #H105A (TBA) Qty: 19096, FAB: 2-Oct, DEL: 20-Nov, Peak Tgt: 130(110), BU-4</t>
  </si>
  <si>
    <t>KONTOOR, SP'21,  #3527750 (Wisteria) Qty: 1470, FAB: TBA, DEL: 29-Aug, Peak Tgt: TBA, BU-TBA</t>
  </si>
  <si>
    <t>T-AUS, Sum'21(Q2),  #205679 (Light Wash) Qty: 7042, FAB: 26-Aug, DEL: 13-Sep/5000, Peak Tgt: 180, BU-3</t>
  </si>
  <si>
    <t>T-AUS, Sum'21(Q2),  #199590 (Ecru) Qty: 5601, FAB: 26-Aug, DEL: 20-Sep/2603, Peak Tgt: 180, BU-3</t>
  </si>
  <si>
    <t>T-AUS, Sum'21(Q2), #197597B (Light Blue) Qty: 6118, FAB: 23-Aug, DEL: 20-Sep/3059, 11-Oct/3059</t>
  </si>
  <si>
    <t>T-AUS, Sum'21(Q2),  #198112A (Midwash) Qty: 5097, FAB: 18-Aug, DEL: 6-Sep/3900, (13-Sep/Snv)</t>
  </si>
  <si>
    <t>T-AUS, Sum'21(Q1), #191578 (MID Wash) Qty: 8533, FAB: 24-Aug, DEL: 20-Sep/2144 (Plan-4288)</t>
  </si>
  <si>
    <t>T-AUS, Sum'21(Q1), #191550 (Light Wash) Qty: 8245, FAB: 24-Aug, DEL: 20-Sep/2144 (Plan-4288)</t>
  </si>
  <si>
    <t>T-AUS, Sum'21(Q2),  #198111C (Black) Qty: 4899, FAB: 18-Aug, DEL: 6-Sep/3900, (20-Sep/Snv)</t>
  </si>
  <si>
    <t>T-AUS, Sum'21(Q2),  #161358 (Indigo) Qty: 3000, FAB: 26-Aug, DEL: 13-Sep/1000, Peak Tgt: 180, BU-3</t>
  </si>
  <si>
    <t>T-AUS, Sum'21(Q2),  #197586B (Khaki) Qty: 6892, FAB: 6-Aug &amp; 26-Aug, DEL: 23-Aug/4900, (30-Aug/Snv)</t>
  </si>
  <si>
    <t>T-AUS, Sum'21(Q2),  #197594 (Black) Qty: 7076, FAB: 6-Aug (3K Pcs), DEL: 20-Sep/2038, 11/Oct/2038, 18-Oct/3000, Peak Tgt: 180, BU-3 (Plan-2038)</t>
  </si>
  <si>
    <t>T-AUS, Sum'21(Q2),  #203990 (Black) Qty: 1914, FAB: 18-Aug, DEL: 27-Sep, Peak Tgt: 180, BU-3</t>
  </si>
  <si>
    <t>KONTOOR, Fall'20,  #G94UFWB (Wright Blue) Qty: 7162, FAB:OK, DEL: 22-Oct/120, 21-Nov/7042, Peak Tgt: 180, BU-3</t>
  </si>
  <si>
    <t>KONTOOR, Fall'20,  #G94UFBB (Blue Banks) Qty: 7162, FAB: OK, DEL: 22-Oct/120, 21-Nov/7042, Peak Tgt: 180, BU-3</t>
  </si>
  <si>
    <t>KONTOOR, SP21,  #2162030 (Distance) Qty: 44000, FAB: 20-Aug, DEL: 24-Oct, Peak Tgt: 160, BU-4</t>
  </si>
  <si>
    <t>Gu -F005A (20FW) Qty- 9996 Pcs, Peak@250/Hrs, Fab: 12-Aug, Del: 11-Oct (#68/5052 Pcs)</t>
  </si>
  <si>
    <t>KONTOOR, SP21,  #3522077 (Nightshade) Qty: 3500, FAB: TBA, DEL: 26-Dec, Peak Tgt: 200, BU-3</t>
  </si>
  <si>
    <t>KONTOOR, SP21,  #3522095 (Seattle) Qty: 6200, FAB: TBA, DEL: 26-Dec, Peak Tgt: 200, BU-3</t>
  </si>
  <si>
    <t>KONTOOR, SP21,  #3522095 (Seattle) Qty: 3000, FAB: TBA, DEL: 31-Oct, Peak Tgt: 200, BU-3</t>
  </si>
  <si>
    <t>KONTOOR, SP21,  #3522026 (Anchor) Qty: 3000, FAB: TBA, DEL: 26-Dec, Peak Tgt: 200, BU-3</t>
  </si>
  <si>
    <t>KONTOOR, SP'21 , #3087135 (SEATTLE) Qty: 3000, FAB: TBA, DEL: 26-Dec, Peak Tgt: 200, BU-3 (LFDM/LFDW0003)</t>
  </si>
  <si>
    <t>KONTOOR, SP'21 , #3087126 (ANCHOR) Qty: 3600, FAB: TBA, DEL: 26-Dec, Peak Tgt: 200, BU-3 (LFDM/LFDW0003)</t>
  </si>
  <si>
    <t>KONTOOR, SP'21 , #352207T (NIGHTSHADE) Qty: 1001, FAB: TBA, DEL: 26-Dec, Peak Tgt: 200, BU-3 (LFDM/LFDW0003)</t>
  </si>
  <si>
    <t>BLUE PHOEN</t>
  </si>
  <si>
    <t>EXPEDITION</t>
  </si>
  <si>
    <t>DAZED</t>
  </si>
  <si>
    <t>1CMSC02</t>
  </si>
  <si>
    <t>1MSBP01</t>
  </si>
  <si>
    <t>Washed Black</t>
  </si>
  <si>
    <t>Compass</t>
  </si>
  <si>
    <t>Denim Herringbone</t>
  </si>
  <si>
    <t>Deep Fog Acid</t>
  </si>
  <si>
    <t>Always Iconic</t>
  </si>
  <si>
    <t>Modern Cyan</t>
  </si>
  <si>
    <t>Horizon</t>
  </si>
  <si>
    <t>Very Peculiar</t>
  </si>
  <si>
    <t>Clouded Bleach</t>
  </si>
  <si>
    <t>Vintage Essex</t>
  </si>
  <si>
    <t>Alpine</t>
  </si>
  <si>
    <t>Fort Green</t>
  </si>
  <si>
    <t>ROYAL CHAKRA</t>
  </si>
  <si>
    <t>28-Nov</t>
  </si>
  <si>
    <t>5-Dec</t>
  </si>
  <si>
    <t>2-Jan</t>
  </si>
  <si>
    <t>6-Nov</t>
  </si>
  <si>
    <t>6-Dec</t>
  </si>
  <si>
    <t>27-Dec</t>
  </si>
  <si>
    <t>12-Nov</t>
  </si>
  <si>
    <t>7-Nov</t>
  </si>
  <si>
    <t>KONTOOR, SP21,  #3087528 (RENEGADE) Qty: 3000, FAB: TBA, DEL: 28-Nov, Peak Tgt: 180, BU-3</t>
  </si>
  <si>
    <t>KONTOOR, SP21,  #3087568 (RAYNE) Qty: 1501, FAB: TBA, DEL: 28-Nov, Peak Tgt: 180, BU-3</t>
  </si>
  <si>
    <t>KONTOOR, SP21,  #3408946 (MAJESTIC) Qty: 3300, FAB: TBA, DEL: 28-Nov, Peak Tgt: 180, BU-3</t>
  </si>
  <si>
    <t>KONTOOR, SP21,  #3408964 (ROYAL CHAKRA) Qty: 3000, FAB: TBA, DEL: 28-Nov, Peak Tgt: 180, BU-3</t>
  </si>
  <si>
    <t>KONTOOR, SP21,  #3380430 (BLUE PHOEN) Qty: 3000, FAB: TBA, DEL: 5-Dec, Peak Tgt: 180, BU-3</t>
  </si>
  <si>
    <t>KONTOOR, SP21,  #3193930 (BLUE PHOEN) Qty: 3000, FAB: TBA, DEL: 5-Dec, Peak Tgt: 180, BU-3</t>
  </si>
  <si>
    <t>KONTOOR, SP21,  #1CMSC02 (Infinity) Qty: 4253, FAB: TBA, DEL: 27-Dec, Peak Tgt: TBA, BU-TBA</t>
  </si>
  <si>
    <t>KONTOOR, SP21,  #4606214 (DAZED) Qty: 3000, FAB: TBA, DEL: 2-Jan, Peak Tgt: 200, BU-4</t>
  </si>
  <si>
    <t>Kontoor ,SP'21 , #3382769 (HORIZON) Qty: 3160, FAB: TBA, DEL: 28-Nov Peak Tgt: 180, BU-3 (LFDM0146)</t>
  </si>
  <si>
    <t>Kontoor ,SP'21 , #3523618 (GLORY) Qty: 6450, FAB: TBA, DEL: 5-Dec, Peak Tgt: 180, BU-3 (LFDM0100)</t>
  </si>
  <si>
    <t>Kontoor ,SP'21 , #3523620 (ALPINE) Qty: 6100, FAB: TBA, DEL: 5-Dec, Peak Tgt: 180, BU-3 (LFDM0100)</t>
  </si>
  <si>
    <t>Kontoor ,SP'21 , #3077518 (GLORY) Qty: 1501, FAB: TBA, DEL: 5-Dec, Peak Tgt: 180, BU-3 (LFDW0100)</t>
  </si>
  <si>
    <t>1CMRS88</t>
  </si>
  <si>
    <t>1MSBP02</t>
  </si>
  <si>
    <t>1MSBP03</t>
  </si>
  <si>
    <t>1MSBP06</t>
  </si>
  <si>
    <t>1MSSF03</t>
  </si>
  <si>
    <t>1MSSF07</t>
  </si>
  <si>
    <t>1MSPP04</t>
  </si>
  <si>
    <t>1MSPP05</t>
  </si>
  <si>
    <t>Railroad Stripe</t>
  </si>
  <si>
    <t>Influx</t>
  </si>
  <si>
    <t>Ultramarine</t>
  </si>
  <si>
    <t>Liberty</t>
  </si>
  <si>
    <t>Devotion</t>
  </si>
  <si>
    <t>12-Nov/300, 12-Dec/7337</t>
  </si>
  <si>
    <t>12-Nov/300, 12-Dec/7825</t>
  </si>
  <si>
    <t>12-Nov/300, 12-Dec/7343</t>
  </si>
  <si>
    <t>12-Nov/300, 12-Dec/5253</t>
  </si>
  <si>
    <t>12-Nov/300, 12-Dec/4875</t>
  </si>
  <si>
    <t>12-Nov/300, 12-Dec/7924</t>
  </si>
  <si>
    <t>12-Nov/300, 12-Dec/8511</t>
  </si>
  <si>
    <t>28-Oct/300, 28-Nov/11870</t>
  </si>
  <si>
    <t>KONTOOR, SP21,  #1MSSF03 (Influx) Qty: 5553, FAB: , DEL: 12-Nov/300, 12-Dec/5253, Peak Tgt: 215, BU-4</t>
  </si>
  <si>
    <t>KONTOOR, SP21,  #1MSSF07 (Liberty) Qty: 5175, FAB: , DEL: 12-Nov/300, 12-Dec/4875, Peak Tgt: 215, BU-4</t>
  </si>
  <si>
    <t>KONTOOR, SP21,  #1MSPP05 (Devotion) Qty: 8811, FAB: , DEL: 12-Nov/300, 12-Dec/8511, Peak Tgt: 215, BU-4</t>
  </si>
  <si>
    <t>9-Jan</t>
  </si>
  <si>
    <t>KONTOOR, SP21,  #1CMRS88 (Railroad Stripe) Qty: 13197, FAB: 30-Sep, DEL: 19-Dec, Peak Tgt: 215, BU-4</t>
  </si>
  <si>
    <t>KONTOOR, SP21,  #1CMRS88 (Railroad Stripe) Qty: 14971, FAB: 30-Sep, DEL: 9-Jan, Peak Tgt: 215, BU-4</t>
  </si>
  <si>
    <t>Gu -F036C (20FW), Qty-10,000 Pcs, Peak@220/Hrs, Fab: 4-Sep, Del: 29-Sep</t>
  </si>
  <si>
    <t>Gu -F005A (20FW)(Projection) Qty- 25,000 Pcs, Peak@250/Hrs, Fab: 30-Aug, Del: 22-Oct/20000, 31-Oct/5000</t>
  </si>
  <si>
    <t>H102D</t>
  </si>
  <si>
    <t>26-Oct</t>
  </si>
  <si>
    <t>T-USA, C1'21,  #569245 (Molton) Qty: 81000, FAB: 21-Sep, DEL: Nov-Dec, Peak Tgt: 210, BU-3</t>
  </si>
  <si>
    <t>T-AUS, Sum'21(Q1),  #198107 (White) Qty: 6900, FAB: TBA, DEL: 17-Sep/3900 (Plan 4900)</t>
  </si>
  <si>
    <t>29-Nov/1500, 10-Jan/1000</t>
  </si>
  <si>
    <t>3-Jan</t>
  </si>
  <si>
    <t>6-Dec/3500, 10-Jan/2000</t>
  </si>
  <si>
    <t>W. Blue</t>
  </si>
  <si>
    <t>6-Dec/2500, 3-Jan/1500</t>
  </si>
  <si>
    <t>15-Nov/3500, 13-Dec/500</t>
  </si>
  <si>
    <t>6-Dec/1500</t>
  </si>
  <si>
    <t>Boston Blue</t>
  </si>
  <si>
    <t>15-Nov</t>
  </si>
  <si>
    <t>Blue/Black</t>
  </si>
  <si>
    <t>6-Dec/3500, 10-Jan/1500</t>
  </si>
  <si>
    <t>6-Dec/2800, 10-Jan/800</t>
  </si>
  <si>
    <t>Dark Blue</t>
  </si>
  <si>
    <t>186058P</t>
  </si>
  <si>
    <t>6-Dec/500, 10-Jan/500</t>
  </si>
  <si>
    <t>197594A</t>
  </si>
  <si>
    <t>15-Nov/1040</t>
  </si>
  <si>
    <t>209024A</t>
  </si>
  <si>
    <t>Mid Wash</t>
  </si>
  <si>
    <t>6-Dce/3500, 3-Jan/1040</t>
  </si>
  <si>
    <t>22-Nov/1000, 27-Dec/2000</t>
  </si>
  <si>
    <t>22-Nov/792</t>
  </si>
  <si>
    <t>197594B</t>
  </si>
  <si>
    <t>6-Dec/4700</t>
  </si>
  <si>
    <t>209024B</t>
  </si>
  <si>
    <t>6-Dec/5500, 3-Jan/1400</t>
  </si>
  <si>
    <t>Dark Wash</t>
  </si>
  <si>
    <t>15-Nov/5501, 29-Nov/1040</t>
  </si>
  <si>
    <t>15-Nov/5000, 29-Nov/1040</t>
  </si>
  <si>
    <t>8-Nov</t>
  </si>
  <si>
    <t>Win21</t>
  </si>
  <si>
    <t>T-AUS, Win21,  #198721 (Indigo) Qty: 3500, FAB: TBA, DEL: 3-Jan, Peak Tgt: 180, BU-3</t>
  </si>
  <si>
    <t>GU, SS21 (Pro),  #H106A (TBA) Qty: 1308, FAB: 9-Sep, DEL: 14-Nov, Peak Tgt: 150, BU-3</t>
  </si>
  <si>
    <t>GU, SS21,  #H102D (#65) Qty: 4500, FAB: 22-Sep, DEL: 26-Oct, Peak Tgt: 190, BU-4</t>
  </si>
  <si>
    <t>H052A(Ph-3)</t>
  </si>
  <si>
    <t>H052A(Pro)</t>
  </si>
  <si>
    <t>1-Nov</t>
  </si>
  <si>
    <t>2-Oct</t>
  </si>
  <si>
    <t>10-Jan</t>
  </si>
  <si>
    <t>11-Dec</t>
  </si>
  <si>
    <t>H023A(Ph-3)</t>
  </si>
  <si>
    <t>16-Dec</t>
  </si>
  <si>
    <t>16-Nov</t>
  </si>
  <si>
    <t>23-Dec</t>
  </si>
  <si>
    <t>23-Nov</t>
  </si>
  <si>
    <t>H050A(Ph-3)</t>
  </si>
  <si>
    <t>30-Dec</t>
  </si>
  <si>
    <t>30-Nov</t>
  </si>
  <si>
    <t>6-Jan</t>
  </si>
  <si>
    <t>7-Dec</t>
  </si>
  <si>
    <t>13-Jan</t>
  </si>
  <si>
    <t>14-Dec</t>
  </si>
  <si>
    <t>20-Jan</t>
  </si>
  <si>
    <t>21-Dec</t>
  </si>
  <si>
    <t>27-Jan</t>
  </si>
  <si>
    <t>28-Dec</t>
  </si>
  <si>
    <t>H001A(Ph-2)</t>
  </si>
  <si>
    <t>H001A(Ph-3)</t>
  </si>
  <si>
    <t>20-Nov</t>
  </si>
  <si>
    <t>11-Jan</t>
  </si>
  <si>
    <t>3-Dec</t>
  </si>
  <si>
    <t>N050A(Ph-3)</t>
  </si>
  <si>
    <t>21-Mar</t>
  </si>
  <si>
    <t>19-Feb</t>
  </si>
  <si>
    <t>Kontoor ,SP'21 , #3784875 (MODERN CYA) Qty: 1501, FAB: TBA, DEL: 28-Nov Peak Tgt: 180, BU-3 (LFDW0145)</t>
  </si>
  <si>
    <t>Monaco</t>
  </si>
  <si>
    <t>KONTOOR, SP21,  #3778476 (EXPEDITION) Qty: 2100, FAB: TBA, DEL: 28-Nov, Peak Tgt: 180, BU-3</t>
  </si>
  <si>
    <t>KONTOOR, SP21,  #3784719 (Monaco) Qty: 2100, FAB: TBA, DEL: 28-Nov, Peak Tgt: 180, BU-3</t>
  </si>
  <si>
    <t>6-Dec/2000, 10-Jan/1100</t>
  </si>
  <si>
    <t>6-Dec/2100, 10-Jan/1225</t>
  </si>
  <si>
    <t>199355-BK</t>
  </si>
  <si>
    <t>199356-BK</t>
  </si>
  <si>
    <t>20-Dec/3500, 10-Jan/1000</t>
  </si>
  <si>
    <t>3-Jan/4000, 31-Jan/600</t>
  </si>
  <si>
    <t>209026A</t>
  </si>
  <si>
    <t>3-Jan/3500</t>
  </si>
  <si>
    <t>1CMSC74</t>
  </si>
  <si>
    <t>Wander</t>
  </si>
  <si>
    <t>6-Nov/300, 6-Dec/4268</t>
  </si>
  <si>
    <t>GU, SS21,  #H050A(Ph-3) (TBA) Qty: 5000, FAB: 25-Oct, DEL: 14-Nov, Peak Tgt: 290, BU-3</t>
  </si>
  <si>
    <t>GU, SS21,  #H050A(Ph-3) (TBA) Qty: 5000, FAB: 1-Nov, DEL: 21-Nov, Peak Tgt: 290, BU-3</t>
  </si>
  <si>
    <t>Kontoor, SP'21 , #3784776 (EXPEDITION) Qty: 4300, FAB: TBA, DEL: 26-Dec Peak Tgt: 180, BU-3 (8265WMS)</t>
  </si>
  <si>
    <t>Blue Strike</t>
  </si>
  <si>
    <t>8-Oct</t>
  </si>
  <si>
    <t>5-Nov</t>
  </si>
  <si>
    <t>KONTOOR, SP21,  #2109142 (Maddox) Qty: 3000, FAB: 5-Nov, DEL: 5-Dec, Peak Tgt: 160, BU-4</t>
  </si>
  <si>
    <t>GU, SS21,  #H052A(Ph-3) (TBA) Qty: 5270, FAB: 9-Dec, DEL: 29-Dec, Peak Tgt: 240, BU-3</t>
  </si>
  <si>
    <t>L12726 6KK BGG</t>
  </si>
  <si>
    <t>LMS706 6KK BHX</t>
  </si>
  <si>
    <t>L11709 6KK BHU</t>
  </si>
  <si>
    <t>BGG</t>
  </si>
  <si>
    <t>BHX</t>
  </si>
  <si>
    <t>BHU</t>
  </si>
  <si>
    <t>212051B</t>
  </si>
  <si>
    <t>Fall21</t>
  </si>
  <si>
    <t>37784B6</t>
  </si>
  <si>
    <t>37784B1</t>
  </si>
  <si>
    <t>MONACO</t>
  </si>
  <si>
    <t>37784B5</t>
  </si>
  <si>
    <t>HUNTER CAM</t>
  </si>
  <si>
    <t>KONTOOR, Fall21,  #37784B6 (EXPEDITION) Qty: 12900, FAB: TBA, DEL: 9-Jan, Peak Tgt: 180, BU-3</t>
  </si>
  <si>
    <t>Kontoor ,SP'21 , #2162030 (Distance) Qty: 30000, FAB: TBA, DEL: 26-Dec Peak Tgt: 160, BU-4</t>
  </si>
  <si>
    <t>GU, SS21,  #H052A (TBA) Qty: 41,696, FAB: 20-Jul, DEL: 02-Oct/31,700, 15-Oct/9996, Peak Tgt: 190, BU-3 (Pilot 746)</t>
  </si>
  <si>
    <t>KONTOOR, SP21,  #2018312 (Majestic) Qty: 4400, FAB: 20-Nov, DEL: 26-Dec, Peak Tgt: 160, BU-4</t>
  </si>
  <si>
    <t>Target-USA-C-4-20(Boys-BOOTCUT#2), Qty-4998, #569204, Fab: 6-Sep, Del: 28-Sep (Chase Qty)</t>
  </si>
  <si>
    <t>GU, SS21,  #H001A (TBA) Qty: 26,503, FAB: 22-Jul, DEL: 02-Oct/21,499, 21-Oct/5004, Peak Tgt: 230, BU-3</t>
  </si>
  <si>
    <t>GU, SS21,  #H050A (TBA) Qty: 56,800, FAB: 20-Jul, DEL: 02-Oct/34956, 19-Oct/22204, Peak Tgt: 260/150 (290/165), BU-4 (#64/27000)</t>
  </si>
  <si>
    <t>GU, SS21,  #H050A (TBA) Qty: 56,800, FAB: 20-Jul, DEL: 02-Oct/34956, 19-Oct/22204, Peak Tgt: 290, BU-3 (#67/01, 29800)</t>
  </si>
  <si>
    <t>GU, SS21,  #H052A (TBA) Qty: 41,352, FAB: 20-Jul, DEL: 02-Oct/31,700, 15-Oct/9996, Peak Tgt: 210/120, BU-4 (#64, 24820)</t>
  </si>
  <si>
    <t>GU, SS21,  #H052A (TBA) Qty: 41,352, FAB: 20-Jul, DEL: 02-Oct/31,700, 15-Oct/9996, Peak Tgt: 210/120, BU-4 (#67, 16532)</t>
  </si>
  <si>
    <t>KONTOOR, SP21,  #3535146 (Fort Green) Qty: 800, FAB: 22-Oct, DEL: 14-Nov, Peak Tgt: TBA, BU-TBA</t>
  </si>
  <si>
    <t>KONTOOR, SP21,  #3778328 (Clouded Bleach) Qty: 1800, FAB: 30-Sep, DEL: 31-Oct, Peak Tgt: TBA, BU-TBA</t>
  </si>
  <si>
    <t>KONTOOR, SP21,  #3527755 (Modern Cyan) Qty: 1100, FAB: 30-Sep, DEL: 7-Nov, Peak Tgt: TBA, BU-TBA</t>
  </si>
  <si>
    <t>KONTOOR, SP21,  #3591502 (Washed Black) Qty: 850, FAB: 15-Oct, DEL: 14-Nov, Peak Tgt: TBA, BU-TBA</t>
  </si>
  <si>
    <t>KONTOOR, SP21,  #3538045 (Very Peculiar) Qty: 700, FAB: 30-Sep, DEL: 31-Oct, Peak Tgt: TBA, BU-TBA</t>
  </si>
  <si>
    <t>KONTOOR, SP21,  #3523209 (Compass) Qty: 650, FAB: 15-Oct, DEL: 14-Nov, Peak Tgt: TBA, BU-TBA</t>
  </si>
  <si>
    <t>KONTOOR, SP21,  #3538043 (Denim Herringbone) Qty: 700, FAB: 6-Oct, DEL: 28-Nov, Peak Tgt: TBA, BU-TBA</t>
  </si>
  <si>
    <t>KONTOOR, SP21,  #2018224 (Executive) Qty: 4600, FAB: 13-Sep, DEL: 24-Oct, Peak Tgt: 160, BU-4</t>
  </si>
  <si>
    <t>KONTOOR, SP21,  #2018324 (Executive) Qty: 3016, FAB: 13-Sep, DEL: 24-Oct, Peak Tgt: 160, BU-4</t>
  </si>
  <si>
    <t>Kontoor, SP'21 , #2018224 (Executive) Qty: 4000, FAB: 25-Oct, DEL: 28-Nov, Peak Tgt: 160, BU-4 (TBA)</t>
  </si>
  <si>
    <t>KONTOOR, SP21,  #2105279 (Blue Strike) Qty: 2700, FAB: 12-Oct, DEL: 5-Dec, Peak Tgt: 160, BU-4</t>
  </si>
  <si>
    <t>KONTOOR, SP21,  #2108524 (Executive) Qty: 3800, FAB: 9-Nov, DEL: 26-Dec, Peak Tgt: 160, BU-4</t>
  </si>
  <si>
    <t>T-AUS, Sum'21(Q1), #184731 Qty: 10515, FAB: TBA, DEL: 04-Oct/2144, 18-Oct/2144 (Plan-4288)</t>
  </si>
  <si>
    <t>GU, SS21,  #H100A (#65 #68) Qty: 20,130, FAB: TBA, DEL: 12-Oct/10132, 18-Oct/9998, Peak Tgt: 210/125, BU-4</t>
  </si>
  <si>
    <t>KONTOOR, SP21,  #ZFC9BI2 (Dark) Qty: 3000, FAB: 19-Sep, DEL: 31-Oct, Peak Tgt: 180, BU-3</t>
  </si>
  <si>
    <t>KONTOOR, SP21,  #ZFC9BI4 (Mid) Qty: 3000, FAB: 19-Sep, DEL: 31-Oct, Peak Tgt: 180, BU-3</t>
  </si>
  <si>
    <t>T-AUS, Sum'21(Q1),  #198107 (White) Qty: 6900, FAB: 22-Sep, DEL: 18-Oct (Plan 2000)</t>
  </si>
  <si>
    <t>T-AUS, Sum'21(Q2),  #197594 (Black) Qty: 7076, FAB: (20-Sep Balance), 11/Oct/2038, 18-Oct/3000, Peak Tgt: 180, BU-3 (Plan-5038)</t>
  </si>
  <si>
    <t>GU, SS21,  #N020A (TBA) Qty: 32000, FAB: 20-Jul, DEL: 26-Oct/2004, 30-Jan/30,000, Peak Tgt: 250, BU-3 (Pre Del 16-Oct)</t>
  </si>
  <si>
    <t>GU, SS21,  #H067A (TBA) Qty: 1500, FAB: 9-Sep, DEL: 25-Oct, Peak Tgt: TBA, BU-3</t>
  </si>
  <si>
    <t>T-AUS, Sum'21(Q2), #197597B (Light Blue) Qty: 6118, FAB: (25-Sep Balance), DEL: 20-Sep/3059, 11-Oct/3059</t>
  </si>
  <si>
    <t>GU, SS21 ,  #H023A (#64 #68 #80) Qty: 46108, FAB: 24-Aug, DEL: 15-Oct, Peak Tgt: 240, BU-3</t>
  </si>
  <si>
    <t>Kontoor ,SP'21 , #2162030 (Distance) Qty: 17500, FAB: 01-Oct, DEL: 31-Oct, Peak Tgt: 160, BU-4 (TBA)</t>
  </si>
  <si>
    <t>GU, SS21,  #H050A(#67) Qty: 5004, FAB: 05-Oct, DEL: 31-Oct, Peak Tgt: 260/150, BU-3</t>
  </si>
  <si>
    <t>GU, SS21,  #H001A Qty: 10000, FAB: 5-Oct, DEL: 7-Nov/5000, 14-Nov/5000, Peak Tgt: 225, BU-3</t>
  </si>
  <si>
    <t>GU, SS21,  #H001A(Ph-3) (TBA) Qty: 20000, FAB: 1-Nov, DEL: 18-Nov &amp; 25-Nov, Peak Tgt: 225, BU-3</t>
  </si>
  <si>
    <t>GU, SS21,  #H100A(Ph-3) (TBA) Qty: 6000, FAB: 01-Nov, DEL: 21-Nov, Peak Tgt: 220, BU-3</t>
  </si>
  <si>
    <t>GU, SS21,  #H052A(Pro) (TBA) Qty: 20000, FAB: 11-Nov, DEL: 10-Dec &amp; 20-Dec, Peak Tgt: 240, BU-3</t>
  </si>
  <si>
    <t>N110A</t>
  </si>
  <si>
    <t>N111A</t>
  </si>
  <si>
    <t>N117A</t>
  </si>
  <si>
    <t>N118A</t>
  </si>
  <si>
    <t>3-Feb</t>
  </si>
  <si>
    <t>GU, SS21,  #N118A (TBA) Qty: 1300, FAB: TBA, DEL: 3-Feb, Peak Tgt: 190, BU-4</t>
  </si>
  <si>
    <t>4-Jan</t>
  </si>
  <si>
    <t>KONTOOR, Fall21,  #37784B1 (MONACO) Qty: 8650, FAB: TBA, DEL: 9-Jan, Peak Tgt: 180, BU-3</t>
  </si>
  <si>
    <t>ZMREB10</t>
  </si>
  <si>
    <t>WHITE</t>
  </si>
  <si>
    <t>3522026-LFDM0003</t>
  </si>
  <si>
    <t>3522077-LFDM0003</t>
  </si>
  <si>
    <t>3522095-LFDM0003</t>
  </si>
  <si>
    <t>3517933-7742MS</t>
  </si>
  <si>
    <t>35L7933-7742MS</t>
  </si>
  <si>
    <t>3517976-7742MS</t>
  </si>
  <si>
    <t>3193930-8260WMS</t>
  </si>
  <si>
    <t>3408928-7743MS</t>
  </si>
  <si>
    <t>4606201-LFCM0075</t>
  </si>
  <si>
    <t>4606209-LFCM0075</t>
  </si>
  <si>
    <t>4606214-LFCM0075</t>
  </si>
  <si>
    <t>4606246-LFCM0075</t>
  </si>
  <si>
    <t>460589M-LFCM0075</t>
  </si>
  <si>
    <t>2090243-8330MW</t>
  </si>
  <si>
    <t>2090244-8330MW</t>
  </si>
  <si>
    <t>2090245-8330MW</t>
  </si>
  <si>
    <t>2090246-8330MW</t>
  </si>
  <si>
    <t>2090103-8329MW</t>
  </si>
  <si>
    <t>2090104-8329MW</t>
  </si>
  <si>
    <t>2090102-8329MW</t>
  </si>
  <si>
    <t>3527709-LFDM0036</t>
  </si>
  <si>
    <t>3527710-LFDM0036</t>
  </si>
  <si>
    <t>3527782-LFDM0036</t>
  </si>
  <si>
    <t>3772388-LFDM0104</t>
  </si>
  <si>
    <t>3772385-LFDM0104</t>
  </si>
  <si>
    <t>3535180-LFDM0119</t>
  </si>
  <si>
    <t>3535185-LFDM0119</t>
  </si>
  <si>
    <t>3778640-LFDM0120</t>
  </si>
  <si>
    <t>3778638-LFDM0120</t>
  </si>
  <si>
    <t>3772330-LFDM0104</t>
  </si>
  <si>
    <t>ANCHOR</t>
  </si>
  <si>
    <t>NIGHTSHADE</t>
  </si>
  <si>
    <t>SEATTLE</t>
  </si>
  <si>
    <t>MOON ROCK</t>
  </si>
  <si>
    <t>RAINSTORM</t>
  </si>
  <si>
    <t>Eclipse Blue</t>
  </si>
  <si>
    <t>Grove</t>
  </si>
  <si>
    <t>Clay</t>
  </si>
  <si>
    <t>Rip</t>
  </si>
  <si>
    <t>Desert</t>
  </si>
  <si>
    <t>Austin</t>
  </si>
  <si>
    <t>Pavement</t>
  </si>
  <si>
    <t>Summer Haze Acid</t>
  </si>
  <si>
    <t>Berry Pink Acid</t>
  </si>
  <si>
    <t>Light Indigo Acid</t>
  </si>
  <si>
    <t>Persimmon Acid</t>
  </si>
  <si>
    <t>Got Your Back</t>
  </si>
  <si>
    <t>30-Jan</t>
  </si>
  <si>
    <t>23-Jan</t>
  </si>
  <si>
    <t>KONTOOR, Fall21,  #3522026-LFDM0003 (ANCHOR) Qty: 3000, FAB: TBA, DEL: 16-Jan, Peak Tgt: 200, BU-3</t>
  </si>
  <si>
    <t>KONTOOR, Fall21,  #3522077-LFDM0003 (NIGHTSHADE) Qty: 3000, FAB: TBA, DEL: 16-Jan, Peak Tgt: 200, BU-3</t>
  </si>
  <si>
    <t>KONTOOR, Fall21,  #3522095-LFDM0003 (SEATTLE) Qty: 3000, FAB: TBA, DEL: 16-Jan, Peak Tgt: 200, BU-3</t>
  </si>
  <si>
    <t>KONTOOR, Fall21,  #2090246-8330MW (Rip) Qty: 1500, FAB: TBA, DEL: 9-Jan, Peak Tgt: TBA, BU-TBA</t>
  </si>
  <si>
    <t>KONTOOR, Fall21,  #3517933-7742MS (INFINITY) Qty: 1500, FAB: TBA, DEL: 23-Jan, Peak Tgt: 180, BU-3</t>
  </si>
  <si>
    <t>KONTOOR, Fall21,  #35L7933-7742MS (INFINITY) Qty: 1000, FAB: TBA, DEL: 23-Jan, Peak Tgt: 180, BU-3</t>
  </si>
  <si>
    <t>KONTOOR, Fall21,  #3517976-7742MS (EXPEDITION) Qty: 3300, FAB: TBA, DEL: 23-Jan, Peak Tgt: 180, BU-3</t>
  </si>
  <si>
    <t>KONTOOR, Fall21,  #3408928-7743MS (RENEGADE) Qty: 2001, FAB: TBA, DEL: 23-Jan, Peak Tgt: 180, BU-3</t>
  </si>
  <si>
    <t>KONTOOR, Fall21,  #4606246-LFCM0075 (RAINSTORM) Qty: 3500, FAB: TBA, DEL: 23-Jan, Peak Tgt: 200, BU-4</t>
  </si>
  <si>
    <t>KONTOOR, Fall21,  #3527710-LFDM0036 (White) Qty: 850, FAB: TBA, DEL: 30-Jan, Peak Tgt: TBA, BU-TBA</t>
  </si>
  <si>
    <t>KONTOOR, Fall21,  #3527782-LFDM0036 (Summer Haze Acid) Qty: 700, FAB: TBA, DEL: 23-Jan, Peak Tgt: TBA, BU-TBA</t>
  </si>
  <si>
    <t>KONTOOR, Fall21,  #3772388-LFDM0104 (Berry Pink Acid) Qty: 950, FAB: TBA, DEL: 23-Jan, Peak Tgt: TBA, BU-TBA</t>
  </si>
  <si>
    <t>KONTOOR, Fall21,  #3772385-LFDM0104 (Light Indigo Acid) Qty: 750, FAB: TBA, DEL: 30-Jan, Peak Tgt: TBA, BU-TBA</t>
  </si>
  <si>
    <t>KONTOOR, Fall21,  #3535180-LFDM0119 (Persimmon Acid) Qty: 1000, FAB: TBA, DEL: 23-Jan, Peak Tgt: TBA, BU-TBA</t>
  </si>
  <si>
    <t>KONTOOR, Fall21,  #3772330-LFDM0104 (Horizon) Qty: 800, FAB: TBA, DEL: 30-Jan, Peak Tgt: TBA, BU-TBA</t>
  </si>
  <si>
    <t>KONTOOR, Fall21,  #3778421 (MONACO) Qty: 1001, FAB: TBA, DEL: 30-Jan, Peak Tgt: 180, BU-3</t>
  </si>
  <si>
    <t>KONTOOR, Fall21,  #3778455 (HUNTER CAM) Qty: 1001, FAB: TBA, DEL: 30-Jan, Peak Tgt: 180, BU-3</t>
  </si>
  <si>
    <t>6-Feb</t>
  </si>
  <si>
    <t>6-Mar</t>
  </si>
  <si>
    <t>KONTOOR, Fall21,  #3784755 (SORA BLUE) Qty: 1501, FAB: TBA, DEL: 30-Jan, Peak Tgt: 180, BU-3</t>
  </si>
  <si>
    <t>KONTOOR, SP21,  #2161535 (Jet) Qty: 34000, FAB: 20-Aug, DEL: 17-Oct, Peak Tgt: 160, BU-4</t>
  </si>
  <si>
    <t>Kontoor, SP'21 , #2018224 (Executive) Qty: 6000, FAB: 10-Oct, DEL: 7-Nov, Peak Tgt: 160, BU-4 (TBA)</t>
  </si>
  <si>
    <t>KONTOOR, SP21,  #2108524 (Executive) Qty: 21102, FAB: 10-Oct &amp; 25-Oct, DEL: 5-Dec, Peak Tgt: 160, BU-4</t>
  </si>
  <si>
    <t>KONTOOR, SP21,  #3591508 (Ecru) Qty: 850, FAB: 17-Sep, DEL: 28-Nov, Peak Tgt: TBA, BU-TBA (Sam-5-Oct)</t>
  </si>
  <si>
    <t>KONTOOR, SP21,  #3778309 (Compass) Qty: 2200, FAB: 30-Sep, DEL: 31-Oct, Peak Tgt: TBA, BU-TBA (Sam 5-Oct)</t>
  </si>
  <si>
    <t>KONTOOR, SP21,  #3591563 (Vintage Essex) Qty: 800, FAB: OK, DEL: 31-Oct, Peak Tgt: TBA, BU-TBA (sam-5-Oct)</t>
  </si>
  <si>
    <t>KONTOOR, SP21,  #3523245 (Very Peculiar) Qty: 650, FAB: OK, DEL: 24-Oct, Peak Tgt: TBA, BU-TBA (Sam 2-Oct)</t>
  </si>
  <si>
    <t>KONTOOR, SP21,  #3529014 (Always Iconic) Qty: 1200, FAB: OK, DEL: 7-Nov, Peak Tgt: TBA, BU-TBA (Sam 5-Oct)</t>
  </si>
  <si>
    <t>KONTOOR, SP21,  #3527703 (Horizon) Qty: 1900, FAB: OK, DEL: 7-Nov, Peak Tgt: TBA, BU-TBA</t>
  </si>
  <si>
    <t>KONTOOR, SP21,  #3527760 (Alpine) Qty: 1700, FAB: OK, DEL: 24-Oct, Peak Tgt: TBA, BU-TBA</t>
  </si>
  <si>
    <t>KONTOOR, SP21,  #3529086 (Deep Fog Acid) Qty: 500, FAB: OK, DEL: 28-Nov, Peak Tgt: TBA, BU-TBA (Sam TBD)</t>
  </si>
  <si>
    <t>KONTOOR, SP21,  #3535186 (Deep Fog Acid) Qty: 950, FAB: OK, DEL: 28-Nov, Peak Tgt: TBA, BU-TBA (Sam TBD)</t>
  </si>
  <si>
    <t>KONTOOR, SP21,  #L11709 6KK BHU (BHU) Qty: 8556, FAB: OK, DEL: 12-Nov, Peak Tgt: 170, BU-4</t>
  </si>
  <si>
    <t>KONTOOR, SP21,  #LMS706 6KK BHX (BHX) Qty: 2800, FAB: OK, DEL: 12-Nov, Peak Tgt: 100, BU-4</t>
  </si>
  <si>
    <t>KONTOOR, SP21,  #1CMSC02 (Infinity) Qty: 4363, FAB: 24-Oct, DEL: 6-Nov/300, 6-Dec/4063, Peak Tgt: TBA, BU-TBA</t>
  </si>
  <si>
    <t>KONTOOR, SP21,  #1CMSC74 (Wander) Qty: 4568, FAB: 17-Oct, DEL: 6-Nov/300, 6-Dec/4268, Peak Tgt: 215, BU-4</t>
  </si>
  <si>
    <t>Kontoor ,SP'21 , #3778605 (INFLUX) Qty: 6500, FAB: 6-Oct, DEL: 28-Nov Peak Tgt: 180, BU-3 (LFDM0128)</t>
  </si>
  <si>
    <t>Kontoor ,SP'21 , #3778612 (TIDE) Qty: 6700, FAB: 6-Oct, DEL: 28-Nov Peak Tgt: 180, BU-3 (LFDM0128)</t>
  </si>
  <si>
    <t>Kontoor ,SP'21 , #3408929 (CASCADE) Qty: 1501, FAB: OK, DEL: 28-Nov Peak Tgt: 180, BU-3 (7743MS) (Accs 5-Oct)</t>
  </si>
  <si>
    <t>Kontoor ,SP'21 , #3517901 (BLACK) Qty: 1501, FAB: OK, DEL: 28-Nov Peak Tgt: 180, BU-3 (7742MS)</t>
  </si>
  <si>
    <t>KONTOOR, SP21,  #3517976 (EXPEDITION) Qty: 2290, FAB: OK, DEL: 5-Dec, Peak Tgt: 180, BU-3 (Assc 10-Oct)</t>
  </si>
  <si>
    <t>Kontoor ,SP'21 , #3381966 (NIGHTGAMES) Qty: 2501, FAB: OK, DEL: 31-Oct Peak Tgt: 180, BU-3 (8208MSS)</t>
  </si>
  <si>
    <t>KONTOOR, SP21,  #1MSBP01 (Black) Qty: 7202, FAB: 9-Nov, DEL: 12-Nov/300, 12-Dec/6902, Peak Tgt: TBA, BU-TBA</t>
  </si>
  <si>
    <t>KONTOOR, SP21,  #1MSBP02 (Infinity) Qty: 7637, FAB: OK, DEL: 12-Nov/300, 12-Dec/7337, Peak Tgt: 215, BU-4 (Sam 7-Oct)</t>
  </si>
  <si>
    <t>KONTOOR, SP21,  #1MSBP06 (Ultramarine) Qty: 7643, FAB: 17-Oct, DEL: 12-Nov/300, 12-Dec/7343, Peak Tgt: 215, BU-4</t>
  </si>
  <si>
    <t>Kontoor ,SP'21 , #460621Q (DAZED-NW) Qty: 4000, FAB: 8-Oct, DEL: 31-Oct Peak Tgt: 200, BU-5 (LFCM0075)</t>
  </si>
  <si>
    <t>Kontoor ,SP'21 , #4606214 (DAZED-NW) Qty: 3000, FAB: 8-Oct, DEL: 31-Oct Peak Tgt: 200, BU-5 (LFCM0075)</t>
  </si>
  <si>
    <t>3381966 Fab Check</t>
  </si>
  <si>
    <t>T-AUS, Sum'21(Q2),  #205679 (Light Wash) Qty: 7042, FAB: 15-Oct, DEL: 13-Sep/5000, Peak Tgt: 180, BU-3 (1200 Pcs)</t>
  </si>
  <si>
    <t>KONTOOR, SP21,  #2109142 (Maddox) Qty: 3000, FAB: OK, DEL: 28-Nov, Peak Tgt: 160, BU-5</t>
  </si>
  <si>
    <t>KONTOOR, SP21,  #L12726 6KK BGG (BGG) Qty: 10768, FAB: TBA, DEL: 20-Oct, Peak Tgt: 140, BU-4</t>
  </si>
  <si>
    <t>GU, SS21 (Pro),  #H105A (#65,09) Qty: 17100, FAB: 2-Oct, DEL: 14-Nov, Peak Tgt: 140, BU-4</t>
  </si>
  <si>
    <t>T-AUS, Win21,  #198720 (Boston Blue) Qty: 4008, FAB: 20-Oct, DEL: 15-Nov, Peak Tgt: 180, BU-3</t>
  </si>
  <si>
    <t>96UFMWB</t>
  </si>
  <si>
    <t>KONTOOR, Fall21,  #ZFC9BI2 (Dark) Qty: 5000, FAB: TBA, DEL: 30-Jan, Peak Tgt: 180, BU-3</t>
  </si>
  <si>
    <t>KONTOOR, Fall21,  #ZFC9BI4 (Mid) Qty: 8000, FAB: TBA, DEL: 30-Jan, Peak Tgt: 180, BU-3</t>
  </si>
  <si>
    <t>KONTOOR, Fall21,  #96UFMWB (Wright Blue) Qty: 1800, FAB: TBA, DEL: 2-Jan, Peak Tgt: 180, BU-4</t>
  </si>
  <si>
    <t>KONTOOR, Fall21,  #96UFMBB (Blue Banks) Qty: 1800, FAB: TBA, DEL: 2-Jan, Peak Tgt: 180, BU-4</t>
  </si>
  <si>
    <t>KONTOOR, Fall21,  #96UFMWB (Wright Blue) Qty: 2500, FAB: TBA, DEL: 9-Jan, Peak Tgt: 180, BU-4</t>
  </si>
  <si>
    <t>KONTOOR, Fall21,  #96UFMBB (Blue Banks) Qty: 2500, FAB: TBA, DEL: 9-Jan, Peak Tgt: 180, BU-4</t>
  </si>
  <si>
    <t>GU, SS21,  #H050A Qty: 10000, FAB: 18-Oct, DEL: 7-Nov, Peak Tgt: 260, BU-3</t>
  </si>
  <si>
    <t>GU, SS21 ,  #H023A (#64) Qty: 5100, FAB: 24-Aug, DEL: 27-Oct, Peak Tgt: 240, BU-3</t>
  </si>
  <si>
    <t>GU, SS21,  #H023A(Ph-3) (TBA) Qty: 32200, FAB: 26-Nov, DEL: 16-Dec, 23 Dec &amp; 28-Dec, Peak Tgt: 240, BU-3</t>
  </si>
  <si>
    <t>GU, SS21,  #H050A (TBA) Qty: 20000, FAB: TBA, DEL: 16-Dec &amp; 23-Dec, Peak Tgt: 260, BU-3  (Ph-3)</t>
  </si>
  <si>
    <t>95UFMCU</t>
  </si>
  <si>
    <t>95UFMSI</t>
  </si>
  <si>
    <t>KONTOOR, Fall21,  #2018224 (Executive) Qty: 3000, FAB: TBA, DEL: 30-Jan, Peak Tgt: 160, BU-4</t>
  </si>
  <si>
    <t>KONTOOR, Fall21,  #2108524 (Executive) Qty: 3500, FAB: TBA, DEL: 30-Jan, Peak Tgt: 160, BU-4</t>
  </si>
  <si>
    <t>Kontoor ,SP'21 , #460621Q (DAZED-NW) Qty: 3000, FAB: 8-Oct, DEL: 28-Nov Peak Tgt: 200, BU-5 (LFCM0075)</t>
  </si>
  <si>
    <t>Kontoor ,SP'21 , #460620V (MOON ROCK-NW) Qty: 3500, FAB: 8-Oct, DEL: 28-Nov Peak Tgt: 200, BU-5 (LFCM0075)</t>
  </si>
  <si>
    <t>Kontoor ,SP'21 , #460620M (BLACK-NW) Qty: 3000, FAB: 8-Oct, DEL: 28-Nov Peak Tgt: 200, BU-5 (LFCM0075)</t>
  </si>
  <si>
    <t>Kontoor, SP'21 , #2162030 (Distance) Qty: 22000, FAB: 10-Oct, DEL: 28-Nov, Peak Tgt: 160, BU-4 (TBA) (Hold-33000)</t>
  </si>
  <si>
    <t>GU, SS21,  #N054A (TBA) Qty: 51,444, FAB: 22-Jul, DEL: 22-Dec/41436, 10-Jan/10008, Peak Tgt: 200, BU-TBA</t>
  </si>
  <si>
    <t>GU, SS21,  #H001A(Ph-3) (TBA) Qty: 20000, FAB: 19-Nov, DEL: 16-Dec &amp; 23-Dec, Peak Tgt: 225, BU-3</t>
  </si>
  <si>
    <t>T-USA, C1'21,  #2WKXR (Highbrow) Qty: 5742, FAB: 10-Oct, DEL: 24-Nov to 11-Jan, Peak Tgt: 210, BU-3 (Plan 2172)</t>
  </si>
  <si>
    <t>T-USA, C1'21,  #L7R33 (Tenacious) Qty: 16300, FAB: 5-Oct, DEL: 24-Nov to 29-Dec, Peak Tgt: 210, BU-3 (Plan 7398)</t>
  </si>
  <si>
    <t>Tide</t>
  </si>
  <si>
    <t>T-USA, C1'21,  #L7R33 (Tenacious) Qty: 16300, FAB: 5-Oct, DEL: 13-Jan, Peak Tgt: 210, BU-3 (Plan-3500)</t>
  </si>
  <si>
    <t>T-USA, C1'21,  #EP559 (Shane) Qty: 55932, FAB: TBA, DEL: 7-Jan/3714, Peak Tgt: 210, BU-3 (Plan-8600)</t>
  </si>
  <si>
    <t>KONTOOR, SP21,  #1CMRS88 (Railroad Stripe) Qty: 65,976, FAB: 02-Oct, DEL: 28-Oct/300, 21-Nov/8010, 28-Nov/41768,5-Dec/15898 , Peak Tgt: 215, BU-4</t>
  </si>
  <si>
    <t>KONTOOR, Fall21,  #1CMRS88 (Railroad Stripe) Qty: 18055, FAB: TBA, DEL: 30-Jan, Peak Tgt: 215, BU-4</t>
  </si>
  <si>
    <t>KONTOOR, SP21,  #1MSBP03 (Influx) Qty: 8125, FAB: OK, DEL: 12-Nov/300, 5-Dec/7825, Peak Tgt: 215, BU-4 (Sam 7-Oct)</t>
  </si>
  <si>
    <t>KONTOOR, SP'21 , #2015042 (Maddox) Qty: 8500, FAB: 01-Oct, DEL: 31-Oct, Peak Tgt: 160, BU-4 (TBA)</t>
  </si>
  <si>
    <t>KONTOOR, Fall21,  #2090245-8330MW (Clay) Qty: 1500, FAB: TBA, DEL: 9-Jan, Peak Tgt: TBA, BU-TBA</t>
  </si>
  <si>
    <t>KONTOOR, SP21,  #2105042 (Maddox) Qty: 1300, FAB: 05-Oct, DEL: 21-Nov, Peak Tgt: 160, BU-5</t>
  </si>
  <si>
    <t>Kontoor, SP'21 , #3087135 (SEATTLE) Qty: 3600, FAB: TBA, DEL: 21-Nov, Peak Tgt: 200, BU-3 (LFDM/LFDW0003)</t>
  </si>
  <si>
    <t>KONTOOR, SP21,  #3193901 (BLACK) Qty: 2001, FAB: 11-Oct, DEL: 21-Nov, Peak Tgt: 180, BU-3</t>
  </si>
  <si>
    <t>KONTOOR, Fall21,  #3193930-8260WMS (BLUE PHOEN) Qty: 3000, FAB: TBA, DEL: 16-Jan, Peak Tgt: 180, BU-3</t>
  </si>
  <si>
    <t>KONTOOR, SP21,  #3380401 (BLACK) Qty: 4500, FAB: 11-Oct, DEL: 21-Nov, Peak Tgt: 180, BU-3</t>
  </si>
  <si>
    <t>Kontoor ,SP'21 , #3380430 (BLUE PHOEN) Qty: 3900, FAB: 6-Oct, DEL: 21-Nov Peak Tgt: 180, BU-3 (LFDM0109)</t>
  </si>
  <si>
    <t>Kontoor ,SP'21 , #4605889 (FORT GREEN-NW) Qty: 5000, FAB: TBA, DEL: 21-Nov Peak Tgt: 200, BU-5 (LFCM0075)</t>
  </si>
  <si>
    <t>KONTOOR, SP21,  #4605891 (SORA BLUE-NW) Qty: 2101, FAB: OK, DEL: 24-Oct, Peak Tgt: 180, BU-3</t>
  </si>
  <si>
    <t>Kontoor ,SP'21 , #460589M (SORA BLUE-NW) Qty: 3000, FAB: TBA, DEL: 21-Nov Peak Tgt: 200, BU-5 (LFCM0075)</t>
  </si>
  <si>
    <t>KONTOOR, Fall21,  #460589M-LFCM0075 (SORA BLUE) Qty: 4700, FAB: TBA, DEL: 16-Jan, Peak Tgt: 200, BU-4</t>
  </si>
  <si>
    <t>KONTOOR, Fall21,  #4606201-LFCM0075 (BLACK) Qty: 3000, FAB: TBA, DEL: 16-Jan, Peak Tgt: 200, BU-4</t>
  </si>
  <si>
    <t>Kontoor ,SP'21 , #4606201 (BLACK-NW) Qty: 3000, FAB: TBA, DEL: 21-Nov Peak Tgt: 200, BU-5 (LFCM0075)</t>
  </si>
  <si>
    <t>KONTOOR, Fall21,  #4606209-LFCM0075 (MOON ROCK) Qty: 3000, FAB: TBA, DEL: 16-Jan, Peak Tgt: 200, BU-4</t>
  </si>
  <si>
    <t>Kontoor ,SP'21 , #4606209 (MOON ROCK-NW) Qty: 3000, FAB: 8-Oct, DEL: 21-Nov Peak Tgt: 200, BU-5 (LFCM0075)</t>
  </si>
  <si>
    <t>KONTOOR, Fall21,  #4606214-LFCM0075 (DAZED) Qty: 3000, FAB: TBA, DEL: 16-Jan, Peak Tgt: 200, BU-4</t>
  </si>
  <si>
    <t>KONTOOR, SP'21,  #G96RTWL (Wilson) Qty: 2500, FAB: TBA, DEL: 8-Nov, Peak Tgt: 180, BU-3</t>
  </si>
  <si>
    <t>Target-USA-C-4-20(Boys-Ranch), Qty-135,000, #569214, Fab: TBA, Plan-1154 Pcs</t>
  </si>
  <si>
    <t>T-AUS, Win21,  #212060 (Black) Qty: 3192, FAB: 13-Oct, Acs: 25-Oct, DEL: 8-Nov, Peak Tgt: 200, BU-3</t>
  </si>
  <si>
    <t>T-AUS, Win21,  #211252 (Blue) Qty: 8496, FAB: PR, Acs: 25-Oct, DEL: 19-Nov/2500, Peak Tgt: 190, BU-3 (Plan-4000)</t>
  </si>
  <si>
    <t>T-AUS, Win21,  #213268 (Black) Qty: 9506, FAB: 30-Oct, Acs: 25-Oct, DEL: 12-Nov/168, 19-Nov/2336, Peak Tgt: 180, BU-3 (Plan-4000)</t>
  </si>
  <si>
    <t>T-AUS, Win21,  #199980 (Mid Wash) Qty: 3982, FAB: PR, R/11-Nov, DEL: 22-Nov/792, Peak Tgt: 180, BU-3</t>
  </si>
  <si>
    <t>T-AUS, Win21,  #189211 (Blue) Qty: 5500, FAB: PR, Acs: 25-Oct, DEL: 15-Nov/3000, 13-Dec/1001, Peak Tgt: 180, BU-3 (Plan-4001)</t>
  </si>
  <si>
    <t>T-AUS, Win21,  #208486 (TBA) Qty: 6300, FAB: 30-Oct, Acs: 10-Nov, DEL: 6-Dec, Peak Tgt: 180, BU-3 (Plan-4200)</t>
  </si>
  <si>
    <t>T-AUS, Win21,  #209024A (Mid Wash) Qty: 5542, FAB: PR, R/11-Nov, Acs: 10-Nov, DEL: 6-Dce/3498, Peak Tgt: 180, BU-3 (Plan-3498)</t>
  </si>
  <si>
    <t>T-AUS, Win21,  #212061 (TBA) Qty: 3200, FAB: OK, Acs: 15-Nov, DEL: 6-Dec, Peak Tgt: 180, BU-3</t>
  </si>
  <si>
    <t>T-AUS, Win21,  #197594B (Black) Qty: 8304, FAB: 28-Oct, Acs: 22-Nov, DEL: 6-Dec/4708, Peak Tgt: 180, BU-3 (Plan-4708)</t>
  </si>
  <si>
    <t>T-AUS, Win21,  #211253 (Indigo) Qty: 8496, FAB: PR, R/10-Nov, Acs: 25-Oct, DEL: 12-Nov/2336, Peak Tgt: 190, BU-3 (Plan-4000)</t>
  </si>
  <si>
    <t>T-AUS, Win21,  #191578 (Mid Wash) Qty: 8659, FAB: 30-Oct, DEL: 15-Nov/5002, 29-Nov/1040, Peak Tgt: 180, BU-3 (Plan-7082)</t>
  </si>
  <si>
    <t>T-AUS, Win21,  #193242 (W. Blue) Qty: 2300, FAB: PR, R/10-Nov, Acs: 10-Nov, DEL: 6-Dec/1500, Peak Tgt: 180, BU-3</t>
  </si>
  <si>
    <t>T-AUS, Win21,  #212053 (Mid Wash) Qty: 6956, FAB: PR, R/11-Nov, Acs: 10-Nov, DEL: 6-Dec/4500, Peak Tgt: 180, BU-3 (Plan-4500)</t>
  </si>
  <si>
    <t>T-AUS, Win21,  #189207 (Blue) Qty: 5498, FAB: PR, R/10-Nov, Acs: 10-Nov, DEL: 6-Dec/3498, Peak Tgt: 180, BU-3 (Plan-3498)</t>
  </si>
  <si>
    <t>T-AUS, Win21,  #184731 (Dark Wash) Qty: 10121, FAB: PR, Acs: 25-Oct, DEL: 15-Nov/5501, 29-Nov/1040, Peak Tgt: 180, BU-3 (Plan-6541)</t>
  </si>
  <si>
    <t>T-AUS, Win21,  #191550 (Light Wash) Qty: 9361, FAB: PR, Acs: 25-Oct, DEL: 15-Nov/5002, 29-Nov/1040, Peak Tgt: 180, BU-3 (Plan-6042)</t>
  </si>
  <si>
    <t>T-AUS, Win21,  #193238 (W. Blue) Qty: 4000, FAB: PR &amp; R/10-Nov, Acs: 10-Nov, DEL: 6-Dec/2500, Peak Tgt: 180, BU-3 (Plan-2500)</t>
  </si>
  <si>
    <t>T-AUS, Win21,  #213928 (TBA) Qty: 4496, FAB: OK, Acs: 10-Nov, DEL: 6-Dec/3500, Peak Tgt: 180, BU-3</t>
  </si>
  <si>
    <t>T-AUS, Win21,  #197594A (Black) Qty: 4656, FAB: 28-Oct, Acs: 25-Oct, DEL: 15-Nov/1040, Peak Tgt: 180, BU-3 (Plan-2592)</t>
  </si>
  <si>
    <t>T-AUS, Win21,  #201340A (Black) Qty: 5008, FAB: 28-Oct, Acs: 10-Nov, DEL: 6-Dec/1004, 27-Dec/1996, Peak Tgt: 180, BU-3 (Plan-3000)</t>
  </si>
  <si>
    <t>T-AUS, Win21,  #217354 (Khaki) Qty: 6615, FAB: 20-Nov, Acs: 22-Nov, DEL: 24-Dec/168, 31-Dec/2832, Peak Tgt: 180, BU-3 (Plan-3803)</t>
  </si>
  <si>
    <t>T-AUS, Win21,  #209024B (Mid Wash) Qty: 8892, FAB: TBA, DEL: 3-Jan/1396, Peak Tgt: 180, BU-3 (Plan-3392)</t>
  </si>
  <si>
    <t>T-AUS, Win21,  #211244 (Light Wash) Qty: 7040, FAB: TBA, DEL: 3-Jan/4000, Peak Tgt: 180, BU-3 (Plan-4000)</t>
  </si>
  <si>
    <t>T-AUS, Win21,  #189207 (Blue) Qty: 5498, FAB: TBA, DEL: 6-Dec/3500, 10-Jan/2000, Peak Tgt: 180, BU-3 (Plan-2000)</t>
  </si>
  <si>
    <t>T-AUS, Win21,  #193238 (W. Blue) Qty: 4000, FAB: PR &amp; R/10-Nov, Acs: 10-Nov, 10-Jan/1500, Peak Tgt: 180, BU-3 (Plan-1500)</t>
  </si>
  <si>
    <t>T-AUS, Win21,  #209024A (Mid Wash) Qty: 5542, FAB: TBA, DEL: 6-Dce/3500, 3-Jan/1040, Peak Tgt: 180, BU-3 (Plan-2044)</t>
  </si>
  <si>
    <t>T-AUS, Win21,  #197594A (Black) Qty: 4656, FAB: TBA, DEL: 3-Jan/512, Peak Tgt: 180, BU-3 (Plan-2064)</t>
  </si>
  <si>
    <t>T-AUS, Win21,  #191578 (Mid Wash) Qty: 8659, FAB: TBA, DEL: 10-Jan/798, Peak Tgt: 180, BU-3 (Plan-1577)</t>
  </si>
  <si>
    <t>T-AUS, Win21,  #208486 (TBA) Qty: 6346, FAB: TBA, DEL: 10-Jan/712, Peak Tgt: 180, BU-3 (Plan-2146)</t>
  </si>
  <si>
    <t>T-AUS, Win21,  #212053 (Mid Wash) Qty: 6956, FAB: TBA, DEL: 10-Jan/824, Peak Tgt: 180, BU-3 (Plan-2456)</t>
  </si>
  <si>
    <t>T-AUS, Win21,  #201340A (Black) Qty: 5008, FAB: 28-Oct, Acs: 10-Nov, DEL: 17-Jan/1004, Peak Tgt: 180, BU-3 (Plan-2008)</t>
  </si>
  <si>
    <t>T-USA ,C1'21 , #4WPWK (Ranch) Qty: 69024, FAB: In house, DEL: 22-Oct Peak Tgt: 235, BU-N/A</t>
  </si>
  <si>
    <t>T-USA, C1'21,  #ZEEZ1 (Raw Paper) Qty: 72128, FAB: In house, DEL: 19-Nov, Peak Tgt: 215, BU-N/A</t>
  </si>
  <si>
    <t>T-USA ,C1'21 , #81EE6 (Almond) Qty: 12600, FAB: In house, DEL: 29-Oct Peak Tgt: 235, BU-N/A</t>
  </si>
  <si>
    <t>T-USA ,C1'21 , #2WE34 (MH Table # 1) Qty: 13608, FAB: In house, DEL: 29-Oct Peak Tgt: 235, BU-N/A</t>
  </si>
  <si>
    <t>T-USA ,C1'21 , #2WE34 (MH Table # 2) Qty: 11352, FAB: In house, DEL: 29-Oct Peak Tgt: 235, BU-N/A</t>
  </si>
  <si>
    <t>T-USA ,C1'21 , #ZE8KE (Davies) Qty: 2010, FAB: In house, DEL: 22-Oct Peak Tgt: 235, BU-N/A</t>
  </si>
  <si>
    <t>T-USA ,C1'21 , #XE498 (Sprout) Qty: 3420, FAB: In house, DEL: 5-Nov Peak Tgt: 245, BU-N/A</t>
  </si>
  <si>
    <t>T-USA, C1'21,  #788GR (Peanut 2) Qty: 77010, FAB: In house, DEL: 19-Nov, Peak Tgt: 215, BU-N/A</t>
  </si>
  <si>
    <t>T-USA ,C1'21 , #9WEY8 (Hiltop) Qty: 105132, FAB: In house, DEL: 22-Oct Peak Tgt: 235, BU-N/A</t>
  </si>
  <si>
    <t>T-USA ,C1'21 , #R7ZP5 (Bristol) Qty: 46206, FAB: In house, DEL: 26-Nov Peak Tgt: 235, BU-N/A</t>
  </si>
  <si>
    <t>T-USA, C4'20,  #569203 (Thurmond) Qty: 129984, FAB: In house, DEL: N/A, Peak Tgt: 235, BU-N/A</t>
  </si>
  <si>
    <t>T-USA ,C1'21 , #6WE9K (Thurmond) Qty: 79968, FAB: In house, DEL: 22-Oct Peak Tgt: 235, BU-N/A</t>
  </si>
  <si>
    <t>T-USA, C1'21,  #886LX (Arena) Qty: 82436, FAB: In house, DEL: 19-Nov, Peak Tgt: 215, BU-N/A</t>
  </si>
  <si>
    <t>T-USA, C4'20,  #569200 (Carefree AFG) Qty: 87978, FAB: In house, DEL: N/A, Peak Tgt: 235, BU-N/A</t>
  </si>
  <si>
    <t>T-USA ,C1'21 , #78EZE (Bootcut#2) Qty: 49992, FAB: In house, DEL: 22-Oct Peak Tgt: 235, BU-N/A</t>
  </si>
  <si>
    <t>T-USA ,C1'21 , #Y2800 (Carefree AFG) Qty: 87978, FAB: In house, DEL: 22-Oct Peak Tgt: 235, BU-N/A</t>
  </si>
  <si>
    <t>T-USA ,C1'21 , #Y2800 (Happy AFG) Qty: 94992, FAB: In house, DEL: 22-Oct Peak Tgt: 235, BU-N/A</t>
  </si>
  <si>
    <t>T-USA, C3'20,  #558369 (Cartridge) Qty: 25056, FAB: In house, DEL: N/A, Peak Tgt: 215, BU-N/A</t>
  </si>
  <si>
    <t>ZARA, Sum-21,  #9794 937 (400) Qty: 2904, FAB: 30-Sep, DEL: 23-Oct, Peak Tgt: 220, BU-N/A</t>
  </si>
  <si>
    <t>T-USA ,C1'21 , #4RMLE (Tabeguache-JKT) Qty: 8246, FAB: In house, DEL: 19-Nov Peak Tgt: 90, BU-N/A</t>
  </si>
  <si>
    <t>T-USA ,C1'21 , #6WWWM (Peanut Jr.-JKT) Qty: 24511, FAB: In house, DEL: 19-Nov Peak Tgt: 90, BU-N/A</t>
  </si>
  <si>
    <t>GU, 21SS,  #60121H059A (ALL) Qty: 50597, FAB: In house, DEL: 25-Oct, Peak Tgt: 235, BU-N/A</t>
  </si>
  <si>
    <t>T-USA, C1'21,  #PEM64 (Summer Ash) Qty: 1668, FAB: In house, DEL: 19-Nov, Peak Tgt: 215, BU-N/A</t>
  </si>
  <si>
    <t>T-USA, C1'21,  #3RZ61 (Restful Green) Qty: 1452, FAB: In house, DEL: 19-Nov, Peak Tgt: 215, BU-N/A</t>
  </si>
  <si>
    <t>T-USA, C1'21,  #1WW2E (Summer Ash) Qty: 1368, FAB: In house, DEL: 19-Nov, Peak Tgt: 215, BU-N/A</t>
  </si>
  <si>
    <t>T-USA, C1'21,  #K7KPE (Cartridge) Qty: 28328, FAB: In house, DEL: 26-Nov Peak Tgt: 215, BU-N/A</t>
  </si>
  <si>
    <t>GU, 21SS,  #60121H056A (ALL) Qty: 26100, FAB: In house, DEL: 14-Nov, Peak Tgt: 230, BU-N/A</t>
  </si>
  <si>
    <t>T-USA, C1'21,  #886LX (Minnerva 2) Qty: 37574, FAB: In house, DEL: 19-Nov, Peak Tgt: 215, BU-N/A</t>
  </si>
  <si>
    <t>GU, 21SS,  #60321H072C (ALL) Qty: 20000, FAB: 23-Oct, DEL: 17-Nov, Peak Tgt: 180, BU-N/A</t>
  </si>
  <si>
    <t>T-USA ,C1'21 , #4LZP0 (AC Wash # 1) Qty: 661, FAB: 01-Nov, DEL: 5-Dec Peak Tgt: 245, BU-N/A</t>
  </si>
  <si>
    <t>T-USA ,C1'21 , #4LZP0 (AC Wash # 3) Qty: 661, FAB: 01-Nov, DEL: 5-Dec Peak Tgt: 245, BU-N/A</t>
  </si>
  <si>
    <t>T-USA ,C1'21 , #949LL (Winter Tan) Qty: 17848, FAB: 01-Nov, DEL: 5-Dec Peak Tgt: 180, BU-N/A</t>
  </si>
  <si>
    <t>T-USA ,C1'21 , #YGR64 (Winter Tan) Qty: 11097, FAB: 01-Nov, DEL: 5-Dec Peak Tgt: 180, BU-N/A</t>
  </si>
  <si>
    <t>T-USA, C1'21,  #5RYMP (Cordura) Qty: 30268, FAB: In house, DEL: 26-Nov, Peak Tgt: 215, BU-N/A</t>
  </si>
  <si>
    <t>T-USA ,C1'21 , #4WR96 (BB Wash#5) Qty: 36882, FAB: In house, DEL: 26-Nov Peak Tgt: 235, BU-N/A</t>
  </si>
  <si>
    <t>ZARA, Sum-21,  #9795 055 (407) Qty: 70000, FAB: 7-Nov, DEL: 15-Dec, Peak Tgt: 220, BU-N/A</t>
  </si>
  <si>
    <t>T-USA, C1'21,  #LL1MG (Sudued) Qty: 25605, FAB: In house, DEL: 26-Nov, Peak Tgt: 215, BU-N/A</t>
  </si>
  <si>
    <t>T-USA, C1'21,  #PPXE1 (Lua) Qty: 21711, FAB: In house, DEL: 26-Nov, Peak Tgt: 215, BU-N/A</t>
  </si>
  <si>
    <t>T-USA, C1'21,  #7RW88 (Tia Sophia) Qty: 8291, FAB: In house, DEL: 26-Nov, Peak Tgt: 215, BU-N/A</t>
  </si>
  <si>
    <t>T-USA, C1'21,  #6R7W4 (Davies) Qty: 32247, FAB: In house, DEL: 26-Nov, Peak Tgt: 215, BU-N/A</t>
  </si>
  <si>
    <t>T-USA, C1'21,  #Y4Z24 (Amalaya op-01) Qty: 12420, FAB: In house, DEL: 26-Nov, Peak Tgt: 215, BU-N/A</t>
  </si>
  <si>
    <t>T-USA, C1'21,  #3RZ61 (Dust) Qty: 19152, FAB: In house, DEL: 26-Nov, Peak Tgt: 215, BU-N/A</t>
  </si>
  <si>
    <t>T-USA, C1'21,  #XE5KG (Davies) Qty: 28919, FAB: In house, DEL: 26-Nov Peak Tgt: 215, BU-N/A</t>
  </si>
  <si>
    <t>T-USA, C1'21,  #KKRY7 (Tia Sophia) Qty: 18767, FAB: In house, DEL: 26-Nov, Peak Tgt: 215, BU-N/A</t>
  </si>
  <si>
    <t>T-USA, C1'21,  #K74Z1 (Rex) Qty: 22513, FAB: In house, DEL: 17-Dec, Peak Tgt: 240, BU-N/A</t>
  </si>
  <si>
    <t>T-USA, C1'21,  #8198P (Jack) Qty: 22513, FAB: In house, DEL: 17-Dec, Peak Tgt: 240, BU-N/A</t>
  </si>
  <si>
    <t>ZARA, Sum-21,  #9795 055 (406) Qty: 80009, FAB: 7-Nov, DEL: 15-Dec, Peak Tgt: 220, BU-N/A</t>
  </si>
  <si>
    <t>T-USA ,C1'21 , #MW507 (AC Wash # 20 (B)) Qty: 21106, FAB: 01-Nov, DEL: 5-Dec Peak Tgt: 245, BU-N/A</t>
  </si>
  <si>
    <t>T-USA ,C1'21 , #LP38K (AC Wash # 9) Qty: 23144, FAB: 01-Nov, DEL: 5-Dec Peak Tgt: 245, BU-N/A</t>
  </si>
  <si>
    <t>GU, 21SS,  #60321H072C (ALL) Qty: 77000, FAB: 23-Oct, DEL: 17-Nov, Peak Tgt: 180, BU-N/A</t>
  </si>
  <si>
    <t>T-USA, C1'21,  #O29G5 (Caleb) Qty: 28761, FAB: In house, DEL: 26-Nov Peak Tgt: 215, BU-N/A</t>
  </si>
  <si>
    <t>T-USA, C1'21,  #3WR0L (Lamark) Qty: 21546, FAB: In house, DEL: 26-Nov Peak Tgt: 215, BU-N/A</t>
  </si>
  <si>
    <t>ZARA, Sum-21,  #9794 908 (400) Qty: 2204, FAB: 14-Oct, DEL: 20-Dec, Peak Tgt: 220, BU-N/A</t>
  </si>
  <si>
    <t>11-Feb/999, 25-Mar/999</t>
  </si>
  <si>
    <t>BLU/BLK</t>
  </si>
  <si>
    <t>11-Feb/1496, 18-Mar/1000</t>
  </si>
  <si>
    <t>11-Feb/990, 18-Mar/495</t>
  </si>
  <si>
    <t>11-Feb/1000, 18-Mar/495</t>
  </si>
  <si>
    <t>STAY BLACK</t>
  </si>
  <si>
    <t>14-Feb/780, 28-Feb/800</t>
  </si>
  <si>
    <t>Mid wash</t>
  </si>
  <si>
    <t>14-Feb/906, 28-Feb/1200</t>
  </si>
  <si>
    <t>DARK WASH</t>
  </si>
  <si>
    <t>14-Feb/1200, 28-Feb/780</t>
  </si>
  <si>
    <t>LIGHT WASH</t>
  </si>
  <si>
    <t>14-Feb/700, 14-Mar/700</t>
  </si>
  <si>
    <t>MID WASh</t>
  </si>
  <si>
    <t>RINSE</t>
  </si>
  <si>
    <t>14-Feb/712, 21-Mar/712</t>
  </si>
  <si>
    <t>MID WASH</t>
  </si>
  <si>
    <t>14-Feb/824, 21-Mar/824</t>
  </si>
  <si>
    <t>MID BLUE</t>
  </si>
  <si>
    <t>25-Feb/1001, 11-Mar/996</t>
  </si>
  <si>
    <t>INDIGO</t>
  </si>
  <si>
    <t>11-Feb/1496, 25-Feb/1500</t>
  </si>
  <si>
    <t>18-Feb/764, 4-Mar/764</t>
  </si>
  <si>
    <t>209342-BK</t>
  </si>
  <si>
    <t>209026B</t>
  </si>
  <si>
    <t>7-Feb/2552, 28-Feb/786</t>
  </si>
  <si>
    <t>212045A</t>
  </si>
  <si>
    <t>7-Feb/2550, 21-Mar/812</t>
  </si>
  <si>
    <t>18-Feb/3000, 25-Mar/800</t>
  </si>
  <si>
    <t>JET</t>
  </si>
  <si>
    <t>KONTOOR, Fall21,  #2161535 (JET) Qty: 17000, FAB: TBA, DEL: 23-Jan, Peak Tgt: 160, BU-4</t>
  </si>
  <si>
    <t>20-Feb</t>
  </si>
  <si>
    <t>CAMDEN</t>
  </si>
  <si>
    <t>NIGHTGAMES</t>
  </si>
  <si>
    <t>EXPANSE BLUE</t>
  </si>
  <si>
    <t>KONTOOR, Fall21,  #3784776 (EXPEDITION) Qty: 3000, FAB: TBA, DEL: 20-Feb, Peak Tgt: 160, BU-4</t>
  </si>
  <si>
    <t>KONTOOR, Fall21,  #3522095 (Seattle) Qty: 5000, FAB: TBA, DEL: 20-Feb, Peak Tgt: 200, BU-3</t>
  </si>
  <si>
    <t>KONTOOR, Fall21,  #4606209 (MOON ROCK) Qty: 3000, FAB: TBA, DEL: 20-Feb, Peak Tgt: 200, BU-4</t>
  </si>
  <si>
    <t>KONTOOR, Fall21,  #4606246 (RAINSTORM) Qty: 7700, FAB: TBA, DEL: 20-Feb, Peak Tgt: 200, BU-4</t>
  </si>
  <si>
    <t>KONTOOR, Fall21,  #4606201 (BLACK) Qty: 4100, FAB: TBA, DEL: 20-Feb, Peak Tgt: 200, BU-4</t>
  </si>
  <si>
    <t>KONTOOR, Fall21,  #4606214 (DAZED) Qty: 3132, FAB: TBA, DEL: 20-Feb, Peak Tgt: 200, BU-4</t>
  </si>
  <si>
    <t>KONTOOR, Fall21,  #3087568-7743WM (RAYNE) Qty: 2501, FAB: TBA, DEL: 20-Feb, Peak Tgt: 180, BU-3</t>
  </si>
  <si>
    <t>KONTOOR, Fall21,  #3087528-7743WM (RENEGADE) Qty: 3000, FAB: TBA, DEL: 20-Feb, Peak Tgt: 180, BU-3</t>
  </si>
  <si>
    <t>KONTOOR, Fall21,  #3196017-8208WMS (CAMDEN) Qty: 1001, FAB: TBA, DEL: 20-Feb, Peak Tgt: 180, BU-3</t>
  </si>
  <si>
    <t>KONTOOR, Fall21,  #3196066-8208WMS (NIGHTGAMES) Qty: 2001, FAB: TBA, DEL: 20-Feb, Peak Tgt: 180, BU-3</t>
  </si>
  <si>
    <t>KONTOOR, Fall21,  #3381966-8208MSS (NIGHTGAMES) Qty: 3000, FAB: TBA, DEL: 20-Feb, Peak Tgt: 180, BU-3</t>
  </si>
  <si>
    <t>KONTOOR, Fall21,  #3517901-7742MS (BLACK) Qty: 1001, FAB: TBA, DEL: 20-Feb, Peak Tgt: 180, BU-3</t>
  </si>
  <si>
    <t>KONTOOR, Fall21,  #3517933-7742MS (INFINITY) Qty: 4000, FAB: TBA, DEL: 20-Feb, Peak Tgt: 180, BU-3</t>
  </si>
  <si>
    <t>T-USA, C2'21,  #EP559 (Molton) Qty: 21000, FAB: 25-Dec, DEL: 27-Jan/14700, Peak Tgt: 210, BU-3</t>
  </si>
  <si>
    <t>11-Feb/1000, 26-Feb/800</t>
  </si>
  <si>
    <t>GU, SS21,  #H023A(Ph-3) (TBA) Qty: 5004, FAB: 12-Dec, DEL: 12-Jan, Peak Tgt: 240, BU-3</t>
  </si>
  <si>
    <t>GU, SS21,  #N020A, Qty: 10000, FAB: TBA, DEL: 04-Feb, Peak Tgt: 250, BU-3</t>
  </si>
  <si>
    <t>GU, SS21,  #N050A (TBA) Qty: 47398, FAB: 22-Jul, DEL: 01-Jan/3302, 24-Jan/10000, 13-Feb/34096 Peak Tgt: 250, BU-3 (Plan-46500)</t>
  </si>
  <si>
    <t>F03</t>
  </si>
  <si>
    <t>F07</t>
  </si>
  <si>
    <t>P04</t>
  </si>
  <si>
    <t>GU, SS21,  #N054A (TBA) Qty: 51,444, FAB: 22-Jul, DEL: 15-Dec/41436, 10-Jan/10008, Peak Tgt: 200, BU-TBA</t>
  </si>
  <si>
    <t>13-Feb</t>
  </si>
  <si>
    <t>KONTOOR, Fall21,  #2015042 (Maddox) Qty: 11000, FAB: TBA, DEL: 30-Jan, Peak Tgt: 160, BU-4</t>
  </si>
  <si>
    <t>KONTOOR, Fall21,  #2015042 (Maddox) Qty: 3500, FAB: TBA, DEL: 13-Feb, Peak Tgt: 160, BU-4</t>
  </si>
  <si>
    <t>KONTOOR, Fall21,  #2108524 (Executive) Qty: 6800, FAB: TBA, DEL: 13-Feb, Peak Tgt: 160, BU-4</t>
  </si>
  <si>
    <t>KONTOOR, Fall21,  #2161535 (Jet) Qty: 26000, FAB: TBA, DEL: 20-Feb, Peak Tgt: 160, BU-4</t>
  </si>
  <si>
    <t>T-USA, C1'21,  #L7R33 (Tenacious) Qty: 16650, FAB: 5-Oct, DEL: 12-Jan, Peak Tgt: 210, BU-3 (Plan-900)</t>
  </si>
  <si>
    <t>T-USA, C1'21,  #2WKXR (Highbrow) Qty: 7290, FAB: 10-Oct, DEL: 10-Feb, Peak Tgt: 210, BU-3 (Plan-1350)</t>
  </si>
  <si>
    <t>T-AUS, Win21,  #213928 (TBA) Qty: 4496, FAB: OK, Acs: 10-Nov, DEL: 6-Dec/3500, Peak Tgt: 180, BU-3 (Plan-1000)</t>
  </si>
  <si>
    <t>GU, SS21,  #H023A(Ph-3) (TBA) Qty: 32100, FAB: 16-Nov, DEL: 15-Dec/22100, 22-Dec/9996, Peak Tgt: 240, BU-3</t>
  </si>
  <si>
    <t>GU, SS21 (Pro),  #N101A (TBA) Qty: 20,130, FAB: 9-Sep, DEL: 4-Jan, Peak Tgt: 180(150), BU-3</t>
  </si>
  <si>
    <t>KONTOOR, SP21,  #1MSPP04 (Dark Indigo) Qty: 8224, FAB: , DEL: 12-Nov/300, 5-Dec/7924, Peak Tgt: 215, BU-4 (Plan-7756)</t>
  </si>
  <si>
    <t>3535146</t>
  </si>
  <si>
    <t>201340A</t>
  </si>
  <si>
    <t>3382936</t>
  </si>
  <si>
    <t>3784875</t>
  </si>
  <si>
    <t>184731</t>
  </si>
  <si>
    <t>198720</t>
  </si>
  <si>
    <t>3523620</t>
  </si>
  <si>
    <t>211252</t>
  </si>
  <si>
    <t>3193901</t>
  </si>
  <si>
    <t>3778476</t>
  </si>
  <si>
    <t>3784719</t>
  </si>
  <si>
    <t>3591502</t>
  </si>
  <si>
    <t>3778612</t>
  </si>
  <si>
    <t>3077518</t>
  </si>
  <si>
    <t>212061+212053</t>
  </si>
  <si>
    <t>213928</t>
  </si>
  <si>
    <t>209360</t>
  </si>
  <si>
    <t>208486</t>
  </si>
  <si>
    <t>Target-USA (Cola/Gerad/Fishbone) 6500 Pcs</t>
  </si>
  <si>
    <t>T-AUS, Win21,  #221127-BK (Blue) Qty: 4404, FAB: 12-Nov, Acs: 22-Nov, DEL: 6-Dec/2004, 10-Jan/1104, Peak Tgt: 90, BU-5 (Plan-2300)</t>
  </si>
  <si>
    <t>T-AUS, Win21,  #221126-BK (Black) Qty: 4836, FAB: 12-Nov, Acs: 22-Nov, DEL: 6-Dec/2100, 10-Jan/1224, Peak Tgt: 90, BU-5 (Plan-2300)</t>
  </si>
  <si>
    <t>T-AUS, Win21,  #209342-BK (Mid Wash) Qty: 9100, FAB: PR, R/11-Nov, Acs: 15-Nov, DEL: 6-Dec, Peak Tgt: 90, BU-5 (Plan-6000)</t>
  </si>
  <si>
    <t>T-AUS, Win21,  #209342-BK (Mid Wash) Qty: 9100, FAB: PR, R/11-Nov, Acs: 15-Nov, DEL: 6-Dec, Peak Tgt: 90, BU-5 (Plan-3300)</t>
  </si>
  <si>
    <t>KONTOOR, Fall21,  #2015042 (Maddox) Qty: 3600, FAB: TBA, DEL: 23-Jan, Peak Tgt: 160, BU-4</t>
  </si>
  <si>
    <t>GU, SS21,  #N020A, Qty: 44504, FAB: 20-Jul, DEL: 2-Nov/2004, 1-Jan/2004, 29-Jan/28496, 4-Feb/12000, Peak Tgt: 250, BU-3 (Plan-43000)</t>
  </si>
  <si>
    <t>GU, SS21,  #H050A, Qty: 14004, FAB: 12-Dec, DEL: 12-Jan, Peak Tgt: 260, BU-3  (Ph-3)</t>
  </si>
  <si>
    <t>GU, SS21,  #H001A(Ph-1), Qty: 9996, FAB: 12-Dec, DEL: 12-Jan, Peak Tgt: 225, BU-3</t>
  </si>
  <si>
    <t>PRODUCTION PLAN FLOW CHART FOR THE MONTH OF: APRIL</t>
  </si>
  <si>
    <t>PRODUCTION PLAN FLOW CHART FOR THE MONTH OF: MAY</t>
  </si>
  <si>
    <t>PRODUCTION PLAN FLOW CHART FOR THE MONTH OF: JUN</t>
  </si>
  <si>
    <t>PRODUCTION PLAN FLOW CHART FOR THE MONTH OF: JULY</t>
  </si>
  <si>
    <t>EID-UL-AZHA HOLIDAY</t>
  </si>
  <si>
    <t>Anchor</t>
  </si>
  <si>
    <t>27-Mar</t>
  </si>
  <si>
    <t>27-Feb</t>
  </si>
  <si>
    <t>H111B</t>
  </si>
  <si>
    <t>GU, SS21,  #H111B, (TBA) Qty: 8000, FAB: TBA, DEL: 6-Feb, Peak Tgt: TBA, BU-TBA</t>
  </si>
  <si>
    <t>FW21</t>
  </si>
  <si>
    <t>F050A</t>
  </si>
  <si>
    <t>1-Jul</t>
  </si>
  <si>
    <t>40K-1/23, 40K-3/27</t>
  </si>
  <si>
    <t>F001A</t>
  </si>
  <si>
    <t>40K-1/23, 30K-3/27</t>
  </si>
  <si>
    <t>F054A</t>
  </si>
  <si>
    <t>20K-1/23, 20K-3/27</t>
  </si>
  <si>
    <t>L Blue</t>
  </si>
  <si>
    <t>7-Mar</t>
  </si>
  <si>
    <t>Kontoor ,SP'21 , #2018224 (Executive) Qty: 3000, FAB: OK, DEL: 26-Dec Peak Tgt: 160, BU-4</t>
  </si>
  <si>
    <t>Kontoor ,SP'21 , #2018324 (Executive) Qty: 3000, FAB: OK, DEL: 26-Dec Peak Tgt: 160, BU-4 (TBA)</t>
  </si>
  <si>
    <t>KONTOOR, SP21,  #2015042 (Maddox) Qty: 3017, FAB: OK, DEL: 26-Dec, Peak Tgt: 160, BU-4</t>
  </si>
  <si>
    <t>KONTOOR, Fall21,  #2105042 (Maddox) Qty: 800, FAB: OK, DEL: 2-Jan, Peak Tgt: 160, BU-4</t>
  </si>
  <si>
    <t>KONTOOR, SP21,  #2105042 (Maddox) Qty: 11400, FAB: OK, DEL: 2-Jan, Peak Tgt: 160, BU-5</t>
  </si>
  <si>
    <t>KONTOOR, Fall21,  #37784B5 (HUNTER CAM) Qty: 11475, FAB: OK, DEL: 9-Jan, Peak Tgt: 180, BU-3</t>
  </si>
  <si>
    <t>KONTOOR, Fall21,  #ZMREB10 (WHITE) Qty: 3000, FAB: OK, DEL: 16-Jan, Peak Tgt: TBA, BU-TBA</t>
  </si>
  <si>
    <t>Kontoor, SP'21 , #3784776 (EXPEDITION) Qty: 4300, FAB: OK, DEL: 26-Dec Peak Tgt: 180, BU-3 (8265WMS)</t>
  </si>
  <si>
    <t>Kontoor ,SP'21 , #3778605 (INFLUX) Qty: 3100, FAB: OK, DEL: 26-Dec Peak Tgt: 180, BU-3 (LFDM0128)</t>
  </si>
  <si>
    <t>Kontoor ,SP'21 , #3778612 (TIDE) Qty: 3000, FAB: OK, DEL: 26-Dec Peak Tgt: 180, BU-3 (LFDM0128)</t>
  </si>
  <si>
    <t>KONTOOR, Fall21,  #G96RTWL (Wilson) Qty: 4000, FAB: OK, DEL: 12-Dec, Peak Tgt: 180, BU-3</t>
  </si>
  <si>
    <t>KONTOOR, Fall21,  #G96RTWL (Wilson) Qty: 3000, FAB: OK, DEL: 4-Jan, Peak Tgt: 180, BU-3</t>
  </si>
  <si>
    <t>KONTOOR, Fall21,  #2090243-8330MW (Eclipse Blue) Qty: 2000, FAB: OK, DEL: 9-Jan, Peak Tgt: TBA, BU-TBA</t>
  </si>
  <si>
    <t>KONTOOR, Fall21,  #2090244-8330MW (Grove) Qty: 2000, FAB: OK, DEL: 9-Jan, Peak Tgt: TBA, BU-TBA</t>
  </si>
  <si>
    <t>Kontoor ,SP'21 , #3087501 (BLACK) Qty: 3000, FAB: OK, DEL: 26-Dec Peak Tgt: 180, BU-3 (7743WM)</t>
  </si>
  <si>
    <t>Kontoor ,SP'21 , #3408964 (ROYAL CHAKRA) Qty: 4000, FAB: OK, DEL: 26-Dec Peak Tgt: 180, BU-3 (7743MS)</t>
  </si>
  <si>
    <t>KONTOOR, SP21,  #3380430 (BLUE PHOEN) Qty: 3000, FAB: OK, DEL: 26-Dec, Peak Tgt: 180, BU-3</t>
  </si>
  <si>
    <t>T-AUS, Win21,  #211252 (Blue) Qty: 8496, FAB: OK, Acs: 25-Oct, DEL: 31-Dec/1500, Peak Tgt: 190, BU-3 (Plan-4496)</t>
  </si>
  <si>
    <t>T-AUS, Win21,  #211253 (Indigo) Qty: 8496, FAB: OK, DEL: 31-Dec/1500, Peak Tgt: 180, BU-3 (Plan-4496)</t>
  </si>
  <si>
    <t>T-AUS, Win21,  #213268 (Black) Qty: 9506, FAB: 25-Nov, DEL: 31-Dec/1500, Peak Tgt: 180, BU-3 (Plan-5506)</t>
  </si>
  <si>
    <t>T-AUS, Win21,  #212051B (Blue) Qty: 6028, FAB: OK, DEL: 3-Jan/3500, 31-Jan/500, Peak Tgt: 180, BU-3</t>
  </si>
  <si>
    <t>T-AUS, Win21,  #209024B (Mid Wash) Qty: 8892, FAB: OK, R/1-Nov, Acs: 15-Nov, DEL: 6-Dec/5500, Peak Tgt: 180, BU-3 (Plan-5500)</t>
  </si>
  <si>
    <t>T-AUS, Win21,  #209360 (Mid Wash) Qty: 4700, FAB: OK, Acs: 22-Nov, DEL: 6-Dec/3500, Peak Tgt: 180, BU-3 (Plan-3500)</t>
  </si>
  <si>
    <t>T-AUS, Win21,  #184731 (Dark Wash) Qty: 9860, FAB: OK, DEL: 20-Dec/1040, Peak Tgt: 180, BU-3 (Plan-3319)</t>
  </si>
  <si>
    <t>T-AUS, Win21,  #191550 (Light Wash) Qty: 9361, FAB: OK, DEL: 20-Dec/1040, Peak Tgt: 180, BU-3 (Plan-3319)</t>
  </si>
  <si>
    <t>T-AUS, Win21,  #189204 (Blue) Qty: 3500, FAB: 28-Nov, DEL: 3-Jan, Peak Tgt: 180, BU-3</t>
  </si>
  <si>
    <t>T-AUS, Win21,  #208701 (Dark Blue) Qty: 2796, FAB: OK, DEL: 3-Jan, Peak Tgt: 180, BU-3</t>
  </si>
  <si>
    <t>T-AUS, Win21,  #197594B (Black) Qty: 8304, FAB: 24-Nov, DEL: 3-Jan/1040, Peak Tgt: 180, BU-3 (Plan-3596)</t>
  </si>
  <si>
    <t>T-AUS, Win21,  #209026A (Blue/Black) Qty: 4002, FAB: 28-Nov, DEL: 3-Jan/3498, Peak Tgt: 180, BU-3</t>
  </si>
  <si>
    <t>KONTOOR, SP21,  #ZFC9BI2 (Dark) Qty: 3000, FAB: OK, DEL: 2-Jan, Peak Tgt: 180, BU-3</t>
  </si>
  <si>
    <t>KONTOOR, SP21,  #ZFC9BI4 (Mid) Qty: 5000, FAB: OK, DEL: 2-Jan, Peak Tgt: 180, BU-3</t>
  </si>
  <si>
    <t>T-AUS, Win21,  #208704 (TBA) Qty: 5380, FAB: OK, Acs: 15-Nov, DEL: 6-Dec/2795, Peak Tgt: 180, BU-3 (Plan-2795)</t>
  </si>
  <si>
    <t>KONTOOR, Fall21,  #3535185-LFDM0119 (Light Indigo Acid) Qty: 1000, FAB: OK, DEL: 30-Jan, Peak Tgt: TBA, BU-TBA</t>
  </si>
  <si>
    <t>KONTOOR, Fall21,  #95UFMSI (Seaside Indigo) Qty: 4200, FAB: 07-Dec, DEL: 2-Jan, Peak Tgt: 180, BU-4</t>
  </si>
  <si>
    <t>KONTOOR, Fall21,  #95UFMSI (Seaside Indigo) Qty: 3000, FAB: 07-Dec, DEL: 9-Jan, Peak Tgt: 180, BU-4</t>
  </si>
  <si>
    <t>KONTOOR, Fall21,  #95UFMCU (Coastal Blue) Qty: 3000, FAB: 07-Dec, DEL: 2-Jan, Peak Tgt: 180, BU-4</t>
  </si>
  <si>
    <t>KONTOOR, Fall21,  #95UFMCU (Coastal Blue) Qty: 3400, FAB: 07-Dec, DEL: 9-Jan, Peak Tgt: 180, BU-4</t>
  </si>
  <si>
    <t>C3'21</t>
  </si>
  <si>
    <t>14-Apr/35000</t>
  </si>
  <si>
    <t>14-Apr/38000</t>
  </si>
  <si>
    <t>14-Apr/47000</t>
  </si>
  <si>
    <t>MH PFD#2</t>
  </si>
  <si>
    <t>14-Apr/54000</t>
  </si>
  <si>
    <t>CJ#21</t>
  </si>
  <si>
    <t>14-Apr/44000</t>
  </si>
  <si>
    <t>EP559 (BB-PRO)</t>
  </si>
  <si>
    <t>4WPWK (BB-PRO)</t>
  </si>
  <si>
    <t>569348 (BB-PRO)</t>
  </si>
  <si>
    <t>ACE (MN-PRO)</t>
  </si>
  <si>
    <t>ACE</t>
  </si>
  <si>
    <t>19-Apr/35000</t>
  </si>
  <si>
    <t>ZINGER</t>
  </si>
  <si>
    <t>SAZON</t>
  </si>
  <si>
    <t>PLASMA</t>
  </si>
  <si>
    <t>KLEBER</t>
  </si>
  <si>
    <t>ZINGER (MN-PRO)</t>
  </si>
  <si>
    <t>SAZON (MN-PRO)</t>
  </si>
  <si>
    <t>PLASMA (OU-PRO)</t>
  </si>
  <si>
    <t>KLEBER (OU-PRO)</t>
  </si>
  <si>
    <t>19-Apr/23000</t>
  </si>
  <si>
    <t>19-Apr/40000</t>
  </si>
  <si>
    <t>200 (?)</t>
  </si>
  <si>
    <t>DAVIES-Skinny (MN-PRO)</t>
  </si>
  <si>
    <t>DAVIES-Straight (MN-PRO)</t>
  </si>
  <si>
    <t>DAVIES</t>
  </si>
  <si>
    <t>19-Apr/21000</t>
  </si>
  <si>
    <t>195 (?)</t>
  </si>
  <si>
    <t>2WE34 (BB-PRO)</t>
  </si>
  <si>
    <t>WASH#28</t>
  </si>
  <si>
    <t>ALMOND</t>
  </si>
  <si>
    <t>14-Apr/40000</t>
  </si>
  <si>
    <t>14-Apr/26000</t>
  </si>
  <si>
    <t>210 (?)</t>
  </si>
  <si>
    <t>209342</t>
  </si>
  <si>
    <t>60121N050A</t>
  </si>
  <si>
    <t>221127</t>
  </si>
  <si>
    <t>221126</t>
  </si>
  <si>
    <t>KONTOOR, SP21,  #2018312 (Majestic) Qty: 4400, FAB: 20-Nov, DEL: 26-Dec, Peak Tgt: 160, BU-5</t>
  </si>
  <si>
    <t>2090243</t>
  </si>
  <si>
    <t>2090244</t>
  </si>
  <si>
    <t>2090245</t>
  </si>
  <si>
    <t>2090103</t>
  </si>
  <si>
    <t>2090104</t>
  </si>
  <si>
    <t>20-Mar</t>
  </si>
  <si>
    <t>24-Apr</t>
  </si>
  <si>
    <t>GU, SS21,  #H023A(Ph-3) (TBA) Qty: 40008, FAB: 1-Jan, DEL: 02-Feb/20000, 9-Feb/20000, Peak Tgt: 240, BU-3</t>
  </si>
  <si>
    <t>546363</t>
  </si>
  <si>
    <t>GU, SS21,  #N117A (TBA) Qty: 20004, FAB: TBA, DEL: 3-Feb, Peak Tgt: 180, BU-4</t>
  </si>
  <si>
    <t>GU, SS21,  #N110A (TBA) Qty: 20004, FAB: TBA, DEL: 3-Feb, Peak Tgt: 220, BU-3</t>
  </si>
  <si>
    <t>217354</t>
  </si>
  <si>
    <t>189204</t>
  </si>
  <si>
    <t>T-AUS, Win21,  #184731 (DARK WASH) Qty: 5580, FAB: 20-Jan, DEL: 14-Feb/1200, 28-Feb/780, Peak Tgt: 180, BU-3</t>
  </si>
  <si>
    <t>T-AUS, Win21,  #212053 (MID WASH) Qty: 2452, FAB: 20-Jan, DEL: 14-Feb/824, 21-Mar/824, Peak Tgt: 180, BU-3</t>
  </si>
  <si>
    <t>T-AUS, Win21,  #211253 (INDIGO) Qty: 4192, FAB: 10-Jan, DEL: 25-Feb/1001, 11-Mar/996, Peak Tgt: 180, BU-3</t>
  </si>
  <si>
    <t>T-AUS, Win21,  #211252 (MID BLUE) Qty: 3964, FAB: 10-Jan, DEL: 25-Feb/1001, 11-Mar/996, Peak Tgt: 180, BU-3</t>
  </si>
  <si>
    <t>KONTOOR, Fall21,  #3193901-8260WMS (BLACK) Qty: 1200, FAB: TBA, DEL: 20-Feb, Peak Tgt: 180, BU-3 (CANCEL)</t>
  </si>
  <si>
    <t>3-Apr</t>
  </si>
  <si>
    <t>KONTOOR, Fall21,  #3381910, (White) Qty: 1501, FAB: TBA, DEL: 27-Mar, Peak Tgt: 180, BU-3</t>
  </si>
  <si>
    <t>4-Apr</t>
  </si>
  <si>
    <t>10-Apr</t>
  </si>
  <si>
    <t>KONTOOR, Fall21,  #2015042, (Maddox) Qty: 3000, FAB: TBA, DEL: 10-Apr, Peak Tgt: 160, BU-4</t>
  </si>
  <si>
    <t>MID STONE</t>
  </si>
  <si>
    <t>GU, SS21,  #N050A, Qty: 47494, FAB: 22-Jul, DEL: 01-Jan/3302, 24-Jan/10000, 13-Feb/34096 Peak Tgt: 250, BU-3 (Plan-46500)</t>
  </si>
  <si>
    <t>KONTOOR, Fall21,  #2090102-8329MW (Pavement) Qty: 1500, FAB: 14-Dec, DEL: 9-Jan, Peak Tgt: TBA, BU-TBA</t>
  </si>
  <si>
    <t>KONTOOR, Fall21,  #2090103-8329MW (Desert) Qty: 2000, FAB: 26-Nov, DEL: 16-Jan, Peak Tgt: TBA, BU-TBA</t>
  </si>
  <si>
    <t>KONTOOR, Fall21,  #2090104-8329MW (Austin) Qty: 2000, FAB: 26-Nov, DEL: 16-Jan, Peak Tgt: TBA, BU-TBA</t>
  </si>
  <si>
    <t>T-AUS, Win21,  #189211 (Blue) Qty: 5501, FAB: 21-Dec, Acs: 25-Oct, DEL: 13-Dec/1001, 10-Jan/1500, Peak Tgt: 180, BU-3 (Plan-2500)</t>
  </si>
  <si>
    <t>T-AUS, Win21,  #189205 (Indigo) Qty: 2494, FAB: 21-Dec, Acs: 15-Nov, DEL: 24-Dec/1500, 10-Jan/1000, Peak Tgt: 180, BU-3</t>
  </si>
  <si>
    <t>T-AUS, Win21,  #186058P (Indigo) Qty: 2511, FAB: 21-Dec, Acs: 22-Nov, DEL: 24-Dec/504, 14-Jan/504, Peak Tgt: 180, BU-3</t>
  </si>
  <si>
    <t>T-AUS, Win21,  #208700 (Blue/Black) Qty: 4992, FAB:  21-Dec, Acs: 10-Nov, DEL: 24-Dec/3497, 14-Jan/1495, Peak Tgt: 180, BU-3</t>
  </si>
  <si>
    <t>T-AUS, Win21,  #211244 (Light Wash) Qty: 7040, FAB: TBA, DEL: 3-Jan/4000, Peak Tgt: 180, BU-3 (Plan-2400)</t>
  </si>
  <si>
    <t>T-USA, C1'21,  #EP559 (Shane) Qty: 55932, FAB: TBA, DEL: 7-Jan/3714, Peak Tgt: 210, BU-3 (Plan-3800)</t>
  </si>
  <si>
    <t>2WE34</t>
  </si>
  <si>
    <t>MH TABLE#1</t>
  </si>
  <si>
    <t>15-Apr/18525</t>
  </si>
  <si>
    <t>MH TABLE#2</t>
  </si>
  <si>
    <t>15-Apr/16096</t>
  </si>
  <si>
    <t>15-Feb</t>
  </si>
  <si>
    <t>W584X (Mens)</t>
  </si>
  <si>
    <t>12-Apr/15474</t>
  </si>
  <si>
    <t>18-Feb</t>
  </si>
  <si>
    <t>PW8Z7 (Mens)</t>
  </si>
  <si>
    <t>12-Apr/25474</t>
  </si>
  <si>
    <t>2-Mar</t>
  </si>
  <si>
    <t>9ME51 (Mens)</t>
  </si>
  <si>
    <t>12-Apr/46132</t>
  </si>
  <si>
    <t>23-Feb</t>
  </si>
  <si>
    <t>YM8WR (Mens)</t>
  </si>
  <si>
    <t>12-Apr/45757</t>
  </si>
  <si>
    <t>ZP8XG (Mens)</t>
  </si>
  <si>
    <t>12-Apr/46507</t>
  </si>
  <si>
    <t>4-Mar</t>
  </si>
  <si>
    <t>15-Apr/19589</t>
  </si>
  <si>
    <t>Wash#21</t>
  </si>
  <si>
    <t>15-Apr/908</t>
  </si>
  <si>
    <t>8-Mar</t>
  </si>
  <si>
    <t>81EE6 (BB)</t>
  </si>
  <si>
    <t>M6GE1 (BB)</t>
  </si>
  <si>
    <t>T-USA, C3'21,  #4WPWK  (BB), (Ranch) Qty: 134000, FAB: TBA, DEL: 6-May to 3-Jun/52000, Peak Tgt: 210, BU-3</t>
  </si>
  <si>
    <t>T-USA, C3'21,  #EP559 (BB), (Shane) Qty: 122000, FAB: TBA, DEL: 6-27 May/40000, Peak Tgt: 210, BU-3</t>
  </si>
  <si>
    <t>GU, FW21,  #F022A, (TBA) Qty: 8000, FAB: TBA, DEL: 2-May, Peak Tgt: 210 (?), BU-4</t>
  </si>
  <si>
    <t>2090102</t>
  </si>
  <si>
    <t>9794 -414 427</t>
  </si>
  <si>
    <t>XX</t>
  </si>
  <si>
    <t>ZARA, XX,  #9794 -414 427, (TBA) Qty: 20000, FAB: OK, DEL: 23-Jan, Peak Tgt: 190, BU-4</t>
  </si>
  <si>
    <t>KONTOOR, Fall21,  #3778638-LFDM0120 (Light Wash) Qty: 1050, FAB: 21-Nov, DEL: 23-Jan, Peak Tgt: TBA, BU-TBA</t>
  </si>
  <si>
    <t>KONTOOR, Fall21,  #3778640-LFDM0120 (Got Your Back) Qty: 800, FAB: 21-Nov, DEL: 30-Jan, Peak Tgt: TBA, BU-TBA</t>
  </si>
  <si>
    <t>KONTOOR, Fall21,  #3527709-LFDM0036 (Compass) Qty: 1200, FAB: 21-Nov, DEL: 23-Jan, Peak Tgt: TBA, BU-TBA</t>
  </si>
  <si>
    <t>KONTOOR, Fall21,  #3778612 (Tide) Qty: 2000, FAB: 19-Dec, DEL: 30-Jan, Peak Tgt: 180, BU-3</t>
  </si>
  <si>
    <t>KONTOOR, Fall21,  #3778605 (Influx) Qty: 1000, FAB: 19-Dec, DEL: 30-Jan, Peak Tgt: 180, BU-3</t>
  </si>
  <si>
    <t>GU, SS21,  #H050A (TBA) Qty: 9996, FAB: OK, DEL: 9-Feb, Peak Tgt: 260, BU-3  (Ph-3)</t>
  </si>
  <si>
    <t>*T-AUS, Win21,  #212045A (Black) Qty: 4162, FAB: 10-Jan, DEL: 7-Feb/2550, 21-Mar/812, Peak Tgt: 100, BU-5</t>
  </si>
  <si>
    <t>GU, SS21,  #H001A (TBA) Qty: 40008, FAB: 5-Jan, DEL: 9-Feb/20000, 16-Feb/10000, 23-Feb/10000, Peak Tgt: 230, BU-3</t>
  </si>
  <si>
    <t>T-AUS, Win21,  #208701 (BLU/BLK) Qty: 1995, FAB: 17-Jan, DEL: 11-Feb/1000, 18-Mar/495, Peak Tgt: 180, BU-3</t>
  </si>
  <si>
    <t>189205</t>
  </si>
  <si>
    <t>208700</t>
  </si>
  <si>
    <t>2090246</t>
  </si>
  <si>
    <t>3772388</t>
  </si>
  <si>
    <t>3522077 / L34BTEFE</t>
  </si>
  <si>
    <t>3522095 / L34BTEFG</t>
  </si>
  <si>
    <t>17-Apr</t>
  </si>
  <si>
    <t>KONTOOR, Fall21,  #2105042, (Maddox) Qty: 1600, FAB: TBA, DEL: 1-May, Peak Tgt: 160, BU-4</t>
  </si>
  <si>
    <t>3778638</t>
  </si>
  <si>
    <t>3535180</t>
  </si>
  <si>
    <t>3535185</t>
  </si>
  <si>
    <t>3772330</t>
  </si>
  <si>
    <t>3772385</t>
  </si>
  <si>
    <t>3778640</t>
  </si>
  <si>
    <t>ZKMR9</t>
  </si>
  <si>
    <t>T-USA, C1'21,  #GGX8R (Cola) Qty: 4128, FAB: TBA, DEL: TBA, Peak Tgt: 210</t>
  </si>
  <si>
    <t xml:space="preserve">9794 414 427 </t>
  </si>
  <si>
    <t>3778605</t>
  </si>
  <si>
    <t>GREY</t>
  </si>
  <si>
    <t>8-May</t>
  </si>
  <si>
    <t>3-Mar</t>
  </si>
  <si>
    <t>SUM22-Q1</t>
  </si>
  <si>
    <t>224552A</t>
  </si>
  <si>
    <t>224545B</t>
  </si>
  <si>
    <t>Light Blue</t>
  </si>
  <si>
    <t>W. BLUE</t>
  </si>
  <si>
    <t>2-May/2600, 27-Jun/1200</t>
  </si>
  <si>
    <t>2-May</t>
  </si>
  <si>
    <t>2-May/3200, 20-Jun/900</t>
  </si>
  <si>
    <t>4-May/500, 15-Jun/1000</t>
  </si>
  <si>
    <t>4-May/506, 15-Jun/1006</t>
  </si>
  <si>
    <t>4-May/1001, 15-Jun/999</t>
  </si>
  <si>
    <t>4-May/1496, 15-Jun/1199</t>
  </si>
  <si>
    <t>4-May/3000, 8-Jun/996, 20-Jun/1000</t>
  </si>
  <si>
    <t>4-May/4500, 8-Jun/1404, 20-Jun/1400</t>
  </si>
  <si>
    <t>16-May/600, 20-Jun/600</t>
  </si>
  <si>
    <t>18-May/610, 22-Jun/600</t>
  </si>
  <si>
    <t>18-May/780, 22-Jun/800</t>
  </si>
  <si>
    <t>18-May/1200, 29-Jun/1200</t>
  </si>
  <si>
    <t>18-May/1766, 1-Jun/460, 22-Jun/960, 29-Jun/260</t>
  </si>
  <si>
    <t>18-May/1996, 1-Jun/520, 22-Jun/1276, 29-Jun/320</t>
  </si>
  <si>
    <t>18-May/1996, 1-Jun/520, 22-Jun/1766, 29-Jun/460</t>
  </si>
  <si>
    <t>18-May/3000, 20-Jun/800</t>
  </si>
  <si>
    <t>6-Jun/2600</t>
  </si>
  <si>
    <t>6-Jun/3200, 18-Jul/1500</t>
  </si>
  <si>
    <t>6-Jun/3200, 25-Jul/1200</t>
  </si>
  <si>
    <t>8-Jun/504</t>
  </si>
  <si>
    <t>13-Jun/2500, 18-Jul/800</t>
  </si>
  <si>
    <t>193242</t>
  </si>
  <si>
    <t>Olive Night</t>
  </si>
  <si>
    <t>TIGERS EYE</t>
  </si>
  <si>
    <t>3 (LFDW0003)</t>
  </si>
  <si>
    <t>22-May</t>
  </si>
  <si>
    <t>CASCADE</t>
  </si>
  <si>
    <t>FRONTIER</t>
  </si>
  <si>
    <t>STORMS END</t>
  </si>
  <si>
    <t>3 (7743WM)</t>
  </si>
  <si>
    <t>3 (7743MS)</t>
  </si>
  <si>
    <t>3 (LFDW0157)</t>
  </si>
  <si>
    <t>3 (7742MS)</t>
  </si>
  <si>
    <t>5-Jun</t>
  </si>
  <si>
    <t>60121N117A/C/D</t>
  </si>
  <si>
    <t>60121N111A</t>
  </si>
  <si>
    <t>T-USA, C2'21,  #69RPZ (Sergei Short) Qty: 53138, FAB: 7-Jan, DEL: 24-Feb/28868, 27-Feb/5262 Peak Tgt: 220, BU-3</t>
  </si>
  <si>
    <t>T-USA, C2'21,  #ZKMR9 (Peanut-2 Short) Qty: 32262, FAB: 7-Jan, DEL: 24-Feb/20130, Peak Tgt: 220, BU-3</t>
  </si>
  <si>
    <t>T-USA, C2'21,  #EP559 (Shane) Qty: 36024, FAB: 25-Dec, DEL: 28-Jan/3168, Peak Tgt: 210, BU-3</t>
  </si>
  <si>
    <t>KONTOOR, Fall21,  #3408964 (ROYALCHAKR) Qty: 3000, FAB: 19-Jan, DEL: 27-Feb, Peak Tgt: 180, BU-3</t>
  </si>
  <si>
    <t>KONTOOR, Fall21,  #3408901 (BLACK) Qty: 3400, FAB: 12-Jan, DEL: 27-Feb, Peak Tgt: 180, BU-3</t>
  </si>
  <si>
    <t>*T-AUS, Win21,  #209026B (INDIGO) Qty: 6223, FAB: 10-Jan, DEL: 7-Feb/2552, 28-Feb/786, Peak Tgt: 180, BU-3</t>
  </si>
  <si>
    <t>*T-AUS, Win21,  #217355 (Black) Qty: 3800, FAB: 9-Jan, DEL: 18-Feb/3000, 25-Mar/800, Peak Tgt: 180, BU-3</t>
  </si>
  <si>
    <t>T-AUS, Win21,  #208486 (RINSE) Qty: 2120, FAB: 19-Jan, DEL: 14-Feb/712, 21-Mar/712, Peak Tgt: 180, BU-3</t>
  </si>
  <si>
    <t>T-AUS, Win21,  #193238 (W. Blue) Qty: 1980, FAB: 19-Jan, DEL: 11-Feb/990, 18-Mar/495, Peak Tgt: 180, BU-3</t>
  </si>
  <si>
    <t>T-AUS, Win21,  #193242 (W. Blue) Qty: 2600, FAB: 19-Jan, DEL: 11-Feb/1000, 26-Feb/800, Peak Tgt: 180, BU-3</t>
  </si>
  <si>
    <t>T-AUS, Win21,  #189207 (W. Blue) Qty: 3486, FAB: 19-Jan, DEL: 11-Feb/1496, 18-Mar/1000, Peak Tgt: 180, BU-3</t>
  </si>
  <si>
    <t>T-AUS, Win21,  #189204 (Dark Blue) Qty: 3486, FAB: 20-Jan, DEL: 11-Feb/1496, 18-Mar/1000, Peak Tgt: 180, BU-3</t>
  </si>
  <si>
    <t>T-AUS, Win21,  #209342-BK (MID WASH) Qty: 4570, FAB: 10-Jan, DEL: 18-Feb/764, 4-Mar/764, Peak Tgt: 120, BU-4</t>
  </si>
  <si>
    <t>GU, FW21,  #F001A, (TBA) Qty: 76904, FAB: 40K-1/23, DEL: 2-May/20004, 2-Jul/37000, 2-Oct/19900, Peak Tgt: 230, BU-3</t>
  </si>
  <si>
    <t>GU, SS21,  #N020A (TBA PH-3) Qty: 22000, FAB: TBA, DEL: 14-Apr/10800, 21-Apr/11700, Peak Tgt: 250, BU-3</t>
  </si>
  <si>
    <t>GU, FW21,  #F059A, (TBA) Qty: 1500, FAB: TBA, DEL: 2-May, Peak Tgt: 235 (?), BU-4</t>
  </si>
  <si>
    <t>T-USA, C3'21,  #2WE34 (BB), (MH TABLE#2) Qty: 66685, FAB: 11-Feb, DEL: 15-Apr/16096, Peak Tgt: 210 (?), BU-3 (Plan-25294, Upto: 29-Apr)</t>
  </si>
  <si>
    <t>T-USA, C3'21,  #EP559 (BB), (Shane) Qty: 122000, FAB: 16-Feb, DEL: 15-Apr/20000, Peak Tgt: 210, BU-3 (Plan-40000, Upto: 29-Apr)</t>
  </si>
  <si>
    <t>T-USA, C3'21,  #EP559 (BB), (Molton) Qty: 100000, FAB: 9-Feb, DEL: 15-Apr/20000, Peak Tgt: 210, BU-3 (Plan-40000, Upto: 29-Apr)</t>
  </si>
  <si>
    <t>T-USA, C3'21,  #4WPWK  (BB), (Ranch) Qty: 134000, FAB: 4-Feb, DEL: 15-Apr/20400, Peak Tgt: 210, BU-3 (Plan-42000, Upto: 29-Apr)</t>
  </si>
  <si>
    <t>T-USA, C3'21,  #YM8WR (Mens), (ZINGER) Qty: 67150, FAB: 17-Feb, DEL: 12-Apr/45757, Peak Tgt: 200 (?), BU-3 (Plan-53996, Upto: 7-May)</t>
  </si>
  <si>
    <t>KONTOOR, Fall21,  #2162030, (Distance) Qty: 3000, FAB: TBA, DEL: 17-Apr, Peak Tgt: 160, BU-3</t>
  </si>
  <si>
    <t>KONTOOR, Fall21,  #2018324, (Executive) Qty: 3000, FAB: TBA, DEL: 1-May, Peak Tgt: 160, BU-3</t>
  </si>
  <si>
    <t>KONTOOR, Fall21,  #2161543, (GREY) Qty: 113000, FAB: TBA, DEL: 3-Apr/7000, 10-Apr/37750, 17-Apr/37750, 24-Apr/15200, 8-May/15000, Peak Tgt: 160, BU-4</t>
  </si>
  <si>
    <t>GU, FW21,  #F050A, (TBA) Qty: 78644, FAB: 23-Jan, DEL: 2-May/20004, 2-Jul/48640, 9-Oct/10000, Peak Tgt: 270, BU-3</t>
  </si>
  <si>
    <t>KONTOOR, Fall21,  #2105042, (Maddox) Qty: 1300, FAB: TBA, DEL: 5-Jun, Peak Tgt: 160, BU-3</t>
  </si>
  <si>
    <t>KONTOOR, Fall21,  #2108524, (Executive) Qty: 5000, FAB: TBA, DEL: 5-Jun, Peak Tgt: 160, BU-3</t>
  </si>
  <si>
    <t>KONTOOR, Fall21,  #3522001, (Black) Qty: 3500, FAB: TBA, DEL: 22-May, Peak Tgt: 200, BU-3 (LFDW0003)</t>
  </si>
  <si>
    <t>KONTOOR, Fall21,  #3522026, (Anchor) Qty: 3000, FAB: TBA, DEL: 22-May, Peak Tgt: 200, BU-3 (LFDW0003)</t>
  </si>
  <si>
    <t>KONTOOR, Fall21,  #3517933, (INFINITY) Qty: 3500, FAB: TBA, DEL: 22-May, Peak Tgt: 180, BU-3 (7742MS)</t>
  </si>
  <si>
    <t>3196017</t>
  </si>
  <si>
    <t>3196066</t>
  </si>
  <si>
    <t>3522095</t>
  </si>
  <si>
    <t>3784776</t>
  </si>
  <si>
    <t>3381966</t>
  </si>
  <si>
    <t>60121N110A</t>
  </si>
  <si>
    <t xml:space="preserve">BLACK </t>
  </si>
  <si>
    <t>LIGHT OF DAY</t>
  </si>
  <si>
    <t>LATE NIGHT</t>
  </si>
  <si>
    <t>WASHED BLACK</t>
  </si>
  <si>
    <t>AFTERNOON</t>
  </si>
  <si>
    <t>GRADIENT</t>
  </si>
  <si>
    <t>TRU BLU MID</t>
  </si>
  <si>
    <t>INDIGO FROSTED</t>
  </si>
  <si>
    <t>KONTOOR, Fall21,  #3525746, (GRADIENT) Qty: 690, FAB: TBA, DEL: 17-Apr, Peak Tgt: TBA, BU-TBA</t>
  </si>
  <si>
    <t>69RPZ</t>
  </si>
  <si>
    <t>60121N118A/C</t>
  </si>
  <si>
    <t>LMB100723</t>
  </si>
  <si>
    <t>LMB100743</t>
  </si>
  <si>
    <t>LMB100706</t>
  </si>
  <si>
    <t>LMB100726</t>
  </si>
  <si>
    <t>LMB100705</t>
  </si>
  <si>
    <t>LMB100741</t>
  </si>
  <si>
    <t>MB90</t>
  </si>
  <si>
    <t>MB94</t>
  </si>
  <si>
    <t>MB96</t>
  </si>
  <si>
    <t>MB110</t>
  </si>
  <si>
    <t>MB48</t>
  </si>
  <si>
    <t>MB93</t>
  </si>
  <si>
    <t>MB99</t>
  </si>
  <si>
    <t>MB109</t>
  </si>
  <si>
    <t>30-May</t>
  </si>
  <si>
    <t>1-Aug</t>
  </si>
  <si>
    <t>29-Aug</t>
  </si>
  <si>
    <t>2015042 / L71WTHPU</t>
  </si>
  <si>
    <t>12-Jun</t>
  </si>
  <si>
    <t>KONTOOR, Fall21,  #2015042 / L71WTHPU, (Maddox) Qty: 3000, FAB: TBA, DEL: 12-Jun, Peak Tgt: 160, BU-4</t>
  </si>
  <si>
    <t>T-AUS, Win21,  #197594B (STAY BLACK) Qty: 6320, FAB: 7-Jan, DEL: 14-Feb/780, 28-Feb/796, Peak Tgt: 180, BU-3</t>
  </si>
  <si>
    <t>T-AUS, Win21,  #213268 (STAY BLACK) Qty: 5692, FAB: 5-Jan, DEL: 9-Feb/1496, 25-Feb/1500, Peak Tgt: 180, BU-3 (Plan-2996)</t>
  </si>
  <si>
    <t>*T-AUS, Win21,  #197624, (L Blue) Qty: 3000, FAB: 28-Jan, DEL: 7-Mar, Peak Tgt: TBA, BU-TBA</t>
  </si>
  <si>
    <t>T-AUS, Win21,  #191550 (LIGHT WASH) Qty: 2088, FAB: 19-Jan, DEL: 14-Feb/696, 14-Mar/696, Peak Tgt: 180, BU-3</t>
  </si>
  <si>
    <t>T-AUS, Win21,  #191578 (MID WASh) Qty: 2088, FAB: 20-Jan, DEL: 14-Feb/696, 14-Mar/696, Peak Tgt: 180, BU-3</t>
  </si>
  <si>
    <t>KONTOOR, Fall21,  #3087528 (RENEGADE) Qty: 3000, FAB: 25-Jan, DEL: 27-Feb, Peak Tgt: 180, BU-3</t>
  </si>
  <si>
    <t>KONTOOR, Fall21,  #3382936 (EXPANSE BLUE) Qty: 1721, FAB: OK, DEL: 20-Feb, Peak Tgt: 180, BU-3</t>
  </si>
  <si>
    <t>KONTOOR, Fall21,  #3381930-8208MSS (BLUE PHOEN) Qty: 2501, FAB: OK, DEL: 20-Feb, Peak Tgt: 180, BU-3</t>
  </si>
  <si>
    <t>KONTOOR, Fall21,  #3381966 (NIGHTGAMES) Qty: 3200, FAB: 28-Jan, DEL: 27-Feb, Peak Tgt: 180, BU-3</t>
  </si>
  <si>
    <t>KONTOOR, Fall21,  #3381917 (CAMDEN) Qty: 3200, FAB: 28-Jan, DEL: 27-Feb, Peak Tgt: 180, BU-3</t>
  </si>
  <si>
    <t>KONTOOR, Fall21,  #2018312, (Majestic) Qty: 3000, FAB: OK, DEL: 6-Mar, Peak Tgt: 160, BU-4</t>
  </si>
  <si>
    <t>KONTOOR, Fall21,  #2108524, (Executive) Qty: 3000, FAB: OK, DEL: 20-Mar, Peak Tgt: 160, BU-4</t>
  </si>
  <si>
    <t>KONTOOR, Fall21,  #2018312, (Majestic) Qty: 3700, FAB: 27-Jan, DEL: 20-Mar, Peak Tgt: 160, BU-4</t>
  </si>
  <si>
    <t>KONTOOR, Fall21,  #3380430 (BLUE PHOEN) Qty: 3100, FAB: 28-Jan, DEL: 27-Feb, Peak Tgt: 180, BU-3</t>
  </si>
  <si>
    <t>KONTOOR, Fall21,  #ZFC9BI2 (Dark) Qty: 8000, FAB: 28-Jan, DEL: 6-Mar, Peak Tgt: 180, BU-3</t>
  </si>
  <si>
    <t>KONTOOR, Fall21,  #3408928 (RENEGADE) Qty: 3000, FAB: 25-Jan, DEL: 27-Mar, Peak Tgt: 180, BU-3</t>
  </si>
  <si>
    <t>KONTOOR, Fall21,  #3408964 (ROYALCHAKR) Qty: 3000, FAB: 25-Jan, DEL: 27-Mar, Peak Tgt: 180, BU-3</t>
  </si>
  <si>
    <t>KONTOOR, Fall21,  #3522026 (Anchor) Qty: 3000, FAB: 29-Jan, DEL: 27-Mar, Peak Tgt: 200, BU-3</t>
  </si>
  <si>
    <t>KONTOOR, Fall21,  #3522077 (Nightshade) Qty: 3000, FAB: 29-Jan, DEL: 27-Mar, Peak Tgt: 200, BU-3</t>
  </si>
  <si>
    <t>KONTOOR, Fall21,  #2161543, (GREY) Qty: 113000, FAB: 14-Feb, DEL: 3-Apr/7000, 10-Apr/37750, 17-Apr/37750, 24-Apr/15200, 8-May/15000, Peak Tgt: 160, BU-4</t>
  </si>
  <si>
    <t>KONTOOR, Fall21,  #3408946 (MAJESTIC) Qty: 3000, FAB: 25-Jan, DEL: 27-Feb, Peak Tgt: 180, BU-3</t>
  </si>
  <si>
    <t>KONTOOR, Fall21,  #3522095 (Seattle) Qty: 3000, FAB: 29-Jan, DEL: 27-Feb, Peak Tgt: 200, BU-3</t>
  </si>
  <si>
    <t>KONTOOR, SP21,  #3522077 (Nightshade) Qty: 4000, FAB: OK, DEL: 6-Mar, Peak Tgt: 200, BU-3 (Prev Del 12-Dec)</t>
  </si>
  <si>
    <t>KONTOOR, SP21,  #3522095 (Seattle) Qty: 4500, FAB: OK, DEL: 6-Mar, Peak Tgt: 200, BU-3 (Prev Del 12-Dec)</t>
  </si>
  <si>
    <t>KONTOOR, Fall21,  #3408964-7743MS (ROYAL CHAKRA) Qty: 5000, FAB: TBA, DEL: 13-Feb, Peak Tgt: 180, BU-3</t>
  </si>
  <si>
    <t>T-AUS, Win21,  #209024B (Mid wash) Qty: 6019, FAB: 10-Jan, DEL: 14-Feb/906, 28-Feb/1200, Peak Tgt: 180, BU-3 (Plan-2106)</t>
  </si>
  <si>
    <t>Line 13</t>
  </si>
  <si>
    <t>GU, SS21,  #H050A (TBA) Qty: 10000, FAB: TBA, DEL: 15-Mar, Peak Tgt: 260, BU-3  (Ph-3)</t>
  </si>
  <si>
    <t>T-USA, C3'21,  #0KKP2 (BB), (WASH#28) Qty: 57870, FAB: 4-Feb , DEL: 15-Apr/14249, Peak Tgt: 220, BU-3 (Plan-18320, Upto: 22-Apr)</t>
  </si>
  <si>
    <t>T-USA, C3'21,  #2WE34 (BB), (MH TABLE#1) Qty: 76748, FAB: 4-Feb, DEL: 15-Apr/18525, Peak Tgt: 220, BU-3 (Plan-44990, Upto: 20-May)</t>
  </si>
  <si>
    <t>T-AUS, Win21,  #208488, (MID STONE) Qty: 3064, FAB: 15-Feb, DEL: 9-Mar, Peak Tgt: 180, BU-3</t>
  </si>
  <si>
    <t>T-USA, C3'21,  #9ME51 (Mens), (ACE) Qty: 71300, FAB: 24-Feb, DEL: 5-May/46132, Peak Tgt: 210, BU-3</t>
  </si>
  <si>
    <t>PRODUCTION PLAN FLOW CHART FOR THE MONTH OF: December'21</t>
  </si>
  <si>
    <t>PRODUCTION PLAN FLOW CHART FOR THE MONTH OF: NOVEMBER'21</t>
  </si>
  <si>
    <t>PRODUCTION PLAN FLOW CHART FOR THE MONTH OF: OCTOBER'21</t>
  </si>
  <si>
    <t>PRODUCTION PLAN FLOW CHART FOR THE MONTH OF: SEPTEMBER'21</t>
  </si>
  <si>
    <t>PRODUCTION PLAN FLOW CHART FOR THE MONTH OF: AUGUST'21</t>
  </si>
  <si>
    <t>19-Jun</t>
  </si>
  <si>
    <t>3 (LFDM0003)</t>
  </si>
  <si>
    <t>26-Jun</t>
  </si>
  <si>
    <t>KONTOOR, Fall21,  #3522001, (Black) Qty: 4200, FAB: TBA, DEL: 19-Jun, Peak Tgt: 200, BU-3 (LFDM0003)</t>
  </si>
  <si>
    <t>KONTOOR, Fall21,  #3087528, (RENEGADE) Qty: 4000, FAB: TBA, DEL: 19-Jun, Peak Tgt: 180, BU-3 (7743WM)</t>
  </si>
  <si>
    <t>KONTOOR, Fall21,  #3408928, (RENEGADE) Qty: 3000, FAB: TBA, DEL: 19-Jun, Peak Tgt: 180, BU-3 (7743MS)</t>
  </si>
  <si>
    <t>KONTOOR, Fall21,  #3408946, (MAJESTIC) Qty: 6500, FAB: TBA, DEL: 19-Jun, Peak Tgt: 180, BU-3 (7743MS)</t>
  </si>
  <si>
    <t>KONTOOR, Fall21,  #3408964, (ROYALCHAKR) Qty: 5000, FAB: TBA, DEL: 19-Jun, Peak Tgt: 180, BU-3 (7743MS)</t>
  </si>
  <si>
    <t>KONTOOR, Fall21,  #3087126, (Anchor) Qty: 3000, FAB: TBA, DEL: 26-Jun, Peak Tgt: 200, BU-3 (LFDW0003)</t>
  </si>
  <si>
    <t>KONTOOR, Fall21,  #3522026, (Anchor) Qty: 9000, FAB: TBA, DEL: 26-Jun, Peak Tgt: 200, BU-3 (LFDM0003)</t>
  </si>
  <si>
    <t>KONTOOR, Fall21,  #3408901, (BLACK) Qty: 3000, FAB: TBA, DEL: 19-Jun, Peak Tgt: 180, BU-3 (7743MS)</t>
  </si>
  <si>
    <t>6-Jul(?)</t>
  </si>
  <si>
    <t>BLUE</t>
  </si>
  <si>
    <t>4-Jul/2600, 19-Aug/800</t>
  </si>
  <si>
    <t>2-May/5000, 24-Jun/800</t>
  </si>
  <si>
    <t>4-Jul/2600, 1-Aug/500</t>
  </si>
  <si>
    <t>L BLUE</t>
  </si>
  <si>
    <t>4-Jul/2600, 1-Aug/400</t>
  </si>
  <si>
    <t>GU, SS21,  #H072C, Qty: 415000, FAB: OK, DEL: 28-Feb/20000, Peak Tgt: 145, BU-4</t>
  </si>
  <si>
    <t>Balnce</t>
  </si>
  <si>
    <t>Lead Grey</t>
  </si>
  <si>
    <t>Grey</t>
  </si>
  <si>
    <t>KONTOOR, Fall21,  #3162043, (Lead Grey) Qty: 9280, FAB: TBA, DEL: 5-Jun, Peak Tgt: 160, BU-4</t>
  </si>
  <si>
    <t>KONTOOR, Fall21,  #3162030, (Distance) Qty: 3000, FAB: TBA, DEL: 26-Jun, Peak Tgt: 160, BU-4</t>
  </si>
  <si>
    <t>KONTOOR, Fall21,  #3162043, (Lead Grey) Qty: 3000, FAB: TBA, DEL: 26-Jun, Peak Tgt: 160, BU-4</t>
  </si>
  <si>
    <t>3381930</t>
  </si>
  <si>
    <t>217355</t>
  </si>
  <si>
    <t>3522077</t>
  </si>
  <si>
    <t>KONTOOR, Fall21,  #3162030, (Distance) Qty: 8780, FAB: TBA, DEL: 5-Jun, Peak Tgt: 160, BU-4</t>
  </si>
  <si>
    <t>KONTOOR, Fall21,  #2108524, (Executive) Qty: 4035, FAB: TBA, DEL: 1-May, Peak Tgt: 160, BU-3</t>
  </si>
  <si>
    <t>KONTOOR, Fall21,  #2018224, (Executive) Qty: 5053, FAB: TBA, DEL: 5-Jun, Peak Tgt: 160, BU-3</t>
  </si>
  <si>
    <t>KONTOOR, Fall21,  #3522054, (TIGERS EYE) Qty: 25055, FAB: TBA, DEL: 17-Apr, Peak Tgt: 200, BU-3 (LFDW0003)</t>
  </si>
  <si>
    <t>KONTOOR, Fall21,  #2161543, (Grey) Qty: 3000, FAB: TBA, DEL: 22-May, Peak Tgt: 160, BU-4</t>
  </si>
  <si>
    <t>4WPWK</t>
  </si>
  <si>
    <t>EP559</t>
  </si>
  <si>
    <t>???</t>
  </si>
  <si>
    <t>0KKP2</t>
  </si>
  <si>
    <t>YM8WR</t>
  </si>
  <si>
    <t>ZP8XG</t>
  </si>
  <si>
    <t>9ME51</t>
  </si>
  <si>
    <t>GU, FW21,  #F054A, (TBA) Qty: 30004, FAB: 20K-1/23, 20K-3/27, DEL: 2-May, Peak Tgt: 200, BU-4</t>
  </si>
  <si>
    <t>GU, FW21,  #F112A, (TBA) Qty: 1200, FAB: TBA, DEL: 2-May, Peak Tgt: 210 (?), BU-4</t>
  </si>
  <si>
    <t>KONTOOR, Fall21,  #2018324, (Executive) Qty: 6000, FAB: OK, DEL: 13-Mar &amp; 20-Mar, Peak Tgt: 160, BU-4</t>
  </si>
  <si>
    <t>GU, SS21,  #H050A (TBA) Qty: 10000, FAB: TBA, DEL: 28-Mar, Peak Tgt: 260, BU-3  (Ph-3)</t>
  </si>
  <si>
    <t>T-AUS, Win21,  #209024B (Mid wash) Qty: 6019, FAB: 10-Jan, DEL: 14-Feb/906, 28-Feb/1200, Peak Tgt: 180, BU-3 (Plan-3892)</t>
  </si>
  <si>
    <t>KONTOOR, Fall21,  #ZFC9BI4 (Mid) Qty: 18000, FAB: 28-Jan, DEL: 6-Mar/10000, 20-Mar/8000, Peak Tgt: 180, BU-3</t>
  </si>
  <si>
    <t>KONTOOR, Fall21,  #2015042, (Maddox) Qty: 17200, FAB: TBA, DEL: 19-Jun, Peak Tgt: 160, BU-4</t>
  </si>
  <si>
    <t>KONTOOR, Fall21,  #2105042, (Maddox) Qty: 1500, FAB: TBA, DEL: 19-Jun, Peak Tgt: 160, BU-4</t>
  </si>
  <si>
    <t>KONTOOR, Fall21,  #2018224, (Executive) Qty: 8500, FAB: TBA, DEL: 19-Jun, Peak Tgt: 160, BU-4</t>
  </si>
  <si>
    <t>KONTOOR, Fall21,  #2018324, (Executive) Qty: 4600, FAB: TBA, DEL: 19-Jun, Peak Tgt: 160, BU-4</t>
  </si>
  <si>
    <t>KONTOOR, Fall21,  #2108524, (Executive) Qty: 5000, FAB: TBA, DEL: 19-Jun, Peak Tgt: 160, BU-4</t>
  </si>
  <si>
    <t>KONTOOR, Fall21,  #2015042, (Maddox) Qty: 4500, FAB: OK, DEL: 20-Mar/4500, Peak Tgt: 160, BU-4</t>
  </si>
  <si>
    <t>KONTOOR, Fall21,  #2015042, (Maddox) Qty: 14000, FAB: OK, DEL: 6-Mar/14000, Peak Tgt: 160, BU-4</t>
  </si>
  <si>
    <t>KONTOOR, Fall21,  #2105042, (Maddox) Qty: 3000, FAB: 18-Feb, DEL: 3-Apr, Peak Tgt: 160, BU-4</t>
  </si>
  <si>
    <t>KONTOOR, Fall21,  #3087568, (RAYNE) Qty: 4900, FAB: 25-Feb, DEL: 22-May, Peak Tgt: 180, BU-3 (7743WM)</t>
  </si>
  <si>
    <t>KONTOOR, Fall21,  #3408929, (CASCADE) Qty: 2001, FAB: 25-Feb, DEL: 22-May, Peak Tgt: 180, BU-3 (7743MS)</t>
  </si>
  <si>
    <t>GU, SS21,  #N054A (TBA PH-3) Qty: 30000, FAB: 25-Feb, DEL: 3/22, 4/5, 4/12, Peak Tgt: 200, BU-TBA</t>
  </si>
  <si>
    <t>KONTOOR, Fall21,  #G96RTWL (Wilson) Qty: 3000, FAB: OK, DEL: 18-Apr, Peak Tgt: 180, BU-3</t>
  </si>
  <si>
    <t>KONTOOR, Fall21,  #G96RTWL, (Wilson) Qty: 3000, FAB: TBA, DEL: 22-Aug, Peak Tgt: 180, BU-3</t>
  </si>
  <si>
    <t>KONTOOR, Fall21,  #2018312, (Majestic) Qty: 3000, FAB: 25-Feb, DEL: 1-May, Peak Tgt: 160, BU-4</t>
  </si>
  <si>
    <t>KONTOOR, Fall21,  #2018312, (Majestic) Qty: 3000, FAB: 25-Feb, DEL: 5-Jun, Peak Tgt: 160, BU-3</t>
  </si>
  <si>
    <t>KONTOOR, Fall21,  #3522001, (BLACK) Qty: 4000, FAB: 24-Feb, DEL: 29-May, Peak Tgt: 200, BU-3</t>
  </si>
  <si>
    <t>KONTOOR, Fall21,  #3522095 / L34BTEFG, (Seattle) Qty: 3000, FAB: 3-Mar, DEL: 29-May, Peak Tgt: 200, BU-3</t>
  </si>
  <si>
    <t>KONTOOR, Fall21,  #3522077 / L34BTEFE, (Nightshade) Qty: 2000, FAB: 3-Mar, DEL: 29-May, Peak Tgt: 200, BU-3</t>
  </si>
  <si>
    <t>KONTOOR, Fall21,  #3517976, (EXPEDITION) Qty: 4700, FAB: 24-Feb, DEL: 17-Apr, Peak Tgt: 180, BU-3 (7742MS)</t>
  </si>
  <si>
    <t>KONTOOR, Fall21,  #3543641, (TRU BLU MID) Qty: 600, FAB: 24-Feb, DEL: 17-Apr, Peak Tgt: TBA, BU-TBA</t>
  </si>
  <si>
    <t>KONTOOR, Fall21,  #3543691, (INDIGO FROSTED) Qty: 580, FAB: 24-Feb, DEL: 17-Apr, Peak Tgt: TBA, BU-TBA</t>
  </si>
  <si>
    <t>KONTOOR, Fall21,  #3527702, (WASHED BLACK) Qty: 1060, FAB: 25-Feb, DEL: 17-Apr, Peak Tgt: TBA, BU-TBA</t>
  </si>
  <si>
    <t>T-AUS, Win21,  #208700 (Blue/Black) Qty: 2508, FAB: 4-Mar, Acs: TBA, DEL: 16-Mar/1000, Peak Tgt: 180, BU-3</t>
  </si>
  <si>
    <t>T-AUS, Win21,  #189205 (BLU/BLK) Qty: 2493, FAB: 4-Mar, DEL: 9-Mar/999, 25-Mar/999, Peak Tgt: 180, BU-3</t>
  </si>
  <si>
    <t>T-AUS, Win21,  #189211 (BLU/BLK) Qty: 1985, FAB: 4-Mar, DEL: 9-Mar/990, 18-Mar/495, Peak Tgt: 180, BU-3</t>
  </si>
  <si>
    <t>GU, SS21,  #N054A (TBA PH-3) Qty: 1200, FAB: 25-Feb, DEL: 7-Mar, Peak Tgt: 200, BU-TBA</t>
  </si>
  <si>
    <t>01314528580</t>
  </si>
  <si>
    <t>T-USA, C3'21,  #81EE6 (BB), (ALMOND) Qty: 81156, FAB: 8-Mar, DEL: 15-Apr/19589, Peak Tgt: 210 (?), BU-3 (Plan-36380, Upto: 7-May)</t>
  </si>
  <si>
    <t>KONTOOR, Fall21,  #ZFC9BI4 (Mid) Qty: 8000, FAB: 1-Mar, DEL: 20-Mar/8000, Peak Tgt: 180, BU-3</t>
  </si>
  <si>
    <t>KONTOOR, Fall21,  #ZFC9BI2, (Dark) Qty: 3000, FAB: 1-Mar, DEL: 20-Mar, Peak Tgt: 180, BU-3</t>
  </si>
  <si>
    <t>KONTOOR, Fall21,  #ZFC9BI2, (Dark) Qty: 9000, FAB: 9-Mar, DEL: 27-Mar, Peak Tgt: 180, BU-3</t>
  </si>
  <si>
    <t>KONTOOR, Fall21,  #ZFC9BI4, (Mid) Qty: 12000, FAB: 9-Mar, DEL: 27-Mar, Peak Tgt: 180, BU-3</t>
  </si>
  <si>
    <t>KONTOOR, Fall21,  #3778476, (EXPEDITION) Qty: 3000, FAB: 27-Feb, Accs: 10-Mar, DEL: 3-Apr, Peak Tgt: 180, BU-3</t>
  </si>
  <si>
    <t>KONTOOR, Fall21,  #3196017, (CAMDEN) Qty: 2056, FAB: 27-Feb, DEL: 27-Mar, Peak Tgt: 180, BU-3</t>
  </si>
  <si>
    <t>KONTOOR, Fall21,  #3087501, (BLACK) Qty: 4400, FAB: 12-Mar, DEL: 17-Apr, Peak Tgt: 180, BU-3 (7743WM)</t>
  </si>
  <si>
    <t>KONTOOR, Fall21,  #3408928, (RENEGADE) Qty: 3000, FAB: 25-Feb, Accs: 10-Mar, DEL: 17-Apr, Peak Tgt: 180, BU-3 (7743MS)</t>
  </si>
  <si>
    <t>KONTOOR, Fall21,  #3517933, (INFINITY) Qty: 3000, FAB: 12-Mar, DEL: 17-Apr, Peak Tgt: 180, BU-3 (7742MS)</t>
  </si>
  <si>
    <t>KONTOOR, Fall21,  #3517901, (BLACK) Qty: 3000, FAB: 12-Mar, DEL: 17-Apr, Peak Tgt: 180, BU-3 (7742MS)</t>
  </si>
  <si>
    <t>KONTOOR, Fall21,  #3522001, (Black) Qty: 9300, FAB: OK, Accs: 10-Mar, DEL: 24-Apr, Peak Tgt: 200, BU-3 (LFDW0003)</t>
  </si>
  <si>
    <t>KONTOOR, Fall21,  #3087101, (Black) Qty: 4300, FAB: OK, Accs: 10-Mar, DEL: 24-Apr, Peak Tgt: 200, BU-3 (LFDW0003)</t>
  </si>
  <si>
    <t>KONTOOR, Fall21,  #3525135, (SEATTLE) Qty: 834, FAB: OK, DEL: 17-Apr, Peak Tgt: TBA, BU-TBA</t>
  </si>
  <si>
    <t>KONTOOR, Fall21,  #3525101, (BLACK ) Qty: 884, FAB: OK, DEL: 17-Apr, Peak Tgt: TBA, BU-TBA</t>
  </si>
  <si>
    <t>T-USA, C3'21,  #ZP8XG (Mens), (SAZON) Qty: 75451, FAB: 17-Mar, DEL: 5-May/46507, Peak Tgt: 210, BU-3</t>
  </si>
  <si>
    <t>T-USA, C3'21,  #M6GE1 (BB), (Wash#21) Qty: 3757, FAB: 8-Mar, DEL: 15-Apr/908, Peak Tgt: 210 (?), BU-3</t>
  </si>
  <si>
    <t>KONTOOR, Fall21,  #2015042, (Maddox) Qty: 14500, FAB: OK, DEL: 1-May, Peak Tgt: 160, BU-4</t>
  </si>
  <si>
    <t>KONTOOR, Fall21,  #3185613, (FRONTIER) Qty: 3600, FAB: 7-Mar, DEL: 17-Apr, Peak Tgt: 180, BU-3 (LFDW0157)</t>
  </si>
  <si>
    <t>KONTOOR, Fall21,  #3185657, (STORMS END) Qty: 3500, FAB: 7-Mar, DEL: 17-Apr, Peak Tgt: 180, BU-3 (LFDW0157)</t>
  </si>
  <si>
    <t>KONTOOR, Fall21,  #3055213, (FRONTIER) Qty: 3800, FAB: 7-Mar, DEL: 17-Apr, Peak Tgt: 180, BU-3 (LFDW0157)</t>
  </si>
  <si>
    <t>KONTOOR, Fall21,  #3055257, (STORMS END) Qty: 4000, FAB: 7-Mar, DEL: 17-Apr, Peak Tgt: 180, BU-3 (LFDW0157)</t>
  </si>
  <si>
    <t>KONTOOR, Fall21,  #3522054, (TIGERS EYE) Qty: 25055, FAB: 15-Mar, DEL: 17-Apr, Peak Tgt: 200, BU-3 (LFDW0003)</t>
  </si>
  <si>
    <t>KONTOOR, Fall21,  #3522033, (Olive Night) Qty: 1501, FAB: 7-Mar, DEL: 24-Apr, Peak Tgt: 200, BU-3 (LFDW0003)</t>
  </si>
  <si>
    <t>KONTOOR, Fall21,  #3522095, (Seattle) Qty: 3000, FAB: TBA, DEL: 24-Apr/900, 22-May/2100, Peak Tgt: 200, BU-3 (LFDW0003)</t>
  </si>
  <si>
    <t>KONTOOR, Fall21,  #3522077, (Nightshade) Qty: 3000, FAB: TBA, DEL: 24-Apr/900, 22-May/2100, Peak Tgt: 200, BU-3 (LFDW0003)</t>
  </si>
  <si>
    <t>EID-UL-FITR HOLIDAY</t>
  </si>
  <si>
    <t>GU, FW21,  #F007A, (TBA) Qty: 46360, FAB: TBA, DEL: 6-Jul/26360, 2-Aug/20000, Peak Tgt: 250 (?), BU-3</t>
  </si>
  <si>
    <t>GU, FW21,  #F123B, (TBA) Qty: 10438, FAB: TBA, DEL: 7-Jul, Peak Tgt: 155 (?), BU-4</t>
  </si>
  <si>
    <t>KONTOOR, Fall21,  #2015042, (Maddox) Qty: 15500, FAB: TBA, DEL: 29-May, Peak Tgt: 160, BU-3</t>
  </si>
  <si>
    <t>KONTOOR, SS22,  #3522001, (Black) Qty: 4500, FAB: TBA, DEL: 10-Jul, Peak Tgt: 200, BU-3 (LFDM0003)</t>
  </si>
  <si>
    <t>KONTOOR, SS22,  #3087135, (Seattle) Qty: 3100, FAB: TBA, DEL: 10-Jul, Peak Tgt: 200, BU-3 (LFDW0003)</t>
  </si>
  <si>
    <t>KONTOOR, SS22,  #1CMRS88, (Railroad Stripe) Qty: 3822, FAB: TBA, DEL: 26-Jun, Peak Tgt: 200, BU-3 ()</t>
  </si>
  <si>
    <t>GU, SS21,  #N050A (TBA PH-3), Qty: 20000, FAB: TBA, DEL: 8-May &amp; 22-May, Peak Tgt: 250, BU-3</t>
  </si>
  <si>
    <t>KONTOOR, SS22,  #ZMREB10, (White) Qty: 3000, FAB: TBA, DEL: 10-Jul, Peak Tgt: 190, BU-3 (AMAZON)</t>
  </si>
  <si>
    <t>KONTOOR, SS22,  #ZFC9BI2, (DARK) Qty: 4000, FAB: TBA, DEL: 31-Jul, Peak Tgt: 190, BU-3 (AMAZON)</t>
  </si>
  <si>
    <t>KONTOOR, SS22,  #ZFC9BI2, (DARK) Qty: 3000, FAB: TBA, DEL: 28-Aug, Peak Tgt: 190, BU-3 (AMAZON)</t>
  </si>
  <si>
    <t>KONTOOR, SS22,  #ZFC9BI4, (MID) Qty: 6000, FAB: TBA, DEL: 31-Jul, Peak Tgt: 190, BU-3 (AMAZON)</t>
  </si>
  <si>
    <t>KONTOOR, SS22,  #ZFC9BI4, (MID) Qty: 3000, FAB: TBA, DEL: 28-Aug, Peak Tgt: 190, BU-3 (AMAZON)</t>
  </si>
  <si>
    <t>KONTOOR, SS22,  #ZFE9BR4, (LIGHT WASH) Qty: 3000, FAB: TBA, DEL: 31-Jul, Peak Tgt: 190, BU-3 ()</t>
  </si>
  <si>
    <t>KONTOOR, SS22,  #2161543, (GREY) Qty: 20000, FAB: TBA, DEL: 10-Jul, Peak Tgt: 160, BU-4 ()</t>
  </si>
  <si>
    <t>T-AUS, SUM22-Q1,  #211253, (Indigo) Qty: 7996, FAB: 19-Mar, DEL: 4-May/3000, 8-Jun/996, 20-Jun/1000, Peak Tgt: 190, BU-3 (Plan-3996)</t>
  </si>
  <si>
    <t>T-AUS, SUM22-Q1,  #211252, (MID BLUE) Qty: 7596, FAB: 19-Mar, DEL: 4-May/3000, 8-Jun/996, 20-Jun/1000, Peak Tgt: 190, BU-3 (Plan-3996)</t>
  </si>
  <si>
    <t>T-AUS, SUM22-Q1,  #193485, (Light Blue) Qty: 4900, FAB: 23-Mar, DEL: 2-May/3200, 20-Jun/900, Peak Tgt: TBA, BU-3 (Plan-3200)</t>
  </si>
  <si>
    <t>GU, SS21,  #N020A (TBA PH-3) Qty: 20500, FAB: TBA, DEL: 8-May &amp; 22-May, Peak Tgt: 250, BU-3</t>
  </si>
  <si>
    <t>T-AUS, SUM22-Q1,  #191550, (LIGHT WASH) Qty: 2420, FAB: 21-Mar, DEL: 18-May/610, 22-Jun/600, Peak Tgt: 190, BU-3 (Plan-610)</t>
  </si>
  <si>
    <t>T-AUS, SUM22-Q1,  #201340A, (BLACK) Qty: 3600, FAB: 7-Apr, DEL: 18-May/1200, 29-Jun/1200, Peak Tgt: 180, BU-3 (Plan-1200)</t>
  </si>
  <si>
    <t>T-AUS, SUM22-Q1,  #191578, (MID WASh) Qty: 2420, FAB: TBA, DEL: 16-May/610, 20-Jun/600, Peak Tgt: 180, BU-3 (Plan-1200)</t>
  </si>
  <si>
    <t>T-AUS, SUM22-Q1,  #197594B, (STAY BLACK) Qty: 5962, FAB: 19-Mar, DEL: 18-May/1996, 1-Jun/520, 22-Jun/1766, 29-Jun/460, Peak Tgt: 190, BU-3 (Plan-2516)</t>
  </si>
  <si>
    <t>T-AUS, SUM22-Q1,  #209026A, (BLU/BLK) Qty: 5462, FAB: 23-Mar, DEL: 18-May/1766, 1-Jun/460, 22-Jun/960, 29-Jun/260, Peak Tgt: 180, BU-3 (Plan-2226)</t>
  </si>
  <si>
    <t>T-AUS, SUM22-Q1,  #209026B, (Indigo) Qty: 5038, FAB: 23-Mar, DEL: 18-May/1766, 1-Jun/460, 22-Jun/960, 29-Jun/260, Peak Tgt: 180, BU-3 (Plan-2226)</t>
  </si>
  <si>
    <r>
      <t xml:space="preserve">T-AUS, SUM22-Q1,  #211253, (Indigo) Qty: 7996, FAB: 19-Mar, DEL: 4-May/3000, 8-Jun/996, </t>
    </r>
    <r>
      <rPr>
        <b/>
        <sz val="16"/>
        <color rgb="FFFF0000"/>
        <rFont val="Arial"/>
        <family val="2"/>
      </rPr>
      <t>20-Jun/1000</t>
    </r>
    <r>
      <rPr>
        <b/>
        <sz val="16"/>
        <color theme="9" tint="-0.249977111117893"/>
        <rFont val="Arial"/>
        <family val="2"/>
      </rPr>
      <t>, Peak Tgt: 190, BU-3 (Plan-3994)</t>
    </r>
  </si>
  <si>
    <t>T-AUS, SUM22-Q1,  #211252, (MID BLUE) Qty: 7596, FAB: 19-Mar, DEL: 4-May/3000, 8-Jun/996, 20-Jun/1000, Peak Tgt: 190, BU-3 (Plan-3604)</t>
  </si>
  <si>
    <t>T-AUS, SUM22-Q1,  #224534, (Blue) Qty: 4993, FAB: 24-Mar, DEL: 2-May/2596, 27-Jun/1200, Peak Tgt: TBA, BU-3, (Plan-2600)</t>
  </si>
  <si>
    <t>KONTOOR, SS22,  #2161543, (GREY) Qty: 16000, FAB: TBA, DEL: 7-Aug, Peak Tgt: 150, BU-4 ()</t>
  </si>
  <si>
    <t>KONTOOR, SS22,  #3162043, (LEAD GRAY) Qty: 2600, FAB: TBA, DEL: 31-Jul, Peak Tgt: 150, BU-4 ()</t>
  </si>
  <si>
    <t>3087101</t>
  </si>
  <si>
    <t>KONTOOR, SS22,  #2162030, (DISTANCE) Qty: 13300, FAB: TBA, DEL: 18-Sep, Peak Tgt: 160, BU-4 ()</t>
  </si>
  <si>
    <t>KONTOOR, SS22,  #2161543, (GREY) Qty: 8800, FAB: TBA, DEL: 18-Sep, Peak Tgt: 160, BU-4 ()</t>
  </si>
  <si>
    <t>3543641</t>
  </si>
  <si>
    <t>3543691</t>
  </si>
  <si>
    <t>3522054</t>
  </si>
  <si>
    <t>3543692</t>
  </si>
  <si>
    <t>Q2 TOT</t>
  </si>
  <si>
    <t>GU, FW21,  #F054A, (TBA) Qty: 30004, FAB: 20K-1/23, 20K-3/27, DEL: 2-May, Peak Tgt: 220, BU-4</t>
  </si>
  <si>
    <t>GU, SS21,  #N050A (TBA PH-3), Qty: 20400, FAB: TBA, DEL: 8-May, Peak Tgt: 250, BU-3</t>
  </si>
  <si>
    <t>3525101</t>
  </si>
  <si>
    <t>3525135</t>
  </si>
  <si>
    <t>KONTOOR, Fall21,  #3087177, (Nightshade) Qty: 3500, FAB: TBA, DEL: 22-May, Peak Tgt: 180, BU-3 (LFDW0003)</t>
  </si>
  <si>
    <t>KONTOOR, Fall21,  #3087135, (Seattle) Qty: 3500, FAB: TBA, DEL: 22-May, Peak Tgt: 180, BU-3 (LFDW0003)</t>
  </si>
  <si>
    <t>KONTOOR, Fall21,  #3087126, (Anchor) Qty: 4100, FAB: TBA, DEL: 22-May, Peak Tgt: 180, BU-3 (LFDW0003)</t>
  </si>
  <si>
    <t>KONTOOR, Fall21,  #3522054, (TIGERS EYE) Qty: 3945, FAB: TBA, DEL: 29-May, Peak Tgt: 200, BU-3 (LFDW0003)</t>
  </si>
  <si>
    <t>T-AUS, SUM22-Q1,  #189204, (Dark Blue) Qty: 2507, FAB: 5-Apr, DEL: 4-May/506, 15-Jun/1006, Peak Tgt: 180, BU-3</t>
  </si>
  <si>
    <t>T-AUS, SUM22-Q1,  #189207, (BLUE) Qty: 3402, FAB: 15-Apr, DEL: 4-May/1400, 15-Jun/1196, 13-Jul/806, Peak Tgt: 180, BU-3</t>
  </si>
  <si>
    <t>T-AUS, SUM22-Q1,  #224544, (Black) Qty: 7404, FAB: 25-Apr, DEL: 2-May/4994, 24-Jun/800, Peak Tgt: 180, BU-3 (Plan-5794)</t>
  </si>
  <si>
    <t>T-AUS, SUM22-Q1,  #213268, (STAY BLACK) Qty: 11104, FAB: TBA, DEL: 4-May/4500, 8-Jun/1404, 20-Jun/1400, Peak Tgt: 190, BU-3 (Plan-4500)</t>
  </si>
  <si>
    <t>T-AUS, SUM22-Q1,  #224552A, (TBA) Qty: 2600, FAB: 27-Mar, DEL: 2-May, Peak Tgt: TBA, BU-3</t>
  </si>
  <si>
    <t>T-AUS, SUM22-Q1,  #193238, (W. BLUE) Qty: 3895, FAB: 5-Apr, DEL: 4-May/1496, 15-Jun/1199, Peak Tgt: 180, BU-3</t>
  </si>
  <si>
    <t>T-AUS, SUM22-Q1,  #201146B, (Light Blue) Qty: 6604, FAB: 22-Mar, DEL: 18-May/3000, 20-Jun/804, 4-Jul/800, Peak Tgt: 190, BU-3 (Plan-3804)</t>
  </si>
  <si>
    <t>KONTOOR, Fall21,  #2018324, (Executive) Qty: 3000, FAB: TBA, DEL: 5-Jun, Peak Tgt: 160, BU-4</t>
  </si>
  <si>
    <t>KONTOOR, Fall21,  #2018224, (Executive) Qty: 3032, FAB: TBA, DEL: 5-Jun, Peak Tgt: 160, BU-4</t>
  </si>
  <si>
    <t>T-AUS, SUM22-Q1,  #193242, (W. BLUE) Qty: 504, FAB: 30-Mar, DEL: 8-Jun/504, Peak Tgt: 180, BU-3 (AFFD 22-Jun)</t>
  </si>
  <si>
    <t>T-AUS, SUM22-Q1,  #186058PN, (BLU/BLK) Qty: 995, FAB: 15-Apr, DEL: 8-Jun/495, 13-Jul/500, Peak Tgt: 180, BU-3 (AFFD 22-Jun)</t>
  </si>
  <si>
    <t>T-AUS, SUM22-Q1,  #227074, (INDIGO) Qty: 1700, FAB: 15-Apr, DEL: 12-Jun/1700, Peak Tgt: 180, BU-3 (AFFD 22-Jun)</t>
  </si>
  <si>
    <t>T-AUS, SUM22-Q1,  #224572, (BLACK) Qty: 3100, FAB: TBA, DEL: 4-Jul/2600, 1-Aug/500, Peak Tgt: 180, BU-3 (AFFD 18-Jul)</t>
  </si>
  <si>
    <t>T-AUS, SUM22-Q1,  #224550, (TBA) Qty: 4200, FAB: TBA, DEL: 4-Jul/2600, 19-Aug/800, Peak Tgt: 180, BU-3 (AFFD 18-Jul)</t>
  </si>
  <si>
    <t>T-AUS, SUM22-Q2,  #197624, (LIGHT WASH) Qty: 3010, FAB: TBA, DEL: 15-Jun/2400, 20-Jul/610, Peak Tgt: 180, BU-3 (AFFD 29-Jun)</t>
  </si>
  <si>
    <t>T-AUS, SUM22-Q1,  #213527, (TBA) Qty: 2600, FAB: 6-Apr, DEL: 6-Jun/2600, Peak Tgt: TBA, BU-3 (AFFD 22-Jun)</t>
  </si>
  <si>
    <t>T-AUS, SUM22-Q1,  #227089, (INDIGO) Qty: 2508, FAB: 15-Apr, DEL: 8-Jun/2004, 12-Jul/504, Peak Tgt: 180, BU-3 (AFFD 22-Jun)</t>
  </si>
  <si>
    <t>T-AUS, SUM22-Q1,  #227082, (INDIGO) Qty: 2295, FAB: 15-Apr, DEL: 8-Jun/1800, 13-Jul/495, Peak Tgt: 180, BU-3 (AFFD 22-Jun)</t>
  </si>
  <si>
    <t>T-AUS, SUM22-Q1,  #229004, (INDIGO) Qty: 1800, FAB: 20-Apr, DEL: 8-Jun, Peak Tgt: 180, BU-3 (AFFD 22-Jun)</t>
  </si>
  <si>
    <t>T-AUS, SUM22-Q1,  #208711, (INDIGO) Qty: 1804, FAB: 20-Apr, DEL: 8-Jun, Peak Tgt: 180, BU-3 (AFFD 22-Jun)</t>
  </si>
  <si>
    <t>T-AUS, SUM22-Q1,  #224533, (Midwash) Qty: 4716, FAB: 24-Mar, DEL: 6-Jun/3212, 18-Jul/1504, Peak Tgt: 180, BU-3 (AFFD 22-Jun)</t>
  </si>
  <si>
    <t>T-AUS, SUM22-Q1,  #224535, (Midwash) Qty: 4390, FAB: 24-Mar, DEL: 6-Jun/3200, 25-Jul/1200, Peak Tgt: 180, BU-3 (AFFD 22-Jun)</t>
  </si>
  <si>
    <t>T-AUS, SUM22-Q1,  #224545B, (TBA) Qty: 2596, FAB: 20-Apr, DEL: 6-Jun, Peak Tgt: 180, BU-3 (AFFD 22-Jun)</t>
  </si>
  <si>
    <t>M6GE1</t>
  </si>
  <si>
    <t>208488</t>
  </si>
  <si>
    <t>3527728</t>
  </si>
  <si>
    <t>3527764</t>
  </si>
  <si>
    <t>3527730</t>
  </si>
  <si>
    <t>GU, SS21,  #N020A (TBA PH-3) Qty: 30000, FAB: TBA, DEL: 20-Apr/6504, 27-Apr/11496, Peak Tgt: 250, BU-3</t>
  </si>
  <si>
    <t>KONTOOR, Fall21,  #3527728, (LIGHT OF DAY) Qty: 1000, FAB: 9-Mar, DEL: 3-May, Peak Tgt: TBA, BU-TBA</t>
  </si>
  <si>
    <t>KONTOOR, Fall21,  #3527764, (LATE NIGHT) Qty: 795, FAB: 9-Mar, DEL: 3-May, Peak Tgt: TBA, BU-TBA</t>
  </si>
  <si>
    <t>KONTOOR, Fall21,  #3527730, (AFTERNOON) Qty: 1575, FAB: 9-Mar, DEL: 3-May, Peak Tgt: TBA, BU-TBA</t>
  </si>
  <si>
    <t>KONTOOR, Fall21,  #3525775, (RINSE) Qty: 670, FAB: TBA, DEL: 26-Apr, Peak Tgt: TBA, BU-TBA</t>
  </si>
  <si>
    <t>KONTOOR, SS22,  #2109142, (MADDOX) Qty: 1500, FAB: TBA, DEL: 4-Sep, Peak Tgt: 160, BU-4 ()</t>
  </si>
  <si>
    <t>KONTOOR, SS22,  #2015042, (MADDOX) Qty: 11600, FAB: TBA, DEL: 4-Sep, Peak Tgt: 160, BU-4 ()</t>
  </si>
  <si>
    <t>KONTOOR, SS22,  #2105042, (MADDOX) Qty: 1300, FAB: TBA, DEL: 04-Sep, Peak Tgt: 160, BU-4 ()</t>
  </si>
  <si>
    <t>KONTOOR, SS22,  #2161543, (GREY) Qty: 16000, FAB: TBA, DEL: 4-Sep, Peak Tgt: 160, BU-4 ()</t>
  </si>
  <si>
    <t>GU, FW21,  #F038A, (TBA) Qty: 2000, FAB: TBA, DEL: 24-Jul, Peak Tgt: 270, BU-3</t>
  </si>
  <si>
    <t>60121F059A</t>
  </si>
  <si>
    <t>KONTOOR, SS22,  #3408928, (RENEGADE) Qty: 3000, FAB: TBA, DEL: 7-Aug, Peak Tgt: 180, BU-3 (7743MS)</t>
  </si>
  <si>
    <t>KONTOOR, SS22,  #3408929, (CASCADE) Qty: 3000, FAB: TBA, DEL: 7-Aug, Peak Tgt: 180, BU-3 (7743MS)</t>
  </si>
  <si>
    <t>KONTOOR, SS22,  #3408964, (ROYALCHAKR) Qty: 3000, FAB: TBA, DEL: 7-Aug, Peak Tgt: 180, BU-3 (7743MS)</t>
  </si>
  <si>
    <t>KONTOOR, SS22,  #3522001, (Black) Qty: 3000, FAB: TBA, DEL: 7-Aug, Peak Tgt: 200, BU-3 (LFDM0003)</t>
  </si>
  <si>
    <t>KONTOOR, SS22,  #3087101, (Black) Qty: 3000, FAB: TBA, DEL: 7-Aug, Peak Tgt: 200, BU-3 (LFDW0003)</t>
  </si>
  <si>
    <t>KONTOOR, SS22,  #352200M, (Black) Qty: 3000, FAB: TBA, DEL: 7-Aug, Peak Tgt: 200, BU-3 (LFDP0003)</t>
  </si>
  <si>
    <t>KONTOOR, SS22,  #3522054, (TIGERS EYE) Qty: 3500, FAB: TBA, DEL: 7-Aug, Peak Tgt: 200, BU-3 (LFDM0003)</t>
  </si>
  <si>
    <t>KONTOOR, SS22,  #3087126, (Anchor) Qty: 3000, FAB: TBA, DEL: 7-Aug, Peak Tgt: 200, BU-3 (LFDW0003)</t>
  </si>
  <si>
    <t>KONTOOR, SS22,  #3087568, (RAYNE) Qty: 1501, FAB: TBA, DEL: 11-Sep, Peak Tgt: 180, BU-3 (7743WM)</t>
  </si>
  <si>
    <t>KONTOOR, SS22,  #3087528, (RENEGADE) Qty: 4500, FAB: TBA, DEL: 11-Sep, Peak Tgt: 180, BU-3 (7743WM)</t>
  </si>
  <si>
    <t>KONTOOR, SS22,  #3408928, (RENEGADE) Qty: 3000, FAB: TBA, DEL: 11-Sep, Peak Tgt: 180, BU-3 (7743MS)</t>
  </si>
  <si>
    <t>KONTOOR, SS22,  #3408946, (MAJESTIC) Qty: 3000, FAB: TBA, DEL: 11-Sep, Peak Tgt: 180, BU-3 (7743MS)</t>
  </si>
  <si>
    <t>KONTOOR, SS22,  #3408964, (ROYALCHAKR) Qty: 4300, FAB: TBA, DEL: 11-Sep, Peak Tgt: 180, BU-3 (7743MS)</t>
  </si>
  <si>
    <t>KONTOOR, SS22,  #3087126, (Anchor) Qty: 3000, FAB: TBA, DEL: 11-Sep, Peak Tgt: 200, BU-3 (LFDW0003)</t>
  </si>
  <si>
    <t>KONTOOR, SS22,  #3087135, (Seattle) Qty: 3000, FAB: TBA, DEL: 11-Sep, Peak Tgt: 200, BU-3 (LFDW0003)</t>
  </si>
  <si>
    <t>KONTOOR, SS22,  #3522095, (Seattle) Qty: 3000, FAB: TBA, DEL: 11-Sep, Peak Tgt: 200, BU-3 (LFDM0003)</t>
  </si>
  <si>
    <t>KONTOOR, SS22,  #3408928, (RENEGADE) Qty: 3000, FAB: TBA, DEL: 9-Oct, Peak Tgt: 180, BU-3 (7743MS)</t>
  </si>
  <si>
    <t>KONTOOR, SS22,  #3408946, (MAJESTIC) Qty: 4300, FAB: TBA, DEL: 9-Oct, Peak Tgt: 180, BU-3 (7743MS)</t>
  </si>
  <si>
    <t>KONTOOR, SS22,  #3408964, (ROYALCHAKR) Qty: 3000, FAB: TBA, DEL: 9-Oct, Peak Tgt: 180, BU-3 (7743MS)</t>
  </si>
  <si>
    <t>KONTOOR, SS22,  #3087126, (Anchor) Qty: 3000, FAB: TBA, DEL: 9-Oct, Peak Tgt: 200, BU-3 (LFDW0003)</t>
  </si>
  <si>
    <t>KONTOOR, SS22,  #3522077, (Nightshade) Qty: 3000, FAB: TBA, DEL: 9-Oct, Peak Tgt: 200, BU-3 (LFDM0003)</t>
  </si>
  <si>
    <t>KONTOOR, SS22,  #3522095, (Seattle) Qty: 3000, FAB: TBA, DEL: 9-Oct, Peak Tgt: 200, BU-3 (LFDM0003)</t>
  </si>
  <si>
    <t>T-USA, C4'21,  #4WPWK, (RANCH) Qty: 170001, FAB: 10-Jun/20K, 20-Jun/20K, 26-Jun/15K, DEL: TBA, Peak Tgt: 220, BU-3 ()</t>
  </si>
  <si>
    <t>T-USA, C4'21,  #EP559, (SHANE) Qty: 108000, FAB: 7-Jun/25K, 21-Jun/20K, 4-Jul/20K, DEL: TBA, Peak Tgt: 220, BU-3 ()</t>
  </si>
  <si>
    <t>60121F022A</t>
  </si>
  <si>
    <t>KONTOOR, Fall21,  #LMB100726-CN, (MB110) Qty: 888, FAB: TBA, DEL: 29-Aug, Peak Tgt: TBA, BU-TBA</t>
  </si>
  <si>
    <t>Kids</t>
  </si>
  <si>
    <t>Adult</t>
  </si>
  <si>
    <t>3162043</t>
  </si>
  <si>
    <t>60121N020C</t>
  </si>
  <si>
    <t>60121N020A-Add</t>
  </si>
  <si>
    <t>193485</t>
  </si>
  <si>
    <t>T-AUS, SUM22-Q1,  #197594B, (STAY BLACK) Qty: 1220, FAB: TBA, DEL: 24-Aug &amp; 31-Aug, Peak Tgt: 190, BU-3 (AFD-8/31)</t>
  </si>
  <si>
    <t>224534</t>
  </si>
  <si>
    <t>211253</t>
  </si>
  <si>
    <t>T-USA, C4'21,  #9ME51, (ACE) Qty: 38613, FAB: 7-Jun, DEL: 28-Aug to 11-Sep, Peak Tgt: 210, BU-3 (Plan-15870)</t>
  </si>
  <si>
    <t>GU, FW21,  #F007A, (TBA) Qty: 46360, FAB: TBA, DEL: 31-Jul/20000, 14-Aug/30000, 28-Aug/15000, 11-Sep/15640 Peak Tgt: 240 (?), BU-3</t>
  </si>
  <si>
    <t>3087135</t>
  </si>
  <si>
    <t>3087177</t>
  </si>
  <si>
    <t>3087126</t>
  </si>
  <si>
    <t>3408929</t>
  </si>
  <si>
    <t>T-AUS, SUM22-Q1,  #189211N, (BLU/BLK) Qty: 2999, FAB: 18-Apr, DEL: 4-May/1001, 15-Jun/999, Peak Tgt: 180, BU-3</t>
  </si>
  <si>
    <t>T-AUS, SUM22-Q1,  #189205N, (BLU/BLK) Qty: 2303, FAB: 18-Apr, DEL: 4-May/500, 15-Jun/1000, Peak Tgt: 180, BU-3</t>
  </si>
  <si>
    <t>T-AUS, SUM22-Q1,  #208700N, (INDIGO) Qty: 3196, FAB: 18-Apr, DEL: 18-May/1000, 15-Jun/1200, 13-Jul/996, Peak Tgt: 180, BU-3 (AFFD 1-Jun)</t>
  </si>
  <si>
    <t>T-AUS, SUM22-Q1,  #197594A, (STAY BLACK) Qty: 5708, FAB: 24-Mar, DEL: 18-May/1996, 1-Jun/520, 22-Jun/1276, 29-Jun/320, Peak Tgt: 180, BU-3 (Plan-)</t>
  </si>
  <si>
    <t>KONTOOR, Fall21,  #3522095, (Seattle) Qty: 3000, FAB: TBA, DEL: 24-Apr/900, 22-May/2100, Peak Tgt: 200, BU-3 (LFDW0003) (Plan-900)</t>
  </si>
  <si>
    <t>KONTOOR, Fall21,  #3522001, (Black) Qty: 9300, FAB: OK, Accs: 10-Mar, DEL: 24-Apr, Peak Tgt: 200, BU-3 (LFDW0003) (Plan-900)</t>
  </si>
  <si>
    <t>KONTOOR, Fall21,  #3522077, (Nightshade) Qty: 3000, FAB: TBA, DEL: 24-Apr/900, 22-May/2100, Peak Tgt: 200, BU-3 (LFDW0003) (Plan-900)</t>
  </si>
  <si>
    <t>224544</t>
  </si>
  <si>
    <t>189205N</t>
  </si>
  <si>
    <t>T-AUS, SUM22-Q1,  #193485, (Light Blue) Qty: 4934, FAB: TBA, DEL: 20-Jun/920, Peak Tgt: TBA, BU-3 (Plan-825) (AFFD 29-Jun)</t>
  </si>
  <si>
    <t>224535</t>
  </si>
  <si>
    <t>224533</t>
  </si>
  <si>
    <t>PRODUCTION PLAN FLOW CHART FOR THE MONTH OF: Jan'22</t>
  </si>
  <si>
    <t>PRODUCTION PLAN FLOW CHART FOR THE MONTH OF: Feb'22</t>
  </si>
  <si>
    <t>GU, FW21,  #F007A, (TBA) Qty: 46360, FAB: TBA, DEL: 8-Aug/20000, 29-Aug/20000, 28-Aug/15000, 11-Sep/15640 Peak Tgt: 240 (?), BU-3</t>
  </si>
  <si>
    <t>227074</t>
  </si>
  <si>
    <t>T-AUS, SUM22-Q1,  #184731, (DARK WASH) Qty: 3160, FAB: 21-Mar, DEL: 18-May/780, 22-Jun/800, Peak Tgt: 180, BU-3</t>
  </si>
  <si>
    <t>T-AUS, SUM22-Q1,  #213268, (STAY BLACK) Qty: 11104, FAB: TBA, DEL: 20-Jun/1400, Peak Tgt: 190, BU-3 (Plan-6316)</t>
  </si>
  <si>
    <t>GU, SS21,  #N020A (TBA PH-3) Qty: 10000, FAB: TBA, DEL: 20-Jun, Peak Tgt: 250, BU-3</t>
  </si>
  <si>
    <t>GU, FW21,  #F001A, (TBA) Qty: 115000, FAB: OK, DEL: 3-Jul/35000, 14-Aug/20000, 11-Sep/20000,  25-Sep/20000, Peak Tgt: 240, BU-3</t>
  </si>
  <si>
    <t>T-USA, C3'21,  #2WE34 (BB), (MH TABLE#1) Qty: 76748, FAB: 20-Feb, DEL: 3&amp;10-Jun/10586, Peak Tgt: 220, BU-3 (Plan-9246)</t>
  </si>
  <si>
    <t>Line 14 (S)</t>
  </si>
  <si>
    <t>GU, FW21,  #F050A, (#64,#67) Qty: 22690, FAB: OK, DEL: 3-Jul, Peak Tgt: 270, BU-3</t>
  </si>
  <si>
    <t>KONTOOR, SS22,  #2090102, (Pavement) Qty: 1500, FAB: TBA, DEL: 21-Aug, Peak Tgt: TBA, BU-TBA ()</t>
  </si>
  <si>
    <t>KONTOOR, SS22,  #2090141, (Evening) Qty: 700, FAB: TBA, DEL: 4-Sep, Peak Tgt: TBA, BU-TBA ()</t>
  </si>
  <si>
    <t>T-USA, C4'21,  #M6GE1, (CJ Wash#21) Qty: 5808, FAB: 10-Jun, DEL: 11-Jul, Peak Tgt: 220, BU-3 ()</t>
  </si>
  <si>
    <t>T-USA, C4'21,  #0KKP2, (CJ Wash#28) Qty: 14844, FAB: 10-Jun, DEL: 11-Jul to 15-Aug, Peak Tgt: 220, BU-3 (Plan-4620)</t>
  </si>
  <si>
    <t>T-USA, C4'21,  #4WPWK, (RANCH) Qty: 210006, FAB: 10-Jun/20K, 20-Jun/20K, 26-Jun/15K, DEL: TBA, Peak Tgt: 220, BU-3 ()</t>
  </si>
  <si>
    <t>T-USA, C4'21,  #YM8WR, (ZINGER) Qty: 37560, FAB: 1-Jun, DEL: 7/28-Aug, Peak Tgt: 210, BU-3 (Plan-20232)</t>
  </si>
  <si>
    <t>T-USA, C4'21,  #ZP8XG, (SAZON) Qty: 45768, FAB: 12-Jun, DEL: 7/21-Aug, Peak Tgt: 210, BU-3 (Plan-31680)</t>
  </si>
  <si>
    <t>T-USA, C4'21,  #EP559, (MOLTON) Qty: 77979, FAB: 30-May/20K, 14-Jun/30K, 28-Jun/20K, DEL: 11-Jul to 5-Sep, Peak Tgt: 220, BU-3 (Plan-51721)</t>
  </si>
  <si>
    <t>T-USA, C4'21,  #9ME51, (ACE) Qty: 40416, FAB: 7-Jun, DEL: 7/28-Aug, Peak Tgt: 210, BU-3 (Plan-12929)</t>
  </si>
  <si>
    <t>T-USA, C4'21,  #81EE6, (ALMOND) Qty: 29424, FAB: 18-Jun/14K, 30-Jun/9K, DEL: 11-Jul to 1-Aug, Peak Tgt: 220, BU-3 (Plan-9792)</t>
  </si>
  <si>
    <t>T-USA, C4'21,  #EP559, (SHANE) Qty: 148008, FAB: 7-Jun/25K, 21-Jun/20K, 4-Jul/20K, DEL: TBA, Peak Tgt: 220, BU-3 ()</t>
  </si>
  <si>
    <t>T-USA, C4'21,  #2WE34, (MH TABLE#1) Qty: 26304, FAB: 26-Jun/11K, 11-Jul/10K, DEL: 15-Aug to 22-Aug, Peak Tgt: 220, BU-3 (Plan-7896)</t>
  </si>
  <si>
    <t>T-USA, C4'21,  #YM8WR, (ZINGER) Qty: 37560, FAB: 1-Jun, DEL: 11/25-Sep, Peak Tgt: 210, BU-3 (Plan-9408)</t>
  </si>
  <si>
    <t>189211N</t>
  </si>
  <si>
    <t>PRODUCTION PLAN FLOW CHART FOR THE MONTH OF: Mar'22</t>
  </si>
  <si>
    <t>T-AUS, SUM22-Q1,  #197594B, (STAY BLACK) Qty: 5962, FAB: 19-Mar, DEL: 18-May/1996, 1-Jun/520, 22-Jun/1766, 29-Jun/460, Peak Tgt: 190, BU-3 (Plan-1113)</t>
  </si>
  <si>
    <t>208700N</t>
  </si>
  <si>
    <t>229004</t>
  </si>
  <si>
    <t>KB_C</t>
  </si>
  <si>
    <t>KB_U</t>
  </si>
  <si>
    <t>TU_B</t>
  </si>
  <si>
    <t>TU_M</t>
  </si>
  <si>
    <t>GU_K</t>
  </si>
  <si>
    <t>GU_M</t>
  </si>
  <si>
    <t>TAUS</t>
  </si>
  <si>
    <t>HRs</t>
  </si>
  <si>
    <t>TUSA</t>
  </si>
  <si>
    <t>TOTAL</t>
  </si>
  <si>
    <t>B_Tot</t>
  </si>
  <si>
    <t>LMB100727</t>
  </si>
  <si>
    <t>T-AUS, SUM22-Q1,  #209026B, (Indigo) Qty: 5038, FAB: 23-Mar, DEL: 18-May/1766, 1-Jun/460, 22-Jun/960, 29-Jun/260, Peak Tgt: 180, BU-3 (Plan-1600)</t>
  </si>
  <si>
    <t>T-AUS, SUM22-Q1,  #197594A, (STAY BLACK) Qty: 5708, FAB: 24-Mar, DEL: 18-May/1996, 1-Jun/520, 22-Jun/1276, 29-Jun/320, Peak Tgt: 180, BU-3 (Plan-1602)</t>
  </si>
  <si>
    <t>60321F048B</t>
  </si>
  <si>
    <t>KONTOOR, Fall21,  #LMB100705-CN, (MB109) Qty: 4420, FAB: TBA, DEL: 6-Jun, Peak Tgt: 170, BU-3</t>
  </si>
  <si>
    <t>KONTOOR, Fall21,  #LMB100726-CN, (MB99) Qty: 7685, FAB: TBA, DEL: 30-May, Peak Tgt: 160, BU-4</t>
  </si>
  <si>
    <t>KONTOOR, SS22,  #2018224, (Executive) Qty: 15500, FAB: 2-Jun, DEL: 10-Jul, Peak Tgt: 160, BU-4 ()</t>
  </si>
  <si>
    <t>KONTOOR, Fall21,  #ZFC9BI2, (Dark) Qty: 7000, FAB: OK, DEL: 19-Jun, Peak Tgt: 190, BU-3</t>
  </si>
  <si>
    <t>KONTOOR, Fall21,  #ZFC9BI4, (Mid) Qty: 5000, FAB: OK, DEL: 19-Jun, Peak Tgt: 190, BU-3</t>
  </si>
  <si>
    <t>KONTOOR, Fall21,  #LMB100723-CN, (MB90) Qty: 1985, FAB: OK, DEL: 4-Jul, Peak Tgt: 160, BU-4</t>
  </si>
  <si>
    <t>KONTOOR, Fall21,  #LMB100706-CN, (MB96) Qty: 3135, FAB: TBA, DEL: 6-Jun, Peak Tgt: 160, BU-4</t>
  </si>
  <si>
    <t>KONTOOR, Fall21,  #LMB100743-CN, (MB94) Qty: 4477, FAB: OK, DEL: 4-Jul, Peak Tgt: 170, BU-3</t>
  </si>
  <si>
    <t>KONTOOR, Fall21,  #3522095, (Seattle) Qty: 16000, FAB: OK, DEL: 26-Jun, Peak Tgt: 200, BU-3 (LFDM0003)</t>
  </si>
  <si>
    <t>KONTOOR, Fall21,  #3087135, (Seattle) Qty: 4000, FAB: OK, DEL: 26-Jun, Peak Tgt: 200, BU-3 (LFDW0003)</t>
  </si>
  <si>
    <t>KONTOOR, Fall21,  #3522077, (Nightshade) Qty: 12000, FAB: OK, DEL: 26-Jun, Peak Tgt: 200, BU-3 (LFDM0003)</t>
  </si>
  <si>
    <t>KONTOOR, SS22,  #3522077, (Nightshade) Qty: 5500, FAB: OK, DEL: 10-Jul, Peak Tgt: 200, BU-3 (LFDM0003)</t>
  </si>
  <si>
    <t>KONTOOR, SS22,  #3522026, (Anchor) Qty: 5000, FAB: OK, DEL: 10-Jul, Peak Tgt: 200, BU-3 (LFDM0003)</t>
  </si>
  <si>
    <t>KONTOOR, SS22,  #3087126, (Anchor) Qty: 3000, FAB: OK, DEL: 10-Jul, Peak Tgt: 200, BU-3 (LFDW0003)</t>
  </si>
  <si>
    <t>KONTOOR, SS22,  #3522095, (Seattle) Qty: 5500, FAB: OK, DEL: 10-Jul, Peak Tgt: 200, BU-3 (LFDM0003)</t>
  </si>
  <si>
    <t>KONTOOR, SS22,  #3408901, (BLACK) Qty: 4900, FAB: OK, DEL: 10-Jul, Peak Tgt: 180, BU-3 (7743MS)</t>
  </si>
  <si>
    <t>KONTOOR, SS22,  #3408964, (ROYALCHAKR) Qty: 3500, FAB: OK, DEL: 10-Jul, Peak Tgt: 180, BU-3 (7743MS)</t>
  </si>
  <si>
    <t>KONTOOR, SS22,  #3408946, (MAJESTIC) Qty: 3500, FAB: OK, DEL: 10-Jul, Peak Tgt: 180, BU-3 (7743MS)</t>
  </si>
  <si>
    <t>KONTOOR, SS22,  #3408928, (RENEGADE) Qty: 3500, FAB: OK, DEL: 10-Jul, Peak Tgt: 180, BU-3 (7743MS)</t>
  </si>
  <si>
    <t>KONTOOR, SS22,  #3087528, (RENEGADE) Qty: 3000, FAB: OK, DEL: 10-Jul, Peak Tgt: 180, BU-3 (7743WM)</t>
  </si>
  <si>
    <t>KONTOOR, Fall21,  #2161543, (Grey) Qty: 5600, FAB: OK, DEL: 26-Jun, Peak Tgt: 160, BU-4</t>
  </si>
  <si>
    <t>KONTOOR, Fall21,  #2162030, (Distance) Qty: 3000, FAB: OK, DEL: 26-Jun, Peak Tgt: 160, BU-4</t>
  </si>
  <si>
    <t>KONTOOR, Fall21,  #LMB100705-CN, (MB48) Qty: 12894, FAB: TBA, DEL: 1-Aug/8894, 15-Aug/4000, Peak Tgt: 170, BU-3</t>
  </si>
  <si>
    <t>KONTOOR, Fall21,  #LMB100741-CN, (MB93) Qty: 7408, FAB: OK, DEL: 4-Jul/3991, 15-Aug/3417, Peak Tgt: 170, BU-3</t>
  </si>
  <si>
    <t>KONTOOR, Fall21,  #2018312, (Majestic) Qty: 5096, FAB: TBA, DEL: 19-Jun, Peak Tgt: 160, BU-4</t>
  </si>
  <si>
    <t>T-USA, C3'21,  #2WE34 (BB), (MH TABLE#2) Qty: 66685, FAB: 11-Feb, DEL: 15-Apr/16096, Peak Tgt: 210 (?), BU-3 (Plan-9145)</t>
  </si>
  <si>
    <t>T-USA, C3'21,  #4WPWK  (BB), (Ranch) Qty: 134000, FAB: TBA, DEL: 6-May to 3-Jun/52000, Peak Tgt: 210, BU-3 (Bal-11645)</t>
  </si>
  <si>
    <t>T-USA, C3'21,  #EP559 (BB), (Molton) Qty: 100000, FAB: 9-Feb, DEL: 15-Apr/20000, Peak Tgt: 210, BU-3 (Bal-23218)</t>
  </si>
  <si>
    <t>T-USA, C3'21,  #ZP8XG (Mens), (SAZON) Qty: 75451, FAB: 17-Mar, DEL: 5-May/46507, Peak Tgt: 210, BU-3 (Bal-4600)</t>
  </si>
  <si>
    <t>TA-354</t>
  </si>
  <si>
    <t>TA268</t>
  </si>
  <si>
    <t>T-AUS, SUM22-Q1,  #186058PN, (BLU/BLK) Qty: 995, FAB: 15-Apr, DEL: 8-Jun/495, 13-Jul/500, Peak Tgt: 180, BU-3 (AFFD 22-Jun Q1+Q2)</t>
  </si>
  <si>
    <t>T-AUS, SUM22-Q1,  #217354, (Khaki) Qty: 5302, FAB: TBA, DEL: 13-Jun/2497, 18-Jul/1001, Peak Tgt: 200, BU-3 (AFFD 27-Jun) (Plan-3498)</t>
  </si>
  <si>
    <t>KONTOOR, SS22,  #2015042, (Maddox) Qty: 8500, FAB: 10-Jun, DEL: 10-Jul, Peak Tgt: 160, BU-4 ()</t>
  </si>
  <si>
    <t>KONTOOR, SS22,  #2015042, (Maddox) Qty: 4000, FAB: 17-Jun, DEL: 10-Jul, Peak Tgt: 160, BU-4 ()</t>
  </si>
  <si>
    <t>T-AUS, SUM22-Q2,  #213928, (L. WASH) Qty: 3000, FAB: 23-May, Accs: 31-May, DEL: 29-Jun, Peak Tgt: TBA, BU-TBA (AFD-7/13)</t>
  </si>
  <si>
    <t>T-AUS, SUM22-Q2,  #231663, (L. WASH) Qty: 1995, FAB: OK, Accs: 26-May, DEL: 22-Jun, Peak Tgt: TBA, BU-TBA ()</t>
  </si>
  <si>
    <t>T-AUS, SUM22-Q2,  #231662, (M. WASH) Qty: 2000, FAB: OK, Accs: 26-May, DEL: 12-Jun, Peak Tgt: TBA, BU-TBA ()</t>
  </si>
  <si>
    <t>T-AUS, SUM22-Q1,  #224534, (Blue) Qty: 4993, FAB: 24-Mar, DEL: 25-Jul, Peak Tgt: TBA, BU-3, (Plan-1076)</t>
  </si>
  <si>
    <t>T-AUS, SUM22-Q1,  #224549, (TBA) Qty: 4200, FAB: OK, Accs: 31-May, DEL: 4-Jul/2600, 19-Aug/800, Peak Tgt: 180, BU-3 (AFFD 18-Jul)</t>
  </si>
  <si>
    <t>T-AUS, SUM22-Q1,  #224652, (L BLUE) Qty: 3000, FAB: OK, Accs: 31-May, DEL: 4-Jul/2600, 1-Aug/400, Peak Tgt: 180, BU-3 (AFFD 18-Jul)</t>
  </si>
  <si>
    <t>T-AUS, SUM22-Q1,  #224544, (Black) Qty: 7404, FAB: 25-Apr, DEL: 2-May/4994, 24-Jun/800, Peak Tgt: 180, BU-3 (Plan-3664)</t>
  </si>
  <si>
    <t>T-USA, C4'21,  #2WE34, (MH TABLE#2) Qty: 16728, FAB: 4-Jul/8.5K, 21-Jul/5K, DEL: 11-Jul to 1-Aug, Peak Tgt: 220, BU-3 (Plan-5736)</t>
  </si>
  <si>
    <t>T-USA, C4'21,  #2WE34, (MH TABLE#1) Qty: 26304, FAB: 26-Jun/11K, 11-Jul/10K, DEL: 11-Jul to 15-Aug, Peak Tgt: 220, BU-3 (Plan-8856)</t>
  </si>
  <si>
    <t>KONTOOR, SS22,  #2105042, (MADDOX) Qty: 1100, FAB: TBA, DEL: 11-Sep, Peak Tgt: 160, BU-4 ()</t>
  </si>
  <si>
    <t>KONTOOR, SS22,  #2015042, (MADDOX) Qty: 11700, FAB: TBA, DEL: 11-Sep, Peak Tgt: 160, BU-4 ()</t>
  </si>
  <si>
    <t>KONTOOR, SS22,  #2162030, (Distance) Qty: 43000, FAB: TBA, DEL: 21-Aug, Peak Tgt: 160, BU-4 ()</t>
  </si>
  <si>
    <t>KONTOOR, SS22,  #2161543, (GREY) Qty: 6000, FAB: TBA, DEL: 18-Sep, Peak Tgt: 160, BU-4 ()</t>
  </si>
  <si>
    <t>1055</t>
  </si>
  <si>
    <t>GU, FW21,  #F050A, (#64,#67) Qty: 22350, FAB: OK, DEL: 3-Jul, Peak Tgt: 270, BU-3</t>
  </si>
  <si>
    <t>GU, FW21,  #F050B, (#08) Qty: 20100, FAB: 10-May, DEL: 3-Jul, Peak Tgt: 270, BU-3</t>
  </si>
  <si>
    <t>GU, FW21,  #F050A, (#64,#67) Qty: 12000, FAB: OK, DEL: 3-Jul, Peak Tgt: 270, BU-3</t>
  </si>
  <si>
    <t>Pilot Line</t>
  </si>
  <si>
    <t>GU, FW21,  #F001A, (TBA) Qty: 115000, FAB: TBA, DEL: 5-Sep/15000, Peak Tgt: 240, BU-3 (Cancel on 6/2)</t>
  </si>
  <si>
    <t>GU, FW21,  #F007A, (TBA) Qty: 46360, FAB: TBA, DEL: 30-Aug/20000, Peak Tgt: 240 (?), BU-3 (Cancel on 6/2)</t>
  </si>
  <si>
    <t>GU, FW21,  #F001A, (TBA) Qty: 115000, FAB: TBA, DEL: 1-Aug/10000, 15-Aug/15000, Peak Tgt: 240, BU-3</t>
  </si>
  <si>
    <t>GU, FW21,  #F001A, (TBA) Qty: 115000, FAB: TBA, DEL: 22-Aug/10000, Peak Tgt: 240, BU-3 (Cancel in 6/3 Booking)</t>
  </si>
  <si>
    <t>GU, FW21,  #F050B, (#08) Qty: 25000, FAB: TBA, DEL:10-Jul, Peak Tgt: 270, BU-3 (7/11-15000, 7/15-10000</t>
  </si>
  <si>
    <t>GU, FW21,  #F001A, (TBA) Qty: 115000, FAB: OK, DEL: 3-Jul/35000, Peak Tgt: 240, BU-3</t>
  </si>
  <si>
    <t>T-AUS, SUM22-Q1,  #224819, (D. WASH) Qty: 1957, FAB: FAB: OK, Accs: 26-May, DEL: 22-Jun, Peak Tgt: TBA, BU-TBA (AFD-6/22)</t>
  </si>
  <si>
    <t>T-AUS, SUM22-Q2,  #224535, (Midwash) Qty: 2397, FAB: TBA, DEL: 22-Aug/1200, Peak Tgt: 180, BU-3 (AFD-8/31)</t>
  </si>
  <si>
    <t>KONTOOR, SS22,  #352202S, (Anchor) Qty: 3000, FAB: TBA, DEL: 7-Aug, Peak Tgt: 200, BU-3 (LFDP0003) (Cancelled on 5/23)</t>
  </si>
  <si>
    <t>T-AUS, SUM22-Q2,  #211244, (LIGHT WASH) Qty: 3000, FAB: TBA, DEL: 10-Aug, Peak Tgt: TBA, BU-TBA (AFD-8/24)</t>
  </si>
  <si>
    <t>T-AUS, SUM22-Q2,  #224652, (L BLUE) Qty: 1188, FAB: TBA, DEL: 7-Sep/396, Peak Tgt: 180, BU-3 (AFD-9/14)</t>
  </si>
  <si>
    <t>T-AUS, SUM22-Q2,  #224572, (BLACK) Qty: 1497, FAB: TBA, DEL: 7-Sep/499, Peak Tgt: 180, BU-3 (AFD-9/14)</t>
  </si>
  <si>
    <t>T-AUS, SUM22-Q2,  #226663, (BLACK) Qty: 3700, FAB: TBA, DEL: 14-Sep/2600, 26-Oct/1100, Peak Tgt: 180, BU-3 (AFD-9/28)</t>
  </si>
  <si>
    <t>T-AUS, SUM22-Q2,  #226664, (BLACK) Qty: 3700, FAB: TBA, DEL: 14-Sep/2600, 26-Oct/1100, Peak Tgt: 180, BU-3 (AFD-9/28)</t>
  </si>
  <si>
    <t>GU, FW21,  #F007A, (TBA) Qty: 46360, FAB: TBA, DEL: 29-Aug/10000, Peak Tgt: 240 (?), BU-3 (Drop by Ozowa mail on 6/4)</t>
  </si>
  <si>
    <t>GU, FW21,  #F050A, (TBA) Qty: 174200, FAB: 23-Jan, DEL: 29-Aug/22000, Peak Tgt: 270, BU-3</t>
  </si>
  <si>
    <t>GU, SS22-Pro,  #H021A, (TBA) Qty: 8000, FAB: TBA, DEL: 7-Oct, Peak Tgt: 270?, BU-3 (Ph1)</t>
  </si>
  <si>
    <t>PRODUCTION PLAN FLOW CHART FOR THE MONTH OF: Apr'22</t>
  </si>
  <si>
    <t>PRODUCTION PLAN FLOW CHART FOR THE MONTH OF: May'22</t>
  </si>
  <si>
    <t>KONTOOR, SS22,  #2162030, (DISTANCE) Qty: 6000, FAB: TBA, DEL: 18-Sep, Peak Tgt: 160, BU-4 ()</t>
  </si>
  <si>
    <t>KONTOOR, SS22,  #2161543, (GREY) Qty: 8000, FAB: TBA, DEL: 3-Jul, Peak Tgt: 160, BU-4</t>
  </si>
  <si>
    <t>KONTOOR, SS22,  #2015042, (MADDOX) Qty: 6750, FAB: 10-Jul, DEL: 21-Aug, Peak Tgt: 160, BU-4 ()</t>
  </si>
  <si>
    <t>KONTOOR, SS22,  #2015275, (Zander) Qty: 3000, FAB: OK, DEL: 21-Aug, Peak Tgt: 160, BU-4 ()</t>
  </si>
  <si>
    <t>KONTOOR, SS22,  #2105042, (Maddox) Qty: 1300, FAB: 19-Jul, DEL: 21-Aug, Peak Tgt: 160, BU-4 ()</t>
  </si>
  <si>
    <t>GU, FW21,  #F001A, (TBA) Qty: 115000, FAB: TBA, DEL: 12-Sep/10000, Peak Tgt: 240, BU-3 (Dropped on 6/18)</t>
  </si>
  <si>
    <t>GU, FW21,  #F050A, (TBA) Qty: 174200, FAB: 23-Jan, DEL: 12-Sep/10000, Peak Tgt: 270, BU-3 (Dropped on 6/18)</t>
  </si>
  <si>
    <t>T-AUS, SUM22-Q2,  #211252, (Mid Blue) Qty: 5796, FAB: 2-Jul, DEL: 15-Aug/4800 , 12-Sep/996, Peak Tgt: 180, BU-3 (AFD-8/24)</t>
  </si>
  <si>
    <t>T-AUS, SUM22-Q2,  #211253, (INDIGO) Qty: 5505, FAB: 2-Jul, DEL: 15-Aug/4005 , 12-Sep/1500, Peak Tgt: 180, BU-3 (AFD-8/24)</t>
  </si>
  <si>
    <t>T-AUS, SUM22-Q2,  #224544, (Black) Qty: 3220, FAB: OK, Del: 17-Aug/810, 21-Sep/800, Peak Tgt: 180, BU-3 (AFD-8/24)</t>
  </si>
  <si>
    <t>T-AUS, SUM22-Q1,  #224534, (Blue) Qty: 2596, FAB: OK, Accs: 7-Jul, DEL: 24-Aug/1298, Peak Tgt: TBA, BU-3, (AFD-8/31)</t>
  </si>
  <si>
    <t>T-AUS, SUM22-Q2,  #224533, (Midwash) Qty: 3005, FAB: OK, DEL: 24-Aug/1200, Peak Tgt: 180, BU-3 (AFD-8/31)</t>
  </si>
  <si>
    <t>T-AUS, SUM22-Q1,  #199590 /236332, (Ecru) Qty: 4005, FAB: 9-Jul, DEL: 6-Jul/2505, Peak Tgt: 180, BU-3 (AFD-7/20)</t>
  </si>
  <si>
    <t>T-AUS, SUM22-Q2,  #227089, (INDIGO) Qty: 3000, FAB: 24-May, DEL: 10-Aug/996, Peak Tgt: 180, BU-3 (AFD-8/17)</t>
  </si>
  <si>
    <t>T-AUS, SUM22-Q1,  #193242, (W. BLUE) Qty: 1518, FAB: 20-May, DEL: 10-Aug/506, Peak Tgt: 180, BU-3 (AFD-8/17)</t>
  </si>
  <si>
    <t>T-AUS, SUM22-Q1,  #208711, (INDIGO) Qty: 1008, FAB: OK, DEL: 10-Aug/504, Peak Tgt: 180, BU-3 (AFD-8/17)</t>
  </si>
  <si>
    <t>T-AUS, SUM22-Q1,  #227074, (INDIGO) Qty: 504, FAB: OK, DEL: 10-Aug/504, Peak Tgt: 180, BU-3 (AFD-8/17)</t>
  </si>
  <si>
    <t>T-AUS, SUM22-Q1,  #189207, (BLUE) Qty: 2112, FAB: OK, DEL: 10-Aug/500, Peak Tgt: 180, BU-3 (AFD-8/17)</t>
  </si>
  <si>
    <t>T-AUS, SUM22-Q2,  #208700N, (INDIGO) Qty: 2404, FAB: OK, DEL: 10-Aug/800, Peak Tgt: 180, BU-3 (AFD-8/17)</t>
  </si>
  <si>
    <t>T-AUS, SUM22-Q1,  #227082, (INDIGO) Qty: 1000, FAB: OK, DEL: 10-Aug/500, Peak Tgt: 180, BU-3 (AFD-8/17)</t>
  </si>
  <si>
    <t>KONTOOR, SS22,  #2015475, (Zander) Qty: 15600, FAB: 29-Jun, DEL: 21-Aug, Peak Tgt: 160, BU-4 ()</t>
  </si>
  <si>
    <t>KONTOOR, SS22,  #2162030, (Distance) Qty: 43000, FAB: 10-Jul, DEL: 21-Aug, Peak Tgt: 160, BU-4 ()</t>
  </si>
  <si>
    <t>GU, FW21,  #F008A, (TBA) Qty: 30000, FAB: TBA, DEL: 5-Sep, Peak Tgt: 270, BU-3</t>
  </si>
  <si>
    <t>GU, FW21,  #F007A, (TBA) Qty:9000, FAB: TBA, DEL: 12-Sep/9000 (Reduced on 6/4)</t>
  </si>
  <si>
    <t>PRODUCTION PLAN FLOW CHART FOR THE MONTH OF: Jul'22</t>
  </si>
  <si>
    <t>PRODUCTION PLAN FLOW CHART FOR THE MONTH OF: Jun'22</t>
  </si>
  <si>
    <t>GU, FW21,  #F048B, Qty: 275000, FAB: OK, DEL: 19-Jun, Peak Tgt: 140, BU-4</t>
  </si>
  <si>
    <t>GU, SS21,  #N082B, Qty: 18036, FAB: 27-Feb, DEL: 22-Mar, Peak Tgt: 180, BU-4</t>
  </si>
  <si>
    <t>GU, SS22-Pro,  #H102A, (TBA) Qty: 25000, FAB: TBA, DEL: 2-Feb, Peak Tgt: 215?, BU-3 (TBA)</t>
  </si>
  <si>
    <t>KONTOOR, SS22,  #103087101, (Black) Qty: 3000, FAB: 13-Sep, DEL: 16-Oct, Peak Tgt: 180, BU-3 ()</t>
  </si>
  <si>
    <t>KONTOOR, SS22,  #103087135, (Seattle) Qty: 5300, FAB: 20-Sep, DEL: 16-Oct, Peak Tgt: 180, BU-3 ()</t>
  </si>
  <si>
    <t>KONTOOR, SS22,  #103087501, (BLACK) Qty: 2501, FAB: OK, DEL: 23-Oct, Peak Tgt: 180, BU-3 ()</t>
  </si>
  <si>
    <t>KONTOOR, SS22,  #103408929, (CASCADE) Qty: 8500, FAB: 12-Sep?, DEL: 30-Oct, Peak Tgt: 180, BU-3 ()</t>
  </si>
  <si>
    <t>KONTOOR, SS22,  #103408946, (MAJESTIC) Qty: 5100, FAB: 12-Sep?, DEL: 30-Oct, Peak Tgt: 180, BU-3 ()</t>
  </si>
  <si>
    <t>No Benapole</t>
  </si>
  <si>
    <t>KONTOOR, SS22,  #2015042, (Maddox) Qty: 4300, FAB: 10-Jul, DEL: 7-Aug, Peak Tgt: 160, BU-4 (CRD 9/24 changed on 5/25)</t>
  </si>
  <si>
    <t>T-AUS, SUM22-Q2,  #232514, (MIDWASH) Qty: 4196, FAB: OK, DEL: 17-Aug/2596, 26-Sep/800, Peak Tgt: 180, BU-3 (AFD-8/31)</t>
  </si>
  <si>
    <t>T-AUS, SUM22-Q2,  #232515, (MIDWASH) Qty: 4196, FAB: OK, DEL: 17-Aug/2596, 26-Sep/800, Peak Tgt: 180, BU-3 (AFD-8/31)</t>
  </si>
  <si>
    <t>T-AUS, SUM22-Q2,  #191578, (MID WASh) Qty: 2420, FAB: OK, DEL: 24-Aug/610, 21-Sep/600, Peak Tgt: 180, BU-3 (AFD-8/31) (Plan-610)</t>
  </si>
  <si>
    <t>T-AUS, SUM22-Q2,  #191550, (LIGHT WASH) Qty: 2420, FAB: OK, DEL: 24-Aug/610, 21-Sep/600, Peak Tgt: 180, BU-3 (AFD-8/31) (Plan-610)</t>
  </si>
  <si>
    <t>T-AUS, SUM22-Q2,  #184731, (DARK WASH) Qty: 3160, FAB: OK, DEL: 24-Aug/780, 21-Sep/800, Peak Tgt: 180, BU-3 (AFD-8/31) (Plan-780)</t>
  </si>
  <si>
    <t>T-AUS, SUM22-Q2,  #211244, (LIGHT WASH) Qty: 3000, FAB: OK, Accs: 12-Jul, DEL: 10-Aug, Peak Tgt: TBA, BU-TBA (AFD-8/24)</t>
  </si>
  <si>
    <t>T-AUS, SUM22-Q2,  #212051B, (LIGHT WASH) Qty: 3000, FAB: OK, DEL: 10-Aug, Peak Tgt: TBA, BU-TBA (AFD-8/24)</t>
  </si>
  <si>
    <t>T-AUS, SUM22-Q2,  #201146B, (LIGHT BLUE) Qty: 3214, FAB: OK, DEL: 17-Aug/804, 31-Aug/803, 14-Sep/804, Peak Tgt: 180, BU-3 (AFD-8/24) (Plan-804)</t>
  </si>
  <si>
    <t>T-AUS, SUM22-Q1,  #217354, (Khaki) Qty: 5300, FAB: OK, DEL: 17-Aug/1802, Peak Tgt: 200, BU-3 (AFFD 8/24) (Plan-1802)</t>
  </si>
  <si>
    <t>T-AUS, SUM22-Q2,  #201340A, (BLACK) Qty: 2204, FAB: OK, DEL: 24-Aug/1102, 31-Aug/803, 28-Sep/1102, Peak Tgt: 180, BU-3 (AFD-8/31)</t>
  </si>
  <si>
    <t>GU, FW21,  #F008A, TBA) Qty: 18000, FAB: TBA, DEL:8-Aug, Peak Tgt: 270, BU-3 (7/11-15000, 7/15-10000</t>
  </si>
  <si>
    <t>KONTOOR, SS22,  #2090245, (Clay) Qty: 400, FAB: OK, DEL: 21-Aug, Peak Tgt: TBA, BU-TBA ()</t>
  </si>
  <si>
    <t>KONTOOR, SS22,  #2090103, (Desert) Qty: 1000, FAB: OK, DEL: 21-Aug, Peak Tgt: TBA, BU-TBA ()</t>
  </si>
  <si>
    <t>T-AUS, SUM22-Q2,  #233852, (LIGHT BLUE) Qty: 6000, FAB: 19-Jul, DEL: 10-Aug/2400, Peak Tgt: 180, BU-3 (AFD-8/24)</t>
  </si>
  <si>
    <t>T-AUS, SUM22-Q2,  #229005, (INDIGO) Qty: 4200, FAB: OK, Accs: 12-Jul, DEL: 24-Aug/2496, 14-Sep/1200, Peak Tgt: 180, BU-3 (AFD-9/7) (Plan-2500)</t>
  </si>
  <si>
    <t>T-AUS, SUM22-Q2,  #197594A, (STAY BLACK) Qty: 3660, FAB: TBA, DEL: 24-Aug/960+260, 21-Sep/960, Peak Tgt: 180, BU-3 (AFD-8/31) (Plan-1220)</t>
  </si>
  <si>
    <t>T-AUS, SUM22-Q2,  #189205N, (BLUE/BLACK) Qty: 2434, FAB: 17-Jul, DEL: 24-Aug/812, 14-Sep/812, Peak Tgt: 180, BU-3 (AFD-9/7) (Plan-800)</t>
  </si>
  <si>
    <t>T-AUS, SUM22-Q2,  #228288A, (BLACK) Qty: 5206, FAB:  10-Aug, Accs: 10-Aug, DEL: 7-Sep/3206, 5-Oct/1000, Peak Tgt: TBA, BU-TBA (AFD-9/21)</t>
  </si>
  <si>
    <t>T-AUS, SUM22-Q2,  #189211N, (BLUE/BLACK) Qty: 2601, FAB: 17-Jul, DEL: 24-Aug/1001, 14-Sep/800, Peak Tgt: 180, BU-3 (AFD-9/7) (Plan-1000)</t>
  </si>
  <si>
    <t>T-AUS, SUM22-Q2,  #189204, (DARK BLUE) Qty: 2629, FAB: 12-Jul, DEL: 24-Aug/1005, 14-Sep/812, Peak Tgt: 180, BU-3 (AFD-9/7) (Plan-1000)</t>
  </si>
  <si>
    <t>T-AUS, SUM22-Q2,  #193238, (WASHED BLUE) Qty: 2816, FAB: 12-Jul, DEL: 24-Aug/1008, 14-Sep/1008, Peak Tgt: 180, BU-3 (AFD-9/7) (Plan-1000)</t>
  </si>
  <si>
    <t>KONTOOR, SS22,  #2015042, (Maddox) Qty: 11800, FAB: 13-Jul, DEL: 21-Aug, Peak Tgt: 160, BU-4 ()</t>
  </si>
  <si>
    <t>Line 9.A</t>
  </si>
  <si>
    <t>Line 9.B</t>
  </si>
  <si>
    <t>Line 10.A</t>
  </si>
  <si>
    <t>Line 10.B</t>
  </si>
  <si>
    <t>Line 11</t>
  </si>
  <si>
    <t>Line 12</t>
  </si>
  <si>
    <t>KONTOOR, SS22,  #102161543, (Grey) Qty: 31315, FAB: 20-Aug, DEL: 9-Oct, Peak Tgt: 160, BU-4 ()</t>
  </si>
  <si>
    <t>KONTOOR, SS22,  #103162043, (Lead Grey) Qty: 3000, FAB: 20-Aug, DEL: 9-Oct, Peak Tgt: 160, BU-4 ()</t>
  </si>
  <si>
    <t>KONTOOR, SS22,  #3522001 / L34BTSFP, (Black) Qty: 3000, FAB: 15-Sep, DEL: 27-Nov, Peak Tgt: 200, BU-3 ()</t>
  </si>
  <si>
    <t>T-USA, C4'21,  #ZP8XG, (SAZON) Qty: 45768, FAB: 12-Jun, DEL: 25-Sep/3936, Peak Tgt: 210, BU-3 (Plan-14682)</t>
  </si>
  <si>
    <t>GU, FW21,  #F007A, (TBA) Qty: 11000, FAB: TBA, DEL: 7-Oct, Peak Tgt: 240 (?), BU-3</t>
  </si>
  <si>
    <t>KONTOOR, SS22,  #1009MWZAH, (MEDIUM BLUE) Qty: 15000, FAB: 25-Aug, DEL: 9-Oct, Peak Tgt: 190, BU-3 ()</t>
  </si>
  <si>
    <t>KONTOOR, SS22,  #1009MWZAH, (MEDIUM BLUE) Qty: 14000, FAB: 25-Aug, DEL: 16-Oct, Peak Tgt: 190, BU-3 ()</t>
  </si>
  <si>
    <t>KONTOOR, SS22,  #103522026, (Anchor) Qty: 3000, FAB: 5-Sep?, DEL: 23-Oct, Peak Tgt: 190, BU-3 ()</t>
  </si>
  <si>
    <t>KONTOOR, SS22,  #103522077, (Nightshade) Qty: 3000, FAB: 5-Sep?, DEL: 23-Oct, Peak Tgt: 190, BU-3 ()</t>
  </si>
  <si>
    <t>T-AUS, Win22 Q3-MN,  #236188, (Indigo) Qty: 3500, FAB: , DEL: 12/19-2500, 1/23-1000, Peak Tgt: 180, BU-3 (AID+14)</t>
  </si>
  <si>
    <t>T-AUS, Win22 Q4-MN,  #189205N, (BLUE/BLACK) Qty: 3200, FAB: , DEL: 2/20-1200, 3/20-1000, 4/17-1000, Peak Tgt: 180, BU-3 (AID+7)</t>
  </si>
  <si>
    <t>T-AUS, Win22 Q4-MN,  #189204, (DARK BLUE) Qty: 4000, FAB: , DEL: 2/20-1500, 3/20-1500, 4/17-1000, Peak Tgt: 180, BU-3 (AID+7)</t>
  </si>
  <si>
    <t>T-AUS, Win22 Q4-MN,  #236187, (DARK INDIGO) Qty: 2300, FAB: , DEL: 2/20-1000, 3/20-800, 4/17-500, Peak Tgt: 180, BU-3 (AID+7)</t>
  </si>
  <si>
    <t>T-AUS, Win22 Q4-MN,  #189211N, (BLUE/BLACK) Qty: 3000, FAB: , DEL: 2/20-1500, 3/20-1000, 4/17-500, Peak Tgt: 180, BU-3 (AID+7)</t>
  </si>
  <si>
    <t>T-AUS, Win22 Q4-MN,  #193242, (WASHED BLUE) Qty: 2500, FAB: , DEL: 2/20-1000, 3/20-1000, 4/17-500, Peak Tgt: 180, BU-3 (AID+7)</t>
  </si>
  <si>
    <t>T-AUS, Win22 Q4-MN,  #236189, (Blue/Black) Qty: 3000, FAB: , DEL: 2/20-1500, 3/20-1000, 4/17-500, Peak Tgt: 180, BU-3 (AID+7)</t>
  </si>
  <si>
    <t>T-AUS, Win22 Q4-MN,  #189207, (Washed Blue) Qty: 5500, FAB: , DEL: 2/20-2000, 3/20-2000, 4/17-1500, Peak Tgt: 180, BU-3 (AID+7)</t>
  </si>
  <si>
    <t>T-AUS, Win22 Q4-MN,  #236188, (Indigo) Qty: 3000, FAB: , DEL: 2/20-1500, 3/20-1000, 4/17-500, Peak Tgt: 180, BU-3 (AID+7)</t>
  </si>
  <si>
    <t>T-AUS, Win22 Q4-MN,  #236178, (Indigo) Qty: 1800, FAB: , DEL: 2/20-800, 3/20-500, 4/17-500, Peak Tgt: 180, BU-3 (AID+7)</t>
  </si>
  <si>
    <t>T-AUS, Win22 Q4-LD,  #197594B, (STAY BLACK) Qty: 4500, FAB: , DEL: 2/22-1500, 3/22-1500, 4/19-1500, Peak Tgt: 180, BU-3 (AID+7)</t>
  </si>
  <si>
    <t>T-AUS, Win22 Q4-LD,  #184731, (DARK WASH) Qty: 6500, FAB: , DEL: 2/22-2000, 3/29-2500, 4/26-2000, Peak Tgt: 180, BU-3 (AID+7)</t>
  </si>
  <si>
    <t>T-AUS, Win22 Q4-LD,  #224533, (LIGHT WASH) Qty: 5800, FAB: , DEL: 2/15-1450, 3/8-1450, 3/29-1450, 4/19-1450, Peak Tgt: 180, BU-3 (AID+7)</t>
  </si>
  <si>
    <t>T-AUS, Win22 Q4-LD,  #224535, (LIGHT WASH) Qty: 4200, FAB: , DEL: 2/22-1400, 3/22-1400, 4/19-1400, Peak Tgt: 180, BU-3 (AID+7)</t>
  </si>
  <si>
    <t>T-AUS, Win22 Q4-LD,  #234986, (RINSE WASH) Qty: 1800, FAB: , DEL: 2/22-600, 3/8-600, 3/29-600, Peak Tgt: 180, BU-3 (AID+7)</t>
  </si>
  <si>
    <t>T-AUS, Win22 Q4-LD,  #193485, (MIDWASH) Qty: 2400, FAB: , DEL: 2/15-800, 3/8-800, 3/29-800, Peak Tgt: 180, BU-3 (AID+7)</t>
  </si>
  <si>
    <t>T-AUS, Win22 Q4-LD,  #234988, ( LIGHT WASH) Qty: 4000, FAB: , DEL: 2/22-2000, 3/22-1000, 4/19-1000, Peak Tgt: 180, BU-3 (AID+7)</t>
  </si>
  <si>
    <t>T-AUS, Win22 Q4-LD,  #234989, (MID WASH) Qty: 3500, FAB: , DEL: 2/22-1500, 3/22-1000, 4/19-1000, Peak Tgt: 180, BU-3 (AID+7)</t>
  </si>
  <si>
    <t>T-AUS, Win22 Q4-LD,  #209026A, (BLUE/BLACK) Qty: 5600, FAB: , DEL: 2/15-1400, 3/8-1400, 3/29-1400, 4/19-1400, Peak Tgt: 180, BU-3 (AID+7)</t>
  </si>
  <si>
    <t>T-AUS, Win22 Q4-LD,  #209026B, (INDIGO) Qty: 3900, FAB: , DEL: 2/22-1300, 3/22-1300, 4/19-1300, Peak Tgt: 180, BU-3 (AID+7)</t>
  </si>
  <si>
    <t>T-AUS, Win22 Q4-LD,  #197624, (LIGHT WASH) Qty: 3200, FAB: , DEL: 3/15-1600, 4/12-1600, Peak Tgt: 180, BU-3 (AID+7)</t>
  </si>
  <si>
    <t>T-AUS, Win22 Q4-LD,  #213928, (LIGHT WASH) Qty: 6000, FAB: , DEL: 2/22-2000, 3/22-2000, 4/19-2000, Peak Tgt: 180, BU-3 (AID+7)</t>
  </si>
  <si>
    <t>T-AUS, Win22 Q4-LD,  #232514, (Midwash) Qty: 4400, FAB: , DEL: 2/15-1100, 3/8-1100, 3/29-1100, 4/19-1100, Peak Tgt: 180, BU-3 (AID+7)</t>
  </si>
  <si>
    <t>T-AUS, Win22 Q4-LD,  #232515, (Midwash) Qty: 5400, FAB: , DEL: 2/22-1800, 3/22-1800, 4/19-1800, Peak Tgt: 180, BU-3 (AID+7)</t>
  </si>
  <si>
    <t>T-AUS, Win22 Q4-LD,  #197594A, (STAY BLACK) Qty: 5200, FAB: , DEL: 2/15-1300, 3/8-1300, 3/29-1300, 4/19-1300, Peak Tgt: 180, BU-3 (AID+7)</t>
  </si>
  <si>
    <t>AC</t>
  </si>
  <si>
    <t>BB</t>
  </si>
  <si>
    <t>Mens-J</t>
  </si>
  <si>
    <t>BB-J</t>
  </si>
  <si>
    <t>GU, SS22-Pro,  #H066A, (TBA) Qty: 10000, FAB: TBA, DEL: 15-Dec, Peak Tgt: 150?, BU-3 (Ph1)</t>
  </si>
  <si>
    <t>GU, SS22-Pro,  #H062A, (TBA) Qty: 25900, FAB: TBA, DEL: 15-Dec, Peak Tgt: 200?, BU-3 (Ph1)</t>
  </si>
  <si>
    <t>GU, SS22-Pro,  #H052A, (TBA) Qty: 26000, FAB: TBA, DEL: 15-Dec, Peak Tgt: 190/115, BU-4 (Ph1)</t>
  </si>
  <si>
    <t>GU, FW21,  #F048B, Qty: 275000, FAB: OK, DEL: 19-Jun, Peak Tgt: 140, BU-2</t>
  </si>
  <si>
    <t>T-AUS, SUM22-Q2,  #213268, (STAY BLACK) Qty: 8401, FAB: 23-Jul, DEL: 17-Aug/2002, 14-Sep/2400, 21-Sep/2002, 5-Oct/1997, Peak Tgt: 180, BU-3 (AFD-8/31) (Plan-4402)</t>
  </si>
  <si>
    <t>GU, FW21,  #F007A, (TBA) Qty: 11000, FAB: TBA, DEL: 7-Oct, Peak Tgt: 240 (?), BU-3 (Drop On 8/2 by Ozawa san Mail)</t>
  </si>
  <si>
    <t>KONTOOR, SS22,  #103522054, (TIGERS EYE) Qty: 8000, FAB: TBA, DEL: 27-Nov, Peak Tgt: 200, BU-3 ()</t>
  </si>
  <si>
    <t>KONTOOR, SS22,  #10352202S, (Anchor) Qty: 1501, FAB: TBA, DEL: 27-Nov, Peak Tgt: 200, BU-3 ()</t>
  </si>
  <si>
    <t>KONTOOR, SS22,  #10352203R, (Seattle) Qty: 1501, FAB: TBA, DEL: 27-Nov, Peak Tgt: 200, BU-3 ()</t>
  </si>
  <si>
    <t>KONTOOR, SS22,  #10352207T, (Nightshade) Qty: 1501, FAB: TBA, DEL: 27-Nov, Peak Tgt: 200, BU-3 ()</t>
  </si>
  <si>
    <t>KONTOOR, SS22,  #103087177, (Nightshade) Qty: 3000, FAB: TBA, DEL: 27-Nov, Peak Tgt: 180, BU-3 ()</t>
  </si>
  <si>
    <t>KONTOOR, SS22,  #112315587, (Railroad Stripe) Qty: 47773, FAB: 30-Aug, DEL: 7-Nov, Peak Tgt: 225, BU-3 ()</t>
  </si>
  <si>
    <t>KONTOOR, SS22,  #112315587, (Railroad Stripe) Qty: 15390, FAB: 5-Oct, DEL: 26-Dec, Peak Tgt: 225, BU-3 ()</t>
  </si>
  <si>
    <t>KONTOOR, SS22,  #112315587, (Railroad Stripe) Qty: 19858, FAB: 5-Oct, DEL: 23-Jan, Peak Tgt: 225, BU-3 ()</t>
  </si>
  <si>
    <t>GU, SS22-Pro,  #N050A, (TBA) Qty: 41400, FAB: TBA, DEL: 15-Dec, Peak Tgt: 250, BU-3 (Ph1)</t>
  </si>
  <si>
    <t>GU, FW21,  #F008A, (TBA) Qty: 32000, FAB: TBA, DEL: 9-Sep/15000, 16-Sep/17004, Peak Tgt: 270, BU-3</t>
  </si>
  <si>
    <t>T-USA, C1'22_BB,  #4WPWK, (RANCH) Qty: 39999, FAB: TBA, DEL: 9-Oct to 6-Nov/20220, Peak Tgt: 220, BU-3 ()</t>
  </si>
  <si>
    <t>T-USA, C1'22_BB,  #YR9GLW, (MOLTON) Qty: 48996, FAB: TBA, DEL: 9-Oct to 26-Oct/16026, Peak Tgt: 220, BU-3 ()</t>
  </si>
  <si>
    <t>T-USA, C1'22_BB,  #2WE34, (MH TABLE#2) Qty: 1848, FAB: TBA, DEL: 9-Oct, Peak Tgt: 220, BU-3 ()</t>
  </si>
  <si>
    <t>T-USA, C1'22_BB,  #81EE6, (ALMOND) Qty: 15684, FAB: TBA, DEL: 9-Oct to 13-Nov/9714, Peak Tgt: 220, BU-3 ()</t>
  </si>
  <si>
    <t>T-USA, C1'22_BB,  #4KKPK, (CJ Wash#28) Qty: 15720, FAB: TBA, DEL: 9-Oct to 13-Nov/9264, Peak Tgt: 220, BU-3 ()</t>
  </si>
  <si>
    <t>T-USA, C1'22_BB,  #2WE34, (MH TABLE#1) Qty: 15696, FAB: TBA, DEL: 9-Oct to 13-Nov/9744, Peak Tgt: 220, BU-3 ()</t>
  </si>
  <si>
    <t>T-USA, C1'22_BB,  #YR9GLW, (SHANE) Qty: 23004, FAB: TBA, DEL: 9 Oct to 6-Nov/13086, Peak Tgt: 220, BU-3 ()</t>
  </si>
  <si>
    <t>KONTOOR, SS22,  #2162030, (Distance) Qty: 43000, FAB: TBA, DEL: 21-Aug, Peak Tgt: 160, BU-4 (Bal-14480)</t>
  </si>
  <si>
    <t>TUSA-C2-22 Qty-8,56,824</t>
  </si>
  <si>
    <t>TUSA-C1-22 Qty-13,52,280</t>
  </si>
  <si>
    <t>GU, FW21,  #F001A, (TBA) Qty: 6500, FAB: TBA, DEL: 16-Sep, Peak Tgt: 240, BU-3</t>
  </si>
  <si>
    <t>GU, FW21,  #F008A, (TBA) Qty: 48504, FAB: TBA, DEL: 7-Oct/20004, 14-Oct/28500, Peak Tgt: 270, BU-3</t>
  </si>
  <si>
    <t>GU, FW21,  #F008A, (TBA) Qty: 31500, FAB: TBA, DEL: 4-Nov/20000, 11-Nov/11500, Peak Tgt: 270, BU-3</t>
  </si>
  <si>
    <t>GU, SS22-Pro,  #H001A, (TBA) Qty: 22000, FAB: TBA, DEL: 15-Dec, Peak Tgt: 215, BU-3 (Ph2)</t>
  </si>
  <si>
    <t>T-AUS, SUM22-Q2,  #213268, (STAY BLACK) Qty: 8401, FAB: 23-Jul, DEL: 17-Aug/2002, 14-Sep/2400, 21-Sep/2002, 5-Oct/1997, Peak Tgt: 180, BU-3 (AFD-9/28) (Plan-2350)</t>
  </si>
  <si>
    <t>KONTOOR, SS22,  #103525135, (Seattle) Qty: 527, FAB: TBA, DEL: 1-Jan, Peak Tgt: TBA, BU-TBA (VM)</t>
  </si>
  <si>
    <t>LMB100726/MB110</t>
  </si>
  <si>
    <t>KONTOOR, SS22,  #1009MWZMS, (DARK BLUE) Qty: 18000, FAB: 20-Aug, DEL: 9-Oct, Peak Tgt: 160, BU-5 ()</t>
  </si>
  <si>
    <t>KONTOOR, SS22,  #1009MWZMS, (DARK BLUE) Qty: 18000, FAB: 20-Aug, DEL: 16-Oct, Peak Tgt: 160, BU-5 ()</t>
  </si>
  <si>
    <t>KONTOOR, SS22,  #1009MWZMS, (DARK BLUE) Qty: 23000, FAB: 20-Aug, DEL: 23-Oct, Peak Tgt: 160, BU-5 ()</t>
  </si>
  <si>
    <t>KONTOOR, SS22,  #10ZFC9BI4, (MID) Qty: 6000, FAB: 30-Aug, DEL: 9-Oct, Peak Tgt: 190, BU-3 ()</t>
  </si>
  <si>
    <t>KONTOOR, SS22,  #10ZFC9BI2, (DARK) Qty: 4000, FAB: 30-Aug, DEL: 9-Oct, Peak Tgt: 190, BU-3 ()</t>
  </si>
  <si>
    <t>GU, SS22-Pro,  #H001A, (TBA) Qty: 40000, FAB: TBA, DEL: 4-Oct, Peak Tgt: 215, BU-3 (Ph1)</t>
  </si>
  <si>
    <t>GU, SS22-Pro,  #H050A, (TBA) Qty: 32200, FAB: TBA, DEL: 4-Oct, Peak Tgt: 280, BU-3 (Ph1)</t>
  </si>
  <si>
    <t>T-AUS, SUM22-Q2,  #228289A, (Mid Blue) Qty: 4604, FAB: 24-Aug, Accs: 10-Aug, DEL: 31-Aug/3604, 14-Sep/1000, Peak Tgt: TBA, BU-TBA (AFD-9/14)</t>
  </si>
  <si>
    <t>T-AUS, SUM22-Q2,  #238658, (Mid Blue) Qty: 2798, FAB: 24-Aug, Accs: 10-Aug, DEL: 7-Sep, Peak Tgt: TBA, BU-TBA (AFD-9/21)</t>
  </si>
  <si>
    <t>T-AUS, SUM22-Q2,  #209026A, (BLUE/BLACK) Qty: 1602, FAB: OK, DEL: 28-Sep/801, 24-Oct/801, Peak Tgt: 180, BU-3 (AFD-10/5)</t>
  </si>
  <si>
    <t>KONTOOR, SS22,  #103522077, (Nightshade) Qty: 20000, FAB: 29-Aug, DEL: 16-Oct, Peak Tgt: 200, BU-3 ()</t>
  </si>
  <si>
    <t>KONTOOR, SS22,  #103517901, (BLACK) Qty: 3000, FAB: 31-Aug, DEL: 23-Oct, Peak Tgt: 180, BU-3 ()</t>
  </si>
  <si>
    <t>KONTOOR, SS22,  #103517933, (INFINITY) Qty: 3500, FAB: 31-Aug, DEL: 23-Oct, Peak Tgt: 180, BU-3 ()</t>
  </si>
  <si>
    <t>KONTOOR, SS22,  #103517976, (EXPEDITION) Qty: 3000, FAB: 31-Aug, DEL: 23-Oct, Peak Tgt: 180, BU-3 ()</t>
  </si>
  <si>
    <t>KONTOOR, SS22,  #103087528, (RENEGADE) Qty: 3000, FAB: 10-Sep, DEL: 23-Oct, Peak Tgt: 180, BU-3 ()</t>
  </si>
  <si>
    <t>KONTOOR, SS22,  #103087568, (RAYNE) Qty: 3000, FAB: 10-Sep, DEL: 23-Oct, Peak Tgt: 180, BU-3 ()</t>
  </si>
  <si>
    <t>KONTOOR, SS22,  #103408901, (BLACK) Qty: 3200, FAB: 31-Aug, DEL: 23-Oct, Peak Tgt: 180, BU-3 ()</t>
  </si>
  <si>
    <t>KONTOOR, SS22,  #103408964, (ROYALCHAKR) Qty: 16000, FAB: 10-Sep, DEL: 23-Oct, Peak Tgt: 180, BU-3 ()</t>
  </si>
  <si>
    <t>KONTOOR, SS22,  #103408928, (RENEGADE) Qty: 14000, FAB: 10-Sep, DEL: 30-Oct, Peak Tgt: 180, BU-3 ()</t>
  </si>
  <si>
    <t>228288A</t>
  </si>
  <si>
    <t>GU, FW21,  #F007A, (TBA) Qty: 10000, FAB: TBA, DEL: 11-Oct, Peak Tgt: 240 (?), BU-3 ( Drop on 8/24 by Mail)</t>
  </si>
  <si>
    <t>GU, SS22-Pro,  #H050A, (TBA) Qty: 18000, FAB: TBA, DEL: 14-Nov, Peak Tgt: 280, BU-3 (Ph2)</t>
  </si>
  <si>
    <t>F008-10000</t>
  </si>
  <si>
    <t>F008-8000</t>
  </si>
  <si>
    <t>1009MWZMS</t>
  </si>
  <si>
    <t>T-AUS, SUM22-Q2,  #224552A, (LIGHT BLUE) Qty: 3000, FAB: 25-Aug, DEL: 28-Sep, Peak Tgt: 180, BU-3 (5-Oct)</t>
  </si>
  <si>
    <t>Dep #</t>
  </si>
  <si>
    <t>Dept. Name</t>
  </si>
  <si>
    <t>Quantity in pc</t>
  </si>
  <si>
    <t>Fabric in house</t>
  </si>
  <si>
    <t>Hand Over</t>
  </si>
  <si>
    <t>BB – Art Class</t>
  </si>
  <si>
    <t>BB – Cat &amp; Jack</t>
  </si>
  <si>
    <t>Men’s</t>
  </si>
  <si>
    <t>GU, SS22-Pro,  #H053A, (TBA) Qty: 46500, FAB: TBA, DEL: 30-Nov, Peak Tgt: 175?, BU-3 (Ph1)</t>
  </si>
  <si>
    <t>GU, SS22-Pro,  #N053A, (TBA) Qty: 46500, FAB: TBA, DEL: 30-Nov, Peak Tgt: 175?, BU-3 (Ph1)</t>
  </si>
  <si>
    <t>GU, SS22-Pro,  #H053A, (TBA) Qty:10000, FAB: TBA, DEL: 9-Dec, Peak Tgt: 175?, BU-3 (Ph1)</t>
  </si>
  <si>
    <t>T-USA, C2'22_BB,  #4WPWK, (RANCH) Qty: 67000, FAB: TBA, DEL: 21-Dec, Peak Tgt: 220, BU-3 ()</t>
  </si>
  <si>
    <t>KONTOOR, SS22,  #103522095, (Seattle) Qty: 25000, FAB: 29-Aug, DEL: 30-Oct, Peak Tgt: 200, BU-3 ()</t>
  </si>
  <si>
    <t>227082</t>
  </si>
  <si>
    <t>228289A</t>
  </si>
  <si>
    <t>238658</t>
  </si>
  <si>
    <t>TUSA-C1-22 #Jacket-37,308 Pcs</t>
  </si>
  <si>
    <t>1009MWZAH</t>
  </si>
  <si>
    <t>C3'21 Input</t>
  </si>
  <si>
    <t>227089</t>
  </si>
  <si>
    <t>GU, SS22-Pro,  #H050A, (TBA) Qty: 32196, FAB: TBA, DEL: 4-Oct, Peak Tgt: 280, BU-3 (Ph1)</t>
  </si>
  <si>
    <t>GU, SS22-Pro,  #H001A, (TBA) Qty: 35004, FAB: TBA, DEL: 4-Oct/20004, 11-Nov/15000, Peak Tgt: 210, BU-3 (Ph1)</t>
  </si>
  <si>
    <t>GU, FW21,  #F008A, (TBA) Qty: 28512, FAB: TBA, DEL: 21-Oct/10008, 28-Oct/18508, Peak Tgt: 270, BU-3</t>
  </si>
  <si>
    <t>KONTOOR, SS22,  #103522026, (Anchor) Qty: 15000, FAB: 29-Aug, DEL: 30-Oct, Peak Tgt: 200, BU-3 ()</t>
  </si>
  <si>
    <t>GU, FW21,  #F048B (#66) , Qty: 27276, FAB: OK, DEL: 5 &amp; 12 Oct, Peak Tgt: 140, BU-4 (Plan-13630)</t>
  </si>
  <si>
    <t>GU, FW21,  #F048B (#69) , Qty: 27276, FAB: OK, DEL: 5 &amp; 12 Oct, Peak Tgt: 140, BU-4 (Plan-13646)</t>
  </si>
  <si>
    <t>GU, FW21,  #F048B (#69) , Qty: 30036, FAB: OK, DEL: 5 &amp; 12 Oct, Peak Tgt: 140, BU-4 (Plan-15996)</t>
  </si>
  <si>
    <t>GU, FW21,  #F048B (#01) , Qty: 25000, FAB: OK, DEL: 26-Oct+, Peak Tgt: 140, BU-4 (Plan-10000)</t>
  </si>
  <si>
    <t>GU, SS22-Pro,  #H048B, (#01) Qty: 9900, FAB: TBA, DEL: 21-Oct, Peak Tgt: 140, BU-5 (Plan-2668)</t>
  </si>
  <si>
    <t>GU, FW21,  #F048B (#66, #69) , Qty: 15024, FAB: OK, DEL: 9-Nov, Peak Tgt: 140, BU-4 (Plan-15024)</t>
  </si>
  <si>
    <t>GU, SS22,  #H048B (#01), Qty: 477400, FAB: OK, DEL: 16-Dec, Peak Tgt: 140, BU-4 (Plan-32276)</t>
  </si>
  <si>
    <t>KONTOOR, SS22,  #MB44, (MB44) Qty: 1491, FAB: TBA, DEL: 4-Jan, Peak Tgt: 150, BU-3 (CN)</t>
  </si>
  <si>
    <t>KONTOOR, SS22,  #MB99, (MB99) Qty: 1645, FAB: TBA, DEL: 4-Jan, Peak Tgt: 150, BU-3 (CN)</t>
  </si>
  <si>
    <t>KONTOOR, SS22,  #MB104, (MB104) Qty: 1638, FAB: TBA, DEL: 4-Jan, Peak Tgt: 150, BU-3 (CN)</t>
  </si>
  <si>
    <t>KONTOOR, SS22,  #102162030, (Distance) Qty: 110500, FAB: TBA, DEL: 12/18-35000, 12/25-25000, 1/8-25000, 1/15-25500, Peak Tgt: 170, BU-3 ()</t>
  </si>
  <si>
    <t>KONTOOR, SS22,  #103162030, (Distance) Qty: 7710, FAB: TBA, DEL: 18-Dec, Peak Tgt: 170, BU-3 ()</t>
  </si>
  <si>
    <t>KONTOOR, SS22,  #102015037, (Maverick) Qty: 20341, FAB: TBA, DEL: 15-Jan, Peak Tgt: 170, BU-3 ()</t>
  </si>
  <si>
    <t>KONTOOR, SS22,  #102015137, (Maverick) Qty: 5941, FAB: TBA, DEL: 15-Jan, Peak Tgt: 170, BU-3 ()</t>
  </si>
  <si>
    <t>KONTOOR, SS22,  #102105037, (Maverick) Qty: 3000, FAB: TBA, DEL: 22-Jan, Peak Tgt: 170, BU-3 ()</t>
  </si>
  <si>
    <t>KONTOOR, SS22,  #102015037, (Maverick) Qty: 13009, FAB: TBA, DEL: 29-Jan, Peak Tgt: 170, BU-3 ()</t>
  </si>
  <si>
    <t>KONTOOR, SS22,  #102015137, (Maverick) Qty: 3000, FAB: TBA, DEL: 29-Jan, Peak Tgt: 170, BU-3 ()</t>
  </si>
  <si>
    <t>KONTOOR, SS22,  #102015437, (Maverick) Qty: 3000, FAB: TBA, DEL: 5-Feb, Peak Tgt: 170, BU-3 ()</t>
  </si>
  <si>
    <t>KONTOOR, SS22,  #10ZFE9BR4, (Light wash) Qty: 3000, FAB: TBA, DEL: 1-Jan, Peak Tgt: 190, BU-3 ()</t>
  </si>
  <si>
    <t>GU, SS22-Pro,  #N050A, (TBA) Qty: 8500, FAB: TBA, DEL: 15-Mar, Peak Tgt: 250, BU-3 (Ph1)</t>
  </si>
  <si>
    <t>GU, SS22,  #F048B, Qty: 477400, FAB: OK, DEL: 17-Feb/34000, Peak Tgt: 140, BU-4</t>
  </si>
  <si>
    <t>Line 10</t>
  </si>
  <si>
    <t>Line 14</t>
  </si>
  <si>
    <t>Line 15</t>
  </si>
  <si>
    <t>Line 16</t>
  </si>
  <si>
    <t>Pilot</t>
  </si>
  <si>
    <t>Line 17</t>
  </si>
  <si>
    <t>103517933</t>
  </si>
  <si>
    <t>3408901</t>
  </si>
  <si>
    <t>3517976</t>
  </si>
  <si>
    <t>3087501</t>
  </si>
  <si>
    <t>T-USA, C1'22_BB,  #2WE34, (MH TABLE#1) Qty: 15696, FAB: TBA, DEL: 9-Oct to 13-Nov/9744, Peak Tgt: 220, BU-3 (4100)</t>
  </si>
  <si>
    <t>3517901</t>
  </si>
  <si>
    <t>0KKP3</t>
  </si>
  <si>
    <t>0KKP4</t>
  </si>
  <si>
    <t>T-AUS, Win22 Q3-LD,  #234962, (MID WASH) Qty: 7992, FAB: 8-Nov , DEL: 11/16-1998, 12/7-1998, 12/28-1998, 1/18-1998, Peak Tgt: 180, BU-3 (AID+14)</t>
  </si>
  <si>
    <t>T-AUS, Win22 Q3-LD,  #211252, (MID BLUE) Qty: 9600, FAB: 12-Oct, Trim: 21-Oct, DEL: 11/30-4000, 1/4-2600, 2/1-3000, Peak Tgt: 180, BU-3 (AID+14)</t>
  </si>
  <si>
    <t>T-AUS, Win22 Q3-LD,  #211253, (INDIGO) Qty: 10000, FAB: 12-Oct, Trim: 21-Oct, DEL: 11/30-4000, 1/4-3000, 2/1-3000, Peak Tgt: 180, BU-3 (AID+14)</t>
  </si>
  <si>
    <t>T-AUS, Win22 Q3-LD,  #184731, (DARK WASH) Qty: 11800, FAB: 15-Oct, DEL: 12/7-4200, 1/4-3800, 1/18-1800, 2/22-2000, Peak Tgt: 180, BU-3 (AID+14)</t>
  </si>
  <si>
    <t>T-AUS, Win22 Q3-LD,  #197624, (LIGHT WASH) Qty: 8400, FAB: 10-Oct, DEL: 11/9-3600, 12/14-1600, 1/4-1600, 2/8-1600, Peak Tgt: 180, BU-3 (AID+14)</t>
  </si>
  <si>
    <t>T-AUS, Win22 Q3-LD,  #234996A, (MID WASH) Qty: 6600, FAB: 10-Oct, DEL: 11/9-3600, 12/14-1000, 1/4-1000, 2/8-1000, Peak Tgt: 180, BU-3 (AID+14)</t>
  </si>
  <si>
    <t>T-AUS, Win22 Q3-LD,  #193485, (MIDWASH) Qty: 5600, FAB: 15-Oct, DEL: 11/9-3600, 12/21-1200, 1/11-800, Peak Tgt: 180, BU-3 (AID+14)</t>
  </si>
  <si>
    <t>T-AUS, Win22 Q3-LD,  #201340A, (BLACK) Qty: 7400, FAB: 30-Oct, DEL: 11/9-2000, 12/7-1800, 12/28-1800, 1/18-1800, Peak Tgt: 180, BU-3 (AID+14, Plan-2000)</t>
  </si>
  <si>
    <t>T-AUS, Win22 Q3-LD,  #224552A, (LIGHT WASH) Qty: 5000, FAB: 20-Oct, DEL: 11/9-3000, 12/21-2000, Peak Tgt: 180, BU-3 (AID+14)</t>
  </si>
  <si>
    <t>T-AUS, Win22 Q3-LD,  #235021, (MID WASH) Qty: 7200, FAB: 12-Oct, DEL: 11/9-3600, 12/21-1800, 1/18-1800, Peak Tgt: 180, BU-3 (AID+14)</t>
  </si>
  <si>
    <t>T-AUS, Win22 Q3-LD,  #213928, (LIGHT WASH) Qty: 8200, FAB: 13-Oct, DEL: 11/9-4200, 12/21-2000, 1/18-2000, Peak Tgt: 180, BU-3 (AID+14)</t>
  </si>
  <si>
    <t>T-AUS, Win22 Q3-LD,  #224533, (LIGHT WASH) Qty: 7948, FAB: 11-Oct, DEL: 11/16-1450, 12/14-3598, 1/4-1450, 1/25-1450, Peak Tgt: 180, BU-3 (AID+14)</t>
  </si>
  <si>
    <t>T-AUS, Win22 Q3-LD,  #224535, (LIGHT WASH) Qty: 5400, FAB: 11-Oct, DEL: 11/16-1400, 12/21-2598, 1/18-1402, Peak Tgt: 180, BU-3 (AID+14)</t>
  </si>
  <si>
    <t>T-AUS, Win22 Q3-LD,  #209026A, (BLUE/BLACK) Qty: 7802, FAB: 11-Oct, DEL: 11/16-1400, 12/14-3602, 1/4-1400, 1/25-1400, Peak Tgt: 180, BU-3 (AID+14)</t>
  </si>
  <si>
    <t>T-AUS, Win22 Q3-LD,  #232514, (Midwash) Qty: 5896, FAB: 11-Oct, DEL: 11/16-1098, 12/14-2600, 1/4-1098, 1/25-1100, Peak Tgt: 180, BU-3 (AID+14)</t>
  </si>
  <si>
    <t>T-AUS, Win22 Q3-LD,  #232515, (Midwash) Qty: 7400, FAB: 11-Oct, DEL: 11/16-1800, 12/21-3800, 1/18-1800, Peak Tgt: 180, BU-3 (AID+14)</t>
  </si>
  <si>
    <t>T-AUS, Win22 Q3-MN,  #189207, (Washed Blue) Qty: 3496, FAB: 12-Oct, DEL: 11/21-1000, 12/26-996, 1/23-1500, Peak Tgt: 180, BU-3 (AID+14)</t>
  </si>
  <si>
    <t>T-AUS, Win22 Q3-MN,  #189211N, (BLUE/BLACK) Qty: 3497, FAB: 13-Oct, DEL: 11/23-1000, 12/26-1001, 1/23-1496, Peak Tgt: 180, BU-3 (AID+14)</t>
  </si>
  <si>
    <t>T-AUS, Win22 Q3-MN,  #189204, (DARK BLUE) Qty: 2990, FAB: 12-Oct, DEL: 11/23-494, 12/26-1001, 1/23-1495, Peak Tgt: 180, BU-3 (AID+14)</t>
  </si>
  <si>
    <t>T-AUS, Win22 Q3-MN,  #189205N, (BLUE/BLACK) Qty: 4200, FAB: 13-Oct, DEL: 11/21-2000, 12/26-1199, 1/23-1001, Peak Tgt: 180, BU-3 (AID+14)</t>
  </si>
  <si>
    <t>T-AUS, Win22 Q3-MN,  #193242, (WASHED BLUE) Qty: 3492, FAB: 12-Oct, DEL: 11/21-1500, 12/26-996, 1/23-996, Peak Tgt: 180, BU-3 (AID+14)</t>
  </si>
  <si>
    <t>T-AUS, Win22 Q3-MN,  #236187, (DARK INDIGO) Qty: 3003, FAB: 15-Oct, DEL: 11/21-1001, 12/26-1001, 1/23-1001, Peak Tgt: 180, BU-3 (AID+14)</t>
  </si>
  <si>
    <t>KONTOOR, SS22,  #102161543, (GREY) Qty: 7427, FAB: OK, DEL: 30-Oct, Peak Tgt: 160, BU-3 (Zipper 10/7)</t>
  </si>
  <si>
    <t>KONTOOR, SS22,  #102161543, (GREY) Qty: 15933, FAB: OK, DEL: 19-Nov, Peak Tgt: 160, BU-3 (Zipper 10/7)</t>
  </si>
  <si>
    <t>KONTOOR, SS22,  #103162043, (LEAD GREY) Qty: 2309, FAB: OK, DEL: 19-Nov, Peak Tgt: 160, BU-3 (Zipper 10/7)</t>
  </si>
  <si>
    <t>0KKP5</t>
  </si>
  <si>
    <t>81EE6</t>
  </si>
  <si>
    <t>GU, SS22-Pro,  #H106B, (TBA) Qty: 10000, FAB: TBA, DEL: 18-Nov, Peak Tgt: 130?, BU-3 (Mens) (Zipper 20-Oct)</t>
  </si>
  <si>
    <t>T-AUS, SUM22-Q2,  #233852, (LIGHT WASH) Qty: 6000, FAB: 10-Oct, DEL: 28-Sep/3600, Peak Tgt: 180, BU-3 (5-Oct//3170)</t>
  </si>
  <si>
    <t>KONTOOR, SS22,  #3522095 / L34BTEFG, (Seattle) Qty: 3000, FAB: OK, DEL: 27-Nov, Peak Tgt: 200, BU-3 ()</t>
  </si>
  <si>
    <t>KONTOOR, SS22,  #103087135, (Seattle) Qty: 4000, FAB: OK, DEL: 27-Nov, Peak Tgt: 180, BU-3 ()</t>
  </si>
  <si>
    <t>KONTOOR, SS22,  #103522001, (Black) Qty: 19000, FAB: OK, DEL: 27-Nov, Peak Tgt: 200, BU-3 ()</t>
  </si>
  <si>
    <t>KONTOOR, SS22,  #MB93, (MB93) Qty: 5945, FAB: 15-Oct, DEL: 30-Nov, Peak Tgt: 170, BU-3 (CN)</t>
  </si>
  <si>
    <t>GU, SS22-Pro,  #H060A, (TBA) Qty: 30900, FAB: TBA, DEL: 11-Nov, Peak Tgt: 190, BU-5 (Zipper 10/15)</t>
  </si>
  <si>
    <t>T-AUS, Win22 Q3-LD,  #197594B, (STAY BLACK) Qty: 6598, FAB: 30-Oct, DEL: 11/16-1500, 12/21-3598, 1/18-1500, Peak Tgt: 180, BU-3 (AID+14, Plan-1500)</t>
  </si>
  <si>
    <t>81EE7</t>
  </si>
  <si>
    <t>GU, SS22-Pro,  #H052A, (TBA) Qty: 10000, FAB: TBA, DEL: 13-Jan, Peak Tgt: 190/115, BU-4 (Ph1 Drop On 99/20 Projection)</t>
  </si>
  <si>
    <t>GU, SS22-Pro,  #H062A, (TBA) Qty: 5000, FAB: TBA, DEL: 10-Feb, Peak Tgt: 200?, BU-3 (Ph1 Drop on 9/20 Projection)</t>
  </si>
  <si>
    <t>T-AUS, Win22 Q3-LD,  #234986, (RINSE WASH) Qty: 5500, FAB: 15-Oct, DEL: 11/9-3600, 12/21-1100, 1/11-800, Peak Tgt: 180, BU-3 (AID+14)</t>
  </si>
  <si>
    <t>T-AUS, Win22 Q3-LD,  #234959, (MIDWASH) Qty: 9200, FAB: 20-Oct, DEL: 11/23-3600, 12/21-2000, 1/18-3600, Peak Tgt: 160, BU-5 (AID+14)</t>
  </si>
  <si>
    <t>T-AUS, Win22 Q3-LD,  #184731, (DARK WASH) Qty: 11800, FAB: 15-Oct, DEL: 12/7-4200, 1/4-3800, 1/18-1800, 2/22-2000, Peak Tgt: 180, BU-3 (AID+14, Plan-7600)</t>
  </si>
  <si>
    <t>T-AUS, Win22 Q3-LD,  #234999, (MID WASH) Qty: 3500, FAB: TBA, DEL: 12/28, Peak Tgt: 180, BU-3 (AID+7)</t>
  </si>
  <si>
    <t>GU, SS22-Pro,  #H056A, (TBA) Qty: 8000, FAB: 15-Sep, Trims: 9-Oct, DEL: 4-Oct, Peak Tgt: 180, BU-5 (Ph1)</t>
  </si>
  <si>
    <t>T-USA, C1'22_MN,  #ZP8XG, (SAZON) Qty: 27918, FAB: TBA, DEL: 8-Nov/5928, Peak Tgt: 210, BU-3 ()</t>
  </si>
  <si>
    <t>T-USA, C1'22_MN,  #9ME51, (ACE) Qty: 25806, FAB: TBA, DEL: 30-Oct to 13-Nov/9576, Peak Tgt: 210, BU-3 ()</t>
  </si>
  <si>
    <t>GU, FW21,  #F008A, (TBA) Qty: 28512, FAB: TBA, DEL: 12-Oct/10008, 19-Oct/18508, Peak Tgt: 270, BU-3</t>
  </si>
  <si>
    <t>T-USA, C1'22_MN,  #YM8WR, (ZINGER) Qty: 32574, FAB: TBA, DEL: 30-Oct to 27-Nov/20824, Peak Tgt: 210, BU-3 ()</t>
  </si>
  <si>
    <t>GU, SS22-Pro,  #H102A, (TBA) Qty: 10000, FAB: 15-Oct, DEL: 16-Oct, Peak Tgt: 215?, BU-3 (Ph1)</t>
  </si>
  <si>
    <t>GU, SS22-Pro,  #H060A, (#68-8398) Qty: 30900, FAB: TBA, Trims: 15-Oct, DEL: 11-Nov, Peak Tgt: 190, BU-5 (Zipper 10/15)</t>
  </si>
  <si>
    <t>GU, SS22-Pro,  #H060A, (#65&amp;#01-12506) Qty: 30900, FAB: TBA, Trims: 15-Oct, DEL: 11-Nov, Peak Tgt: 190, BU-5 (Zipper 10/15)</t>
  </si>
  <si>
    <t>KONTOOR, SS22,  #MB78, (MB78) Qty: 5990, FAB: 26-Sep, DEL: 16-Nov, Peak Tgt: 170, BU-3 (APAC, Trim-10/7)</t>
  </si>
  <si>
    <t>KONTOOR, SS22,  #WB72, (WB72) Qty: 3894, FAB: 10-Oct, DEL: 16-Nov, Peak Tgt: 180, BU-3 (CN)</t>
  </si>
  <si>
    <t>GU, SS22-Pro,  #H001A, (TBA) Qty: 10000, FAB: TBA, DEL: 25-Jan, Peak Tgt: 230, BU-3 (Ph3(add))</t>
  </si>
  <si>
    <t>GU, SS22,  #F048B, Qty: 477400, FAB: OK, DEL: 8-Feb/25000, Peak Tgt: 140, BU-4</t>
  </si>
  <si>
    <t>GU, SS22-Pro,  #H001A, (TBA) Qty: 10000, FAB: TBA, DEL: 15-Mar, Peak Tgt: 215, BU-3 (Ph3(adj) Dropped on 9/20 Projection)</t>
  </si>
  <si>
    <t>GU, SS22-Pro,  #H001A, (TBA) Qty: 10000, FAB: TBA, DEL: 31-Mar, Peak Tgt: 215, BU-3 (Ph3(add)Dropped on 9/20 Projection)</t>
  </si>
  <si>
    <t>GU, SS22-Pro,  #H050A, (TBA) Qty: 14000, FAB: TBA, DEL: 15-Mar, Peak Tgt: 280, BU-3 (Ph3(Adj))</t>
  </si>
  <si>
    <t>GU, SS22-Pro,  #H052A, (TBA) Qty: 26000, FAB: TBA, DEL: 14-Dec, Peak Tgt: 190/115, BU-4 (Ph1)</t>
  </si>
  <si>
    <t>GU, SS22-Pro,  #H053A, (TBA) Qty: 7000, FAB: TBA, DEL: 11-Jan, Peak Tgt: 175?, BU-3 (Ph1)</t>
  </si>
  <si>
    <t>GU, SS22-Pro,  #N020A, (TBA) Qty: 21300, FAB: TBA, DEL: 14-Dec, Peak Tgt: 250, BU-3 (Ph1)</t>
  </si>
  <si>
    <t>T-USA, C2'22_BB,  #2WE34, (MH TABLE#1) Qty: 16003, FAB: 30-Oct, DEL: 21-Dec, Peak Tgt: 220, BU-3 ()</t>
  </si>
  <si>
    <t>T-USA, C2'22_BB,  #4KKPK, (CJ Wash#28) Qty: 15998, FAB: 20-Nov, DEL: 21-Dec, Peak Tgt: 220, BU-3 ()</t>
  </si>
  <si>
    <t>T-USA, C2'22_BB,  #81EE6, (ALMOND) Qty: 15998, FAB: 25-Nov, DEL: 21-Dec, Peak Tgt: 220, BU-3 ()</t>
  </si>
  <si>
    <t>T-USA, C2'22_BB,  #4WPWK, (RANCH) Qty: 67000, FAB: 26-Oct, DEL: 21-Dec, Peak Tgt: 220, BU-3 ()</t>
  </si>
  <si>
    <t>T-USA, C2'22_BB,  #YR9GLW, (MOLTON) Qty: 47000, FAB: 15-Nov, DEL: 21-Dec, Peak Tgt: 220, BU-3 ()</t>
  </si>
  <si>
    <t>KONTOOR, SS22,  #103408901, (BLACK) Qty: 3000, FAB: TBA, DEL: 22-Jan, Peak Tgt: 180, BU-3 ()</t>
  </si>
  <si>
    <t>KONTOOR, SS22,  #103087135, (Seattle) Qty: 3000, FAB: TBA, DEL: 22-Jan, Peak Tgt: 200, BU-3 ()</t>
  </si>
  <si>
    <t>KONTOOR, FW22,  #L34BTEFG, (Seattle) Qty: 3000, FAB: TBA, DEL: 23-Jan, Peak Tgt: 200, BU-3 ()</t>
  </si>
  <si>
    <t>KONTOOR, FW22,  #102015037, (Maverick) Qty: 9093, FAB: TBA, DEL: 22-Jan, Peak Tgt: 170, BU-3 ()</t>
  </si>
  <si>
    <t>KONTOOR, FW22,  #102105037, (Maverick) Qty: 1684, FAB: TBA, DEL: 22-Jan, Peak Tgt: 170, BU-3 ()</t>
  </si>
  <si>
    <t>GU, SS22-Pro,  #N050A, (TBA) Qty: 30860, FAB: TBA, DEL: 11-Jan, Peak Tgt: 250, BU-3 (Ph1)</t>
  </si>
  <si>
    <t>T-USA, C2'22_MN,  #YM8WR, (ZINGER) Qty: 16500, FAB: 26-Dec, DEL: 29-Jan, Peak Tgt: 210, BU-3 ()</t>
  </si>
  <si>
    <t>T-USA, C2'22_MN,  #9ME51, (ACE) Qty: 17382, FAB: 18-Dec, DEL: 29-Jan, Peak Tgt: 210, BU-3 ()</t>
  </si>
  <si>
    <t>T-USA, C2'22_MN,  #ZKMR9, (PEANUT - 2 SHORT) Qty: 60409, FAB: 19-Dec, DEL: 27-Jan, Peak Tgt: 220, BU-3 ()</t>
  </si>
  <si>
    <t>GU, SS22,  #N064A, (TBA) Qty: 25000, FAB: TBA, DEL: 22-Mar, Peak Tgt: 185, BU-3 ()</t>
  </si>
  <si>
    <t>GU, SS22-Pro,  #H001A, (TBA) Qty: 6000, FAB: TBA, DEL: 1-Mar, Peak Tgt: 230, BU-3 (Ph3(adj))</t>
  </si>
  <si>
    <t>GU, SS22,  #N030B, (TBA) Qty: 30000, FAB: TBA, DEL: 1-Mar, Peak Tgt: 200, BU-3 (Mens)</t>
  </si>
  <si>
    <t>GU, SS22-Pro,  #H050A, (TBA) Qty: 14000, FAB: TBA, DEL: 1-Mar, Peak Tgt: 280, BU-3 (Ph3(Adj))</t>
  </si>
  <si>
    <t>GU, SS22,  #N030B, (TBA) Qty: 51500, FAB: TBA, DEL: 12-Apr, Peak Tgt: 200, BU-3 (Mens)</t>
  </si>
  <si>
    <t>TUSA-C3-22, Mens,  Qty-</t>
  </si>
  <si>
    <t>TUSA-C3-22, ITB,  Qty-</t>
  </si>
  <si>
    <t>TUSA-C3-22, BB,  Qty-</t>
  </si>
  <si>
    <t>H021A</t>
  </si>
  <si>
    <t>PRODUCTION PLAN FLOW CHART FOR THE MONTH OF: Aug'22</t>
  </si>
  <si>
    <t>PRODUCTION PLAN FLOW CHART FOR THE MONTH OF: Sep'22</t>
  </si>
  <si>
    <t>PRODUCTION PLAN FLOW CHART FOR THE MONTH OF: Oct'22</t>
  </si>
  <si>
    <t>TUSA-C4-22, Mens,  Qty-</t>
  </si>
  <si>
    <t>TUSA-C4-22, BB-JKT,  Qty-11700</t>
  </si>
  <si>
    <t>TUSA-C4-22, BB,  Qty-</t>
  </si>
  <si>
    <t>PRODUCTION PLAN FLOW CHART FOR THE MONTH OF: Nov'22</t>
  </si>
  <si>
    <t>PRODUCTION PLAN FLOW CHART FOR THE MONTH OF: Dec'22</t>
  </si>
  <si>
    <t>KONTOOR, FW22,  #103087126, (Anchor) Qty: 3000, FAB: 20-Dec, DEL: 12-Feb, Peak Tgt: 180, BU-3 ()</t>
  </si>
  <si>
    <t>KONTOOR, FW22,  #103522001, (Black) Qty: 3000, FAB: 20-Dec, DEL: 12-Feb, Peak Tgt: 200, BU-3 ()</t>
  </si>
  <si>
    <t>KONTOOR, FW22,  #103522026, (Anchor) Qty: 3000, FAB: 20-Dec, DEL: 12-Feb, Peak Tgt: 200, BU-3 ()</t>
  </si>
  <si>
    <t>KONTOOR, FW22,  #103522077, (Nightshade) Qty: 3000, FAB: 20-Dec, DEL: 12-Feb, Peak Tgt: 200, BU-3 ()</t>
  </si>
  <si>
    <t>KONTOOR, FW22,  #103522095, (Seattle) Qty: 3000, FAB: 20-Dec, DEL: 12-Feb, Peak Tgt: 200, BU-3 ()</t>
  </si>
  <si>
    <t>KONTOOR, FW22,  #102162030, (Distance) Qty: 23000, FAB: 5-Jan, DEL: 26-Feb, Peak Tgt: 170, BU-3 ()</t>
  </si>
  <si>
    <t>KONTOOR, SS22,  #102015437, (Maverick) Qty: 7641, FAB: 20-Dec, DEL: 19-Feb, Peak Tgt: 170, BU-3 ()</t>
  </si>
  <si>
    <t>KONTOOR, FW22,  #102015037, (Maverick) Qty: 18618, FAB: 20-Dec, DEL: 19-Feb, Peak Tgt: 170, BU-3 ()</t>
  </si>
  <si>
    <t>KONTOOR, FW22,  #102105037, (Maverick) Qty: 3349, FAB: 20-Dec, DEL: 19-Feb, Peak Tgt: 170, BU-3 ()</t>
  </si>
  <si>
    <t>GU, SS22-Pro,  #H050A, (TBA) Qty: 15000, FAB: TBA, DEL: 11-Jan, Peak Tgt: 280, BU-3 (Ph1)</t>
  </si>
  <si>
    <t>60122H106A</t>
  </si>
  <si>
    <t>KONTOOR, SS22,  #1009MWZMS, (DARK BLUE) Qty: 50700, FAB: 25-Jan, DEL: 3/5-20000, 3/12-20000, 3/19-10700, Peak Tgt: 180, BU-4 ()</t>
  </si>
  <si>
    <t>KONTOOR, SS22,  #1009MWZMS, (DARK BLUE) Qty: 38300, FAB: 15-Feb, DEL: 4/2-18300, 4/9-20000, Peak Tgt: 180, BU-4 ()</t>
  </si>
  <si>
    <t>KONTOOR, FW22,  #1009MWZAH, (Black) Qty: 37400, FAB: 28-Feb, DEL: 4/9-17400, 4/16-20000, Peak Tgt: 190, BU-3 ()</t>
  </si>
  <si>
    <t>KONTOOR, FW22,  #1009MWZAH, (Black) Qty: 40400, FAB: 5-Feb, DEL: 3/5-20000, 3/12-20400, Peak Tgt: 190, BU-3 ()</t>
  </si>
  <si>
    <t>T-AUS, Win22 Q4-LD,  #242554, (BLACK) Qty: 4800, FAB: TBA, DEL: 1/30-3200, 3/13-1600, Peak Tgt: 180, BU-3 (AID+14)</t>
  </si>
  <si>
    <t>T-AUS, Win22 Q4-LD,  #242555, (MIDWASH) Qty: 4800, FAB: TBA, DEL: 1/30-3200, 3/13-1600, Peak Tgt: 180, BU-3 (AID+14)</t>
  </si>
  <si>
    <t>T-AUS, Win22 Q4-LD,  #243441, (LIGHT WASH) Qty: 4410, FAB: TBA, DEL: 1/30-2800, 3/20-1000, Peak Tgt: 180, BU-3 (AID+14)</t>
  </si>
  <si>
    <t>T-AUS, Win22 Q4-LD,  #243773, (NEUTRAL) Qty: 3600, FAB: TBA, DEL: 1/30-2600, 3/13-1000, Peak Tgt: 180, BU-3 (AID+14)</t>
  </si>
  <si>
    <t>T-AUS, Win22 Q4-LD,  #244409, (LIGHT BLUE) Qty: 4500, FAB: TBA, DEL: 1/30-3200, 3/13-1300, Peak Tgt: 180, BU-3 (AID+14)</t>
  </si>
  <si>
    <t>T-AUS, Win22 Q4-LD,  #244410, (BLUE) Qty: 4500, FAB: TBA, DEL: 3/6-3000, 4/10-1500, Peak Tgt: 180, BU-3 (AID+14)</t>
  </si>
  <si>
    <t>T-AUS, Win22 Q4-LD,  #244411, (GREY) Qty: 3600, FAB: TBA, DEL: 3/6-2600, 4/10-1000, Peak Tgt: 180, BU-3 (AID+14)</t>
  </si>
  <si>
    <t>T-AUS, Win22 Q4-LD,  #238542B, (MIDWASH) Qty: 3600, FAB: TBA, DEL: 1/30-2600, 3/13-1000, Peak Tgt: 180, BU-3 (AID+14)</t>
  </si>
  <si>
    <t>T-AUS, Win22 Q4-MN,  #243223, (W. BLACK) Qty: 5508, FAB: TBA, DEL: 15-Feb, Peak Tgt: 180, BU-3 (AID+14)</t>
  </si>
  <si>
    <t>T-AUS, Win22 Q4-MN,  #243225, (MID WASH) Qty: 5424, FAB: TBA, DEL: 28-Jan, Peak Tgt: 180, BU-3 (AID+14)</t>
  </si>
  <si>
    <t>GU, FW21,  #F048B (#66) , Qty: 25000, FAB: OK, DEL: 26-Oct+, Peak Tgt: 140, BU-4 (Plan-10000)</t>
  </si>
  <si>
    <t>60122H056A</t>
  </si>
  <si>
    <t>TUSA-C1-23, ITB, Qty-365K</t>
  </si>
  <si>
    <t>TUSA-C2-23, ITB, Qty-250K</t>
  </si>
  <si>
    <t>TUSA-C1-23, JKT, Qty-40K</t>
  </si>
  <si>
    <t>GU, SS22-Pro,  #H106A, (#63, #65) Qty: 12000, FAB: OK, Trims: 28-Sep, DEL: 16-Oct, Peak Tgt: 200?, BU-3 (Ph1)</t>
  </si>
  <si>
    <t>T-USA, C1'22_BB,  #81EE6, (ALMOND) Qty: 15684, FAB: TBA, DEL: 9-Oct to 13-Nov/9714, Peak Tgt: 220, BU-3 (2800)</t>
  </si>
  <si>
    <t>KONTOOR, FW22,  #103087501, (BLACK) Qty: 3000, FAB: TBA, DEL: 25-Dec, Peak Tgt: 180, BU-3 ()</t>
  </si>
  <si>
    <t>KONTOOR, SS22,  #10ZMREB10, (White) Qty: 6500, FAB: TBA, DEL: 1-Jan, Peak Tgt: 190, BU-3 ()</t>
  </si>
  <si>
    <t>T-USA, C2'22_MN,  #ZP8XG, (SAZON) Qty: 17705, FAB: 13-Dec, DEL: 29-Jan, Peak Tgt: 210, BU-3 ()</t>
  </si>
  <si>
    <t>GU, SS22-Pro,  #H001A, (TBA) Qty: 20000, FAB: TBA, DEL: 11-Jan, Peak Tgt: 230, BU-3 (PO-10/13)</t>
  </si>
  <si>
    <t>GU, SS22-Pro,  #H050A, (TBA) Qty: 10000, FAB: TBA, DEL: 25-Jan, Peak Tgt: 280, BU-3 (Dropped on 10/6)</t>
  </si>
  <si>
    <t>T-AUS, Win22 Q4-LD,  #234959, (MIDWASH) Qty: 7600, FAB: , DEL: 2/22-2000, 3/22-3600, 4/19-2000, Peak Tgt: 160, BU-5 (AID+7)</t>
  </si>
  <si>
    <t>TUSA-C2-22 Qty-10,84,000</t>
  </si>
  <si>
    <t>T-AUS, Sum22, #Q1'22, (TBA) Qty: 225000, FAB:TBA, Del: 15-May+++, Peak Tgt: 130, BU-3 ()</t>
  </si>
  <si>
    <t>T-AUS, Sum22, #Q2'22, (TBA) Qty: 150000, FAB:TBA, Del: 20-Aug+++, Peak Tgt: 130, BU-3 ()</t>
  </si>
  <si>
    <t>KONTOOR, SS22,  #Sep (TBA) Qty: 100000, FAB: TBA, DEL: 1-Oct, Peak Tgt: 155, BU-4 ()</t>
  </si>
  <si>
    <t>KONTOOR, SS22,  #Oct (TBA) Qty: 100000, FAB: TBA, DEL: 29-Oct, Peak Tgt: 155, BU-4 ()</t>
  </si>
  <si>
    <t>KONTOOR, SS22,  #Nov (TBA) Qty: 100000, FAB: TBA, DEL: 3-Dec, Peak Tgt: 155, BU-4 ()</t>
  </si>
  <si>
    <t>KONTOOR, SS22,  #Dec (TBA) Qty: 100000, FAB: TBA, DEL: 31-Dec, Peak Tgt: 155, BU-4 ()</t>
  </si>
  <si>
    <t>T-AUS, Win23, #Q3'23, (TBA) Qty: 250000, FAB:TBA, Del: 20-Nov+++, Peak Tgt: 130, BU-3 ()</t>
  </si>
  <si>
    <t>TUSA-C1-23, BB, Qty-343K</t>
  </si>
  <si>
    <t>TUSA-C1-23, BB, Qty-400K</t>
  </si>
  <si>
    <t>TUSA-C1-23, Mens, Qty-305K</t>
  </si>
  <si>
    <t>TUSA-C1-23, Mens, Qty-385K</t>
  </si>
  <si>
    <t>TUSA-C2-23, BB, Qty-302K</t>
  </si>
  <si>
    <t>TUSA-C2-23, BB, Qty-340K</t>
  </si>
  <si>
    <t>TUSA-C2-23, Mens, Qty-283K</t>
  </si>
  <si>
    <t>TUSA-C2-23, Mens, Qty-347K</t>
  </si>
  <si>
    <t>KONTOOR, FW22,  #103408964, (ROYALCHAKR) Qty: 3000, FAB: 20-Dec, DEL: 19-Feb, Peak Tgt: 180, BU-3 ()</t>
  </si>
  <si>
    <t>KONTOOR, FW22,  #103408929, (CASCADE) Qty: 3000, FAB: 20-Dec, DEL: 19-Feb, Peak Tgt: 180, BU-3 ()</t>
  </si>
  <si>
    <t>KONTOOR, FW22,  #103408946, (MAJESTIC) Qty: 3000, FAB: 20-Dec, DEL: 19-Feb, Peak Tgt: 180, BU-3 ()</t>
  </si>
  <si>
    <t>KONTOOR, FW22,  #103408928, (RENEGADE) Qty: 3000, FAB: 20-Dec, DEL: 19-Feb, Peak Tgt: 180, BU-3 ()</t>
  </si>
  <si>
    <t>KONTOOR, FW22,  #103087528, (RENEGADE) Qty: 3000, FAB: 20-Dec, DEL: 19-Feb, Peak Tgt: 180, BU-3 ()</t>
  </si>
  <si>
    <t>KONTOOR, FW22,  #103522077, (Nightshade) Qty: 3000, FAB: TBA, DEL: 22-Jan, Peak Tgt: 200, BU-3 ()</t>
  </si>
  <si>
    <t>KONTOOR, FW22,  #103522095, (Seattle) Qty: 6000, FAB: TBA, DEL: 22-Jan, Peak Tgt: 200, BU-3 ()</t>
  </si>
  <si>
    <t>KONTOOR, FW22,  #103522054, (TIGERS EYE) Qty: 3000, FAB: 20-Dec, DEL: 15-Jan, Peak Tgt: 200, BU-3 ()</t>
  </si>
  <si>
    <t>KONTOOR, FW22,  #103522095, (Seattle) Qty: 3000, FAB: 20-Dec, DEL: 15-Jan, Peak Tgt: 200, BU-3 ()</t>
  </si>
  <si>
    <t>KONTOOR, FW22,  #103517901, (BLACK) Qty: 3000, FAB: TBA, DEL: 22-Jan, Peak Tgt: 180, BU-3 ()</t>
  </si>
  <si>
    <t>KONTOOR, FW22,  #103408946, (MAJESTIC) Qty: 3000, FAB: 20-Dec, DEL: 15-Jan, Peak Tgt: 180, BU-3 ()</t>
  </si>
  <si>
    <t>KONTOOR, FW22,  #103517933, (INFINITY) Qty: 3000, FAB: 20-Dec, DEL: 15-Jan, Peak Tgt: 180, BU-3 ()</t>
  </si>
  <si>
    <t>KONTOOR, FW22,  #103087528, (RENEGADE) Qty: 3000, FAB: 20-Dec, DEL: 15-Jan, Peak Tgt: 180, BU-3 ()</t>
  </si>
  <si>
    <t>KONTOOR, FW22,  #L34BTEHA, (Anchor) Qty: 4000, FAB: 1-Feb, DEL: 26-Feb, Peak Tgt: 200, BU-3 ()</t>
  </si>
  <si>
    <t>LMB100723/MB78</t>
  </si>
  <si>
    <t>235021</t>
  </si>
  <si>
    <t>H048B</t>
  </si>
  <si>
    <t>LWB100401/WB72</t>
  </si>
  <si>
    <t>229005</t>
  </si>
  <si>
    <t>LMB100709/MB93</t>
  </si>
  <si>
    <t>232514</t>
  </si>
  <si>
    <t>232515</t>
  </si>
  <si>
    <t>H060A</t>
  </si>
  <si>
    <t>T-AUS, Win22 Q3-LD,  #209026B, (INDIGO) Qty: 5700, FAB: 11-Oct, DEL: 11/16-1300, 12/21-3100, 1/18-1302, Peak Tgt: 180, BU-3 (AID+14)</t>
  </si>
  <si>
    <t>T-AUS, Win22 Q3-LD,  #224533, (LIGHT WASH) Qty: 7950, FAB: 11-Oct, DEL: 11/16-1450, 12/14-3600, 1/4-1450, 1/25-1450, Peak Tgt: 180, BU-3 (AID+14)</t>
  </si>
  <si>
    <t>GU, FW21,  #F048B (#01) , Qty: 44016, FAB: OK, DEL: 9-Nov, Peak Tgt: 140, BU-4 (Plan-15024)</t>
  </si>
  <si>
    <t>GU, FW21,  #F048B (#66, #69) , Qty: 66060, FAB: OK, DEL: 9-Nov, Peak Tgt: 140, BU-4 (Plan-15024)</t>
  </si>
  <si>
    <t>T-AUS, Win22 Q3-LD,  #234959, (MIDWASH) Qty: 9200, FAB: 25-Oct, DEL: 11/23-3600, 12/21-2000, 1/18-3600, Peak Tgt: 160, BU-5 (AID+14)</t>
  </si>
  <si>
    <t>T-AUS, Win22 Q3-LD,  #201340A, (BLACK) Qty: 7400, FAB: 5-Nov, DEL: 11/9-2000, 12/7-1800, 12/28-1800, 1/18-1800, Peak Tgt: 180, BU-3 (AID+14, Plan-2000)</t>
  </si>
  <si>
    <t>T-AUS, Win22 Q3-LD,  #197594A, (STAY BLACK) Qty: 7202, FAB: 5-Nov, DEL: 11/16-2000, 12/14-2602, 1/4-1300, 1/25-1300, Peak Tgt: 180, BU-3 (AID+14, Plan-2000)</t>
  </si>
  <si>
    <t>T-AUS, Win22 Q3-LD,  #197594B, (STAY BLACK) Qty: 6598, FAB: 5-Nov, DEL: 11/16-1500, 12/21-3598, 1/18-1500, Peak Tgt: 180, BU-3 (AID+14, Plan-1500)</t>
  </si>
  <si>
    <t>T-AUS, Win22 Q3-LD,  #209360, (MID WASH) Qty: 6800, FAB: 25-Oct, DEL: 11/9-3600, 12/21-1600, 1/18-1600, Peak Tgt: 180, BU-3 (AID+14)</t>
  </si>
  <si>
    <t>T-AUS, Win22 Q3-LD,  #240585B, (WHITE) Qty: 5200, FAB: OK, DEL: 11/16-3598, 12/Dec-1602, Peak Tgt: 180, BU-3 (AID+14)</t>
  </si>
  <si>
    <t>T-AUS, Win22 Q3-LD,  #242775, (NUTRAL) Qty: 3080, FAB: 10-Nov, Accs: 24-Nov, DEL: 4-Jan, Peak Tgt: 180, BU-3 (AID+14)</t>
  </si>
  <si>
    <t>T-AUS, Win22 Q3-LD,  #242777, (KHAKI) Qty: 4800, FAB: TBA, DEL: 1/4-3600, 2/22-1200, Peak Tgt: 180, BU-3 (AID+14)</t>
  </si>
  <si>
    <t>T-AUS, Win22 Q3-LD,  #234979/250059, (MID WASH) Qty: 6600, FAB: OK, Sample: 7-Nov, Trim: 27-Oct, DEL: 12/7-3600, 1/18-1500, 2/22-1500, Peak Tgt: 180, BU-3 (AID+14)</t>
  </si>
  <si>
    <t>T-AUS, Win22 Q4-LD,  #234979/250059, (MID WASH) Qty: 4300, FAB: , DEL: 2/22-1400, 3/29-1400, 4/26-1500, Peak Tgt: 180, BU-3 (AID+7)</t>
  </si>
  <si>
    <t>T-AUS, Win22 Q3-LD,  #224544/250114, (STAY BLACK) Qty: 11000, FAB: 13-Oct, Trim: 26-Oct, DEL: 12/7-3600, 1/4-3600, 1/18-1800, 2/22-2002, Peak Tgt: 180, BU-3 (AID+14)</t>
  </si>
  <si>
    <t>T-AUS, Win22 Q4-LD,  #224544/250114, (STAY BLACK) Qty: 5600, FAB: , DEL: 2/22-1800, 3/29-2000, 4/26-1800, Peak Tgt: 180, BU-3 (AID+7)</t>
  </si>
  <si>
    <t>T-AUS, Win22 Q4-MN,  #208700N/232622, (BLUE/BLACK) Qty: 2500, FAB: , DEL: 2/20-1000, 3/20-1000, 4/17-500, Peak Tgt: 180, BU-3 (AID+7)</t>
  </si>
  <si>
    <t>T-AUS, Win22 Q3-LD,  #191550/250115, (LIGHT WASH) Qty: 6600, FAB: 15-Oct, DEL: 12/7-3600, 1/18-1500, 2/22-1500, Peak Tgt: 180, BU-3 (AID+14)</t>
  </si>
  <si>
    <t>T-AUS, Win22 Q4-LD,  #191550/250115, (LIGHT WASH) Qty: 4300, FAB: , DEL: 2/22-1400, 3/29-1400, 4/26-1500, Peak Tgt: 180, BU-3 (AID+7)</t>
  </si>
  <si>
    <t>KONTOOR, FW22,  #102161543, (Grey) Qty: 9500, FAB: 26-Oct, DEL: 18-Dec, Peak Tgt: 170, BU-3 ()</t>
  </si>
  <si>
    <t>KONTOOR, SS22,  #103525101, (Black) Qty: 500, FAB: 25-Nov, DEL: 1-Jan, Peak Tgt: TBA, BU-TBA (VM)</t>
  </si>
  <si>
    <t>KONTOOR, SS22,  #112314783, (SPRING SUNSHINE) Qty: 697, FAB: 25-Nov, DEL: 1-Jan, Peak Tgt: TBA, BU-TBA (VM)</t>
  </si>
  <si>
    <t>KONTOOR, SS22,  #112314437, (CHARCOAL ) Qty: 1000, FAB: OK, DEL: 1-Jan, Peak Tgt: TBA, BU-TBA (VM)</t>
  </si>
  <si>
    <t>KONTOOR, SS22,  #112314439, (ROUNDABOUT ) Qty: 1000, FAB: OK, DEL: 1-Jan, Peak Tgt: TBA, BU-TBA (VM)</t>
  </si>
  <si>
    <t>KONTOOR, SS22,  #112314438, (LAUNDERED LIGHT) Qty: 2000, FAB: OK, DEL: 1-Jan, Peak Tgt: TBA, BU-TBA (VM)</t>
  </si>
  <si>
    <t>KONTOOR, SS22,  #112314423, (DEALER'S CHOICE (LIGHT)) Qty: 3050, FAB: 28-Oct, DEL: 13-Nov, Peak Tgt: TBA, BU-TBA (VM)</t>
  </si>
  <si>
    <t>KONTOOR, SS22,  #112314455, (THRASHED INDIGO) Qty: 2100, FAB: 28-Oct, DEL: 20-Nov, Peak Tgt: TBA, BU-TBA (VM)</t>
  </si>
  <si>
    <t>KONTOOR, SS22,  #112314422, (GREY) Qty: 1350, FAB: OK, Accs: 27-Oct, DEL: 20-Nov, Peak Tgt: TBA, BU-TBA (VM)</t>
  </si>
  <si>
    <t>KONTOOR, SS22,  #112314465, (OVER UNDER) Qty: 547, FAB: 28-Oct, DEL: 27-Nov, Peak Tgt: TBA, BU-TBA (VM)</t>
  </si>
  <si>
    <t>KONTOOR, SS22,  #112314472, (WORTH IT) Qty: 677, FAB: 28-Oct, DEL: 27-Nov, Peak Tgt: TBA, BU-TBA (VM)</t>
  </si>
  <si>
    <t>KONTOOR, SS22,  #112314424, (TO THE MAX (DARK)) Qty: 2015, FAB: 28-Oct, DEL: 13-Nov, Peak Tgt: TBA, BU-TBA (VM)</t>
  </si>
  <si>
    <t>KONTOOR, SS22,  #112314471, (ROSEWATER) Qty: 990, FAB: 28-Oct, DEL: 20-Nov, Peak Tgt: TBA, BU-TBA (VM)</t>
  </si>
  <si>
    <t>KONTOOR, SS22,  #112314474, (ROSEWATER) Qty: 745, FAB: 28-Oct, DEL: 20-Nov, Peak Tgt: TBA, BU-TBA (VM)</t>
  </si>
  <si>
    <t>KONTOOR, SS22,  #112314420, (ULTRA WAVE) Qty: 1500, FAB: 28-Oct, DEL: 27-Nov, Peak Tgt: TBA, BU-TBA (VM)</t>
  </si>
  <si>
    <t>KONTOOR, SS22,  #112314473, (FUN IN THE SUN) Qty: 940, FAB: 28-Oct, DEL: 27-Nov, Peak Tgt: TBA, BU-TBA (VM)</t>
  </si>
  <si>
    <t>KONTOOR, SS22,  #MB124, (MB124) Qty: 10106, FAB: TBA, DEL: 30-Nov, Peak Tgt: 180, BU-3 (CN)</t>
  </si>
  <si>
    <t>KONTOOR, SS22,  #MB14, (MB14) Qty: 4670, FAB: TBA, DEL: 30-Nov, Peak Tgt: 140, BU-4 (CN)</t>
  </si>
  <si>
    <t>T-AUS, Win22 Q3-LD,  #234962, (MID WASH) Qty: 7992, FAB: OK, Accs: 28-Oct, DEL: 11/16-1998, 12/7-1998, 12/28-1998, 1/18-1998, Peak Tgt: 180, BU-3 (AID+14)</t>
  </si>
  <si>
    <t>T-AUS, Win22 Q3-LD,  #234983, (WHITE) Qty: 5400, FAB: 26-Oct, DEL: 11/16-2800, 12/21-2600, Peak Tgt: 180, BU-3 (AID+14)</t>
  </si>
  <si>
    <t>T-AUS, Win22 Q3-MN,  #186058PN, (Blue Black) Qty: 2028, FAB: 30-Nov, DEL: 12/7-494, 4/3-500, Peak Tgt: 180, BU-3 (AID+14)</t>
  </si>
  <si>
    <t>T-AUS, Win22 Q3-LD,  #234989, (MID WASH) Qty: 6000, FAB: OK, Accs: 11-Nov, DEL: 12/7-4200, 1/18-1800, Peak Tgt: 180, BU-3 (AID+14)</t>
  </si>
  <si>
    <t>T-AUS, Win22 Q3-MN,  #208700N/232622, (BLUE/BLACK) Qty: 1495, FAB: OK, Accs: 11-Nov, DEL: 12/19-494, 1/23-1001, Peak Tgt: 180, BU-3 (AID+14)</t>
  </si>
  <si>
    <t>T-AUS, Win22 Q3-MN,  #236178, (Indigo) Qty: 3000, FAB: 28-Oct,Accs: 11-Nov , DEL: 12/19-2500, 1/23-500, Peak Tgt: 180, BU-3 (AID+14)</t>
  </si>
  <si>
    <t>GU, SS22-Pro,  #H050A, (TBA) Qty: 15000, FAB: TBA, DEL: 14-Dec, Peak Tgt: 280, BU-3 (Ph2)</t>
  </si>
  <si>
    <t>T-AUS, Win22 Q3-LD,  #213268, (STAY BLACK) Qty: 12600, FAB: 25-Oct, Accs: 4-Nov, DEL: 11/30-6000, 1/4-3600, 2/1-3000, Peak Tgt: 180, BU-3 (AID+14)</t>
  </si>
  <si>
    <t>KONTOOR, SS22,  #MB113, (MB113) Qty: 8724, FAB: OK, Sample: 10-Nov, DEL: 4-Jan, Peak Tgt: 170, BU-3 (CN)</t>
  </si>
  <si>
    <t>KONTOOR, SS22,  #WB64, (WB64) Qty: 2611, FAB: OK, Sample: 15-Nov, DEL: 4-Jan, Peak Tgt: 100, BU-4 (CN)</t>
  </si>
  <si>
    <t>T-AUS, Win22 Q3-LD,  #235007, (LIGHT WASH) Qty: 5640, FAB: 30-Oct, Accs: 4-Nov , DEL: 12/12-3240, 1/9-800, 2/20-800, 3/27-800, Peak Tgt: 180, BU-3 (AID+14)</t>
  </si>
  <si>
    <t>T-AUS, Win22 Q3-LD,  #234988, ( LIGHT WASH) Qty: 6200, FAB: OK, DEL: 12/7-4200, 1/25-2000, Peak Tgt: 180, BU-3 (AID+14)</t>
  </si>
  <si>
    <t>234996A</t>
  </si>
  <si>
    <t>T-AUS, Win22 Q3-MN,  #236189, (Blue/Black) Qty: 4000, FAB: 30-Nov, DEL: 12/21-3000, 1/25-1000, Peak Tgt: 180, BU-3 (AID+14)</t>
  </si>
  <si>
    <t>T-AUS, Win22 Q3-LD,  #209026A, (BLUE/BLACK) Qty: 7802, FAB: 11-Oct, DEL: 11/16-1400, 12/14-3602, 1/4-1400, 1/25-1400, Peak Tgt: 180, BU-3 (AID+14, Bal-1990)</t>
  </si>
  <si>
    <t>KONTOOR, SS22,  #102018224, (Executive) Qty: 1288, FAB: TBA, DEL: 1-Jan, Peak Tgt: 170, BU-3 ()</t>
  </si>
  <si>
    <t>GU, SS22,  #H048B (#01), Qty: 23496, FAB: OK, DEL: 14-Dec, Peak Tgt: 140, BU-4 (10956)</t>
  </si>
  <si>
    <t>GU, SS22,  #H048B (#66, #69), Qty: 23496, FAB: OK, DEL: 14-Dec, Peak Tgt: 140, BU-4 (12540)</t>
  </si>
  <si>
    <t>GU, SS22,  #H048B (#01), Qty: 20004, FAB: OK, DEL: 13-Jan, Peak Tgt: 140, BU-4 (9996)</t>
  </si>
  <si>
    <t>GU, SS22,  #H048B (#66, #69), Qty: 20004, FAB: OK, DEL: 13-Jan, Peak Tgt: 140, BU-4 (10008)</t>
  </si>
  <si>
    <t>GU, SS22,  #F048B, Qty: 477400, FAB: OK, DEL: 15-Feb/29000, Peak Tgt: 140, BU-4</t>
  </si>
  <si>
    <t>GU, SS22,  #F048B, Qty: 477400, FAB: OK, DEL: 2/22-20000, Peak Tgt: 140, BU-4</t>
  </si>
  <si>
    <t>GU, SS22,  #F048B, Qty: 477400, FAB: OK, DEL: 3/13-23000, Peak Tgt: 140, BU-4</t>
  </si>
  <si>
    <t>GU, SS22,  #H048B, Qty: 477400, FAB: OK, DEL: 4/24-32500, Peak Tgt: 140, BU-4</t>
  </si>
  <si>
    <t>GU, SS22,  #N030B, (TBA) Qty: 90100, FAB: TBA, DEL: 1-Feb, Peak Tgt: 200, BU-3 (Mens)</t>
  </si>
  <si>
    <t>GU, SS22,  #N030B, (TBA) Qty: 20000, FAB: TBA, DEL: 26-Mar, Peak Tgt: 200, BU-3 (Mens)</t>
  </si>
  <si>
    <t>GU, SS22,  #N030B, (TBA) Qty: 37700, FAB: TBA, DEL: 12-Apr, Peak Tgt: 200, BU-3 (Mens)</t>
  </si>
  <si>
    <t>233852</t>
  </si>
  <si>
    <t>226664</t>
  </si>
  <si>
    <t>GU, SS22-Pro,  #H060A, (TBA) Qty: 10000, FAB: 20-Nov, DEL: 9-Dec, Peak Tgt: 220?, BU-3 (Ph1)</t>
  </si>
  <si>
    <t>GU, SS22-Pro,  #N020A, (TBA) Qty: 20000, FAB: 28-Dec, DEL: 14-Feb, Peak Tgt: 250, BU-3 (Ph1)</t>
  </si>
  <si>
    <t>T-USA, C2'22_BB,  #YR9GLW, (SHANE) Qty: 43000, FAB: 15-Nov, DEL: 21-Dec, Peak Tgt: 220, BU-3 ()</t>
  </si>
  <si>
    <t>GU, SS22-Pro,  #N050A, (TBA) Qty: 10000, FAB: 27-Dec, DEL: 8-Feb, Peak Tgt: 250, BU-3 (Ph1)</t>
  </si>
  <si>
    <t>GU, SS22-Pro,  #N020A, (#68) Qty: 25000, FAB: TBA, DEL: 11-Jan, Peak Tgt: 250, BU-3 (Ph1-11268)</t>
  </si>
  <si>
    <t>GU, SS22-Pro,  #H050A, (TBA) Qty: 10300, FAB: 10-Jan, Accs: 20-Jan, DEL: 14-Feb, Peak Tgt: 270, BU-3 (Ph3(Adj))</t>
  </si>
  <si>
    <t>GU, SS22-Pro,  #H001A, (TBA) Qty: 7000, FAB: 10-Jan, Accs: 20-Jan, DEL: 14-Feb, Peak Tgt: 230, BU-3 (Ph3(adj))</t>
  </si>
  <si>
    <t>GU, SS22,  #N101A, (TBA) Qty: 20000, FAB: 25-Jan, DEL: 1-Feb, Peak Tgt: 160, BU-4 ()</t>
  </si>
  <si>
    <t>112314422</t>
  </si>
  <si>
    <t>234962</t>
  </si>
  <si>
    <t>KONTOOR, SS22,  #1009MWZMS, (DARK BLUE) Qty: 5400, FAB: 15-Feb, DEL: Apr, Peak Tgt: 180, BU-4 ()</t>
  </si>
  <si>
    <t>KONTOOR, FW22,  #1009MWZAH, (Black) Qty: 20800, FAB: 28-Feb, DEL: April, Peak Tgt: 190, BU-3 ()</t>
  </si>
  <si>
    <t>KONTOOR, FW22,  #1009MWZAH, (Black) Qty: 66000, FAB:TBA, DEL: 8/15-20K, 8/22-21K, 8/29-25K, Peak Tgt: 190, BU-3 ()</t>
  </si>
  <si>
    <t>KONTOOR, SS22,  #1009MWZMS, (DARK BLUE) Qty: 43350, FAB: TBA, DEL: 20-Jun, Peak Tgt: 180, BU-4 ()</t>
  </si>
  <si>
    <t>KONTOOR, SS22,  #1009MWZMS, (DARK BLUE) Qty: 29600, FAB: TBA, DEL: 25-Jul, Peak Tgt: 180, BU-4 ()</t>
  </si>
  <si>
    <t>KONTOOR, SS22,  #1009MWZMS, (DARK BLUE) Qty: 105000, FAB: TBA, DEL: 8-Aug, Peak Tgt: 180, BU-4 ()</t>
  </si>
  <si>
    <t>112314423</t>
  </si>
  <si>
    <t>112314424</t>
  </si>
  <si>
    <t>112314455</t>
  </si>
  <si>
    <t>189207</t>
  </si>
  <si>
    <t>KONTOOR, FW22,  #1009MWZAH, (Black) Qty: 32800, FAB:TBA, DEL: 13-Jun, Peak Tgt: 190, BU-3 ()</t>
  </si>
  <si>
    <t>KONTOOR, FW22,  #1009MWZAH, (Black) Qty: 22800, FAB:TBA, DEL: 18-Jul, Peak Tgt: 190, BU-3 ()</t>
  </si>
  <si>
    <t>MB124</t>
  </si>
  <si>
    <t>236187</t>
  </si>
  <si>
    <t>240585B</t>
  </si>
  <si>
    <t>234983</t>
  </si>
  <si>
    <t>234959</t>
  </si>
  <si>
    <t>103087177</t>
  </si>
  <si>
    <t>T-AUS, Win22 Q3-LD,  #197624, (LIGHT WASH) Qty: 8400, FAB: 10-Oct, DEL: 11/9-3600, 12/14-1600, 1/4-1600, 2/8-1600, Peak Tgt: 180, BU-3 (AID+14, Plan 1600)</t>
  </si>
  <si>
    <t>KONTOOR, SS22,  #WB72, (WB72) Qty: 3894, FAB: 10-Oct, DEL: 16-Nov, Peak Tgt: 180, BU-3 (Bal Plan 1667)</t>
  </si>
  <si>
    <t>T-AUS, Win22 Q3-LD,  #235021, (MID WASH) Qty: 7200, FAB: , DEL: 11/9-3600, 12/21-1800, 1/18-1800, Peak Tgt: 180, BU-3 (AID+14 Plan 1250)</t>
  </si>
  <si>
    <t>T-USA, C1'22_MN,  #YM8WR, (ZINGER) Qty: 32574, FAB: TBA, DEL: 30-Oct to 27-Nov/20824, Peak Tgt: 210, BU-3 (Plan 1500)</t>
  </si>
  <si>
    <t>T-AUS, Win22 Q3-LD,  #211253, (INDIGO) Qty: 10000, FAB: 12-Oct, Trim: 21-Oct, DEL: 11/30-4000, 1/4-3000, 2/1-3000, Peak Tgt: 180, BU-3 (AID+14, Plan-5477)</t>
  </si>
  <si>
    <t>T-USA, C1'22_MN,  #9ME51, (ACE) Qty: 25806, FAB: TBA, DEL: 30-Oct to 13-Nov/9576, Peak Tgt: 210, BU-3 (Plan-12475)</t>
  </si>
  <si>
    <t>GU, SS22,  #N102A, (TBA) Qty: 15000, FAB: 30-Jan, DEL: 1-Feb, Peak Tgt: 210, BU-3 ()</t>
  </si>
  <si>
    <t>GU, SS22,  #N058A, (TBA) Qty: 35900, FAB: 6-Jan, DEL: 15-Feb, Peak Tgt: 220, BU-3 ()</t>
  </si>
  <si>
    <t>GU, SS22,  #N058A, (TBA) Qty: 10000, FAB: 24-Jan, DEL: 14-Mar, Peak Tgt: 220, BU-3 ()</t>
  </si>
  <si>
    <t>GU, SS22,  #N061A, (TBA) Qty: 36000, FAB: 20-Dec, DEL: 10-Jan, Peak Tgt: 210, BU-3 ()</t>
  </si>
  <si>
    <t>GU, SS22,  #N061A, (TBA) Qty: 15000, FAB: 8-Jan, DEL: 7-Feb, Peak Tgt: 210, BU-3 ()</t>
  </si>
  <si>
    <t>112314472</t>
  </si>
  <si>
    <t>112314473</t>
  </si>
  <si>
    <t>112314474</t>
  </si>
  <si>
    <t>112314471</t>
  </si>
  <si>
    <t>GU, SS22,  #N033A, (TBA) Qty: 11700, FAB: TBA, DEL: 14-Feb, Peak Tgt: 190, BU-3 (Mens)</t>
  </si>
  <si>
    <t>UC-50000, Del-12/25 &amp; 1/8</t>
  </si>
  <si>
    <t>GU, SS22,  #N064A, (TBA) Qty: 56800, FAB: 26-Dec, DEL: 7-Feb, Peak Tgt: 180, BU-3 ()</t>
  </si>
  <si>
    <t>GU, SS22,  #N069A, (TBA) Qty: 16000, FAB: 8-Feb, DEL: 1-Mar, Peak Tgt: 180, BU-4 ()</t>
  </si>
  <si>
    <t>GU, SS22,  #N030B, (TBA) Qty: 20000, FAB: TBA, DEL: 21-Mar, Peak Tgt: 200, BU-3 (Mens)</t>
  </si>
  <si>
    <t>GU, SS22-Pro,  #N020A, (TBA) Qty: 21000, FAB: TBA, DEL: 28-Mar/21000, Peak Tgt: 250, BU-3 (Ph2)</t>
  </si>
  <si>
    <t>GU, SS22-Pro,  #N020A, (TBA) Qty: 10000, FAB: TBA, DEL: 11-Apr/10000, Peak Tgt: 250, BU-3 (Ph2)</t>
  </si>
  <si>
    <t>GU, SS22-Pro,  #N050A, (TBA) Qty: 27000, FAB: TBA, DEL: 11-Apr, Peak Tgt: 250, BU-3 (Ph1)</t>
  </si>
  <si>
    <t>GU, SS22-Pro,  #N050A, (TBA) Qty: 10000, FAB: TBA, DEL: 25-Apr, Peak Tgt: 250, BU-3 (Ph1)</t>
  </si>
  <si>
    <t>TUSA-C3-22, Mens-JKT,  Qty-40000 Pcs</t>
  </si>
  <si>
    <t>TUSA-C3-22, BB-JKT,  Qty-50748 Pcs</t>
  </si>
  <si>
    <t>TUSA-C3-22, Mens Hemp,  Qty-284,000</t>
  </si>
  <si>
    <t>TUSA-C3-22, Mens Hemp,  Qty-284,000 Pcs, Fab: 20-Feb, Del: 16-Apr/216,000 Pcs</t>
  </si>
  <si>
    <t>TUSA-C3-22, Mens,  Qty-240,000 Pcs, Del: 24-Apr</t>
  </si>
  <si>
    <t>TUSA-C3-22, BB,  Qty-10,96,000 Pcs</t>
  </si>
  <si>
    <t>GU, FW22-Pro,  #F050A, (TBA) Qty: 88000, FAB: TBA, DEL: 2-May, Peak Tgt: 260, BU-3 (Ph1)</t>
  </si>
  <si>
    <t>GU, FW22-Pro,  #F050A, (TBA) Qty: 11600, FAB: TBA, DEL: 13-Jun, Peak Tgt: 260, BU-3 (Ph1)</t>
  </si>
  <si>
    <t>GU, SS22,  #N064A, (TBA) Qty: 20000, FAB: TBA, DEL: 11-Apr, Peak Tgt: 180, BU-3 ()</t>
  </si>
  <si>
    <t>KONTOOR, SS22,  #TBA</t>
  </si>
  <si>
    <t>234960</t>
  </si>
  <si>
    <t>234988</t>
  </si>
  <si>
    <t>234989</t>
  </si>
  <si>
    <t>LMB100741/MB14</t>
  </si>
  <si>
    <t>112314420</t>
  </si>
  <si>
    <t>112314465</t>
  </si>
  <si>
    <t>KONTOOR, FW22,  #102015037, (Maverick) Qty: 2000, FAB: TBA, DEL: 20-Mar, Peak Tgt: 170, BU-3 ()</t>
  </si>
  <si>
    <t>KONTOOR, FW22,  #102105037, (Maverick) Qty: 1500, FAB: TBA, DEL: 20-Mar, Peak Tgt: 170, BU-3 ()</t>
  </si>
  <si>
    <t>KONTOOR, FW22,  #102161543, (Grey) Qty: 12300, FAB: TBA, DEL: 20-Mar, Peak Tgt: 170, BU-3 ()</t>
  </si>
  <si>
    <t>KONTOOR, FW22,  #103162043, (Lead Grey) Qty: 1100, FAB: TBA, DEL: 20-Mar, Peak Tgt: 170, BU-3 ()</t>
  </si>
  <si>
    <t>KONTOOR, FW22,  #103162030, (Distance) Qty: 1700, FAB: TBA, DEL: 13-Mar, Peak Tgt: 170, BU-3 ()</t>
  </si>
  <si>
    <t>KONTOOR, FW22,  #102162030, (Distance) Qty: 3000, FAB: TBA, DEL: 13-Mar, Peak Tgt: 170, BU-3 ()</t>
  </si>
  <si>
    <t>KONTOOR, FW22,  #10ZMREB10, (White) Qty: 6000, FAB: TBA, DEL: 16-Apr, Peak Tgt: 190, BU-3 ()</t>
  </si>
  <si>
    <t>TUSA-C4-22, BB,  Qty-347K/1263K</t>
  </si>
  <si>
    <t>TUSA-C4-22, Mens,  Qty-346K/737K</t>
  </si>
  <si>
    <t>TUSA-C4-22, ITB,  Qty-422K</t>
  </si>
  <si>
    <t>TUSA-C4-22, Mens,  Qty-391K/737K</t>
  </si>
  <si>
    <t>TUSA-C4-22, BB,  Qty-766K</t>
  </si>
  <si>
    <t>T-AUS, Win22 Q3-LD,  #234996A, (MID WASH) Qty: 6600, FAB: 10-Oct, DEL: 11/9-3600, 12/14-1000, 1/4-1000, 2/8-1000, Peak Tgt: 180, BU-3 (AID+14, Plan-1000)</t>
  </si>
  <si>
    <t>KONTOOR, SS22,  #Sep (TBA) Qty: 100000, FAB: TBA, DEL: 1-Jul, Peak Tgt: 155, BU-4 (25000 Bal)</t>
  </si>
  <si>
    <t>T-AUS, Win22 Q3-LD,  #232515, (Midwash) Qty: 7400, FAB: 11-Oct, DEL: 11/16-1800, 12/21-3800, 1/18-1800, Peak Tgt: 180, BU-3 (AID+14, Plan-1800)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</si>
</sst>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m/d;@"/>
  </numFmts>
  <fonts count="1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name val="Calibri"/>
      <family val="1"/>
      <scheme val="minor"/>
    </font>
    <font>
      <sz val="11"/>
      <color theme="1"/>
      <name val="Agency FB"/>
      <family val="2"/>
    </font>
    <font>
      <sz val="11"/>
      <color rgb="FF3F3F76"/>
      <name val="Agency FB"/>
      <family val="2"/>
    </font>
    <font>
      <b/>
      <sz val="11"/>
      <color rgb="FFFA7D00"/>
      <name val="Agency FB"/>
      <family val="2"/>
    </font>
    <font>
      <sz val="16"/>
      <name val="Arial"/>
      <family val="2"/>
    </font>
    <font>
      <b/>
      <sz val="14"/>
      <color theme="0"/>
      <name val="Arial"/>
      <family val="2"/>
    </font>
    <font>
      <u/>
      <sz val="16"/>
      <name val="Arial"/>
      <family val="2"/>
    </font>
    <font>
      <sz val="14"/>
      <name val="Times New Roman"/>
      <family val="1"/>
    </font>
    <font>
      <sz val="14"/>
      <name val="Arial"/>
      <family val="2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6"/>
      <color theme="2"/>
      <name val="Arial"/>
      <family val="2"/>
    </font>
    <font>
      <sz val="10"/>
      <color indexed="8"/>
      <name val="Times New Roman"/>
      <family val="1"/>
    </font>
    <font>
      <b/>
      <sz val="16"/>
      <color rgb="FFFFFF00"/>
      <name val="Arial"/>
      <family val="2"/>
    </font>
    <font>
      <sz val="16"/>
      <name val="Times New Roman"/>
      <family val="1"/>
    </font>
    <font>
      <b/>
      <sz val="16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72"/>
      <color rgb="FFFF0000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6"/>
      <color rgb="FFFF0000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Arial"/>
      <family val="2"/>
    </font>
    <font>
      <vertAlign val="superscript"/>
      <sz val="18"/>
      <name val="Tahoma"/>
      <family val="2"/>
    </font>
    <font>
      <b/>
      <sz val="20"/>
      <color theme="1"/>
      <name val="Calibri"/>
      <family val="2"/>
      <scheme val="minor"/>
    </font>
    <font>
      <b/>
      <sz val="16"/>
      <color indexed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6"/>
      <color theme="9" tint="-0.249977111117893"/>
      <name val="Arial"/>
      <family val="2"/>
    </font>
    <font>
      <b/>
      <sz val="9"/>
      <color indexed="81"/>
      <name val="Tahoma"/>
      <family val="2"/>
    </font>
    <font>
      <b/>
      <sz val="48"/>
      <name val="Arial"/>
      <family val="2"/>
    </font>
    <font>
      <b/>
      <sz val="65"/>
      <name val="Arial"/>
      <family val="2"/>
    </font>
    <font>
      <sz val="60"/>
      <name val="Arial"/>
      <family val="2"/>
    </font>
    <font>
      <b/>
      <sz val="60"/>
      <name val="Arial"/>
      <family val="2"/>
    </font>
    <font>
      <sz val="11"/>
      <color indexed="8"/>
      <name val="Calibri"/>
      <family val="2"/>
    </font>
    <font>
      <sz val="11"/>
      <color theme="5"/>
      <name val="Calibri"/>
      <family val="2"/>
      <scheme val="minor"/>
    </font>
    <font>
      <b/>
      <sz val="16"/>
      <color rgb="FFFF0066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24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Arial"/>
      <family val="2"/>
    </font>
    <font>
      <b/>
      <sz val="16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00"/>
      <name val="Calibri"/>
      <family val="2"/>
      <scheme val="minor"/>
    </font>
    <font>
      <b/>
      <sz val="10"/>
      <color rgb="FFFFFF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indexed="81"/>
      <name val="Tahoma"/>
      <family val="2"/>
    </font>
    <font>
      <b/>
      <sz val="11"/>
      <color theme="0"/>
      <name val="Arial"/>
      <family val="2"/>
    </font>
    <font>
      <sz val="10"/>
      <color rgb="FF0000FF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16"/>
      <name val="Agency FB"/>
      <family val="2"/>
    </font>
    <font>
      <sz val="12"/>
      <name val="Arial"/>
      <family val="2"/>
    </font>
    <font>
      <b/>
      <sz val="16"/>
      <name val="Bahnschrift Condensed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6"/>
      <name val="Arial"/>
      <family val="2"/>
    </font>
    <font>
      <i/>
      <sz val="10"/>
      <name val="Arial"/>
      <family val="2"/>
    </font>
    <font>
      <b/>
      <u/>
      <sz val="1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2AE5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lightGray"/>
    </fill>
    <fill>
      <patternFill patternType="solid">
        <fgColor indexed="6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00CC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/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thin">
        <color auto="1"/>
      </bottom>
      <diagonal/>
    </border>
    <border>
      <left/>
      <right style="medium">
        <color indexed="64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</borders>
  <cellStyleXfs count="91">
    <xf numFmtId="0" fontId="0" fillId="0" borderId="0"/>
    <xf numFmtId="43" fontId="79" fillId="0" borderId="0" applyFont="0" applyFill="0" applyBorder="0" applyAlignment="0" applyProtection="0"/>
    <xf numFmtId="44" fontId="79" fillId="0" borderId="0" applyFont="0" applyFill="0" applyBorder="0" applyAlignment="0" applyProtection="0"/>
    <xf numFmtId="0" fontId="80" fillId="0" borderId="0"/>
    <xf numFmtId="0" fontId="76" fillId="0" borderId="0"/>
    <xf numFmtId="9" fontId="79" fillId="0" borderId="0" applyFont="0" applyFill="0" applyBorder="0" applyAlignment="0" applyProtection="0"/>
    <xf numFmtId="0" fontId="77" fillId="0" borderId="0">
      <alignment vertical="top"/>
    </xf>
    <xf numFmtId="0" fontId="81" fillId="0" borderId="0"/>
    <xf numFmtId="0" fontId="82" fillId="7" borderId="0" applyNumberFormat="0" applyBorder="0" applyAlignment="0" applyProtection="0"/>
    <xf numFmtId="0" fontId="83" fillId="5" borderId="2" applyNumberFormat="0" applyAlignment="0" applyProtection="0"/>
    <xf numFmtId="0" fontId="84" fillId="6" borderId="2" applyNumberFormat="0" applyAlignment="0" applyProtection="0"/>
    <xf numFmtId="0" fontId="74" fillId="0" borderId="0"/>
    <xf numFmtId="43" fontId="74" fillId="0" borderId="0" applyFont="0" applyFill="0" applyBorder="0" applyAlignment="0" applyProtection="0"/>
    <xf numFmtId="44" fontId="74" fillId="0" borderId="0" applyFont="0" applyFill="0" applyBorder="0" applyAlignment="0" applyProtection="0"/>
    <xf numFmtId="0" fontId="74" fillId="0" borderId="0"/>
    <xf numFmtId="9" fontId="74" fillId="0" borderId="0" applyFont="0" applyFill="0" applyBorder="0" applyAlignment="0" applyProtection="0"/>
    <xf numFmtId="0" fontId="73" fillId="0" borderId="0"/>
    <xf numFmtId="44" fontId="74" fillId="0" borderId="0" applyFont="0" applyFill="0" applyBorder="0" applyAlignment="0" applyProtection="0"/>
    <xf numFmtId="44" fontId="74" fillId="0" borderId="0" applyFont="0" applyFill="0" applyBorder="0" applyAlignment="0" applyProtection="0"/>
    <xf numFmtId="44" fontId="74" fillId="0" borderId="0" applyFont="0" applyFill="0" applyBorder="0" applyAlignment="0" applyProtection="0"/>
    <xf numFmtId="0" fontId="98" fillId="0" borderId="0"/>
    <xf numFmtId="0" fontId="74" fillId="0" borderId="0"/>
    <xf numFmtId="43" fontId="74" fillId="0" borderId="0" applyFont="0" applyFill="0" applyBorder="0" applyAlignment="0" applyProtection="0"/>
    <xf numFmtId="44" fontId="74" fillId="0" borderId="0" applyFont="0" applyFill="0" applyBorder="0" applyAlignment="0" applyProtection="0"/>
    <xf numFmtId="0" fontId="72" fillId="0" borderId="0"/>
    <xf numFmtId="0" fontId="71" fillId="0" borderId="0"/>
    <xf numFmtId="0" fontId="70" fillId="0" borderId="0"/>
    <xf numFmtId="0" fontId="70" fillId="0" borderId="0"/>
    <xf numFmtId="0" fontId="70" fillId="0" borderId="0"/>
    <xf numFmtId="0" fontId="69" fillId="0" borderId="0"/>
    <xf numFmtId="0" fontId="77" fillId="0" borderId="0">
      <alignment vertical="top"/>
    </xf>
    <xf numFmtId="0" fontId="68" fillId="0" borderId="0"/>
    <xf numFmtId="0" fontId="74" fillId="0" borderId="0"/>
    <xf numFmtId="44" fontId="74" fillId="0" borderId="0" applyFont="0" applyFill="0" applyBorder="0" applyAlignment="0" applyProtection="0"/>
    <xf numFmtId="0" fontId="74" fillId="0" borderId="0"/>
    <xf numFmtId="9" fontId="74" fillId="0" borderId="0" applyFont="0" applyFill="0" applyBorder="0" applyAlignment="0" applyProtection="0"/>
    <xf numFmtId="43" fontId="113" fillId="0" borderId="0" applyFont="0" applyFill="0" applyBorder="0" applyAlignment="0" applyProtection="0"/>
    <xf numFmtId="44" fontId="67" fillId="0" borderId="0" applyFont="0" applyFill="0" applyBorder="0" applyAlignment="0" applyProtection="0"/>
    <xf numFmtId="0" fontId="67" fillId="0" borderId="0"/>
    <xf numFmtId="9" fontId="67" fillId="0" borderId="0" applyFont="0" applyFill="0" applyBorder="0" applyAlignment="0" applyProtection="0"/>
    <xf numFmtId="0" fontId="121" fillId="0" borderId="0"/>
    <xf numFmtId="0" fontId="121" fillId="0" borderId="0"/>
    <xf numFmtId="0" fontId="6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44" fontId="54" fillId="0" borderId="0" applyFont="0" applyFill="0" applyBorder="0" applyAlignment="0" applyProtection="0"/>
    <xf numFmtId="0" fontId="54" fillId="0" borderId="0"/>
    <xf numFmtId="9" fontId="54" fillId="0" borderId="0" applyFont="0" applyFill="0" applyBorder="0" applyAlignment="0" applyProtection="0"/>
    <xf numFmtId="0" fontId="54" fillId="0" borderId="0"/>
    <xf numFmtId="44" fontId="54" fillId="0" borderId="0" applyFont="0" applyFill="0" applyBorder="0" applyAlignment="0" applyProtection="0"/>
    <xf numFmtId="0" fontId="54" fillId="0" borderId="0"/>
    <xf numFmtId="9" fontId="54" fillId="0" borderId="0" applyFont="0" applyFill="0" applyBorder="0" applyAlignment="0" applyProtection="0"/>
    <xf numFmtId="44" fontId="54" fillId="0" borderId="0" applyFont="0" applyFill="0" applyBorder="0" applyAlignment="0" applyProtection="0"/>
    <xf numFmtId="0" fontId="54" fillId="0" borderId="0"/>
    <xf numFmtId="9" fontId="54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44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44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0" fontId="50" fillId="0" borderId="0"/>
    <xf numFmtId="44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  <xf numFmtId="44" fontId="50" fillId="0" borderId="0" applyFont="0" applyFill="0" applyBorder="0" applyAlignment="0" applyProtection="0"/>
    <xf numFmtId="0" fontId="50" fillId="0" borderId="0"/>
    <xf numFmtId="9" fontId="50" fillId="0" borderId="0" applyFont="0" applyFill="0" applyBorder="0" applyAlignment="0" applyProtection="0"/>
  </cellStyleXfs>
  <cellXfs count="791">
    <xf numFmtId="0" fontId="0" fillId="0" borderId="0" xfId="0"/>
    <xf numFmtId="0" fontId="87" fillId="0" borderId="0" xfId="11" applyFont="1" applyBorder="1" applyAlignment="1">
      <alignment horizontal="center" vertical="center"/>
    </xf>
    <xf numFmtId="0" fontId="88" fillId="0" borderId="1" xfId="11" applyFont="1" applyFill="1" applyBorder="1" applyAlignment="1">
      <alignment horizontal="center" vertical="center" wrapText="1"/>
    </xf>
    <xf numFmtId="0" fontId="88" fillId="4" borderId="1" xfId="11" applyFont="1" applyFill="1" applyBorder="1" applyAlignment="1">
      <alignment horizontal="center" vertical="center" wrapText="1"/>
    </xf>
    <xf numFmtId="0" fontId="91" fillId="11" borderId="0" xfId="11" applyFont="1" applyFill="1" applyAlignment="1">
      <alignment horizontal="left" vertical="center"/>
    </xf>
    <xf numFmtId="0" fontId="93" fillId="0" borderId="1" xfId="11" applyFont="1" applyFill="1" applyBorder="1" applyAlignment="1">
      <alignment horizontal="center" vertical="center"/>
    </xf>
    <xf numFmtId="0" fontId="75" fillId="3" borderId="0" xfId="11" applyFont="1" applyFill="1" applyBorder="1" applyAlignment="1">
      <alignment horizontal="center" vertical="center"/>
    </xf>
    <xf numFmtId="0" fontId="74" fillId="0" borderId="1" xfId="11" applyFont="1" applyFill="1" applyBorder="1" applyAlignment="1">
      <alignment horizontal="center" vertical="center"/>
    </xf>
    <xf numFmtId="0" fontId="74" fillId="0" borderId="1" xfId="11" applyFont="1" applyBorder="1" applyAlignment="1">
      <alignment horizontal="center" vertical="center"/>
    </xf>
    <xf numFmtId="0" fontId="74" fillId="0" borderId="1" xfId="11" applyFont="1" applyFill="1" applyBorder="1"/>
    <xf numFmtId="0" fontId="74" fillId="10" borderId="1" xfId="11" applyFont="1" applyFill="1" applyBorder="1" applyAlignment="1">
      <alignment horizontal="center" vertical="center"/>
    </xf>
    <xf numFmtId="0" fontId="74" fillId="0" borderId="1" xfId="11" applyFont="1" applyFill="1" applyBorder="1" applyAlignment="1">
      <alignment vertical="center"/>
    </xf>
    <xf numFmtId="0" fontId="74" fillId="3" borderId="1" xfId="11" applyFont="1" applyFill="1" applyBorder="1" applyAlignment="1">
      <alignment horizontal="center" vertical="center"/>
    </xf>
    <xf numFmtId="0" fontId="74" fillId="0" borderId="5" xfId="11" applyFont="1" applyFill="1" applyBorder="1"/>
    <xf numFmtId="0" fontId="74" fillId="0" borderId="20" xfId="11" applyFont="1" applyBorder="1"/>
    <xf numFmtId="0" fontId="91" fillId="2" borderId="0" xfId="11" applyFont="1" applyFill="1" applyBorder="1" applyAlignment="1">
      <alignment vertical="center"/>
    </xf>
    <xf numFmtId="0" fontId="74" fillId="0" borderId="17" xfId="11" applyFont="1" applyFill="1" applyBorder="1" applyAlignment="1">
      <alignment horizontal="center" vertical="center"/>
    </xf>
    <xf numFmtId="0" fontId="74" fillId="0" borderId="0" xfId="11" applyFont="1" applyBorder="1" applyAlignment="1">
      <alignment vertical="center"/>
    </xf>
    <xf numFmtId="0" fontId="74" fillId="2" borderId="0" xfId="11" applyFont="1" applyFill="1"/>
    <xf numFmtId="0" fontId="78" fillId="0" borderId="0" xfId="11" applyFont="1"/>
    <xf numFmtId="0" fontId="74" fillId="0" borderId="1" xfId="11" applyFont="1" applyBorder="1"/>
    <xf numFmtId="0" fontId="88" fillId="13" borderId="1" xfId="11" applyFont="1" applyFill="1" applyBorder="1" applyAlignment="1">
      <alignment horizontal="center" vertical="center" wrapText="1"/>
    </xf>
    <xf numFmtId="0" fontId="75" fillId="0" borderId="0" xfId="11" applyFont="1" applyBorder="1"/>
    <xf numFmtId="0" fontId="91" fillId="2" borderId="0" xfId="11" applyFont="1" applyFill="1"/>
    <xf numFmtId="0" fontId="96" fillId="0" borderId="0" xfId="11" applyFont="1" applyBorder="1"/>
    <xf numFmtId="0" fontId="96" fillId="0" borderId="0" xfId="11" applyFont="1" applyFill="1"/>
    <xf numFmtId="0" fontId="97" fillId="16" borderId="0" xfId="11" applyFont="1" applyFill="1"/>
    <xf numFmtId="0" fontId="97" fillId="2" borderId="0" xfId="11" applyFont="1" applyFill="1"/>
    <xf numFmtId="0" fontId="74" fillId="0" borderId="16" xfId="11" applyFont="1" applyBorder="1" applyAlignment="1">
      <alignment horizontal="center" vertical="center"/>
    </xf>
    <xf numFmtId="0" fontId="0" fillId="0" borderId="0" xfId="0"/>
    <xf numFmtId="0" fontId="74" fillId="0" borderId="0" xfId="11" applyFont="1" applyBorder="1"/>
    <xf numFmtId="0" fontId="74" fillId="0" borderId="0" xfId="11" applyFont="1" applyFill="1" applyBorder="1"/>
    <xf numFmtId="0" fontId="86" fillId="2" borderId="0" xfId="11" applyFont="1" applyFill="1" applyBorder="1" applyAlignment="1">
      <alignment vertical="center"/>
    </xf>
    <xf numFmtId="0" fontId="90" fillId="15" borderId="0" xfId="11" applyFont="1" applyFill="1" applyBorder="1"/>
    <xf numFmtId="0" fontId="90" fillId="2" borderId="0" xfId="11" applyFont="1" applyFill="1" applyBorder="1"/>
    <xf numFmtId="0" fontId="94" fillId="2" borderId="0" xfId="11" applyFont="1" applyFill="1" applyBorder="1"/>
    <xf numFmtId="0" fontId="94" fillId="2" borderId="0" xfId="11" applyFont="1" applyFill="1" applyBorder="1" applyAlignment="1">
      <alignment vertical="center"/>
    </xf>
    <xf numFmtId="0" fontId="90" fillId="12" borderId="0" xfId="11" applyFont="1" applyFill="1" applyBorder="1" applyAlignment="1">
      <alignment vertical="center"/>
    </xf>
    <xf numFmtId="0" fontId="92" fillId="2" borderId="0" xfId="11" applyFont="1" applyFill="1" applyBorder="1" applyAlignment="1">
      <alignment vertical="center"/>
    </xf>
    <xf numFmtId="0" fontId="74" fillId="14" borderId="0" xfId="11" applyFont="1" applyFill="1" applyBorder="1" applyAlignment="1">
      <alignment vertical="center"/>
    </xf>
    <xf numFmtId="0" fontId="90" fillId="2" borderId="0" xfId="11" applyFont="1" applyFill="1" applyBorder="1" applyAlignment="1">
      <alignment vertical="center"/>
    </xf>
    <xf numFmtId="0" fontId="74" fillId="2" borderId="0" xfId="11" applyFont="1" applyFill="1" applyBorder="1"/>
    <xf numFmtId="0" fontId="74" fillId="15" borderId="0" xfId="11" applyFont="1" applyFill="1" applyBorder="1"/>
    <xf numFmtId="0" fontId="74" fillId="0" borderId="0" xfId="11" applyFont="1" applyFill="1"/>
    <xf numFmtId="0" fontId="91" fillId="0" borderId="0" xfId="11" applyFont="1" applyFill="1" applyBorder="1" applyAlignment="1">
      <alignment vertical="center"/>
    </xf>
    <xf numFmtId="0" fontId="90" fillId="0" borderId="0" xfId="11" applyFont="1" applyFill="1" applyBorder="1" applyAlignment="1">
      <alignment vertical="center"/>
    </xf>
    <xf numFmtId="0" fontId="88" fillId="0" borderId="16" xfId="11" applyFont="1" applyFill="1" applyBorder="1" applyAlignment="1">
      <alignment horizontal="center" vertical="center" wrapText="1"/>
    </xf>
    <xf numFmtId="0" fontId="74" fillId="0" borderId="16" xfId="11" applyFont="1" applyFill="1" applyBorder="1" applyAlignment="1">
      <alignment horizontal="center" vertical="center"/>
    </xf>
    <xf numFmtId="0" fontId="74" fillId="0" borderId="16" xfId="11" applyFont="1" applyFill="1" applyBorder="1"/>
    <xf numFmtId="0" fontId="74" fillId="10" borderId="16" xfId="11" applyFont="1" applyFill="1" applyBorder="1" applyAlignment="1">
      <alignment horizontal="center" vertical="center"/>
    </xf>
    <xf numFmtId="0" fontId="74" fillId="0" borderId="16" xfId="11" applyFont="1" applyFill="1" applyBorder="1" applyAlignment="1">
      <alignment vertical="center"/>
    </xf>
    <xf numFmtId="0" fontId="74" fillId="3" borderId="16" xfId="11" applyFont="1" applyFill="1" applyBorder="1" applyAlignment="1">
      <alignment horizontal="center" vertical="center"/>
    </xf>
    <xf numFmtId="0" fontId="74" fillId="0" borderId="21" xfId="11" applyFont="1" applyBorder="1"/>
    <xf numFmtId="0" fontId="88" fillId="0" borderId="19" xfId="11" applyFont="1" applyFill="1" applyBorder="1" applyAlignment="1">
      <alignment horizontal="center" vertical="center" wrapText="1"/>
    </xf>
    <xf numFmtId="0" fontId="91" fillId="0" borderId="0" xfId="11" applyFont="1" applyFill="1" applyBorder="1"/>
    <xf numFmtId="0" fontId="94" fillId="0" borderId="0" xfId="11" applyFont="1" applyFill="1" applyBorder="1" applyAlignment="1">
      <alignment vertical="center"/>
    </xf>
    <xf numFmtId="0" fontId="105" fillId="0" borderId="1" xfId="11" applyFont="1" applyBorder="1"/>
    <xf numFmtId="0" fontId="109" fillId="0" borderId="15" xfId="0" applyFont="1" applyBorder="1" applyAlignment="1" applyProtection="1">
      <alignment horizontal="center" vertical="center"/>
      <protection locked="0"/>
    </xf>
    <xf numFmtId="0" fontId="108" fillId="0" borderId="0" xfId="0" applyFont="1" applyBorder="1" applyAlignment="1" applyProtection="1">
      <alignment horizontal="center" vertical="center"/>
      <protection locked="0"/>
    </xf>
    <xf numFmtId="0" fontId="108" fillId="0" borderId="0" xfId="0" applyFont="1" applyAlignment="1" applyProtection="1">
      <alignment vertical="center"/>
      <protection locked="0"/>
    </xf>
    <xf numFmtId="0" fontId="102" fillId="0" borderId="4" xfId="0" applyFont="1" applyBorder="1" applyAlignment="1" applyProtection="1">
      <alignment horizontal="center" vertical="center"/>
      <protection locked="0"/>
    </xf>
    <xf numFmtId="0" fontId="100" fillId="0" borderId="15" xfId="0" applyFont="1" applyBorder="1" applyAlignment="1" applyProtection="1">
      <alignment horizontal="center" vertical="center"/>
      <protection locked="0"/>
    </xf>
    <xf numFmtId="0" fontId="111" fillId="0" borderId="24" xfId="0" applyFont="1" applyBorder="1" applyAlignment="1" applyProtection="1">
      <alignment horizontal="center" vertical="center"/>
      <protection locked="0"/>
    </xf>
    <xf numFmtId="0" fontId="101" fillId="0" borderId="3" xfId="0" applyFont="1" applyBorder="1" applyAlignment="1" applyProtection="1">
      <alignment horizontal="center" vertical="center"/>
      <protection locked="0"/>
    </xf>
    <xf numFmtId="0" fontId="107" fillId="0" borderId="0" xfId="0" applyFont="1" applyAlignment="1" applyProtection="1">
      <alignment horizontal="center" vertical="center"/>
      <protection locked="0"/>
    </xf>
    <xf numFmtId="0" fontId="102" fillId="0" borderId="15" xfId="0" applyFont="1" applyBorder="1" applyAlignment="1" applyProtection="1">
      <alignment horizontal="center" vertical="center"/>
      <protection locked="0"/>
    </xf>
    <xf numFmtId="0" fontId="101" fillId="0" borderId="15" xfId="0" applyFont="1" applyBorder="1" applyAlignment="1" applyProtection="1">
      <alignment horizontal="center" vertical="center"/>
      <protection locked="0"/>
    </xf>
    <xf numFmtId="0" fontId="108" fillId="0" borderId="0" xfId="29" applyFont="1" applyBorder="1" applyAlignment="1" applyProtection="1">
      <alignment horizontal="center" vertical="center"/>
      <protection locked="0"/>
    </xf>
    <xf numFmtId="1" fontId="110" fillId="0" borderId="0" xfId="30" applyNumberFormat="1" applyFont="1" applyFill="1" applyBorder="1" applyAlignment="1" applyProtection="1">
      <alignment horizontal="center" vertical="center" shrinkToFit="1"/>
      <protection locked="0" hidden="1"/>
    </xf>
    <xf numFmtId="0" fontId="105" fillId="0" borderId="0" xfId="11" applyFont="1" applyBorder="1"/>
    <xf numFmtId="0" fontId="104" fillId="0" borderId="0" xfId="11" applyFont="1" applyBorder="1"/>
    <xf numFmtId="0" fontId="96" fillId="0" borderId="0" xfId="11" applyFont="1" applyFill="1" applyBorder="1"/>
    <xf numFmtId="0" fontId="96" fillId="0" borderId="1" xfId="11" applyFont="1" applyFill="1" applyBorder="1" applyAlignment="1">
      <alignment horizontal="center" vertical="center"/>
    </xf>
    <xf numFmtId="0" fontId="96" fillId="0" borderId="16" xfId="11" applyFont="1" applyFill="1" applyBorder="1" applyAlignment="1">
      <alignment horizontal="center" vertical="center"/>
    </xf>
    <xf numFmtId="0" fontId="96" fillId="0" borderId="1" xfId="11" applyFont="1" applyFill="1" applyBorder="1" applyAlignment="1">
      <alignment vertical="center"/>
    </xf>
    <xf numFmtId="0" fontId="96" fillId="0" borderId="16" xfId="11" applyFont="1" applyFill="1" applyBorder="1" applyAlignment="1">
      <alignment vertical="center"/>
    </xf>
    <xf numFmtId="0" fontId="112" fillId="0" borderId="1" xfId="11" applyFont="1" applyFill="1" applyBorder="1" applyAlignment="1">
      <alignment horizontal="center" vertical="center"/>
    </xf>
    <xf numFmtId="0" fontId="112" fillId="0" borderId="16" xfId="11" applyFont="1" applyFill="1" applyBorder="1" applyAlignment="1">
      <alignment horizontal="center" vertical="center"/>
    </xf>
    <xf numFmtId="0" fontId="96" fillId="0" borderId="0" xfId="11" applyFont="1" applyFill="1" applyAlignment="1">
      <alignment vertical="center"/>
    </xf>
    <xf numFmtId="0" fontId="96" fillId="0" borderId="0" xfId="11" applyFont="1" applyFill="1" applyBorder="1" applyAlignment="1">
      <alignment vertical="center"/>
    </xf>
    <xf numFmtId="0" fontId="74" fillId="0" borderId="0" xfId="11" applyFont="1" applyFill="1" applyAlignment="1">
      <alignment vertical="center"/>
    </xf>
    <xf numFmtId="3" fontId="0" fillId="0" borderId="0" xfId="0" applyNumberFormat="1"/>
    <xf numFmtId="0" fontId="96" fillId="0" borderId="0" xfId="11" applyFont="1" applyFill="1" applyBorder="1" applyAlignment="1">
      <alignment horizontal="center" vertical="center"/>
    </xf>
    <xf numFmtId="0" fontId="103" fillId="0" borderId="1" xfId="11" applyFont="1" applyBorder="1" applyAlignment="1">
      <alignment horizontal="center" vertical="center"/>
    </xf>
    <xf numFmtId="0" fontId="114" fillId="0" borderId="0" xfId="11" applyFont="1" applyFill="1" applyBorder="1"/>
    <xf numFmtId="0" fontId="114" fillId="0" borderId="1" xfId="11" applyFont="1" applyBorder="1"/>
    <xf numFmtId="0" fontId="105" fillId="3" borderId="1" xfId="11" applyFont="1" applyFill="1" applyBorder="1"/>
    <xf numFmtId="0" fontId="114" fillId="3" borderId="1" xfId="11" applyFont="1" applyFill="1" applyBorder="1"/>
    <xf numFmtId="165" fontId="114" fillId="3" borderId="1" xfId="36" applyNumberFormat="1" applyFont="1" applyFill="1" applyBorder="1"/>
    <xf numFmtId="0" fontId="114" fillId="0" borderId="1" xfId="11" applyFont="1" applyFill="1" applyBorder="1"/>
    <xf numFmtId="0" fontId="0" fillId="0" borderId="1" xfId="0" applyBorder="1"/>
    <xf numFmtId="165" fontId="74" fillId="0" borderId="0" xfId="11" applyNumberFormat="1" applyFont="1" applyBorder="1"/>
    <xf numFmtId="0" fontId="93" fillId="0" borderId="17" xfId="11" applyFont="1" applyFill="1" applyBorder="1" applyAlignment="1">
      <alignment horizontal="center" vertical="center"/>
    </xf>
    <xf numFmtId="0" fontId="93" fillId="0" borderId="23" xfId="11" applyFont="1" applyFill="1" applyBorder="1" applyAlignment="1">
      <alignment horizontal="center" vertical="center"/>
    </xf>
    <xf numFmtId="0" fontId="89" fillId="0" borderId="25" xfId="11" applyFont="1" applyBorder="1"/>
    <xf numFmtId="0" fontId="88" fillId="0" borderId="26" xfId="11" applyNumberFormat="1" applyFont="1" applyFill="1" applyBorder="1" applyAlignment="1">
      <alignment horizontal="center" vertical="center" wrapText="1"/>
    </xf>
    <xf numFmtId="0" fontId="85" fillId="13" borderId="26" xfId="11" applyNumberFormat="1" applyFont="1" applyFill="1" applyBorder="1" applyAlignment="1">
      <alignment horizontal="center" vertical="center"/>
    </xf>
    <xf numFmtId="0" fontId="85" fillId="0" borderId="26" xfId="11" applyNumberFormat="1" applyFont="1" applyFill="1" applyBorder="1" applyAlignment="1">
      <alignment horizontal="center" vertical="center"/>
    </xf>
    <xf numFmtId="0" fontId="88" fillId="0" borderId="27" xfId="11" applyNumberFormat="1" applyFont="1" applyFill="1" applyBorder="1" applyAlignment="1">
      <alignment horizontal="center" vertical="center" wrapText="1"/>
    </xf>
    <xf numFmtId="0" fontId="85" fillId="13" borderId="28" xfId="11" applyNumberFormat="1" applyFont="1" applyFill="1" applyBorder="1" applyAlignment="1">
      <alignment horizontal="center" vertical="center"/>
    </xf>
    <xf numFmtId="0" fontId="89" fillId="0" borderId="26" xfId="11" applyFont="1" applyBorder="1"/>
    <xf numFmtId="0" fontId="89" fillId="0" borderId="26" xfId="11" applyFont="1" applyFill="1" applyBorder="1"/>
    <xf numFmtId="0" fontId="89" fillId="3" borderId="26" xfId="11" applyFont="1" applyFill="1" applyBorder="1"/>
    <xf numFmtId="0" fontId="88" fillId="3" borderId="26" xfId="11" applyNumberFormat="1" applyFont="1" applyFill="1" applyBorder="1" applyAlignment="1">
      <alignment horizontal="center" vertical="center" wrapText="1"/>
    </xf>
    <xf numFmtId="0" fontId="89" fillId="0" borderId="29" xfId="11" applyFont="1" applyBorder="1"/>
    <xf numFmtId="0" fontId="89" fillId="0" borderId="30" xfId="11" applyFont="1" applyBorder="1"/>
    <xf numFmtId="0" fontId="88" fillId="0" borderId="31" xfId="11" applyFont="1" applyFill="1" applyBorder="1" applyAlignment="1">
      <alignment horizontal="center" vertical="center" wrapText="1"/>
    </xf>
    <xf numFmtId="0" fontId="95" fillId="13" borderId="31" xfId="11" applyFont="1" applyFill="1" applyBorder="1" applyAlignment="1">
      <alignment horizontal="center" vertical="center" wrapText="1"/>
    </xf>
    <xf numFmtId="0" fontId="95" fillId="0" borderId="31" xfId="11" applyFont="1" applyFill="1" applyBorder="1" applyAlignment="1">
      <alignment horizontal="center" vertical="center" wrapText="1"/>
    </xf>
    <xf numFmtId="0" fontId="88" fillId="0" borderId="32" xfId="11" applyFont="1" applyFill="1" applyBorder="1" applyAlignment="1">
      <alignment horizontal="center" vertical="center" wrapText="1"/>
    </xf>
    <xf numFmtId="0" fontId="95" fillId="13" borderId="33" xfId="11" applyFont="1" applyFill="1" applyBorder="1" applyAlignment="1">
      <alignment horizontal="center" vertical="center" wrapText="1"/>
    </xf>
    <xf numFmtId="0" fontId="89" fillId="0" borderId="31" xfId="11" applyFont="1" applyBorder="1"/>
    <xf numFmtId="0" fontId="74" fillId="0" borderId="26" xfId="11" applyFont="1" applyFill="1" applyBorder="1" applyAlignment="1">
      <alignment horizontal="center" vertical="center"/>
    </xf>
    <xf numFmtId="0" fontId="74" fillId="0" borderId="25" xfId="11" applyFont="1" applyBorder="1"/>
    <xf numFmtId="0" fontId="74" fillId="0" borderId="27" xfId="11" applyFont="1" applyFill="1" applyBorder="1" applyAlignment="1">
      <alignment horizontal="center" vertical="center"/>
    </xf>
    <xf numFmtId="3" fontId="96" fillId="0" borderId="25" xfId="11" applyNumberFormat="1" applyFont="1" applyBorder="1" applyAlignment="1">
      <alignment vertical="center"/>
    </xf>
    <xf numFmtId="0" fontId="96" fillId="0" borderId="25" xfId="11" applyFont="1" applyFill="1" applyBorder="1" applyAlignment="1">
      <alignment vertical="center"/>
    </xf>
    <xf numFmtId="0" fontId="96" fillId="9" borderId="25" xfId="11" applyFont="1" applyFill="1" applyBorder="1" applyAlignment="1">
      <alignment vertical="center"/>
    </xf>
    <xf numFmtId="0" fontId="78" fillId="0" borderId="25" xfId="11" applyFont="1" applyFill="1" applyBorder="1" applyAlignment="1">
      <alignment vertical="center"/>
    </xf>
    <xf numFmtId="0" fontId="91" fillId="16" borderId="29" xfId="11" applyFont="1" applyFill="1" applyBorder="1" applyAlignment="1">
      <alignment vertical="center"/>
    </xf>
    <xf numFmtId="0" fontId="97" fillId="16" borderId="29" xfId="11" applyFont="1" applyFill="1" applyBorder="1"/>
    <xf numFmtId="0" fontId="91" fillId="2" borderId="29" xfId="11" applyFont="1" applyFill="1" applyBorder="1"/>
    <xf numFmtId="0" fontId="90" fillId="12" borderId="29" xfId="11" applyFont="1" applyFill="1" applyBorder="1" applyAlignment="1">
      <alignment vertical="center"/>
    </xf>
    <xf numFmtId="0" fontId="91" fillId="12" borderId="29" xfId="11" applyFont="1" applyFill="1" applyBorder="1" applyAlignment="1">
      <alignment vertical="center"/>
    </xf>
    <xf numFmtId="0" fontId="96" fillId="16" borderId="29" xfId="11" applyFont="1" applyFill="1" applyBorder="1" applyAlignment="1">
      <alignment vertical="center"/>
    </xf>
    <xf numFmtId="0" fontId="74" fillId="16" borderId="29" xfId="11" applyFont="1" applyFill="1" applyBorder="1"/>
    <xf numFmtId="0" fontId="91" fillId="2" borderId="29" xfId="11" applyFont="1" applyFill="1" applyBorder="1" applyAlignment="1">
      <alignment vertical="center"/>
    </xf>
    <xf numFmtId="0" fontId="103" fillId="2" borderId="29" xfId="11" applyFont="1" applyFill="1" applyBorder="1"/>
    <xf numFmtId="0" fontId="74" fillId="2" borderId="29" xfId="11" applyFont="1" applyFill="1" applyBorder="1"/>
    <xf numFmtId="0" fontId="78" fillId="0" borderId="29" xfId="11" applyFont="1" applyFill="1" applyBorder="1" applyAlignment="1">
      <alignment vertical="center"/>
    </xf>
    <xf numFmtId="0" fontId="74" fillId="0" borderId="29" xfId="11" applyFont="1" applyBorder="1"/>
    <xf numFmtId="0" fontId="75" fillId="0" borderId="29" xfId="11" applyFont="1" applyFill="1" applyBorder="1"/>
    <xf numFmtId="0" fontId="96" fillId="0" borderId="29" xfId="11" applyFont="1" applyBorder="1"/>
    <xf numFmtId="0" fontId="75" fillId="0" borderId="29" xfId="11" applyFont="1" applyBorder="1"/>
    <xf numFmtId="3" fontId="96" fillId="0" borderId="29" xfId="11" applyNumberFormat="1" applyFont="1" applyBorder="1" applyAlignment="1">
      <alignment vertical="center"/>
    </xf>
    <xf numFmtId="0" fontId="74" fillId="0" borderId="29" xfId="11" applyFont="1" applyFill="1" applyBorder="1"/>
    <xf numFmtId="0" fontId="96" fillId="0" borderId="29" xfId="11" applyFont="1" applyFill="1" applyBorder="1" applyAlignment="1">
      <alignment vertical="center"/>
    </xf>
    <xf numFmtId="0" fontId="96" fillId="9" borderId="29" xfId="11" applyFont="1" applyFill="1" applyBorder="1" applyAlignment="1">
      <alignment vertical="center"/>
    </xf>
    <xf numFmtId="0" fontId="75" fillId="16" borderId="29" xfId="11" applyFont="1" applyFill="1" applyBorder="1"/>
    <xf numFmtId="0" fontId="96" fillId="0" borderId="29" xfId="11" applyFont="1" applyBorder="1" applyAlignment="1">
      <alignment vertical="center"/>
    </xf>
    <xf numFmtId="0" fontId="97" fillId="2" borderId="29" xfId="11" applyFont="1" applyFill="1" applyBorder="1"/>
    <xf numFmtId="0" fontId="91" fillId="18" borderId="29" xfId="11" applyFont="1" applyFill="1" applyBorder="1" applyAlignment="1">
      <alignment vertical="center"/>
    </xf>
    <xf numFmtId="0" fontId="96" fillId="2" borderId="29" xfId="11" applyFont="1" applyFill="1" applyBorder="1" applyAlignment="1">
      <alignment vertical="center"/>
    </xf>
    <xf numFmtId="0" fontId="91" fillId="0" borderId="29" xfId="11" applyFont="1" applyFill="1" applyBorder="1"/>
    <xf numFmtId="0" fontId="90" fillId="0" borderId="29" xfId="11" applyFont="1" applyFill="1" applyBorder="1" applyAlignment="1">
      <alignment vertical="center"/>
    </xf>
    <xf numFmtId="0" fontId="91" fillId="0" borderId="29" xfId="11" applyFont="1" applyFill="1" applyBorder="1" applyAlignment="1">
      <alignment vertical="center"/>
    </xf>
    <xf numFmtId="0" fontId="99" fillId="0" borderId="29" xfId="11" applyFont="1" applyFill="1" applyBorder="1" applyAlignment="1">
      <alignment horizontal="center" textRotation="45"/>
    </xf>
    <xf numFmtId="0" fontId="96" fillId="0" borderId="26" xfId="11" applyFont="1" applyFill="1" applyBorder="1" applyAlignment="1">
      <alignment horizontal="center" vertical="center"/>
    </xf>
    <xf numFmtId="0" fontId="96" fillId="0" borderId="25" xfId="11" applyFont="1" applyBorder="1" applyAlignment="1">
      <alignment vertical="center"/>
    </xf>
    <xf numFmtId="0" fontId="96" fillId="0" borderId="27" xfId="11" applyFont="1" applyFill="1" applyBorder="1" applyAlignment="1">
      <alignment horizontal="center" vertical="center"/>
    </xf>
    <xf numFmtId="0" fontId="96" fillId="0" borderId="25" xfId="0" applyFont="1" applyBorder="1" applyAlignment="1">
      <alignment vertical="center"/>
    </xf>
    <xf numFmtId="0" fontId="96" fillId="11" borderId="25" xfId="11" applyFont="1" applyFill="1" applyBorder="1" applyAlignment="1">
      <alignment vertical="center"/>
    </xf>
    <xf numFmtId="0" fontId="89" fillId="0" borderId="25" xfId="11" applyFont="1" applyBorder="1" applyAlignment="1">
      <alignment vertical="center"/>
    </xf>
    <xf numFmtId="0" fontId="94" fillId="15" borderId="29" xfId="11" applyFont="1" applyFill="1" applyBorder="1" applyAlignment="1">
      <alignment vertical="center"/>
    </xf>
    <xf numFmtId="0" fontId="90" fillId="15" borderId="29" xfId="11" applyFont="1" applyFill="1" applyBorder="1" applyAlignment="1">
      <alignment vertical="center"/>
    </xf>
    <xf numFmtId="0" fontId="94" fillId="2" borderId="29" xfId="11" applyFont="1" applyFill="1" applyBorder="1" applyAlignment="1">
      <alignment vertical="center"/>
    </xf>
    <xf numFmtId="0" fontId="90" fillId="2" borderId="29" xfId="11" applyFont="1" applyFill="1" applyBorder="1" applyAlignment="1">
      <alignment vertical="center"/>
    </xf>
    <xf numFmtId="0" fontId="94" fillId="9" borderId="29" xfId="11" applyFont="1" applyFill="1" applyBorder="1" applyAlignment="1">
      <alignment vertical="center"/>
    </xf>
    <xf numFmtId="0" fontId="90" fillId="9" borderId="29" xfId="11" applyFont="1" applyFill="1" applyBorder="1" applyAlignment="1">
      <alignment vertical="center"/>
    </xf>
    <xf numFmtId="0" fontId="74" fillId="2" borderId="29" xfId="11" applyFont="1" applyFill="1" applyBorder="1" applyAlignment="1">
      <alignment vertical="center"/>
    </xf>
    <xf numFmtId="0" fontId="74" fillId="14" borderId="29" xfId="11" applyFont="1" applyFill="1" applyBorder="1" applyAlignment="1">
      <alignment vertical="center"/>
    </xf>
    <xf numFmtId="0" fontId="92" fillId="2" borderId="29" xfId="11" applyFont="1" applyFill="1" applyBorder="1" applyAlignment="1">
      <alignment vertical="center"/>
    </xf>
    <xf numFmtId="0" fontId="74" fillId="15" borderId="29" xfId="11" applyFont="1" applyFill="1" applyBorder="1" applyAlignment="1">
      <alignment vertical="center"/>
    </xf>
    <xf numFmtId="0" fontId="91" fillId="15" borderId="29" xfId="11" applyFont="1" applyFill="1" applyBorder="1" applyAlignment="1">
      <alignment vertical="center"/>
    </xf>
    <xf numFmtId="0" fontId="74" fillId="0" borderId="29" xfId="11" applyFont="1" applyBorder="1" applyAlignment="1">
      <alignment vertical="center"/>
    </xf>
    <xf numFmtId="0" fontId="91" fillId="8" borderId="29" xfId="11" applyFont="1" applyFill="1" applyBorder="1" applyAlignment="1">
      <alignment vertical="center"/>
    </xf>
    <xf numFmtId="0" fontId="74" fillId="8" borderId="29" xfId="11" applyFont="1" applyFill="1" applyBorder="1" applyAlignment="1">
      <alignment vertical="center"/>
    </xf>
    <xf numFmtId="0" fontId="75" fillId="0" borderId="29" xfId="11" applyFont="1" applyBorder="1" applyAlignment="1">
      <alignment vertical="center"/>
    </xf>
    <xf numFmtId="0" fontId="97" fillId="2" borderId="29" xfId="11" applyFont="1" applyFill="1" applyBorder="1" applyAlignment="1">
      <alignment vertical="center"/>
    </xf>
    <xf numFmtId="0" fontId="97" fillId="16" borderId="29" xfId="11" applyFont="1" applyFill="1" applyBorder="1" applyAlignment="1">
      <alignment vertical="center"/>
    </xf>
    <xf numFmtId="0" fontId="75" fillId="2" borderId="29" xfId="11" applyFont="1" applyFill="1" applyBorder="1" applyAlignment="1">
      <alignment vertical="center"/>
    </xf>
    <xf numFmtId="0" fontId="91" fillId="17" borderId="29" xfId="11" applyFont="1" applyFill="1" applyBorder="1" applyAlignment="1">
      <alignment vertical="center"/>
    </xf>
    <xf numFmtId="0" fontId="90" fillId="11" borderId="29" xfId="11" applyFont="1" applyFill="1" applyBorder="1" applyAlignment="1">
      <alignment vertical="center"/>
    </xf>
    <xf numFmtId="0" fontId="96" fillId="3" borderId="29" xfId="11" applyFont="1" applyFill="1" applyBorder="1" applyAlignment="1">
      <alignment vertical="center"/>
    </xf>
    <xf numFmtId="0" fontId="86" fillId="2" borderId="29" xfId="11" applyFont="1" applyFill="1" applyBorder="1" applyAlignment="1">
      <alignment vertical="center"/>
    </xf>
    <xf numFmtId="0" fontId="89" fillId="0" borderId="29" xfId="11" applyFont="1" applyFill="1" applyBorder="1" applyAlignment="1">
      <alignment vertical="center"/>
    </xf>
    <xf numFmtId="0" fontId="91" fillId="11" borderId="29" xfId="11" applyFont="1" applyFill="1" applyBorder="1" applyAlignment="1">
      <alignment horizontal="left" vertical="center"/>
    </xf>
    <xf numFmtId="0" fontId="91" fillId="9" borderId="29" xfId="11" applyFont="1" applyFill="1" applyBorder="1" applyAlignment="1">
      <alignment vertical="center"/>
    </xf>
    <xf numFmtId="0" fontId="96" fillId="11" borderId="29" xfId="11" applyFont="1" applyFill="1" applyBorder="1" applyAlignment="1">
      <alignment vertical="center"/>
    </xf>
    <xf numFmtId="0" fontId="115" fillId="2" borderId="29" xfId="11" applyFont="1" applyFill="1" applyBorder="1" applyAlignment="1">
      <alignment vertical="center"/>
    </xf>
    <xf numFmtId="0" fontId="115" fillId="17" borderId="29" xfId="11" applyFont="1" applyFill="1" applyBorder="1" applyAlignment="1">
      <alignment vertical="center"/>
    </xf>
    <xf numFmtId="0" fontId="94" fillId="0" borderId="29" xfId="11" applyFont="1" applyFill="1" applyBorder="1" applyAlignment="1">
      <alignment vertical="center"/>
    </xf>
    <xf numFmtId="0" fontId="74" fillId="17" borderId="29" xfId="11" applyFont="1" applyFill="1" applyBorder="1" applyAlignment="1">
      <alignment vertical="center"/>
    </xf>
    <xf numFmtId="0" fontId="91" fillId="14" borderId="29" xfId="11" applyFont="1" applyFill="1" applyBorder="1" applyAlignment="1">
      <alignment vertical="center"/>
    </xf>
    <xf numFmtId="0" fontId="74" fillId="0" borderId="29" xfId="11" applyFont="1" applyFill="1" applyBorder="1" applyAlignment="1">
      <alignment vertical="center"/>
    </xf>
    <xf numFmtId="0" fontId="91" fillId="2" borderId="30" xfId="11" applyFont="1" applyFill="1" applyBorder="1" applyAlignment="1">
      <alignment vertical="center"/>
    </xf>
    <xf numFmtId="0" fontId="90" fillId="2" borderId="30" xfId="11" applyFont="1" applyFill="1" applyBorder="1" applyAlignment="1">
      <alignment vertical="center"/>
    </xf>
    <xf numFmtId="0" fontId="74" fillId="0" borderId="30" xfId="11" applyFont="1" applyBorder="1" applyAlignment="1">
      <alignment vertical="center"/>
    </xf>
    <xf numFmtId="0" fontId="74" fillId="0" borderId="29" xfId="11" applyFont="1" applyFill="1" applyBorder="1" applyAlignment="1">
      <alignment horizontal="center" vertical="center"/>
    </xf>
    <xf numFmtId="0" fontId="89" fillId="0" borderId="21" xfId="11" applyFont="1" applyBorder="1"/>
    <xf numFmtId="0" fontId="88" fillId="0" borderId="13" xfId="11" applyFont="1" applyFill="1" applyBorder="1" applyAlignment="1">
      <alignment horizontal="center" vertical="center" wrapText="1"/>
    </xf>
    <xf numFmtId="0" fontId="74" fillId="0" borderId="38" xfId="11" applyFont="1" applyFill="1" applyBorder="1"/>
    <xf numFmtId="0" fontId="74" fillId="0" borderId="24" xfId="11" applyFont="1" applyFill="1" applyBorder="1" applyAlignment="1">
      <alignment horizontal="center" vertical="center"/>
    </xf>
    <xf numFmtId="0" fontId="96" fillId="0" borderId="38" xfId="11" applyFont="1" applyBorder="1" applyAlignment="1">
      <alignment vertical="center"/>
    </xf>
    <xf numFmtId="0" fontId="78" fillId="9" borderId="29" xfId="11" applyFont="1" applyFill="1" applyBorder="1" applyAlignment="1">
      <alignment vertical="center"/>
    </xf>
    <xf numFmtId="0" fontId="74" fillId="0" borderId="13" xfId="11" applyFont="1" applyFill="1" applyBorder="1" applyAlignment="1">
      <alignment horizontal="center" vertical="center"/>
    </xf>
    <xf numFmtId="0" fontId="91" fillId="0" borderId="21" xfId="11" applyFont="1" applyFill="1" applyBorder="1"/>
    <xf numFmtId="0" fontId="90" fillId="0" borderId="21" xfId="11" applyFont="1" applyFill="1" applyBorder="1" applyAlignment="1">
      <alignment vertical="center"/>
    </xf>
    <xf numFmtId="0" fontId="74" fillId="0" borderId="22" xfId="11" applyFont="1" applyFill="1" applyBorder="1" applyAlignment="1">
      <alignment horizontal="center" vertical="center"/>
    </xf>
    <xf numFmtId="0" fontId="91" fillId="0" borderId="21" xfId="11" applyFont="1" applyFill="1" applyBorder="1" applyAlignment="1">
      <alignment vertical="center"/>
    </xf>
    <xf numFmtId="0" fontId="99" fillId="0" borderId="21" xfId="11" applyFont="1" applyFill="1" applyBorder="1" applyAlignment="1">
      <alignment horizontal="center" textRotation="45"/>
    </xf>
    <xf numFmtId="0" fontId="74" fillId="0" borderId="21" xfId="11" applyFont="1" applyFill="1" applyBorder="1"/>
    <xf numFmtId="0" fontId="96" fillId="0" borderId="21" xfId="11" applyFont="1" applyBorder="1" applyAlignment="1">
      <alignment vertical="center"/>
    </xf>
    <xf numFmtId="0" fontId="78" fillId="9" borderId="25" xfId="11" applyFont="1" applyFill="1" applyBorder="1" applyAlignment="1">
      <alignment vertical="center"/>
    </xf>
    <xf numFmtId="0" fontId="122" fillId="2" borderId="0" xfId="0" applyFont="1" applyFill="1"/>
    <xf numFmtId="0" fontId="123" fillId="17" borderId="29" xfId="11" applyFont="1" applyFill="1" applyBorder="1" applyAlignment="1">
      <alignment vertical="center"/>
    </xf>
    <xf numFmtId="0" fontId="96" fillId="0" borderId="17" xfId="11" applyFont="1" applyFill="1" applyBorder="1" applyAlignment="1">
      <alignment vertical="center"/>
    </xf>
    <xf numFmtId="0" fontId="91" fillId="15" borderId="21" xfId="11" applyFont="1" applyFill="1" applyBorder="1" applyAlignment="1">
      <alignment vertical="center"/>
    </xf>
    <xf numFmtId="0" fontId="74" fillId="0" borderId="13" xfId="11" applyFont="1" applyBorder="1" applyAlignment="1">
      <alignment horizontal="center" vertical="center"/>
    </xf>
    <xf numFmtId="0" fontId="96" fillId="4" borderId="29" xfId="11" applyFont="1" applyFill="1" applyBorder="1" applyAlignment="1">
      <alignment vertical="center"/>
    </xf>
    <xf numFmtId="0" fontId="115" fillId="2" borderId="1" xfId="11" applyFont="1" applyFill="1" applyBorder="1" applyAlignment="1">
      <alignment vertical="center"/>
    </xf>
    <xf numFmtId="0" fontId="91" fillId="17" borderId="1" xfId="11" applyFont="1" applyFill="1" applyBorder="1" applyAlignment="1">
      <alignment vertical="center"/>
    </xf>
    <xf numFmtId="0" fontId="91" fillId="12" borderId="16" xfId="11" applyFont="1" applyFill="1" applyBorder="1" applyAlignment="1">
      <alignment vertical="center"/>
    </xf>
    <xf numFmtId="0" fontId="96" fillId="0" borderId="38" xfId="11" applyFont="1" applyFill="1" applyBorder="1" applyAlignment="1">
      <alignment vertical="center"/>
    </xf>
    <xf numFmtId="0" fontId="96" fillId="9" borderId="38" xfId="11" applyFont="1" applyFill="1" applyBorder="1" applyAlignment="1">
      <alignment vertical="center"/>
    </xf>
    <xf numFmtId="0" fontId="78" fillId="0" borderId="38" xfId="11" applyFont="1" applyFill="1" applyBorder="1" applyAlignment="1">
      <alignment vertical="center"/>
    </xf>
    <xf numFmtId="0" fontId="91" fillId="12" borderId="19" xfId="11" applyFont="1" applyFill="1" applyBorder="1" applyAlignment="1">
      <alignment vertical="center"/>
    </xf>
    <xf numFmtId="0" fontId="91" fillId="12" borderId="37" xfId="11" applyFont="1" applyFill="1" applyBorder="1" applyAlignment="1">
      <alignment vertical="center"/>
    </xf>
    <xf numFmtId="1" fontId="96" fillId="0" borderId="1" xfId="11" applyNumberFormat="1" applyFont="1" applyFill="1" applyBorder="1" applyAlignment="1">
      <alignment vertical="center"/>
    </xf>
    <xf numFmtId="1" fontId="96" fillId="4" borderId="1" xfId="11" applyNumberFormat="1" applyFont="1" applyFill="1" applyBorder="1" applyAlignment="1">
      <alignment vertical="center"/>
    </xf>
    <xf numFmtId="0" fontId="96" fillId="4" borderId="1" xfId="11" applyFont="1" applyFill="1" applyBorder="1" applyAlignment="1">
      <alignment vertical="center"/>
    </xf>
    <xf numFmtId="0" fontId="89" fillId="11" borderId="26" xfId="11" applyFont="1" applyFill="1" applyBorder="1"/>
    <xf numFmtId="0" fontId="96" fillId="0" borderId="21" xfId="11" applyFont="1" applyFill="1" applyBorder="1" applyAlignment="1">
      <alignment vertical="center"/>
    </xf>
    <xf numFmtId="0" fontId="88" fillId="15" borderId="1" xfId="11" applyFont="1" applyFill="1" applyBorder="1" applyAlignment="1">
      <alignment horizontal="center" vertical="center" wrapText="1"/>
    </xf>
    <xf numFmtId="0" fontId="106" fillId="2" borderId="29" xfId="11" applyFont="1" applyFill="1" applyBorder="1" applyAlignment="1">
      <alignment vertical="center"/>
    </xf>
    <xf numFmtId="0" fontId="124" fillId="0" borderId="45" xfId="42" applyFont="1" applyBorder="1" applyAlignment="1">
      <alignment horizontal="center"/>
    </xf>
    <xf numFmtId="0" fontId="124" fillId="0" borderId="46" xfId="42" applyFont="1" applyBorder="1" applyAlignment="1">
      <alignment horizontal="center"/>
    </xf>
    <xf numFmtId="0" fontId="124" fillId="0" borderId="47" xfId="42" applyFont="1" applyBorder="1" applyAlignment="1">
      <alignment horizontal="center"/>
    </xf>
    <xf numFmtId="0" fontId="124" fillId="0" borderId="0" xfId="42" applyFont="1" applyBorder="1" applyAlignment="1">
      <alignment horizontal="center"/>
    </xf>
    <xf numFmtId="0" fontId="66" fillId="0" borderId="0" xfId="42" applyAlignment="1">
      <alignment horizontal="center"/>
    </xf>
    <xf numFmtId="0" fontId="66" fillId="19" borderId="47" xfId="42" applyFont="1" applyFill="1" applyBorder="1"/>
    <xf numFmtId="0" fontId="66" fillId="19" borderId="0" xfId="42" applyFont="1" applyFill="1" applyBorder="1"/>
    <xf numFmtId="0" fontId="66" fillId="0" borderId="0" xfId="42"/>
    <xf numFmtId="0" fontId="66" fillId="0" borderId="0" xfId="42" applyAlignment="1"/>
    <xf numFmtId="0" fontId="124" fillId="0" borderId="1" xfId="42" applyFont="1" applyBorder="1" applyAlignment="1">
      <alignment horizontal="center" vertical="center"/>
    </xf>
    <xf numFmtId="0" fontId="66" fillId="0" borderId="0" xfId="42" applyAlignment="1">
      <alignment horizontal="center" vertical="center"/>
    </xf>
    <xf numFmtId="164" fontId="66" fillId="0" borderId="22" xfId="42" quotePrefix="1" applyNumberFormat="1" applyFont="1" applyBorder="1" applyAlignment="1"/>
    <xf numFmtId="165" fontId="66" fillId="0" borderId="1" xfId="36" applyNumberFormat="1" applyFont="1" applyBorder="1" applyAlignment="1"/>
    <xf numFmtId="165" fontId="66" fillId="0" borderId="22" xfId="36" applyNumberFormat="1" applyFont="1" applyBorder="1" applyAlignment="1"/>
    <xf numFmtId="165" fontId="66" fillId="19" borderId="22" xfId="36" applyNumberFormat="1" applyFont="1" applyFill="1" applyBorder="1" applyAlignment="1"/>
    <xf numFmtId="0" fontId="105" fillId="0" borderId="13" xfId="0" applyFont="1" applyBorder="1" applyAlignment="1">
      <alignment vertical="center"/>
    </xf>
    <xf numFmtId="0" fontId="105" fillId="0" borderId="1" xfId="0" applyFont="1" applyBorder="1" applyAlignment="1">
      <alignment horizontal="center" vertical="center"/>
    </xf>
    <xf numFmtId="3" fontId="105" fillId="0" borderId="1" xfId="0" applyNumberFormat="1" applyFont="1" applyBorder="1" applyAlignment="1">
      <alignment horizontal="center"/>
    </xf>
    <xf numFmtId="0" fontId="105" fillId="0" borderId="1" xfId="0" applyFont="1" applyBorder="1" applyAlignment="1">
      <alignment horizontal="center"/>
    </xf>
    <xf numFmtId="164" fontId="66" fillId="0" borderId="39" xfId="42" quotePrefix="1" applyNumberFormat="1" applyFont="1" applyBorder="1" applyAlignment="1"/>
    <xf numFmtId="165" fontId="66" fillId="0" borderId="39" xfId="36" applyNumberFormat="1" applyFont="1" applyBorder="1" applyAlignment="1"/>
    <xf numFmtId="0" fontId="65" fillId="0" borderId="0" xfId="42" applyFont="1" applyAlignment="1">
      <alignment horizontal="center" vertical="center"/>
    </xf>
    <xf numFmtId="164" fontId="65" fillId="0" borderId="22" xfId="42" quotePrefix="1" applyNumberFormat="1" applyFont="1" applyBorder="1" applyAlignment="1"/>
    <xf numFmtId="164" fontId="65" fillId="0" borderId="39" xfId="42" quotePrefix="1" applyNumberFormat="1" applyFont="1" applyBorder="1" applyAlignment="1"/>
    <xf numFmtId="0" fontId="105" fillId="0" borderId="1" xfId="0" applyFont="1" applyFill="1" applyBorder="1" applyAlignment="1">
      <alignment horizontal="center" vertical="center"/>
    </xf>
    <xf numFmtId="0" fontId="64" fillId="0" borderId="0" xfId="42" quotePrefix="1" applyFont="1"/>
    <xf numFmtId="0" fontId="64" fillId="0" borderId="0" xfId="42" applyFont="1"/>
    <xf numFmtId="0" fontId="63" fillId="0" borderId="0" xfId="42" applyFont="1"/>
    <xf numFmtId="0" fontId="125" fillId="20" borderId="1" xfId="0" applyFont="1" applyFill="1" applyBorder="1" applyAlignment="1">
      <alignment horizontal="center" vertical="center" wrapText="1"/>
    </xf>
    <xf numFmtId="0" fontId="63" fillId="0" borderId="0" xfId="42" quotePrefix="1" applyFont="1"/>
    <xf numFmtId="0" fontId="62" fillId="0" borderId="0" xfId="42" applyFont="1"/>
    <xf numFmtId="0" fontId="62" fillId="0" borderId="0" xfId="42" quotePrefix="1" applyFont="1"/>
    <xf numFmtId="0" fontId="61" fillId="0" borderId="0" xfId="42" applyFont="1"/>
    <xf numFmtId="0" fontId="61" fillId="0" borderId="0" xfId="42" quotePrefix="1" applyFont="1"/>
    <xf numFmtId="164" fontId="61" fillId="0" borderId="22" xfId="42" quotePrefix="1" applyNumberFormat="1" applyFont="1" applyBorder="1" applyAlignment="1"/>
    <xf numFmtId="0" fontId="60" fillId="0" borderId="0" xfId="42" applyFont="1" applyAlignment="1"/>
    <xf numFmtId="0" fontId="60" fillId="0" borderId="0" xfId="42" quotePrefix="1" applyFont="1"/>
    <xf numFmtId="0" fontId="59" fillId="0" borderId="0" xfId="42" applyFont="1"/>
    <xf numFmtId="0" fontId="59" fillId="0" borderId="0" xfId="42" quotePrefix="1" applyFont="1"/>
    <xf numFmtId="0" fontId="58" fillId="0" borderId="0" xfId="42" applyFont="1"/>
    <xf numFmtId="0" fontId="58" fillId="0" borderId="0" xfId="42" quotePrefix="1" applyFont="1"/>
    <xf numFmtId="0" fontId="57" fillId="0" borderId="0" xfId="42" applyFont="1"/>
    <xf numFmtId="0" fontId="57" fillId="0" borderId="0" xfId="42" quotePrefix="1" applyFont="1"/>
    <xf numFmtId="0" fontId="74" fillId="3" borderId="0" xfId="11" applyFont="1" applyFill="1" applyBorder="1" applyAlignment="1">
      <alignment horizontal="center" vertical="center"/>
    </xf>
    <xf numFmtId="0" fontId="93" fillId="0" borderId="0" xfId="11" applyFont="1" applyFill="1" applyBorder="1" applyAlignment="1">
      <alignment horizontal="center" vertical="center"/>
    </xf>
    <xf numFmtId="0" fontId="126" fillId="13" borderId="1" xfId="0" applyFont="1" applyFill="1" applyBorder="1" applyAlignment="1">
      <alignment horizontal="center" vertical="center"/>
    </xf>
    <xf numFmtId="0" fontId="56" fillId="0" borderId="0" xfId="42" quotePrefix="1" applyFont="1"/>
    <xf numFmtId="0" fontId="56" fillId="0" borderId="0" xfId="42" applyFont="1"/>
    <xf numFmtId="0" fontId="89" fillId="0" borderId="13" xfId="11" applyFont="1" applyBorder="1"/>
    <xf numFmtId="0" fontId="96" fillId="3" borderId="48" xfId="11" applyFont="1" applyFill="1" applyBorder="1" applyAlignment="1">
      <alignment vertical="center"/>
    </xf>
    <xf numFmtId="0" fontId="96" fillId="3" borderId="44" xfId="11" applyFont="1" applyFill="1" applyBorder="1" applyAlignment="1">
      <alignment vertical="center"/>
    </xf>
    <xf numFmtId="0" fontId="96" fillId="3" borderId="24" xfId="11" applyFont="1" applyFill="1" applyBorder="1" applyAlignment="1">
      <alignment horizontal="center" vertical="center"/>
    </xf>
    <xf numFmtId="0" fontId="96" fillId="3" borderId="49" xfId="11" applyFont="1" applyFill="1" applyBorder="1" applyAlignment="1">
      <alignment vertical="center"/>
    </xf>
    <xf numFmtId="0" fontId="96" fillId="3" borderId="36" xfId="11" applyFont="1" applyFill="1" applyBorder="1" applyAlignment="1">
      <alignment vertical="center"/>
    </xf>
    <xf numFmtId="0" fontId="103" fillId="3" borderId="1" xfId="11" applyFont="1" applyFill="1" applyBorder="1" applyAlignment="1">
      <alignment horizontal="center" vertical="center"/>
    </xf>
    <xf numFmtId="0" fontId="96" fillId="3" borderId="37" xfId="11" applyFont="1" applyFill="1" applyBorder="1" applyAlignment="1">
      <alignment vertical="center"/>
    </xf>
    <xf numFmtId="0" fontId="96" fillId="3" borderId="1" xfId="11" applyFont="1" applyFill="1" applyBorder="1" applyAlignment="1">
      <alignment vertical="center"/>
    </xf>
    <xf numFmtId="0" fontId="96" fillId="3" borderId="1" xfId="11" applyFont="1" applyFill="1" applyBorder="1" applyAlignment="1">
      <alignment horizontal="center" vertical="center"/>
    </xf>
    <xf numFmtId="0" fontId="112" fillId="3" borderId="1" xfId="11" applyFont="1" applyFill="1" applyBorder="1" applyAlignment="1">
      <alignment horizontal="center" vertical="center"/>
    </xf>
    <xf numFmtId="16" fontId="74" fillId="0" borderId="0" xfId="11" applyNumberFormat="1" applyFont="1" applyFill="1"/>
    <xf numFmtId="16" fontId="74" fillId="0" borderId="0" xfId="11" applyNumberFormat="1" applyFont="1" applyBorder="1"/>
    <xf numFmtId="0" fontId="96" fillId="0" borderId="19" xfId="11" applyFont="1" applyFill="1" applyBorder="1" applyAlignment="1">
      <alignment vertical="center"/>
    </xf>
    <xf numFmtId="0" fontId="74" fillId="0" borderId="19" xfId="11" applyFont="1" applyBorder="1" applyAlignment="1">
      <alignment horizontal="center" vertical="center"/>
    </xf>
    <xf numFmtId="0" fontId="96" fillId="0" borderId="19" xfId="11" applyFont="1" applyFill="1" applyBorder="1" applyAlignment="1">
      <alignment horizontal="center" vertical="center"/>
    </xf>
    <xf numFmtId="0" fontId="74" fillId="3" borderId="19" xfId="11" applyFont="1" applyFill="1" applyBorder="1" applyAlignment="1">
      <alignment horizontal="center" vertical="center"/>
    </xf>
    <xf numFmtId="0" fontId="112" fillId="0" borderId="19" xfId="11" applyFont="1" applyFill="1" applyBorder="1" applyAlignment="1">
      <alignment horizontal="center" vertical="center"/>
    </xf>
    <xf numFmtId="0" fontId="91" fillId="21" borderId="29" xfId="11" applyFont="1" applyFill="1" applyBorder="1" applyAlignment="1">
      <alignment vertical="center"/>
    </xf>
    <xf numFmtId="0" fontId="74" fillId="16" borderId="29" xfId="11" applyFont="1" applyFill="1" applyBorder="1" applyAlignment="1">
      <alignment vertical="center"/>
    </xf>
    <xf numFmtId="0" fontId="115" fillId="2" borderId="16" xfId="11" applyFont="1" applyFill="1" applyBorder="1" applyAlignment="1">
      <alignment vertical="center"/>
    </xf>
    <xf numFmtId="0" fontId="55" fillId="0" borderId="0" xfId="42" applyFont="1"/>
    <xf numFmtId="16" fontId="55" fillId="0" borderId="0" xfId="42" quotePrefix="1" applyNumberFormat="1" applyFont="1"/>
    <xf numFmtId="0" fontId="55" fillId="0" borderId="0" xfId="42" quotePrefix="1" applyFont="1"/>
    <xf numFmtId="0" fontId="96" fillId="22" borderId="29" xfId="11" applyFont="1" applyFill="1" applyBorder="1" applyAlignment="1">
      <alignment vertical="center"/>
    </xf>
    <xf numFmtId="0" fontId="74" fillId="0" borderId="0" xfId="11" applyFont="1" applyFill="1" applyBorder="1" applyAlignment="1">
      <alignment vertical="center"/>
    </xf>
    <xf numFmtId="0" fontId="115" fillId="0" borderId="0" xfId="11" applyFont="1" applyFill="1" applyBorder="1" applyAlignment="1">
      <alignment vertical="center"/>
    </xf>
    <xf numFmtId="0" fontId="96" fillId="24" borderId="25" xfId="11" applyFont="1" applyFill="1" applyBorder="1" applyAlignment="1">
      <alignment vertical="center"/>
    </xf>
    <xf numFmtId="0" fontId="96" fillId="24" borderId="29" xfId="11" applyFont="1" applyFill="1" applyBorder="1" applyAlignment="1">
      <alignment vertical="center"/>
    </xf>
    <xf numFmtId="0" fontId="96" fillId="0" borderId="44" xfId="11" applyFont="1" applyFill="1" applyBorder="1" applyAlignment="1">
      <alignment horizontal="center" vertical="center"/>
    </xf>
    <xf numFmtId="0" fontId="74" fillId="0" borderId="29" xfId="11" applyFont="1" applyBorder="1" applyAlignment="1">
      <alignment horizontal="center" vertical="center"/>
    </xf>
    <xf numFmtId="0" fontId="96" fillId="0" borderId="29" xfId="11" applyFont="1" applyFill="1" applyBorder="1" applyAlignment="1">
      <alignment horizontal="center" vertical="center"/>
    </xf>
    <xf numFmtId="0" fontId="112" fillId="0" borderId="29" xfId="11" applyFont="1" applyFill="1" applyBorder="1" applyAlignment="1">
      <alignment horizontal="center" vertical="center"/>
    </xf>
    <xf numFmtId="0" fontId="91" fillId="25" borderId="29" xfId="11" applyFont="1" applyFill="1" applyBorder="1" applyAlignment="1">
      <alignment vertical="center"/>
    </xf>
    <xf numFmtId="0" fontId="115" fillId="4" borderId="29" xfId="11" applyFont="1" applyFill="1" applyBorder="1" applyAlignment="1">
      <alignment vertical="center"/>
    </xf>
    <xf numFmtId="0" fontId="99" fillId="3" borderId="0" xfId="11" applyFont="1" applyFill="1" applyBorder="1" applyAlignment="1">
      <alignment horizontal="center" textRotation="45"/>
    </xf>
    <xf numFmtId="0" fontId="74" fillId="11" borderId="30" xfId="11" applyFont="1" applyFill="1" applyBorder="1"/>
    <xf numFmtId="0" fontId="74" fillId="0" borderId="0" xfId="11" applyFont="1" applyFill="1" applyBorder="1"/>
    <xf numFmtId="0" fontId="90" fillId="12" borderId="29" xfId="11" applyFont="1" applyFill="1" applyBorder="1" applyAlignment="1">
      <alignment vertical="center"/>
    </xf>
    <xf numFmtId="0" fontId="91" fillId="12" borderId="29" xfId="11" applyFont="1" applyFill="1" applyBorder="1" applyAlignment="1">
      <alignment vertical="center"/>
    </xf>
    <xf numFmtId="0" fontId="91" fillId="2" borderId="29" xfId="11" applyFont="1" applyFill="1" applyBorder="1" applyAlignment="1">
      <alignment vertical="center"/>
    </xf>
    <xf numFmtId="0" fontId="96" fillId="0" borderId="29" xfId="11" applyFont="1" applyFill="1" applyBorder="1" applyAlignment="1">
      <alignment vertical="center"/>
    </xf>
    <xf numFmtId="0" fontId="96" fillId="9" borderId="29" xfId="11" applyFont="1" applyFill="1" applyBorder="1" applyAlignment="1">
      <alignment vertical="center"/>
    </xf>
    <xf numFmtId="0" fontId="94" fillId="15" borderId="29" xfId="11" applyFont="1" applyFill="1" applyBorder="1" applyAlignment="1">
      <alignment vertical="center"/>
    </xf>
    <xf numFmtId="0" fontId="94" fillId="2" borderId="29" xfId="11" applyFont="1" applyFill="1" applyBorder="1" applyAlignment="1">
      <alignment vertical="center"/>
    </xf>
    <xf numFmtId="0" fontId="90" fillId="2" borderId="29" xfId="11" applyFont="1" applyFill="1" applyBorder="1" applyAlignment="1">
      <alignment vertical="center"/>
    </xf>
    <xf numFmtId="0" fontId="94" fillId="9" borderId="29" xfId="11" applyFont="1" applyFill="1" applyBorder="1" applyAlignment="1">
      <alignment vertical="center"/>
    </xf>
    <xf numFmtId="0" fontId="74" fillId="0" borderId="29" xfId="11" applyFont="1" applyBorder="1" applyAlignment="1">
      <alignment vertical="center"/>
    </xf>
    <xf numFmtId="0" fontId="54" fillId="0" borderId="0" xfId="54" quotePrefix="1" applyFont="1"/>
    <xf numFmtId="0" fontId="54" fillId="0" borderId="0" xfId="54" applyFont="1"/>
    <xf numFmtId="0" fontId="91" fillId="25" borderId="29" xfId="11" applyFont="1" applyFill="1" applyBorder="1" applyAlignment="1">
      <alignment vertical="center"/>
    </xf>
    <xf numFmtId="0" fontId="90" fillId="25" borderId="29" xfId="11" applyFont="1" applyFill="1" applyBorder="1" applyAlignment="1">
      <alignment vertical="center"/>
    </xf>
    <xf numFmtId="0" fontId="105" fillId="0" borderId="1" xfId="34" applyFont="1" applyBorder="1" applyAlignment="1">
      <alignment horizontal="center"/>
    </xf>
    <xf numFmtId="0" fontId="126" fillId="0" borderId="1" xfId="34" applyFont="1" applyFill="1" applyBorder="1" applyAlignment="1">
      <alignment horizontal="center" vertical="center"/>
    </xf>
    <xf numFmtId="3" fontId="126" fillId="0" borderId="1" xfId="34" applyNumberFormat="1" applyFont="1" applyFill="1" applyBorder="1" applyAlignment="1">
      <alignment horizontal="center" vertical="center"/>
    </xf>
    <xf numFmtId="0" fontId="53" fillId="0" borderId="0" xfId="42" applyFont="1"/>
    <xf numFmtId="0" fontId="53" fillId="0" borderId="0" xfId="42" quotePrefix="1" applyFont="1"/>
    <xf numFmtId="0" fontId="52" fillId="0" borderId="0" xfId="42" applyFont="1"/>
    <xf numFmtId="0" fontId="52" fillId="0" borderId="0" xfId="42" quotePrefix="1" applyFont="1"/>
    <xf numFmtId="0" fontId="51" fillId="0" borderId="0" xfId="42" applyFont="1"/>
    <xf numFmtId="0" fontId="51" fillId="0" borderId="0" xfId="42" quotePrefix="1" applyFont="1"/>
    <xf numFmtId="0" fontId="78" fillId="0" borderId="25" xfId="11" applyFont="1" applyFill="1" applyBorder="1" applyAlignment="1">
      <alignment vertical="center"/>
    </xf>
    <xf numFmtId="0" fontId="91" fillId="12" borderId="29" xfId="11" applyFont="1" applyFill="1" applyBorder="1" applyAlignment="1">
      <alignment vertical="center"/>
    </xf>
    <xf numFmtId="0" fontId="78" fillId="0" borderId="29" xfId="11" applyFont="1" applyFill="1" applyBorder="1" applyAlignment="1">
      <alignment vertical="center"/>
    </xf>
    <xf numFmtId="0" fontId="74" fillId="0" borderId="29" xfId="11" applyFont="1" applyBorder="1"/>
    <xf numFmtId="0" fontId="74" fillId="0" borderId="29" xfId="11" applyFont="1" applyFill="1" applyBorder="1"/>
    <xf numFmtId="0" fontId="115" fillId="2" borderId="29" xfId="11" applyFont="1" applyFill="1" applyBorder="1" applyAlignment="1">
      <alignment vertical="center"/>
    </xf>
    <xf numFmtId="0" fontId="78" fillId="9" borderId="29" xfId="11" applyFont="1" applyFill="1" applyBorder="1" applyAlignment="1">
      <alignment vertical="center"/>
    </xf>
    <xf numFmtId="0" fontId="78" fillId="9" borderId="25" xfId="11" applyFont="1" applyFill="1" applyBorder="1" applyAlignment="1">
      <alignment vertical="center"/>
    </xf>
    <xf numFmtId="0" fontId="115" fillId="12" borderId="29" xfId="11" applyFont="1" applyFill="1" applyBorder="1" applyAlignment="1">
      <alignment vertical="center"/>
    </xf>
    <xf numFmtId="0" fontId="78" fillId="0" borderId="25" xfId="11" applyFont="1" applyFill="1" applyBorder="1" applyAlignment="1">
      <alignment vertical="center"/>
    </xf>
    <xf numFmtId="0" fontId="91" fillId="12" borderId="29" xfId="11" applyFont="1" applyFill="1" applyBorder="1" applyAlignment="1">
      <alignment vertical="center"/>
    </xf>
    <xf numFmtId="0" fontId="91" fillId="2" borderId="29" xfId="11" applyFont="1" applyFill="1" applyBorder="1" applyAlignment="1">
      <alignment vertical="center"/>
    </xf>
    <xf numFmtId="0" fontId="78" fillId="0" borderId="29" xfId="11" applyFont="1" applyFill="1" applyBorder="1" applyAlignment="1">
      <alignment vertical="center"/>
    </xf>
    <xf numFmtId="0" fontId="74" fillId="0" borderId="29" xfId="11" applyFont="1" applyFill="1" applyBorder="1"/>
    <xf numFmtId="0" fontId="94" fillId="2" borderId="29" xfId="11" applyFont="1" applyFill="1" applyBorder="1" applyAlignment="1">
      <alignment vertical="center"/>
    </xf>
    <xf numFmtId="0" fontId="91" fillId="9" borderId="29" xfId="11" applyFont="1" applyFill="1" applyBorder="1" applyAlignment="1">
      <alignment vertical="center"/>
    </xf>
    <xf numFmtId="0" fontId="115" fillId="12" borderId="29" xfId="11" applyFont="1" applyFill="1" applyBorder="1" applyAlignment="1">
      <alignment vertical="center"/>
    </xf>
    <xf numFmtId="0" fontId="94" fillId="12" borderId="29" xfId="11" applyFont="1" applyFill="1" applyBorder="1" applyAlignment="1">
      <alignment vertical="center"/>
    </xf>
    <xf numFmtId="0" fontId="91" fillId="12" borderId="29" xfId="11" applyFont="1" applyFill="1" applyBorder="1" applyAlignment="1">
      <alignment vertical="center"/>
    </xf>
    <xf numFmtId="0" fontId="78" fillId="0" borderId="29" xfId="11" applyFont="1" applyFill="1" applyBorder="1" applyAlignment="1">
      <alignment vertical="center"/>
    </xf>
    <xf numFmtId="0" fontId="74" fillId="0" borderId="29" xfId="11" applyFont="1" applyFill="1" applyBorder="1"/>
    <xf numFmtId="0" fontId="94" fillId="2" borderId="29" xfId="11" applyFont="1" applyFill="1" applyBorder="1" applyAlignment="1">
      <alignment vertical="center"/>
    </xf>
    <xf numFmtId="0" fontId="91" fillId="9" borderId="29" xfId="11" applyFont="1" applyFill="1" applyBorder="1" applyAlignment="1">
      <alignment vertical="center"/>
    </xf>
    <xf numFmtId="0" fontId="115" fillId="12" borderId="29" xfId="11" applyFont="1" applyFill="1" applyBorder="1" applyAlignment="1">
      <alignment vertical="center"/>
    </xf>
    <xf numFmtId="0" fontId="94" fillId="12" borderId="29" xfId="11" applyFont="1" applyFill="1" applyBorder="1" applyAlignment="1">
      <alignment vertical="center"/>
    </xf>
    <xf numFmtId="0" fontId="78" fillId="0" borderId="29" xfId="11" applyFont="1" applyFill="1" applyBorder="1" applyAlignment="1">
      <alignment vertical="center"/>
    </xf>
    <xf numFmtId="0" fontId="74" fillId="0" borderId="29" xfId="11" applyFont="1" applyFill="1" applyBorder="1"/>
    <xf numFmtId="0" fontId="94" fillId="2" borderId="29" xfId="11" applyFont="1" applyFill="1" applyBorder="1" applyAlignment="1">
      <alignment vertical="center"/>
    </xf>
    <xf numFmtId="0" fontId="91" fillId="9" borderId="29" xfId="11" applyFont="1" applyFill="1" applyBorder="1" applyAlignment="1">
      <alignment vertical="center"/>
    </xf>
    <xf numFmtId="0" fontId="115" fillId="12" borderId="29" xfId="11" applyFont="1" applyFill="1" applyBorder="1" applyAlignment="1">
      <alignment vertical="center"/>
    </xf>
    <xf numFmtId="0" fontId="74" fillId="0" borderId="29" xfId="11" applyFont="1" applyFill="1" applyBorder="1"/>
    <xf numFmtId="0" fontId="96" fillId="9" borderId="29" xfId="11" applyFont="1" applyFill="1" applyBorder="1" applyAlignment="1">
      <alignment vertical="center"/>
    </xf>
    <xf numFmtId="17" fontId="74" fillId="0" borderId="0" xfId="11" applyNumberFormat="1" applyFont="1" applyFill="1" applyBorder="1"/>
    <xf numFmtId="0" fontId="49" fillId="0" borderId="0" xfId="42" applyFont="1"/>
    <xf numFmtId="0" fontId="49" fillId="0" borderId="0" xfId="42" quotePrefix="1" applyFont="1"/>
    <xf numFmtId="0" fontId="48" fillId="0" borderId="0" xfId="42" applyFont="1"/>
    <xf numFmtId="0" fontId="48" fillId="0" borderId="0" xfId="42" quotePrefix="1" applyFont="1"/>
    <xf numFmtId="0" fontId="74" fillId="0" borderId="0" xfId="11" quotePrefix="1" applyFont="1" applyFill="1" applyBorder="1"/>
    <xf numFmtId="0" fontId="96" fillId="3" borderId="26" xfId="11" applyFont="1" applyFill="1" applyBorder="1" applyAlignment="1">
      <alignment horizontal="center" vertical="center"/>
    </xf>
    <xf numFmtId="0" fontId="47" fillId="0" borderId="0" xfId="42" quotePrefix="1" applyFont="1"/>
    <xf numFmtId="0" fontId="47" fillId="0" borderId="0" xfId="42" applyFont="1"/>
    <xf numFmtId="0" fontId="94" fillId="9" borderId="21" xfId="11" applyFont="1" applyFill="1" applyBorder="1" applyAlignment="1">
      <alignment vertical="center"/>
    </xf>
    <xf numFmtId="0" fontId="94" fillId="2" borderId="21" xfId="11" applyFont="1" applyFill="1" applyBorder="1" applyAlignment="1">
      <alignment vertical="center"/>
    </xf>
    <xf numFmtId="0" fontId="46" fillId="0" borderId="0" xfId="42" applyFont="1"/>
    <xf numFmtId="16" fontId="46" fillId="0" borderId="0" xfId="42" quotePrefix="1" applyNumberFormat="1" applyFont="1"/>
    <xf numFmtId="0" fontId="46" fillId="0" borderId="0" xfId="42" quotePrefix="1" applyFont="1"/>
    <xf numFmtId="0" fontId="74" fillId="16" borderId="1" xfId="11" applyFont="1" applyFill="1" applyBorder="1"/>
    <xf numFmtId="16" fontId="74" fillId="16" borderId="1" xfId="11" applyNumberFormat="1" applyFont="1" applyFill="1" applyBorder="1"/>
    <xf numFmtId="0" fontId="74" fillId="16" borderId="1" xfId="11" quotePrefix="1" applyFont="1" applyFill="1" applyBorder="1"/>
    <xf numFmtId="0" fontId="45" fillId="0" borderId="0" xfId="42" applyFont="1"/>
    <xf numFmtId="0" fontId="45" fillId="0" borderId="0" xfId="42" quotePrefix="1" applyFont="1"/>
    <xf numFmtId="0" fontId="44" fillId="0" borderId="0" xfId="42" applyFont="1"/>
    <xf numFmtId="0" fontId="44" fillId="0" borderId="0" xfId="42" quotePrefix="1" applyFont="1"/>
    <xf numFmtId="0" fontId="43" fillId="0" borderId="0" xfId="42" applyFont="1"/>
    <xf numFmtId="0" fontId="42" fillId="0" borderId="0" xfId="42" applyFont="1"/>
    <xf numFmtId="164" fontId="42" fillId="0" borderId="0" xfId="42" quotePrefix="1" applyNumberFormat="1" applyFont="1"/>
    <xf numFmtId="0" fontId="128" fillId="0" borderId="0" xfId="42" applyFont="1" applyAlignment="1"/>
    <xf numFmtId="0" fontId="128" fillId="0" borderId="0" xfId="42" applyFont="1"/>
    <xf numFmtId="0" fontId="42" fillId="0" borderId="0" xfId="42" quotePrefix="1" applyFont="1"/>
    <xf numFmtId="0" fontId="41" fillId="0" borderId="0" xfId="42" applyFont="1"/>
    <xf numFmtId="0" fontId="41" fillId="0" borderId="0" xfId="42" quotePrefix="1" applyFont="1"/>
    <xf numFmtId="0" fontId="129" fillId="0" borderId="0" xfId="0" applyFont="1" applyAlignment="1"/>
    <xf numFmtId="0" fontId="129" fillId="0" borderId="0" xfId="0" quotePrefix="1" applyFont="1"/>
    <xf numFmtId="0" fontId="129" fillId="0" borderId="0" xfId="0" applyFont="1"/>
    <xf numFmtId="0" fontId="129" fillId="0" borderId="0" xfId="42" applyFont="1"/>
    <xf numFmtId="0" fontId="94" fillId="26" borderId="29" xfId="11" applyFont="1" applyFill="1" applyBorder="1" applyAlignment="1">
      <alignment vertical="center"/>
    </xf>
    <xf numFmtId="0" fontId="40" fillId="0" borderId="0" xfId="42" quotePrefix="1" applyFont="1"/>
    <xf numFmtId="0" fontId="40" fillId="0" borderId="0" xfId="42" applyFont="1"/>
    <xf numFmtId="0" fontId="39" fillId="0" borderId="0" xfId="42" applyFont="1"/>
    <xf numFmtId="0" fontId="39" fillId="0" borderId="0" xfId="42" quotePrefix="1" applyFont="1"/>
    <xf numFmtId="0" fontId="38" fillId="0" borderId="0" xfId="42" quotePrefix="1" applyFont="1"/>
    <xf numFmtId="0" fontId="37" fillId="0" borderId="0" xfId="42" quotePrefix="1" applyFont="1"/>
    <xf numFmtId="0" fontId="37" fillId="0" borderId="0" xfId="42" applyFont="1"/>
    <xf numFmtId="16" fontId="37" fillId="0" borderId="0" xfId="42" quotePrefix="1" applyNumberFormat="1" applyFont="1"/>
    <xf numFmtId="0" fontId="36" fillId="0" borderId="0" xfId="42" applyFont="1"/>
    <xf numFmtId="0" fontId="36" fillId="0" borderId="0" xfId="42" quotePrefix="1" applyFont="1"/>
    <xf numFmtId="0" fontId="35" fillId="0" borderId="0" xfId="42" quotePrefix="1" applyFont="1"/>
    <xf numFmtId="0" fontId="35" fillId="0" borderId="0" xfId="42" applyFont="1"/>
    <xf numFmtId="0" fontId="34" fillId="0" borderId="0" xfId="42" quotePrefix="1" applyFont="1"/>
    <xf numFmtId="3" fontId="0" fillId="0" borderId="1" xfId="0" applyNumberFormat="1" applyFill="1" applyBorder="1"/>
    <xf numFmtId="0" fontId="33" fillId="0" borderId="0" xfId="42" quotePrefix="1" applyFont="1"/>
    <xf numFmtId="0" fontId="32" fillId="0" borderId="0" xfId="42" applyFont="1"/>
    <xf numFmtId="0" fontId="32" fillId="0" borderId="0" xfId="42" quotePrefix="1" applyFont="1"/>
    <xf numFmtId="0" fontId="31" fillId="0" borderId="0" xfId="54" quotePrefix="1" applyFont="1"/>
    <xf numFmtId="0" fontId="30" fillId="0" borderId="0" xfId="42" quotePrefix="1" applyFont="1"/>
    <xf numFmtId="0" fontId="30" fillId="0" borderId="0" xfId="42" applyFont="1"/>
    <xf numFmtId="0" fontId="66" fillId="27" borderId="0" xfId="42" applyFill="1" applyAlignment="1"/>
    <xf numFmtId="0" fontId="35" fillId="27" borderId="0" xfId="42" applyFont="1" applyFill="1"/>
    <xf numFmtId="0" fontId="105" fillId="27" borderId="1" xfId="34" applyFont="1" applyFill="1" applyBorder="1" applyAlignment="1">
      <alignment horizontal="center"/>
    </xf>
    <xf numFmtId="0" fontId="126" fillId="27" borderId="1" xfId="34" applyFont="1" applyFill="1" applyBorder="1" applyAlignment="1">
      <alignment horizontal="center" vertical="center"/>
    </xf>
    <xf numFmtId="0" fontId="66" fillId="27" borderId="0" xfId="42" applyFill="1"/>
    <xf numFmtId="0" fontId="31" fillId="27" borderId="0" xfId="42" quotePrefix="1" applyFont="1" applyFill="1"/>
    <xf numFmtId="0" fontId="54" fillId="27" borderId="0" xfId="54" applyFont="1" applyFill="1"/>
    <xf numFmtId="164" fontId="74" fillId="0" borderId="1" xfId="0" quotePrefix="1" applyNumberFormat="1" applyFont="1" applyFill="1" applyBorder="1"/>
    <xf numFmtId="0" fontId="29" fillId="0" borderId="0" xfId="42" applyFont="1"/>
    <xf numFmtId="164" fontId="29" fillId="0" borderId="0" xfId="42" quotePrefix="1" applyNumberFormat="1" applyFont="1"/>
    <xf numFmtId="0" fontId="29" fillId="0" borderId="0" xfId="42" quotePrefix="1" applyFont="1"/>
    <xf numFmtId="0" fontId="106" fillId="0" borderId="29" xfId="11" applyFont="1" applyFill="1" applyBorder="1" applyAlignment="1">
      <alignment vertical="center"/>
    </xf>
    <xf numFmtId="0" fontId="28" fillId="0" borderId="0" xfId="42" quotePrefix="1" applyFont="1"/>
    <xf numFmtId="0" fontId="130" fillId="2" borderId="29" xfId="11" applyFont="1" applyFill="1" applyBorder="1" applyAlignment="1">
      <alignment vertical="center"/>
    </xf>
    <xf numFmtId="0" fontId="27" fillId="0" borderId="0" xfId="42" applyFont="1"/>
    <xf numFmtId="0" fontId="96" fillId="28" borderId="29" xfId="11" applyFont="1" applyFill="1" applyBorder="1" applyAlignment="1">
      <alignment vertical="center"/>
    </xf>
    <xf numFmtId="0" fontId="96" fillId="3" borderId="38" xfId="11" applyFont="1" applyFill="1" applyBorder="1" applyAlignment="1">
      <alignment vertical="center"/>
    </xf>
    <xf numFmtId="0" fontId="26" fillId="0" borderId="0" xfId="42" applyFont="1"/>
    <xf numFmtId="0" fontId="74" fillId="3" borderId="29" xfId="11" applyFont="1" applyFill="1" applyBorder="1" applyAlignment="1">
      <alignment vertical="center"/>
    </xf>
    <xf numFmtId="0" fontId="85" fillId="0" borderId="0" xfId="0" applyFont="1" applyAlignment="1">
      <alignment horizontal="center" vertical="center"/>
    </xf>
    <xf numFmtId="0" fontId="131" fillId="29" borderId="0" xfId="0" applyFont="1" applyFill="1" applyAlignment="1">
      <alignment horizontal="left" vertical="center"/>
    </xf>
    <xf numFmtId="0" fontId="85" fillId="29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85" fillId="30" borderId="0" xfId="0" applyFont="1" applyFill="1" applyAlignment="1">
      <alignment horizontal="center" vertical="center"/>
    </xf>
    <xf numFmtId="0" fontId="85" fillId="31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5" fillId="9" borderId="0" xfId="0" applyFont="1" applyFill="1" applyAlignment="1">
      <alignment horizontal="center" vertical="center"/>
    </xf>
    <xf numFmtId="0" fontId="85" fillId="0" borderId="0" xfId="0" applyFont="1"/>
    <xf numFmtId="0" fontId="131" fillId="31" borderId="0" xfId="0" applyFont="1" applyFill="1" applyAlignment="1">
      <alignment horizontal="left" vertical="center"/>
    </xf>
    <xf numFmtId="0" fontId="131" fillId="30" borderId="0" xfId="0" applyFont="1" applyFill="1" applyAlignment="1">
      <alignment horizontal="left" vertical="center"/>
    </xf>
    <xf numFmtId="0" fontId="131" fillId="9" borderId="0" xfId="0" applyFont="1" applyFill="1" applyAlignment="1">
      <alignment horizontal="left" vertical="center"/>
    </xf>
    <xf numFmtId="0" fontId="85" fillId="0" borderId="0" xfId="0" applyFont="1" applyAlignment="1">
      <alignment horizontal="left" vertical="center"/>
    </xf>
    <xf numFmtId="0" fontId="131" fillId="32" borderId="0" xfId="0" applyFont="1" applyFill="1" applyAlignment="1">
      <alignment horizontal="left" vertical="center"/>
    </xf>
    <xf numFmtId="0" fontId="25" fillId="0" borderId="0" xfId="42" quotePrefix="1" applyFont="1"/>
    <xf numFmtId="0" fontId="25" fillId="0" borderId="0" xfId="42" applyFont="1"/>
    <xf numFmtId="0" fontId="90" fillId="9" borderId="21" xfId="11" applyFont="1" applyFill="1" applyBorder="1" applyAlignment="1">
      <alignment vertical="center"/>
    </xf>
    <xf numFmtId="0" fontId="24" fillId="0" borderId="0" xfId="42" quotePrefix="1" applyFont="1"/>
    <xf numFmtId="0" fontId="132" fillId="0" borderId="0" xfId="42" applyFont="1"/>
    <xf numFmtId="0" fontId="133" fillId="0" borderId="0" xfId="42" applyFont="1"/>
    <xf numFmtId="0" fontId="23" fillId="0" borderId="0" xfId="42" quotePrefix="1" applyFont="1"/>
    <xf numFmtId="0" fontId="22" fillId="0" borderId="0" xfId="42" quotePrefix="1" applyFont="1"/>
    <xf numFmtId="0" fontId="21" fillId="0" borderId="0" xfId="42" quotePrefix="1" applyFont="1"/>
    <xf numFmtId="0" fontId="134" fillId="15" borderId="29" xfId="11" quotePrefix="1" applyFont="1" applyFill="1" applyBorder="1" applyAlignment="1">
      <alignment vertical="center"/>
    </xf>
    <xf numFmtId="0" fontId="135" fillId="17" borderId="29" xfId="11" applyFont="1" applyFill="1" applyBorder="1" applyAlignment="1">
      <alignment vertical="center"/>
    </xf>
    <xf numFmtId="0" fontId="74" fillId="3" borderId="0" xfId="11" applyFont="1" applyFill="1" applyBorder="1"/>
    <xf numFmtId="0" fontId="74" fillId="3" borderId="0" xfId="11" applyFont="1" applyFill="1" applyBorder="1" applyAlignment="1">
      <alignment vertical="center"/>
    </xf>
    <xf numFmtId="0" fontId="135" fillId="17" borderId="29" xfId="11" quotePrefix="1" applyFont="1" applyFill="1" applyBorder="1" applyAlignment="1">
      <alignment vertical="center"/>
    </xf>
    <xf numFmtId="0" fontId="96" fillId="0" borderId="16" xfId="11" applyFont="1" applyBorder="1" applyAlignment="1">
      <alignment vertical="center"/>
    </xf>
    <xf numFmtId="14" fontId="74" fillId="0" borderId="0" xfId="11" applyNumberFormat="1" applyFont="1" applyBorder="1"/>
    <xf numFmtId="0" fontId="89" fillId="4" borderId="25" xfId="11" applyFont="1" applyFill="1" applyBorder="1"/>
    <xf numFmtId="0" fontId="89" fillId="11" borderId="25" xfId="11" applyFont="1" applyFill="1" applyBorder="1"/>
    <xf numFmtId="0" fontId="20" fillId="0" borderId="0" xfId="42" quotePrefix="1" applyFont="1"/>
    <xf numFmtId="0" fontId="66" fillId="9" borderId="0" xfId="42" applyFill="1" applyAlignment="1"/>
    <xf numFmtId="0" fontId="20" fillId="0" borderId="0" xfId="42" applyFont="1"/>
    <xf numFmtId="0" fontId="19" fillId="0" borderId="0" xfId="42" quotePrefix="1" applyFont="1"/>
    <xf numFmtId="0" fontId="19" fillId="0" borderId="0" xfId="42" applyFont="1"/>
    <xf numFmtId="0" fontId="18" fillId="0" borderId="0" xfId="42" applyFont="1"/>
    <xf numFmtId="0" fontId="18" fillId="0" borderId="0" xfId="42" quotePrefix="1" applyFont="1"/>
    <xf numFmtId="0" fontId="66" fillId="9" borderId="0" xfId="42" applyFill="1"/>
    <xf numFmtId="0" fontId="17" fillId="0" borderId="0" xfId="42" applyFont="1"/>
    <xf numFmtId="0" fontId="17" fillId="0" borderId="0" xfId="42" quotePrefix="1" applyFont="1"/>
    <xf numFmtId="0" fontId="74" fillId="9" borderId="0" xfId="11" applyFont="1" applyFill="1" applyBorder="1" applyAlignment="1">
      <alignment vertical="center"/>
    </xf>
    <xf numFmtId="0" fontId="16" fillId="0" borderId="0" xfId="42" quotePrefix="1" applyFont="1"/>
    <xf numFmtId="0" fontId="16" fillId="0" borderId="0" xfId="42" applyFont="1"/>
    <xf numFmtId="0" fontId="15" fillId="0" borderId="0" xfId="42" applyFont="1"/>
    <xf numFmtId="0" fontId="15" fillId="0" borderId="0" xfId="42" quotePrefix="1" applyFont="1"/>
    <xf numFmtId="0" fontId="14" fillId="0" borderId="0" xfId="42" quotePrefix="1" applyFont="1"/>
    <xf numFmtId="0" fontId="14" fillId="0" borderId="0" xfId="42" applyFont="1"/>
    <xf numFmtId="0" fontId="13" fillId="0" borderId="0" xfId="42" applyFont="1"/>
    <xf numFmtId="0" fontId="13" fillId="0" borderId="0" xfId="42" quotePrefix="1" applyFont="1"/>
    <xf numFmtId="0" fontId="12" fillId="0" borderId="0" xfId="42" applyFont="1"/>
    <xf numFmtId="0" fontId="12" fillId="0" borderId="0" xfId="42" quotePrefix="1" applyFont="1"/>
    <xf numFmtId="0" fontId="11" fillId="0" borderId="0" xfId="42" quotePrefix="1" applyFont="1"/>
    <xf numFmtId="0" fontId="11" fillId="0" borderId="0" xfId="42" applyFont="1"/>
    <xf numFmtId="0" fontId="10" fillId="0" borderId="0" xfId="42" applyFont="1"/>
    <xf numFmtId="0" fontId="10" fillId="0" borderId="0" xfId="42" quotePrefix="1" applyFont="1"/>
    <xf numFmtId="0" fontId="0" fillId="0" borderId="50" xfId="0" applyBorder="1"/>
    <xf numFmtId="0" fontId="74" fillId="0" borderId="50" xfId="0" applyFont="1" applyBorder="1"/>
    <xf numFmtId="0" fontId="0" fillId="0" borderId="51" xfId="0" applyBorder="1"/>
    <xf numFmtId="0" fontId="9" fillId="0" borderId="0" xfId="42" applyFont="1"/>
    <xf numFmtId="166" fontId="138" fillId="3" borderId="17" xfId="0" quotePrefix="1" applyNumberFormat="1" applyFont="1" applyFill="1" applyBorder="1" applyAlignment="1">
      <alignment horizontal="center" vertical="center" wrapText="1"/>
    </xf>
    <xf numFmtId="0" fontId="9" fillId="0" borderId="0" xfId="42" quotePrefix="1" applyFont="1"/>
    <xf numFmtId="0" fontId="66" fillId="4" borderId="0" xfId="42" applyFill="1" applyAlignment="1"/>
    <xf numFmtId="0" fontId="29" fillId="4" borderId="0" xfId="42" applyFont="1" applyFill="1"/>
    <xf numFmtId="0" fontId="66" fillId="4" borderId="0" xfId="42" applyFill="1"/>
    <xf numFmtId="166" fontId="138" fillId="4" borderId="17" xfId="0" quotePrefix="1" applyNumberFormat="1" applyFont="1" applyFill="1" applyBorder="1" applyAlignment="1">
      <alignment horizontal="center" vertical="center" wrapText="1"/>
    </xf>
    <xf numFmtId="0" fontId="9" fillId="4" borderId="0" xfId="42" applyFont="1" applyFill="1"/>
    <xf numFmtId="0" fontId="8" fillId="0" borderId="0" xfId="42" quotePrefix="1" applyFont="1"/>
    <xf numFmtId="0" fontId="8" fillId="9" borderId="0" xfId="42" applyFont="1" applyFill="1"/>
    <xf numFmtId="0" fontId="7" fillId="0" borderId="0" xfId="42" quotePrefix="1" applyFont="1"/>
    <xf numFmtId="0" fontId="7" fillId="0" borderId="0" xfId="42" applyFont="1"/>
    <xf numFmtId="0" fontId="66" fillId="0" borderId="0" xfId="42" applyFill="1"/>
    <xf numFmtId="0" fontId="6" fillId="0" borderId="0" xfId="42" applyFont="1"/>
    <xf numFmtId="15" fontId="139" fillId="0" borderId="7" xfId="0" quotePrefix="1" applyNumberFormat="1" applyFont="1" applyBorder="1" applyAlignment="1">
      <alignment horizontal="center" vertical="center" wrapText="1"/>
    </xf>
    <xf numFmtId="15" fontId="139" fillId="33" borderId="7" xfId="0" quotePrefix="1" applyNumberFormat="1" applyFont="1" applyFill="1" applyBorder="1" applyAlignment="1">
      <alignment horizontal="center" vertical="center" wrapText="1"/>
    </xf>
    <xf numFmtId="3" fontId="66" fillId="0" borderId="0" xfId="42" applyNumberFormat="1"/>
    <xf numFmtId="0" fontId="74" fillId="0" borderId="1" xfId="0" applyFont="1" applyFill="1" applyBorder="1" applyAlignment="1">
      <alignment horizontal="center" vertical="center"/>
    </xf>
    <xf numFmtId="0" fontId="5" fillId="0" borderId="0" xfId="42" quotePrefix="1" applyFont="1"/>
    <xf numFmtId="0" fontId="74" fillId="0" borderId="17" xfId="11" applyFont="1" applyFill="1" applyBorder="1" applyAlignment="1">
      <alignment vertical="center"/>
    </xf>
    <xf numFmtId="0" fontId="115" fillId="2" borderId="19" xfId="11" applyFont="1" applyFill="1" applyBorder="1" applyAlignment="1">
      <alignment vertical="center"/>
    </xf>
    <xf numFmtId="0" fontId="74" fillId="3" borderId="13" xfId="11" applyFont="1" applyFill="1" applyBorder="1" applyAlignment="1">
      <alignment horizontal="center" vertical="center"/>
    </xf>
    <xf numFmtId="0" fontId="91" fillId="8" borderId="21" xfId="11" applyFont="1" applyFill="1" applyBorder="1" applyAlignment="1">
      <alignment vertical="center"/>
    </xf>
    <xf numFmtId="0" fontId="74" fillId="8" borderId="21" xfId="11" applyFont="1" applyFill="1" applyBorder="1" applyAlignment="1">
      <alignment vertical="center"/>
    </xf>
    <xf numFmtId="0" fontId="91" fillId="2" borderId="21" xfId="11" applyFont="1" applyFill="1" applyBorder="1" applyAlignment="1">
      <alignment vertical="center"/>
    </xf>
    <xf numFmtId="0" fontId="90" fillId="2" borderId="21" xfId="11" applyFont="1" applyFill="1" applyBorder="1" applyAlignment="1">
      <alignment vertical="center"/>
    </xf>
    <xf numFmtId="0" fontId="90" fillId="12" borderId="21" xfId="11" applyFont="1" applyFill="1" applyBorder="1" applyAlignment="1">
      <alignment vertical="center"/>
    </xf>
    <xf numFmtId="0" fontId="74" fillId="3" borderId="22" xfId="11" applyFont="1" applyFill="1" applyBorder="1" applyAlignment="1">
      <alignment horizontal="center" vertical="center"/>
    </xf>
    <xf numFmtId="0" fontId="92" fillId="2" borderId="21" xfId="11" applyFont="1" applyFill="1" applyBorder="1" applyAlignment="1">
      <alignment vertical="center"/>
    </xf>
    <xf numFmtId="0" fontId="86" fillId="2" borderId="21" xfId="11" applyFont="1" applyFill="1" applyBorder="1" applyAlignment="1">
      <alignment vertical="center"/>
    </xf>
    <xf numFmtId="0" fontId="91" fillId="14" borderId="21" xfId="11" applyFont="1" applyFill="1" applyBorder="1" applyAlignment="1">
      <alignment vertical="center"/>
    </xf>
    <xf numFmtId="0" fontId="97" fillId="2" borderId="21" xfId="11" applyFont="1" applyFill="1" applyBorder="1" applyAlignment="1">
      <alignment vertical="center"/>
    </xf>
    <xf numFmtId="0" fontId="97" fillId="16" borderId="21" xfId="11" applyFont="1" applyFill="1" applyBorder="1" applyAlignment="1">
      <alignment vertical="center"/>
    </xf>
    <xf numFmtId="0" fontId="74" fillId="2" borderId="21" xfId="11" applyFont="1" applyFill="1" applyBorder="1" applyAlignment="1">
      <alignment vertical="center"/>
    </xf>
    <xf numFmtId="0" fontId="74" fillId="16" borderId="21" xfId="11" applyFont="1" applyFill="1" applyBorder="1" applyAlignment="1">
      <alignment vertical="center"/>
    </xf>
    <xf numFmtId="0" fontId="91" fillId="11" borderId="21" xfId="11" applyFont="1" applyFill="1" applyBorder="1" applyAlignment="1">
      <alignment horizontal="left" vertical="center"/>
    </xf>
    <xf numFmtId="0" fontId="74" fillId="14" borderId="21" xfId="11" applyFont="1" applyFill="1" applyBorder="1" applyAlignment="1">
      <alignment vertical="center"/>
    </xf>
    <xf numFmtId="0" fontId="91" fillId="17" borderId="21" xfId="11" applyFont="1" applyFill="1" applyBorder="1" applyAlignment="1">
      <alignment vertical="center"/>
    </xf>
    <xf numFmtId="0" fontId="91" fillId="12" borderId="21" xfId="11" applyFont="1" applyFill="1" applyBorder="1" applyAlignment="1">
      <alignment vertical="center"/>
    </xf>
    <xf numFmtId="0" fontId="103" fillId="2" borderId="21" xfId="11" applyFont="1" applyFill="1" applyBorder="1"/>
    <xf numFmtId="0" fontId="96" fillId="3" borderId="52" xfId="11" applyFont="1" applyFill="1" applyBorder="1" applyAlignment="1">
      <alignment vertical="center"/>
    </xf>
    <xf numFmtId="0" fontId="96" fillId="3" borderId="21" xfId="11" applyFont="1" applyFill="1" applyBorder="1" applyAlignment="1">
      <alignment vertical="center"/>
    </xf>
    <xf numFmtId="0" fontId="96" fillId="3" borderId="53" xfId="11" applyFont="1" applyFill="1" applyBorder="1" applyAlignment="1">
      <alignment vertical="center"/>
    </xf>
    <xf numFmtId="0" fontId="74" fillId="0" borderId="21" xfId="11" applyFont="1" applyBorder="1" applyAlignment="1">
      <alignment vertical="center"/>
    </xf>
    <xf numFmtId="0" fontId="94" fillId="15" borderId="21" xfId="11" applyFont="1" applyFill="1" applyBorder="1" applyAlignment="1">
      <alignment vertical="center"/>
    </xf>
    <xf numFmtId="0" fontId="74" fillId="3" borderId="20" xfId="11" applyFont="1" applyFill="1" applyBorder="1" applyAlignment="1">
      <alignment horizontal="center" vertical="center"/>
    </xf>
    <xf numFmtId="0" fontId="115" fillId="2" borderId="13" xfId="11" applyFont="1" applyFill="1" applyBorder="1" applyAlignment="1">
      <alignment vertical="center"/>
    </xf>
    <xf numFmtId="0" fontId="115" fillId="2" borderId="21" xfId="11" applyFont="1" applyFill="1" applyBorder="1" applyAlignment="1">
      <alignment vertical="center"/>
    </xf>
    <xf numFmtId="0" fontId="115" fillId="17" borderId="21" xfId="11" applyFont="1" applyFill="1" applyBorder="1" applyAlignment="1">
      <alignment vertical="center"/>
    </xf>
    <xf numFmtId="0" fontId="74" fillId="0" borderId="21" xfId="11" applyFont="1" applyFill="1" applyBorder="1" applyAlignment="1">
      <alignment horizontal="center" vertical="center"/>
    </xf>
    <xf numFmtId="0" fontId="91" fillId="17" borderId="13" xfId="11" applyFont="1" applyFill="1" applyBorder="1" applyAlignment="1">
      <alignment vertical="center"/>
    </xf>
    <xf numFmtId="0" fontId="122" fillId="2" borderId="0" xfId="0" applyFont="1" applyFill="1" applyBorder="1"/>
    <xf numFmtId="0" fontId="91" fillId="2" borderId="38" xfId="11" applyFont="1" applyFill="1" applyBorder="1" applyAlignment="1">
      <alignment vertical="center"/>
    </xf>
    <xf numFmtId="0" fontId="90" fillId="12" borderId="38" xfId="11" applyFont="1" applyFill="1" applyBorder="1" applyAlignment="1">
      <alignment vertical="center"/>
    </xf>
    <xf numFmtId="0" fontId="117" fillId="0" borderId="29" xfId="11" applyFont="1" applyFill="1" applyBorder="1" applyAlignment="1">
      <alignment horizontal="center" vertical="center" textRotation="90"/>
    </xf>
    <xf numFmtId="0" fontId="92" fillId="0" borderId="29" xfId="11" applyFont="1" applyFill="1" applyBorder="1" applyAlignment="1">
      <alignment vertical="center"/>
    </xf>
    <xf numFmtId="0" fontId="86" fillId="0" borderId="29" xfId="11" applyFont="1" applyFill="1" applyBorder="1" applyAlignment="1">
      <alignment vertical="center"/>
    </xf>
    <xf numFmtId="0" fontId="97" fillId="0" borderId="29" xfId="11" applyFont="1" applyFill="1" applyBorder="1" applyAlignment="1">
      <alignment vertical="center"/>
    </xf>
    <xf numFmtId="0" fontId="91" fillId="0" borderId="29" xfId="11" applyFont="1" applyFill="1" applyBorder="1" applyAlignment="1">
      <alignment horizontal="left" vertical="center"/>
    </xf>
    <xf numFmtId="0" fontId="120" fillId="0" borderId="29" xfId="11" applyFont="1" applyFill="1" applyBorder="1" applyAlignment="1">
      <alignment horizontal="center" vertical="center"/>
    </xf>
    <xf numFmtId="0" fontId="115" fillId="0" borderId="29" xfId="11" applyFont="1" applyFill="1" applyBorder="1" applyAlignment="1">
      <alignment vertical="center"/>
    </xf>
    <xf numFmtId="0" fontId="4" fillId="0" borderId="0" xfId="42" quotePrefix="1" applyFont="1"/>
    <xf numFmtId="0" fontId="4" fillId="0" borderId="0" xfId="42" applyFont="1"/>
    <xf numFmtId="15" fontId="4" fillId="0" borderId="0" xfId="42" quotePrefix="1" applyNumberFormat="1" applyFont="1"/>
    <xf numFmtId="0" fontId="3" fillId="0" borderId="0" xfId="42" quotePrefix="1" applyFont="1"/>
    <xf numFmtId="0" fontId="3" fillId="0" borderId="0" xfId="42" applyFont="1"/>
    <xf numFmtId="0" fontId="74" fillId="0" borderId="16" xfId="11" applyFont="1" applyBorder="1"/>
    <xf numFmtId="0" fontId="2" fillId="0" borderId="0" xfId="42" quotePrefix="1" applyFont="1"/>
    <xf numFmtId="16" fontId="74" fillId="0" borderId="1" xfId="11" applyNumberFormat="1" applyFont="1" applyFill="1" applyBorder="1"/>
    <xf numFmtId="16" fontId="74" fillId="0" borderId="1" xfId="11" applyNumberFormat="1" applyFont="1" applyBorder="1"/>
    <xf numFmtId="0" fontId="74" fillId="0" borderId="19" xfId="11" applyFont="1" applyFill="1" applyBorder="1"/>
    <xf numFmtId="0" fontId="74" fillId="0" borderId="19" xfId="11" quotePrefix="1" applyFont="1" applyBorder="1"/>
    <xf numFmtId="0" fontId="74" fillId="0" borderId="19" xfId="11" applyFont="1" applyBorder="1"/>
    <xf numFmtId="0" fontId="96" fillId="34" borderId="29" xfId="11" applyFont="1" applyFill="1" applyBorder="1" applyAlignment="1">
      <alignment vertical="center"/>
    </xf>
    <xf numFmtId="0" fontId="74" fillId="0" borderId="0" xfId="11" quotePrefix="1" applyFont="1" applyFill="1"/>
    <xf numFmtId="0" fontId="96" fillId="16" borderId="25" xfId="11" applyFont="1" applyFill="1" applyBorder="1" applyAlignment="1">
      <alignment vertical="center"/>
    </xf>
    <xf numFmtId="0" fontId="89" fillId="16" borderId="25" xfId="11" applyFont="1" applyFill="1" applyBorder="1"/>
    <xf numFmtId="0" fontId="96" fillId="3" borderId="25" xfId="11" applyFont="1" applyFill="1" applyBorder="1" applyAlignment="1">
      <alignment vertical="center"/>
    </xf>
    <xf numFmtId="1" fontId="105" fillId="0" borderId="1" xfId="11" applyNumberFormat="1" applyFont="1" applyBorder="1"/>
    <xf numFmtId="0" fontId="1" fillId="0" borderId="0" xfId="11" applyFont="1" applyBorder="1"/>
    <xf numFmtId="0" fontId="93" fillId="0" borderId="18" xfId="11" applyFont="1" applyFill="1" applyBorder="1" applyAlignment="1">
      <alignment horizontal="center" vertical="center"/>
    </xf>
    <xf numFmtId="0" fontId="115" fillId="17" borderId="21" xfId="11" quotePrefix="1" applyFont="1" applyFill="1" applyBorder="1" applyAlignment="1">
      <alignment vertical="center"/>
    </xf>
    <xf numFmtId="0" fontId="96" fillId="0" borderId="1" xfId="11" quotePrefix="1" applyFont="1" applyFill="1" applyBorder="1" applyAlignment="1">
      <alignment vertical="center"/>
    </xf>
    <xf numFmtId="0" fontId="93" fillId="0" borderId="31" xfId="11" applyFont="1" applyFill="1" applyBorder="1" applyAlignment="1">
      <alignment horizontal="center" vertical="center"/>
    </xf>
    <xf numFmtId="0" fontId="74" fillId="0" borderId="30" xfId="11" applyFont="1" applyFill="1" applyBorder="1"/>
    <xf numFmtId="0" fontId="74" fillId="3" borderId="21" xfId="11" applyFont="1" applyFill="1" applyBorder="1" applyAlignment="1">
      <alignment vertical="center"/>
    </xf>
    <xf numFmtId="0" fontId="115" fillId="2" borderId="22" xfId="11" applyFont="1" applyFill="1" applyBorder="1" applyAlignment="1">
      <alignment vertical="center"/>
    </xf>
    <xf numFmtId="0" fontId="96" fillId="0" borderId="29" xfId="11" quotePrefix="1" applyFont="1" applyFill="1" applyBorder="1" applyAlignment="1">
      <alignment vertical="center"/>
    </xf>
    <xf numFmtId="0" fontId="96" fillId="35" borderId="29" xfId="11" applyFont="1" applyFill="1" applyBorder="1" applyAlignment="1">
      <alignment vertical="center"/>
    </xf>
    <xf numFmtId="0" fontId="96" fillId="16" borderId="1" xfId="11" applyFont="1" applyFill="1" applyBorder="1" applyAlignment="1">
      <alignment vertical="center"/>
    </xf>
    <xf numFmtId="0" fontId="74" fillId="16" borderId="1" xfId="11" applyFont="1" applyFill="1" applyBorder="1" applyAlignment="1">
      <alignment horizontal="center" vertical="center"/>
    </xf>
    <xf numFmtId="0" fontId="91" fillId="16" borderId="29" xfId="11" applyFont="1" applyFill="1" applyBorder="1"/>
    <xf numFmtId="0" fontId="90" fillId="16" borderId="29" xfId="11" applyFont="1" applyFill="1" applyBorder="1" applyAlignment="1">
      <alignment vertical="center"/>
    </xf>
    <xf numFmtId="0" fontId="74" fillId="16" borderId="16" xfId="11" applyFont="1" applyFill="1" applyBorder="1" applyAlignment="1">
      <alignment horizontal="center" vertical="center"/>
    </xf>
    <xf numFmtId="0" fontId="99" fillId="16" borderId="29" xfId="11" applyFont="1" applyFill="1" applyBorder="1" applyAlignment="1">
      <alignment horizontal="center" textRotation="45"/>
    </xf>
    <xf numFmtId="0" fontId="74" fillId="16" borderId="29" xfId="11" applyFont="1" applyFill="1" applyBorder="1" applyAlignment="1">
      <alignment horizontal="center" vertical="center"/>
    </xf>
    <xf numFmtId="0" fontId="78" fillId="16" borderId="29" xfId="11" applyFont="1" applyFill="1" applyBorder="1" applyAlignment="1">
      <alignment vertical="center"/>
    </xf>
    <xf numFmtId="1" fontId="96" fillId="16" borderId="1" xfId="11" applyNumberFormat="1" applyFont="1" applyFill="1" applyBorder="1" applyAlignment="1">
      <alignment vertical="center"/>
    </xf>
    <xf numFmtId="0" fontId="74" fillId="16" borderId="13" xfId="11" applyFont="1" applyFill="1" applyBorder="1" applyAlignment="1">
      <alignment horizontal="center" vertical="center"/>
    </xf>
    <xf numFmtId="0" fontId="89" fillId="9" borderId="25" xfId="11" applyFont="1" applyFill="1" applyBorder="1"/>
    <xf numFmtId="0" fontId="96" fillId="4" borderId="38" xfId="11" applyFont="1" applyFill="1" applyBorder="1" applyAlignment="1">
      <alignment vertical="center"/>
    </xf>
    <xf numFmtId="0" fontId="96" fillId="2" borderId="25" xfId="11" applyFont="1" applyFill="1" applyBorder="1" applyAlignment="1">
      <alignment vertical="center"/>
    </xf>
    <xf numFmtId="0" fontId="74" fillId="2" borderId="25" xfId="11" applyFont="1" applyFill="1" applyBorder="1"/>
    <xf numFmtId="0" fontId="89" fillId="0" borderId="25" xfId="11" applyFont="1" applyFill="1" applyBorder="1"/>
    <xf numFmtId="0" fontId="141" fillId="0" borderId="29" xfId="11" applyFont="1" applyFill="1" applyBorder="1" applyAlignment="1">
      <alignment vertical="center"/>
    </xf>
    <xf numFmtId="0" fontId="141" fillId="16" borderId="29" xfId="11" applyFont="1" applyFill="1" applyBorder="1" applyAlignment="1">
      <alignment vertical="center"/>
    </xf>
    <xf numFmtId="0" fontId="89" fillId="36" borderId="25" xfId="11" applyFont="1" applyFill="1" applyBorder="1"/>
    <xf numFmtId="0" fontId="141" fillId="0" borderId="1" xfId="11" applyFont="1" applyFill="1" applyBorder="1" applyAlignment="1">
      <alignment vertical="center"/>
    </xf>
    <xf numFmtId="0" fontId="89" fillId="37" borderId="25" xfId="11" applyFont="1" applyFill="1" applyBorder="1"/>
    <xf numFmtId="16" fontId="74" fillId="16" borderId="29" xfId="11" applyNumberFormat="1" applyFont="1" applyFill="1" applyBorder="1"/>
    <xf numFmtId="1" fontId="142" fillId="0" borderId="29" xfId="11" applyNumberFormat="1" applyFont="1" applyFill="1" applyBorder="1"/>
    <xf numFmtId="1" fontId="89" fillId="0" borderId="29" xfId="11" applyNumberFormat="1" applyFont="1" applyFill="1" applyBorder="1"/>
    <xf numFmtId="0" fontId="88" fillId="0" borderId="1" xfId="11" applyNumberFormat="1" applyFont="1" applyFill="1" applyBorder="1" applyAlignment="1">
      <alignment horizontal="center" vertical="center" wrapText="1"/>
    </xf>
    <xf numFmtId="0" fontId="143" fillId="0" borderId="29" xfId="11" applyFont="1" applyFill="1" applyBorder="1" applyAlignment="1">
      <alignment vertical="center"/>
    </xf>
    <xf numFmtId="0" fontId="143" fillId="0" borderId="1" xfId="11" applyFont="1" applyFill="1" applyBorder="1" applyAlignment="1">
      <alignment vertical="center"/>
    </xf>
    <xf numFmtId="16" fontId="74" fillId="0" borderId="0" xfId="11" applyNumberFormat="1" applyFont="1" applyFill="1" applyBorder="1"/>
    <xf numFmtId="0" fontId="0" fillId="0" borderId="0" xfId="0" applyBorder="1"/>
    <xf numFmtId="16" fontId="0" fillId="0" borderId="0" xfId="0" applyNumberFormat="1" applyBorder="1"/>
    <xf numFmtId="165" fontId="0" fillId="0" borderId="0" xfId="36" applyNumberFormat="1" applyFont="1" applyBorder="1"/>
    <xf numFmtId="165" fontId="0" fillId="0" borderId="0" xfId="0" applyNumberFormat="1" applyBorder="1"/>
    <xf numFmtId="0" fontId="144" fillId="0" borderId="15" xfId="0" applyFont="1" applyBorder="1" applyAlignment="1">
      <alignment horizontal="center" vertical="center" wrapText="1"/>
    </xf>
    <xf numFmtId="0" fontId="144" fillId="0" borderId="4" xfId="0" applyFont="1" applyBorder="1" applyAlignment="1">
      <alignment horizontal="center" vertical="center" wrapText="1"/>
    </xf>
    <xf numFmtId="0" fontId="144" fillId="0" borderId="65" xfId="0" applyFont="1" applyBorder="1" applyAlignment="1">
      <alignment horizontal="center" vertical="center" wrapText="1"/>
    </xf>
    <xf numFmtId="0" fontId="144" fillId="0" borderId="7" xfId="0" applyFont="1" applyBorder="1" applyAlignment="1">
      <alignment horizontal="center" vertical="center" wrapText="1"/>
    </xf>
    <xf numFmtId="14" fontId="144" fillId="0" borderId="7" xfId="0" applyNumberFormat="1" applyFont="1" applyBorder="1" applyAlignment="1">
      <alignment horizontal="center" vertical="center" wrapText="1"/>
    </xf>
    <xf numFmtId="0" fontId="145" fillId="0" borderId="7" xfId="0" applyFont="1" applyBorder="1" applyAlignment="1">
      <alignment horizontal="center" vertical="center" wrapText="1"/>
    </xf>
    <xf numFmtId="0" fontId="146" fillId="0" borderId="29" xfId="11" applyFont="1" applyFill="1" applyBorder="1" applyAlignment="1">
      <alignment vertical="center"/>
    </xf>
    <xf numFmtId="0" fontId="146" fillId="16" borderId="29" xfId="11" applyFont="1" applyFill="1" applyBorder="1" applyAlignment="1">
      <alignment vertical="center"/>
    </xf>
    <xf numFmtId="0" fontId="146" fillId="0" borderId="1" xfId="11" applyFont="1" applyFill="1" applyBorder="1" applyAlignment="1">
      <alignment horizontal="center" vertical="center"/>
    </xf>
    <xf numFmtId="0" fontId="147" fillId="0" borderId="29" xfId="11" applyFont="1" applyFill="1" applyBorder="1" applyAlignment="1">
      <alignment vertical="center"/>
    </xf>
    <xf numFmtId="0" fontId="146" fillId="0" borderId="25" xfId="11" applyFont="1" applyBorder="1" applyAlignment="1">
      <alignment vertical="center"/>
    </xf>
    <xf numFmtId="0" fontId="143" fillId="37" borderId="29" xfId="11" applyFont="1" applyFill="1" applyBorder="1" applyAlignment="1">
      <alignment vertical="center"/>
    </xf>
    <xf numFmtId="0" fontId="96" fillId="37" borderId="29" xfId="11" applyFont="1" applyFill="1" applyBorder="1" applyAlignment="1">
      <alignment vertical="center"/>
    </xf>
    <xf numFmtId="0" fontId="93" fillId="0" borderId="16" xfId="11" applyFont="1" applyFill="1" applyBorder="1" applyAlignment="1">
      <alignment horizontal="center" vertical="center"/>
    </xf>
    <xf numFmtId="0" fontId="75" fillId="3" borderId="29" xfId="11" quotePrefix="1" applyFont="1" applyFill="1" applyBorder="1" applyAlignment="1">
      <alignment vertical="center"/>
    </xf>
    <xf numFmtId="16" fontId="0" fillId="0" borderId="0" xfId="0" applyNumberFormat="1"/>
    <xf numFmtId="0" fontId="74" fillId="16" borderId="21" xfId="11" applyFont="1" applyFill="1" applyBorder="1"/>
    <xf numFmtId="0" fontId="96" fillId="38" borderId="29" xfId="11" applyFont="1" applyFill="1" applyBorder="1" applyAlignment="1">
      <alignment vertical="center"/>
    </xf>
    <xf numFmtId="0" fontId="74" fillId="2" borderId="21" xfId="11" applyFont="1" applyFill="1" applyBorder="1"/>
    <xf numFmtId="14" fontId="74" fillId="0" borderId="29" xfId="11" applyNumberFormat="1" applyFont="1" applyFill="1" applyBorder="1"/>
    <xf numFmtId="0" fontId="94" fillId="15" borderId="29" xfId="11" quotePrefix="1" applyFont="1" applyFill="1" applyBorder="1" applyAlignment="1">
      <alignment vertical="center"/>
    </xf>
    <xf numFmtId="0" fontId="74" fillId="0" borderId="30" xfId="11" applyFont="1" applyFill="1" applyBorder="1" applyAlignment="1">
      <alignment horizontal="center"/>
    </xf>
    <xf numFmtId="0" fontId="74" fillId="0" borderId="17" xfId="11" applyFont="1" applyFill="1" applyBorder="1"/>
    <xf numFmtId="0" fontId="74" fillId="0" borderId="67" xfId="11" applyFont="1" applyFill="1" applyBorder="1"/>
    <xf numFmtId="16" fontId="74" fillId="0" borderId="17" xfId="11" applyNumberFormat="1" applyFont="1" applyBorder="1"/>
    <xf numFmtId="0" fontId="74" fillId="0" borderId="17" xfId="11" applyFont="1" applyBorder="1"/>
    <xf numFmtId="16" fontId="74" fillId="0" borderId="17" xfId="11" applyNumberFormat="1" applyFont="1" applyFill="1" applyBorder="1"/>
    <xf numFmtId="0" fontId="74" fillId="0" borderId="23" xfId="11" applyFont="1" applyFill="1" applyBorder="1"/>
    <xf numFmtId="0" fontId="93" fillId="0" borderId="68" xfId="11" applyFont="1" applyFill="1" applyBorder="1" applyAlignment="1">
      <alignment horizontal="center" vertical="center"/>
    </xf>
    <xf numFmtId="0" fontId="74" fillId="0" borderId="66" xfId="11" applyFont="1" applyFill="1" applyBorder="1"/>
    <xf numFmtId="0" fontId="74" fillId="0" borderId="66" xfId="11" applyFont="1" applyBorder="1"/>
    <xf numFmtId="0" fontId="93" fillId="0" borderId="69" xfId="11" applyFont="1" applyFill="1" applyBorder="1" applyAlignment="1">
      <alignment horizontal="center" vertical="center"/>
    </xf>
    <xf numFmtId="0" fontId="96" fillId="0" borderId="66" xfId="11" applyFont="1" applyFill="1" applyBorder="1" applyAlignment="1">
      <alignment vertical="center"/>
    </xf>
    <xf numFmtId="0" fontId="74" fillId="0" borderId="31" xfId="11" applyFont="1" applyFill="1" applyBorder="1"/>
    <xf numFmtId="0" fontId="74" fillId="0" borderId="33" xfId="11" applyFont="1" applyFill="1" applyBorder="1"/>
    <xf numFmtId="0" fontId="74" fillId="0" borderId="32" xfId="11" applyFont="1" applyFill="1" applyBorder="1"/>
    <xf numFmtId="0" fontId="74" fillId="0" borderId="66" xfId="11" applyFont="1" applyFill="1" applyBorder="1" applyAlignment="1">
      <alignment vertical="center"/>
    </xf>
    <xf numFmtId="16" fontId="74" fillId="0" borderId="66" xfId="11" applyNumberFormat="1" applyFont="1" applyFill="1" applyBorder="1"/>
    <xf numFmtId="1" fontId="74" fillId="16" borderId="29" xfId="11" applyNumberFormat="1" applyFont="1" applyFill="1" applyBorder="1"/>
    <xf numFmtId="1" fontId="74" fillId="0" borderId="29" xfId="11" applyNumberFormat="1" applyFont="1" applyFill="1" applyBorder="1"/>
    <xf numFmtId="0" fontId="141" fillId="0" borderId="38" xfId="11" applyFont="1" applyFill="1" applyBorder="1" applyAlignment="1">
      <alignment vertical="center"/>
    </xf>
    <xf numFmtId="0" fontId="141" fillId="16" borderId="38" xfId="11" applyFont="1" applyFill="1" applyBorder="1" applyAlignment="1">
      <alignment vertical="center"/>
    </xf>
    <xf numFmtId="0" fontId="74" fillId="0" borderId="38" xfId="11" applyFont="1" applyFill="1" applyBorder="1" applyAlignment="1">
      <alignment vertical="center"/>
    </xf>
    <xf numFmtId="0" fontId="74" fillId="2" borderId="38" xfId="11" applyFont="1" applyFill="1" applyBorder="1" applyAlignment="1">
      <alignment vertical="center"/>
    </xf>
    <xf numFmtId="0" fontId="74" fillId="3" borderId="29" xfId="11" applyFont="1" applyFill="1" applyBorder="1"/>
    <xf numFmtId="0" fontId="74" fillId="9" borderId="29" xfId="11" applyFont="1" applyFill="1" applyBorder="1" applyAlignment="1">
      <alignment vertical="center"/>
    </xf>
    <xf numFmtId="0" fontId="137" fillId="12" borderId="29" xfId="11" applyFont="1" applyFill="1" applyBorder="1" applyAlignment="1">
      <alignment vertical="center"/>
    </xf>
    <xf numFmtId="0" fontId="115" fillId="17" borderId="29" xfId="11" quotePrefix="1" applyFont="1" applyFill="1" applyBorder="1" applyAlignment="1">
      <alignment vertical="center"/>
    </xf>
    <xf numFmtId="0" fontId="96" fillId="0" borderId="19" xfId="11" applyFont="1" applyBorder="1" applyAlignment="1">
      <alignment vertical="center"/>
    </xf>
    <xf numFmtId="0" fontId="91" fillId="0" borderId="38" xfId="11" applyFont="1" applyFill="1" applyBorder="1"/>
    <xf numFmtId="0" fontId="90" fillId="0" borderId="38" xfId="11" applyFont="1" applyFill="1" applyBorder="1" applyAlignment="1">
      <alignment vertical="center"/>
    </xf>
    <xf numFmtId="0" fontId="74" fillId="0" borderId="23" xfId="11" applyFont="1" applyFill="1" applyBorder="1" applyAlignment="1">
      <alignment horizontal="center" vertical="center"/>
    </xf>
    <xf numFmtId="0" fontId="91" fillId="0" borderId="38" xfId="11" applyFont="1" applyFill="1" applyBorder="1" applyAlignment="1">
      <alignment vertical="center"/>
    </xf>
    <xf numFmtId="0" fontId="99" fillId="0" borderId="38" xfId="11" applyFont="1" applyFill="1" applyBorder="1" applyAlignment="1">
      <alignment horizontal="center" textRotation="45"/>
    </xf>
    <xf numFmtId="0" fontId="96" fillId="0" borderId="17" xfId="11" applyFont="1" applyFill="1" applyBorder="1" applyAlignment="1">
      <alignment horizontal="center" vertical="center"/>
    </xf>
    <xf numFmtId="0" fontId="74" fillId="0" borderId="31" xfId="11" applyFont="1" applyBorder="1" applyAlignment="1">
      <alignment horizontal="center" vertical="center"/>
    </xf>
    <xf numFmtId="0" fontId="91" fillId="2" borderId="30" xfId="11" applyFont="1" applyFill="1" applyBorder="1"/>
    <xf numFmtId="0" fontId="90" fillId="12" borderId="30" xfId="11" applyFont="1" applyFill="1" applyBorder="1" applyAlignment="1">
      <alignment vertical="center"/>
    </xf>
    <xf numFmtId="0" fontId="74" fillId="0" borderId="32" xfId="11" applyFont="1" applyBorder="1" applyAlignment="1">
      <alignment horizontal="center" vertical="center"/>
    </xf>
    <xf numFmtId="0" fontId="91" fillId="12" borderId="30" xfId="11" applyFont="1" applyFill="1" applyBorder="1" applyAlignment="1">
      <alignment vertical="center"/>
    </xf>
    <xf numFmtId="0" fontId="74" fillId="0" borderId="30" xfId="11" applyFont="1" applyBorder="1"/>
    <xf numFmtId="0" fontId="91" fillId="18" borderId="30" xfId="11" applyFont="1" applyFill="1" applyBorder="1" applyAlignment="1">
      <alignment vertical="center"/>
    </xf>
    <xf numFmtId="0" fontId="91" fillId="16" borderId="30" xfId="11" applyFont="1" applyFill="1" applyBorder="1" applyAlignment="1">
      <alignment vertical="center"/>
    </xf>
    <xf numFmtId="0" fontId="96" fillId="2" borderId="30" xfId="11" applyFont="1" applyFill="1" applyBorder="1" applyAlignment="1">
      <alignment vertical="center"/>
    </xf>
    <xf numFmtId="0" fontId="94" fillId="2" borderId="30" xfId="11" applyFont="1" applyFill="1" applyBorder="1" applyAlignment="1">
      <alignment vertical="center"/>
    </xf>
    <xf numFmtId="0" fontId="90" fillId="9" borderId="30" xfId="11" applyFont="1" applyFill="1" applyBorder="1" applyAlignment="1">
      <alignment vertical="center"/>
    </xf>
    <xf numFmtId="0" fontId="94" fillId="9" borderId="30" xfId="11" applyFont="1" applyFill="1" applyBorder="1" applyAlignment="1">
      <alignment vertical="center"/>
    </xf>
    <xf numFmtId="0" fontId="78" fillId="0" borderId="30" xfId="11" applyFont="1" applyFill="1" applyBorder="1" applyAlignment="1">
      <alignment vertical="center"/>
    </xf>
    <xf numFmtId="0" fontId="115" fillId="12" borderId="30" xfId="11" applyFont="1" applyFill="1" applyBorder="1" applyAlignment="1">
      <alignment vertical="center"/>
    </xf>
    <xf numFmtId="0" fontId="131" fillId="2" borderId="66" xfId="0" applyFont="1" applyFill="1" applyBorder="1" applyAlignment="1">
      <alignment horizontal="left" vertical="center"/>
    </xf>
    <xf numFmtId="0" fontId="85" fillId="9" borderId="66" xfId="0" applyFont="1" applyFill="1" applyBorder="1" applyAlignment="1">
      <alignment horizontal="center" vertical="center"/>
    </xf>
    <xf numFmtId="0" fontId="85" fillId="30" borderId="66" xfId="0" applyFont="1" applyFill="1" applyBorder="1" applyAlignment="1">
      <alignment horizontal="center" vertical="center"/>
    </xf>
    <xf numFmtId="0" fontId="131" fillId="9" borderId="66" xfId="0" applyFont="1" applyFill="1" applyBorder="1" applyAlignment="1">
      <alignment horizontal="left" vertical="center"/>
    </xf>
    <xf numFmtId="0" fontId="131" fillId="30" borderId="66" xfId="0" applyFont="1" applyFill="1" applyBorder="1" applyAlignment="1">
      <alignment horizontal="left" vertical="center"/>
    </xf>
    <xf numFmtId="0" fontId="85" fillId="0" borderId="66" xfId="0" applyFont="1" applyBorder="1"/>
    <xf numFmtId="0" fontId="96" fillId="0" borderId="30" xfId="11" applyFont="1" applyFill="1" applyBorder="1" applyAlignment="1">
      <alignment vertical="center"/>
    </xf>
    <xf numFmtId="16" fontId="74" fillId="0" borderId="30" xfId="11" applyNumberFormat="1" applyFont="1" applyBorder="1"/>
    <xf numFmtId="0" fontId="74" fillId="2" borderId="30" xfId="11" applyFont="1" applyFill="1" applyBorder="1"/>
    <xf numFmtId="0" fontId="74" fillId="0" borderId="18" xfId="11" applyFont="1" applyFill="1" applyBorder="1" applyAlignment="1">
      <alignment horizontal="center" vertical="center"/>
    </xf>
    <xf numFmtId="0" fontId="96" fillId="16" borderId="38" xfId="11" applyFont="1" applyFill="1" applyBorder="1" applyAlignment="1">
      <alignment vertical="center"/>
    </xf>
    <xf numFmtId="0" fontId="148" fillId="0" borderId="29" xfId="11" applyFont="1" applyFill="1" applyBorder="1" applyAlignment="1">
      <alignment vertical="center"/>
    </xf>
    <xf numFmtId="0" fontId="91" fillId="38" borderId="29" xfId="11" applyFont="1" applyFill="1" applyBorder="1" applyAlignment="1">
      <alignment vertical="center"/>
    </xf>
    <xf numFmtId="0" fontId="117" fillId="1" borderId="9" xfId="11" applyFont="1" applyFill="1" applyBorder="1" applyAlignment="1">
      <alignment horizontal="center" vertical="center" wrapText="1"/>
    </xf>
    <xf numFmtId="0" fontId="117" fillId="1" borderId="10" xfId="11" applyFont="1" applyFill="1" applyBorder="1" applyAlignment="1">
      <alignment horizontal="center" vertical="center" wrapText="1"/>
    </xf>
    <xf numFmtId="0" fontId="117" fillId="1" borderId="11" xfId="11" applyFont="1" applyFill="1" applyBorder="1" applyAlignment="1">
      <alignment horizontal="center" vertical="center" wrapText="1"/>
    </xf>
    <xf numFmtId="0" fontId="117" fillId="1" borderId="6" xfId="11" applyFont="1" applyFill="1" applyBorder="1" applyAlignment="1">
      <alignment horizontal="center" vertical="center" wrapText="1"/>
    </xf>
    <xf numFmtId="0" fontId="117" fillId="1" borderId="0" xfId="11" applyFont="1" applyFill="1" applyBorder="1" applyAlignment="1">
      <alignment horizontal="center" vertical="center" wrapText="1"/>
    </xf>
    <xf numFmtId="0" fontId="117" fillId="1" borderId="14" xfId="11" applyFont="1" applyFill="1" applyBorder="1" applyAlignment="1">
      <alignment horizontal="center" vertical="center" wrapText="1"/>
    </xf>
    <xf numFmtId="0" fontId="117" fillId="1" borderId="12" xfId="11" applyFont="1" applyFill="1" applyBorder="1" applyAlignment="1">
      <alignment horizontal="center" vertical="center" wrapText="1"/>
    </xf>
    <xf numFmtId="0" fontId="117" fillId="1" borderId="8" xfId="11" applyFont="1" applyFill="1" applyBorder="1" applyAlignment="1">
      <alignment horizontal="center" vertical="center" wrapText="1"/>
    </xf>
    <xf numFmtId="0" fontId="117" fillId="1" borderId="7" xfId="11" applyFont="1" applyFill="1" applyBorder="1" applyAlignment="1">
      <alignment horizontal="center" vertical="center" wrapText="1"/>
    </xf>
    <xf numFmtId="0" fontId="117" fillId="0" borderId="28" xfId="11" applyFont="1" applyBorder="1" applyAlignment="1">
      <alignment horizontal="center" vertical="center" textRotation="90"/>
    </xf>
    <xf numFmtId="0" fontId="117" fillId="0" borderId="19" xfId="11" applyFont="1" applyBorder="1" applyAlignment="1">
      <alignment horizontal="center" vertical="center" textRotation="90"/>
    </xf>
    <xf numFmtId="0" fontId="117" fillId="0" borderId="33" xfId="11" applyFont="1" applyBorder="1" applyAlignment="1">
      <alignment horizontal="center" vertical="center" textRotation="90"/>
    </xf>
    <xf numFmtId="0" fontId="127" fillId="23" borderId="9" xfId="11" applyFont="1" applyFill="1" applyBorder="1" applyAlignment="1">
      <alignment horizontal="center" vertical="center" wrapText="1"/>
    </xf>
    <xf numFmtId="0" fontId="127" fillId="23" borderId="10" xfId="11" applyFont="1" applyFill="1" applyBorder="1" applyAlignment="1">
      <alignment horizontal="center" vertical="center" wrapText="1"/>
    </xf>
    <xf numFmtId="0" fontId="127" fillId="23" borderId="11" xfId="11" applyFont="1" applyFill="1" applyBorder="1" applyAlignment="1">
      <alignment horizontal="center" vertical="center" wrapText="1"/>
    </xf>
    <xf numFmtId="0" fontId="127" fillId="23" borderId="6" xfId="11" applyFont="1" applyFill="1" applyBorder="1" applyAlignment="1">
      <alignment horizontal="center" vertical="center" wrapText="1"/>
    </xf>
    <xf numFmtId="0" fontId="127" fillId="23" borderId="0" xfId="11" applyFont="1" applyFill="1" applyBorder="1" applyAlignment="1">
      <alignment horizontal="center" vertical="center" wrapText="1"/>
    </xf>
    <xf numFmtId="0" fontId="127" fillId="23" borderId="14" xfId="11" applyFont="1" applyFill="1" applyBorder="1" applyAlignment="1">
      <alignment horizontal="center" vertical="center" wrapText="1"/>
    </xf>
    <xf numFmtId="0" fontId="127" fillId="23" borderId="12" xfId="11" applyFont="1" applyFill="1" applyBorder="1" applyAlignment="1">
      <alignment horizontal="center" vertical="center" wrapText="1"/>
    </xf>
    <xf numFmtId="0" fontId="127" fillId="23" borderId="8" xfId="11" applyFont="1" applyFill="1" applyBorder="1" applyAlignment="1">
      <alignment horizontal="center" vertical="center" wrapText="1"/>
    </xf>
    <xf numFmtId="0" fontId="127" fillId="23" borderId="7" xfId="11" applyFont="1" applyFill="1" applyBorder="1" applyAlignment="1">
      <alignment horizontal="center" vertical="center" wrapText="1"/>
    </xf>
    <xf numFmtId="0" fontId="120" fillId="3" borderId="9" xfId="11" applyFont="1" applyFill="1" applyBorder="1" applyAlignment="1">
      <alignment horizontal="center" vertical="center"/>
    </xf>
    <xf numFmtId="0" fontId="120" fillId="3" borderId="11" xfId="11" applyFont="1" applyFill="1" applyBorder="1" applyAlignment="1">
      <alignment horizontal="center" vertical="center"/>
    </xf>
    <xf numFmtId="0" fontId="120" fillId="3" borderId="6" xfId="11" applyFont="1" applyFill="1" applyBorder="1" applyAlignment="1">
      <alignment horizontal="center" vertical="center"/>
    </xf>
    <xf numFmtId="0" fontId="120" fillId="3" borderId="14" xfId="11" applyFont="1" applyFill="1" applyBorder="1" applyAlignment="1">
      <alignment horizontal="center" vertical="center"/>
    </xf>
    <xf numFmtId="0" fontId="120" fillId="3" borderId="12" xfId="11" applyFont="1" applyFill="1" applyBorder="1" applyAlignment="1">
      <alignment horizontal="center" vertical="center"/>
    </xf>
    <xf numFmtId="0" fontId="120" fillId="3" borderId="7" xfId="11" applyFont="1" applyFill="1" applyBorder="1" applyAlignment="1">
      <alignment horizontal="center" vertical="center"/>
    </xf>
    <xf numFmtId="0" fontId="99" fillId="3" borderId="9" xfId="11" applyFont="1" applyFill="1" applyBorder="1" applyAlignment="1">
      <alignment horizontal="center" textRotation="45"/>
    </xf>
    <xf numFmtId="0" fontId="99" fillId="3" borderId="10" xfId="11" applyFont="1" applyFill="1" applyBorder="1" applyAlignment="1">
      <alignment horizontal="center" textRotation="45"/>
    </xf>
    <xf numFmtId="0" fontId="99" fillId="3" borderId="11" xfId="11" applyFont="1" applyFill="1" applyBorder="1" applyAlignment="1">
      <alignment horizontal="center" textRotation="45"/>
    </xf>
    <xf numFmtId="0" fontId="99" fillId="3" borderId="6" xfId="11" applyFont="1" applyFill="1" applyBorder="1" applyAlignment="1">
      <alignment horizontal="center" textRotation="45"/>
    </xf>
    <xf numFmtId="0" fontId="99" fillId="3" borderId="0" xfId="11" applyFont="1" applyFill="1" applyBorder="1" applyAlignment="1">
      <alignment horizontal="center" textRotation="45"/>
    </xf>
    <xf numFmtId="0" fontId="99" fillId="3" borderId="14" xfId="11" applyFont="1" applyFill="1" applyBorder="1" applyAlignment="1">
      <alignment horizontal="center" textRotation="45"/>
    </xf>
    <xf numFmtId="0" fontId="99" fillId="3" borderId="12" xfId="11" applyFont="1" applyFill="1" applyBorder="1" applyAlignment="1">
      <alignment horizontal="center" textRotation="45"/>
    </xf>
    <xf numFmtId="0" fontId="99" fillId="3" borderId="8" xfId="11" applyFont="1" applyFill="1" applyBorder="1" applyAlignment="1">
      <alignment horizontal="center" textRotation="45"/>
    </xf>
    <xf numFmtId="0" fontId="99" fillId="3" borderId="7" xfId="11" applyFont="1" applyFill="1" applyBorder="1" applyAlignment="1">
      <alignment horizontal="center" textRotation="45"/>
    </xf>
    <xf numFmtId="0" fontId="120" fillId="3" borderId="9" xfId="11" quotePrefix="1" applyFont="1" applyFill="1" applyBorder="1" applyAlignment="1">
      <alignment horizontal="center" vertical="center" wrapText="1"/>
    </xf>
    <xf numFmtId="0" fontId="120" fillId="3" borderId="10" xfId="11" quotePrefix="1" applyFont="1" applyFill="1" applyBorder="1" applyAlignment="1">
      <alignment horizontal="center" vertical="center" wrapText="1"/>
    </xf>
    <xf numFmtId="0" fontId="120" fillId="3" borderId="11" xfId="11" quotePrefix="1" applyFont="1" applyFill="1" applyBorder="1" applyAlignment="1">
      <alignment horizontal="center" vertical="center" wrapText="1"/>
    </xf>
    <xf numFmtId="0" fontId="120" fillId="3" borderId="6" xfId="11" quotePrefix="1" applyFont="1" applyFill="1" applyBorder="1" applyAlignment="1">
      <alignment horizontal="center" vertical="center" wrapText="1"/>
    </xf>
    <xf numFmtId="0" fontId="120" fillId="3" borderId="0" xfId="11" quotePrefix="1" applyFont="1" applyFill="1" applyBorder="1" applyAlignment="1">
      <alignment horizontal="center" vertical="center" wrapText="1"/>
    </xf>
    <xf numFmtId="0" fontId="120" fillId="3" borderId="14" xfId="11" quotePrefix="1" applyFont="1" applyFill="1" applyBorder="1" applyAlignment="1">
      <alignment horizontal="center" vertical="center" wrapText="1"/>
    </xf>
    <xf numFmtId="0" fontId="120" fillId="3" borderId="12" xfId="11" quotePrefix="1" applyFont="1" applyFill="1" applyBorder="1" applyAlignment="1">
      <alignment horizontal="center" vertical="center" wrapText="1"/>
    </xf>
    <xf numFmtId="0" fontId="120" fillId="3" borderId="8" xfId="11" quotePrefix="1" applyFont="1" applyFill="1" applyBorder="1" applyAlignment="1">
      <alignment horizontal="center" vertical="center" wrapText="1"/>
    </xf>
    <xf numFmtId="0" fontId="120" fillId="3" borderId="7" xfId="11" quotePrefix="1" applyFont="1" applyFill="1" applyBorder="1" applyAlignment="1">
      <alignment horizontal="center" vertical="center" wrapText="1"/>
    </xf>
    <xf numFmtId="0" fontId="117" fillId="0" borderId="20" xfId="11" applyFont="1" applyBorder="1" applyAlignment="1">
      <alignment horizontal="center" vertical="center" textRotation="90"/>
    </xf>
    <xf numFmtId="0" fontId="99" fillId="3" borderId="34" xfId="11" applyFont="1" applyFill="1" applyBorder="1" applyAlignment="1">
      <alignment horizontal="center" textRotation="45"/>
    </xf>
    <xf numFmtId="0" fontId="99" fillId="3" borderId="25" xfId="11" applyFont="1" applyFill="1" applyBorder="1" applyAlignment="1">
      <alignment horizontal="center" textRotation="45"/>
    </xf>
    <xf numFmtId="0" fontId="99" fillId="3" borderId="35" xfId="11" applyFont="1" applyFill="1" applyBorder="1" applyAlignment="1">
      <alignment horizontal="center" textRotation="45"/>
    </xf>
    <xf numFmtId="0" fontId="99" fillId="3" borderId="36" xfId="11" applyFont="1" applyFill="1" applyBorder="1" applyAlignment="1">
      <alignment horizontal="center" textRotation="45"/>
    </xf>
    <xf numFmtId="0" fontId="99" fillId="3" borderId="29" xfId="11" applyFont="1" applyFill="1" applyBorder="1" applyAlignment="1">
      <alignment horizontal="center" textRotation="45"/>
    </xf>
    <xf numFmtId="0" fontId="99" fillId="3" borderId="37" xfId="11" applyFont="1" applyFill="1" applyBorder="1" applyAlignment="1">
      <alignment horizontal="center" textRotation="45"/>
    </xf>
    <xf numFmtId="0" fontId="118" fillId="0" borderId="34" xfId="11" applyFont="1" applyBorder="1" applyAlignment="1">
      <alignment horizontal="center" vertical="center" textRotation="45" wrapText="1"/>
    </xf>
    <xf numFmtId="0" fontId="118" fillId="0" borderId="25" xfId="11" applyFont="1" applyBorder="1" applyAlignment="1">
      <alignment horizontal="center" vertical="center" textRotation="45"/>
    </xf>
    <xf numFmtId="0" fontId="118" fillId="0" borderId="35" xfId="11" applyFont="1" applyBorder="1" applyAlignment="1">
      <alignment horizontal="center" vertical="center" textRotation="45"/>
    </xf>
    <xf numFmtId="0" fontId="118" fillId="0" borderId="36" xfId="11" applyFont="1" applyBorder="1" applyAlignment="1">
      <alignment horizontal="center" vertical="center" textRotation="45"/>
    </xf>
    <xf numFmtId="0" fontId="118" fillId="0" borderId="29" xfId="11" applyFont="1" applyBorder="1" applyAlignment="1">
      <alignment horizontal="center" vertical="center" textRotation="45"/>
    </xf>
    <xf numFmtId="0" fontId="118" fillId="0" borderId="37" xfId="11" applyFont="1" applyBorder="1" applyAlignment="1">
      <alignment horizontal="center" vertical="center" textRotation="45"/>
    </xf>
    <xf numFmtId="0" fontId="119" fillId="3" borderId="9" xfId="11" applyFont="1" applyFill="1" applyBorder="1" applyAlignment="1">
      <alignment horizontal="center" vertical="center"/>
    </xf>
    <xf numFmtId="0" fontId="119" fillId="3" borderId="10" xfId="11" applyFont="1" applyFill="1" applyBorder="1" applyAlignment="1">
      <alignment horizontal="center" vertical="center"/>
    </xf>
    <xf numFmtId="0" fontId="119" fillId="3" borderId="40" xfId="11" applyFont="1" applyFill="1" applyBorder="1" applyAlignment="1">
      <alignment horizontal="center" vertical="center"/>
    </xf>
    <xf numFmtId="0" fontId="119" fillId="3" borderId="6" xfId="11" applyFont="1" applyFill="1" applyBorder="1" applyAlignment="1">
      <alignment horizontal="center" vertical="center"/>
    </xf>
    <xf numFmtId="0" fontId="119" fillId="3" borderId="0" xfId="11" applyFont="1" applyFill="1" applyBorder="1" applyAlignment="1">
      <alignment horizontal="center" vertical="center"/>
    </xf>
    <xf numFmtId="0" fontId="119" fillId="3" borderId="5" xfId="11" applyFont="1" applyFill="1" applyBorder="1" applyAlignment="1">
      <alignment horizontal="center" vertical="center"/>
    </xf>
    <xf numFmtId="0" fontId="119" fillId="3" borderId="12" xfId="11" applyFont="1" applyFill="1" applyBorder="1" applyAlignment="1">
      <alignment horizontal="center" vertical="center"/>
    </xf>
    <xf numFmtId="0" fontId="119" fillId="3" borderId="8" xfId="11" applyFont="1" applyFill="1" applyBorder="1" applyAlignment="1">
      <alignment horizontal="center" vertical="center"/>
    </xf>
    <xf numFmtId="0" fontId="119" fillId="3" borderId="42" xfId="11" applyFont="1" applyFill="1" applyBorder="1" applyAlignment="1">
      <alignment horizontal="center" vertical="center"/>
    </xf>
    <xf numFmtId="0" fontId="119" fillId="3" borderId="41" xfId="11" quotePrefix="1" applyFont="1" applyFill="1" applyBorder="1" applyAlignment="1">
      <alignment horizontal="center" vertical="center" wrapText="1"/>
    </xf>
    <xf numFmtId="0" fontId="119" fillId="3" borderId="11" xfId="11" applyFont="1" applyFill="1" applyBorder="1" applyAlignment="1">
      <alignment horizontal="center" vertical="center"/>
    </xf>
    <xf numFmtId="0" fontId="119" fillId="3" borderId="39" xfId="11" applyFont="1" applyFill="1" applyBorder="1" applyAlignment="1">
      <alignment horizontal="center" vertical="center"/>
    </xf>
    <xf numFmtId="0" fontId="119" fillId="3" borderId="14" xfId="11" applyFont="1" applyFill="1" applyBorder="1" applyAlignment="1">
      <alignment horizontal="center" vertical="center"/>
    </xf>
    <xf numFmtId="0" fontId="119" fillId="3" borderId="43" xfId="11" applyFont="1" applyFill="1" applyBorder="1" applyAlignment="1">
      <alignment horizontal="center" vertical="center"/>
    </xf>
    <xf numFmtId="0" fontId="119" fillId="3" borderId="7" xfId="11" applyFont="1" applyFill="1" applyBorder="1" applyAlignment="1">
      <alignment horizontal="center" vertical="center"/>
    </xf>
    <xf numFmtId="0" fontId="117" fillId="1" borderId="54" xfId="11" applyFont="1" applyFill="1" applyBorder="1" applyAlignment="1">
      <alignment horizontal="center" vertical="center" wrapText="1"/>
    </xf>
    <xf numFmtId="0" fontId="117" fillId="1" borderId="55" xfId="11" applyFont="1" applyFill="1" applyBorder="1" applyAlignment="1">
      <alignment horizontal="center" vertical="center" wrapText="1"/>
    </xf>
    <xf numFmtId="0" fontId="117" fillId="1" borderId="56" xfId="11" applyFont="1" applyFill="1" applyBorder="1" applyAlignment="1">
      <alignment horizontal="center" vertical="center" wrapText="1"/>
    </xf>
    <xf numFmtId="0" fontId="117" fillId="1" borderId="57" xfId="11" applyFont="1" applyFill="1" applyBorder="1" applyAlignment="1">
      <alignment horizontal="center" vertical="center" wrapText="1"/>
    </xf>
    <xf numFmtId="0" fontId="117" fillId="1" borderId="58" xfId="11" applyFont="1" applyFill="1" applyBorder="1" applyAlignment="1">
      <alignment horizontal="center" vertical="center" wrapText="1"/>
    </xf>
    <xf numFmtId="0" fontId="117" fillId="1" borderId="59" xfId="11" applyFont="1" applyFill="1" applyBorder="1" applyAlignment="1">
      <alignment horizontal="center" vertical="center" wrapText="1"/>
    </xf>
    <xf numFmtId="0" fontId="117" fillId="1" borderId="60" xfId="11" applyFont="1" applyFill="1" applyBorder="1" applyAlignment="1">
      <alignment horizontal="center" vertical="center" wrapText="1"/>
    </xf>
    <xf numFmtId="0" fontId="117" fillId="1" borderId="61" xfId="11" applyFont="1" applyFill="1" applyBorder="1" applyAlignment="1">
      <alignment horizontal="center" vertical="center" wrapText="1"/>
    </xf>
    <xf numFmtId="0" fontId="117" fillId="1" borderId="48" xfId="11" applyFont="1" applyFill="1" applyBorder="1" applyAlignment="1">
      <alignment horizontal="center" vertical="center" wrapText="1"/>
    </xf>
    <xf numFmtId="0" fontId="117" fillId="1" borderId="44" xfId="11" applyFont="1" applyFill="1" applyBorder="1" applyAlignment="1">
      <alignment horizontal="center" vertical="center" wrapText="1"/>
    </xf>
    <xf numFmtId="0" fontId="117" fillId="1" borderId="49" xfId="11" applyFont="1" applyFill="1" applyBorder="1" applyAlignment="1">
      <alignment horizontal="center" vertical="center" wrapText="1"/>
    </xf>
    <xf numFmtId="0" fontId="117" fillId="1" borderId="36" xfId="11" applyFont="1" applyFill="1" applyBorder="1" applyAlignment="1">
      <alignment horizontal="center" vertical="center" wrapText="1"/>
    </xf>
    <xf numFmtId="0" fontId="117" fillId="1" borderId="29" xfId="11" applyFont="1" applyFill="1" applyBorder="1" applyAlignment="1">
      <alignment horizontal="center" vertical="center" wrapText="1"/>
    </xf>
    <xf numFmtId="0" fontId="117" fillId="1" borderId="37" xfId="11" applyFont="1" applyFill="1" applyBorder="1" applyAlignment="1">
      <alignment horizontal="center" vertical="center" wrapText="1"/>
    </xf>
    <xf numFmtId="0" fontId="117" fillId="1" borderId="62" xfId="11" applyFont="1" applyFill="1" applyBorder="1" applyAlignment="1">
      <alignment horizontal="center" vertical="center" wrapText="1"/>
    </xf>
    <xf numFmtId="0" fontId="117" fillId="1" borderId="63" xfId="11" applyFont="1" applyFill="1" applyBorder="1" applyAlignment="1">
      <alignment horizontal="center" vertical="center" wrapText="1"/>
    </xf>
    <xf numFmtId="0" fontId="117" fillId="1" borderId="64" xfId="11" applyFont="1" applyFill="1" applyBorder="1" applyAlignment="1">
      <alignment horizontal="center" vertical="center" wrapText="1"/>
    </xf>
  </cellXfs>
  <cellStyles count="91">
    <cellStyle name="20% - Accent3 2" xfId="8"/>
    <cellStyle name="Calculation 2" xfId="10"/>
    <cellStyle name="Comma" xfId="36" builtinId="3"/>
    <cellStyle name="Comma 2" xfId="1"/>
    <cellStyle name="Comma 2 2" xfId="12"/>
    <cellStyle name="Comma 3" xfId="22"/>
    <cellStyle name="Currency 2" xfId="2"/>
    <cellStyle name="Currency 2 2" xfId="13"/>
    <cellStyle name="Currency 2 2 2" xfId="58"/>
    <cellStyle name="Currency 2 2 2 2" xfId="88"/>
    <cellStyle name="Currency 2 3" xfId="37"/>
    <cellStyle name="Currency 2 3 2" xfId="51"/>
    <cellStyle name="Currency 2 3 2 2" xfId="81"/>
    <cellStyle name="Currency 2 3 3" xfId="69"/>
    <cellStyle name="Currency 2 4" xfId="55"/>
    <cellStyle name="Currency 2 4 2" xfId="85"/>
    <cellStyle name="Currency 3" xfId="17"/>
    <cellStyle name="Currency 4" xfId="18"/>
    <cellStyle name="Currency 5" xfId="19"/>
    <cellStyle name="Currency 6" xfId="23"/>
    <cellStyle name="Currency 7" xfId="33"/>
    <cellStyle name="Input 2" xfId="9"/>
    <cellStyle name="Normal" xfId="0" builtinId="0"/>
    <cellStyle name="Normal 10" xfId="31"/>
    <cellStyle name="Normal 10 2" xfId="50"/>
    <cellStyle name="Normal 10 2 2" xfId="80"/>
    <cellStyle name="Normal 10 3" xfId="68"/>
    <cellStyle name="Normal 11" xfId="42"/>
    <cellStyle name="Normal 11 2" xfId="54"/>
    <cellStyle name="Normal 11 2 2" xfId="84"/>
    <cellStyle name="Normal 11 3" xfId="72"/>
    <cellStyle name="Normal 2" xfId="3"/>
    <cellStyle name="Normal 2 2" xfId="34"/>
    <cellStyle name="Normal 2 2 2" xfId="40"/>
    <cellStyle name="Normal 2 2 2 2" xfId="41"/>
    <cellStyle name="Normal 3" xfId="7"/>
    <cellStyle name="Normal 3 2" xfId="38"/>
    <cellStyle name="Normal 3 2 2" xfId="59"/>
    <cellStyle name="Normal 3 2 2 2" xfId="89"/>
    <cellStyle name="Normal 3 2 3" xfId="52"/>
    <cellStyle name="Normal 3 2 3 2" xfId="82"/>
    <cellStyle name="Normal 3 2 4" xfId="70"/>
    <cellStyle name="Normal 3 3" xfId="56"/>
    <cellStyle name="Normal 3 3 2" xfId="86"/>
    <cellStyle name="Normal 4" xfId="11"/>
    <cellStyle name="Normal 4 2" xfId="20"/>
    <cellStyle name="Normal 5" xfId="4"/>
    <cellStyle name="Normal 5 2" xfId="14"/>
    <cellStyle name="Normal 6" xfId="21"/>
    <cellStyle name="Normal 7" xfId="16"/>
    <cellStyle name="Normal 7 2" xfId="24"/>
    <cellStyle name="Normal 7 2 2" xfId="27"/>
    <cellStyle name="Normal 7 2 2 2" xfId="47"/>
    <cellStyle name="Normal 7 2 2 2 2" xfId="77"/>
    <cellStyle name="Normal 7 2 2 3" xfId="65"/>
    <cellStyle name="Normal 7 2 3" xfId="44"/>
    <cellStyle name="Normal 7 2 3 2" xfId="74"/>
    <cellStyle name="Normal 7 2 4" xfId="62"/>
    <cellStyle name="Normal 7 3" xfId="26"/>
    <cellStyle name="Normal 7 3 2" xfId="46"/>
    <cellStyle name="Normal 7 3 2 2" xfId="76"/>
    <cellStyle name="Normal 7 3 3" xfId="64"/>
    <cellStyle name="Normal 7 4" xfId="32"/>
    <cellStyle name="Normal 7 5" xfId="43"/>
    <cellStyle name="Normal 7 5 2" xfId="73"/>
    <cellStyle name="Normal 7 6" xfId="61"/>
    <cellStyle name="Normal 8" xfId="25"/>
    <cellStyle name="Normal 8 2" xfId="28"/>
    <cellStyle name="Normal 8 2 2" xfId="48"/>
    <cellStyle name="Normal 8 2 2 2" xfId="78"/>
    <cellStyle name="Normal 8 2 3" xfId="66"/>
    <cellStyle name="Normal 8 3" xfId="45"/>
    <cellStyle name="Normal 8 3 2" xfId="75"/>
    <cellStyle name="Normal 8 4" xfId="63"/>
    <cellStyle name="Normal 9" xfId="29"/>
    <cellStyle name="Normal 9 2" xfId="49"/>
    <cellStyle name="Normal 9 2 2" xfId="79"/>
    <cellStyle name="Normal 9 3" xfId="67"/>
    <cellStyle name="Normal_build plan_Copy of CGL Master plan" xfId="30"/>
    <cellStyle name="Percent 2" xfId="5"/>
    <cellStyle name="Percent 2 2" xfId="15"/>
    <cellStyle name="Percent 2 2 2" xfId="60"/>
    <cellStyle name="Percent 2 2 2 2" xfId="90"/>
    <cellStyle name="Percent 2 3" xfId="39"/>
    <cellStyle name="Percent 2 3 2" xfId="53"/>
    <cellStyle name="Percent 2 3 2 2" xfId="83"/>
    <cellStyle name="Percent 2 3 3" xfId="71"/>
    <cellStyle name="Percent 2 4" xfId="57"/>
    <cellStyle name="Percent 2 4 2" xfId="87"/>
    <cellStyle name="Percent 3" xfId="35"/>
    <cellStyle name="Style 1" xfId="6"/>
  </cellStyles>
  <dxfs count="1376"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>
          <bgColor indexed="10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>
          <bgColor indexed="10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>
          <bgColor indexed="10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 patternType="mediumGray">
          <fgColor rgb="FFFF0000"/>
          <bgColor auto="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FFFF00"/>
      <color rgb="FF00FF00"/>
      <color rgb="FFCC00CC"/>
      <color rgb="FFFF0066"/>
      <color rgb="FFFF6600"/>
      <color rgb="FFFFFF66"/>
      <color rgb="FF99FF33"/>
      <color rgb="FF336600"/>
      <color rgb="FF000099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BB6F0AA-EFE1-4774-9E37-DBBCCB58A856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8021E5E-6AC2-43C2-8B3E-2A6E0AD3288C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673152-AD65-4C5A-8CC6-C825800EE028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B20295C-97FA-4974-94D6-74DA002E0301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38B60D4-BE6C-4876-B7B8-EB673DCE41C8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8A293EF-98E2-47F7-8C57-594162F080AC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B60DE0D-4B4D-4506-961C-6C11DFA8E8B0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ADB39B2-1703-42A3-9CB7-829E50569FD9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158183B-83C8-4FEC-A908-EB2FE49737B0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FA3496E-3140-4481-B507-CAB5D79F38C3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6FFC2F5-825A-4A0F-990F-D801C1C33919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480CD12-F851-4DA2-B152-4B691B5516B9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653700-9AF1-4C1A-862A-92CA20A99517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EDEC5D5-6732-4709-B01D-FC7CC533B380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2586186-4271-4457-AAA8-0FC81CF55DCB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F620DEC-4803-4ADE-B971-2D223608F085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41</xdr:row>
      <xdr:rowOff>23547</xdr:rowOff>
    </xdr:from>
    <xdr:ext cx="10439401" cy="169333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83B6D7A-EB7D-46AA-9685-21BFBA4171C3}"/>
            </a:ext>
          </a:extLst>
        </xdr:cNvPr>
        <xdr:cNvSpPr/>
      </xdr:nvSpPr>
      <xdr:spPr>
        <a:xfrm>
          <a:off x="609600" y="12425097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71A6143F-57B4-4F0B-BEA2-613D6A79521F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9AD0230-1651-413A-B974-7190F2135E84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8ECEE5C6-14E2-4747-9A08-8DB439121B10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473B96C9-3A8D-4C3B-9283-94F0C03A31DB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4A0EFB84-92C0-4A3F-9C6F-AEF2C42DFF4C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20AC8BB3-B8F4-46D0-89C5-3A9ECED687B0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C1653D73-21F5-4456-8AE4-553E71957475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E94E0AC8-62F8-4D47-A89E-7E28E747D528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D828C31B-9D88-4FA2-8179-19B03C004328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C90F4007-D8FE-40FD-A33A-C283ACBEF6F1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CF6695F1-AB6A-43FB-8A04-A98356E3F25B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5A90EF1F-D207-420E-A068-900A6CEF64E5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637CD155-BA97-430E-B011-EF770A7B69C3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DDFF6CED-F863-4B42-91EB-6D95F364D577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C31CE990-5EC1-43DA-BE94-6DCB25744787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B3CA2E69-5C36-4F8F-93EB-99B128B2A80D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F3BD25DE-423D-4E1E-AA52-51B3D8156419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1A824073-9E27-49E4-AC9A-2C0A63CC4461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740BEA68-8DA4-4B75-A535-595AEE0654AB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355A4914-C0F5-4E56-8C4C-4D21BEECFDCC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F938FDA7-0C45-44FC-AB3C-0A51893EC213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67C7A008-2877-49B8-A9A4-A529993F557D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4D1A25CE-BBF4-4E45-91AB-7400856A058B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46D9E69-2546-4918-9F4F-CA0C86E3A7FB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B88EB94A-7C52-421B-8B3C-CFC447D11D44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0</xdr:row>
      <xdr:rowOff>337078</xdr:rowOff>
    </xdr:from>
    <xdr:ext cx="10439401" cy="169333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DC20A6D5-4FEC-4E89-947F-9CBD878ED09F}"/>
            </a:ext>
          </a:extLst>
        </xdr:cNvPr>
        <xdr:cNvSpPr/>
      </xdr:nvSpPr>
      <xdr:spPr>
        <a:xfrm>
          <a:off x="609600" y="270403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D263F687-C2FD-425F-B548-E6C784CF3FF3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4D74AEB3-460D-45DC-83CA-8D85E8B97C5B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A0417685-7B0E-4288-8D75-5DFA2643F138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935414B6-0F98-4661-A93F-8F4EEC48C6D7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37E19458-460F-4A64-A4CB-FAE9350AC643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1C7F2DE3-6BAC-43F0-B3EC-5A28B98D0506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2E3F4704-0968-45CF-9F84-17A0560E34EA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62DB1C35-4947-4336-B182-3B714CCA0F13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F26782D1-E6F9-4911-A415-F563C7CCAE80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C79ADA5-2BC1-451C-A843-7325C44EFDEE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D26DE7A0-9257-435C-9B0C-3432D76E6B74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DEA7C81D-875E-4083-A76C-E194C5873072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313C853A-FDD7-46F3-B75D-623C68397DBB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3951DB5E-413B-47CD-A47D-ED634235E7C2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5D6B6295-43DD-49CB-A542-BD4F4E4CA71E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405E6B3F-8A8A-4DF9-9317-2EF2DE564FE5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68C202A4-5491-410E-A0BF-61DDC1DD8A6C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D0B467BB-EFA1-4443-B341-85CF63411838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2D6F8DCA-01C9-48E4-9E10-DE1C3F696647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9F3C92ED-C0D4-4DC7-A624-01A3AFA6CB3D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76E38778-3ED3-4C5A-9FC3-80EF14B1781A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78186A92-12DF-42C8-866C-C7AE266823B4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623F8212-EE42-4B89-A8C5-C9D3E036A967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E74241A7-9E77-4B4F-8248-82644ADF324D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B9A8B33D-BECA-40A3-8BC1-E79428CD68B5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F94909C5-502A-4962-9F36-537D436A66CC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70606A6-818D-4EBF-99AD-8AAC5F03E92C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4B2729E4-E9F9-4194-BFA0-2CBD5E168E02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6A54BFAD-5113-4998-A9C9-E571F6EE355F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41827AC2-0984-4237-9EE3-982AC3D1148A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61636B47-BA7F-4D7B-9499-9598F6ECC32A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266275C3-469D-405A-B48D-0B9FEA4F2745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44E20491-7C85-4F1D-A2EC-313178BF1EC9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3B93DB6-0C16-40AF-A6E2-6F87B431AD28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FD1D4878-9391-48A6-A57E-E27447C3D952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F5B1748-A5C0-4F80-A005-687667873F56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ED166396-70AD-4B9D-BADF-E892D9E6D532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AE3A10B9-D1ED-479E-BF29-86CA566FBCF9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C8343421-1F83-465D-8E95-253B73C1F95B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94B36F0E-7096-4750-86E2-BFE59C2131BF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80A50B97-ECB7-4CFA-B89E-F951CC01A0BF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5EEC6904-6C3D-49EF-B0E1-56D7E5F28A6C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C3D17CEB-1BAF-4400-B478-EBD5E3944176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24A6F33B-982B-47EE-9237-12F5F709C6E1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BC33CB3D-78DE-461A-9924-F49856304B9B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5912B338-BDC0-46CE-9B5F-7BC1BD2C5C62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186B87BF-DBEC-4B15-9DAA-382F57D9C08C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B4C9950-958B-45EC-BCB7-2A3A11BB0890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37D04B95-2D47-4E88-9274-E8BEC5E375FF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8E8910D3-D16C-4FE6-B355-A12B4F9B8DC1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B8E7823E-0B40-4BEA-8E5C-BB6195349AAE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B0913857-0AAA-4ED9-BFD0-D017406250F9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C0D9598C-CFFC-4A85-9318-153E5B7966D1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531C575B-71C2-46B8-9B4A-AB1233E7A473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76B8D53F-8AFB-4259-AB6F-ADA84221361C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5821B695-7899-4C18-8F9E-ABEC92865732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48683B57-D1B8-4321-8292-7328EE11AEAF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F0043774-50C2-4DE9-A77F-7B224B8420AA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D882E8A4-0AEB-4585-A5D2-530A33E7A9EC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2F6B63E4-89BE-43FD-90B2-1584B205B03C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9CC48087-B835-4570-BDCD-6CAE32C365D6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5DF2077B-66CD-46A4-84B9-157378A72D1E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40514379-3784-4531-BB48-F696ECB2E696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62473921-284B-41DD-8665-5639FA0BB889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A53DF5CE-D36A-4C18-BF09-B84FD76F2880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674CCA5E-F88A-475C-9BCB-3BD81895B59A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8CD57B56-B526-4B33-95F8-EE81131619AE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7552FAE5-60F1-4657-BC90-10A59FF1D670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C9A75BEC-91C7-43F1-8984-7241FCDF9181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BF9A8FCF-9E7A-47DD-9166-02645578BC14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9D5E7E59-66CA-436B-97A7-4D4AD4A48469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3C53B015-A818-4801-9356-4BEBB916B98C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5910C52A-6B5B-4317-8B70-BE39EA227C3F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64E36D79-B4DB-4EA2-A64F-98901467582E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C5ECA7B0-82EF-4F3F-B704-4A2154B2DE73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41</xdr:row>
      <xdr:rowOff>23547</xdr:rowOff>
    </xdr:from>
    <xdr:ext cx="10439401" cy="169333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37AC6A8-4F92-4784-8333-EE1D09F440C6}"/>
            </a:ext>
          </a:extLst>
        </xdr:cNvPr>
        <xdr:cNvSpPr/>
      </xdr:nvSpPr>
      <xdr:spPr>
        <a:xfrm>
          <a:off x="609600" y="12425097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1E396C87-4C5F-44DB-AA35-EE687D12F4B8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23D3CB97-B241-4815-A17F-6FEDA960C1AB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020D54FC-38BF-47B3-83F1-4743D08AA477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6B076FF2-A61B-4A30-96E0-6641B77F13D4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17B91E00-1A6B-4A34-A749-F64DB4620533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32707EAF-9332-4746-93E4-F84994270764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8C3CFCEA-CF4A-480A-A7FD-BFED99A50548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735918C7-1B2B-4E6A-8A52-628574FE37B3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E3DD9498-1497-48A9-AC5F-43CCBC65C71F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3DE8DB05-7A02-4310-AE89-EDF5BAD20111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30A75CB3-41C6-471D-9404-30A74D7FF0C2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A7F762FC-70FC-4AD0-BF53-609393CF0A72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9E0166AE-EA3C-41AE-AC41-F1C202535E3E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699D2FC8-1AC4-49A9-94B0-FEA45588EB5D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165B5046-D253-46F0-9984-454D4ECC0F52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BE26F022-F178-4A2B-A627-B39937F7ECD8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F4E61743-3E81-4BA2-883B-BE77B47A46D4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C74B6AA4-737B-46BE-8D57-C57422C593B8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A2F09B0A-BEF4-40BE-82AF-1CC26FC4E8F5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68E52A11-6BBD-4254-B6EC-311A8DC57E68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9BE6ED31-970C-45AA-A2F8-AB8BAFBEF486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787C1557-B67C-40A9-BCB4-2883C7E2FB42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C9AF8329-0AF2-4EE3-BC11-FC382C41FDC4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35C7E5F8-8F85-42B9-BCAC-8A369CE27B85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6D096335-CB9A-4C23-AA2F-5B9F028C8D69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0</xdr:row>
      <xdr:rowOff>337078</xdr:rowOff>
    </xdr:from>
    <xdr:ext cx="10439401" cy="169333"/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A24B97B5-6B91-4796-8BDF-E1EBACFF5D55}"/>
            </a:ext>
          </a:extLst>
        </xdr:cNvPr>
        <xdr:cNvSpPr/>
      </xdr:nvSpPr>
      <xdr:spPr>
        <a:xfrm>
          <a:off x="609600" y="270403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50B6469B-3224-4AA5-BAB2-FA897E0E9B20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C7AC453E-6074-46E1-B751-BA5E9BBCAB9B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F665C85B-29DA-425A-AC50-3952E37473B9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AEE2501F-0EE2-43EE-B483-4A16FA3ED411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0916893E-1EAE-41B1-8A50-37E180ACF74A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3CD1FEC3-240A-4E42-9C7C-272B8ACFC4A8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C17AA185-6ED3-4843-A1A2-D360DF40E87F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55ADEFA9-63F4-4A38-88E1-89E3B78DC825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EE43EDBA-BF34-413C-9CC5-7A7FAE60EDD8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56" name="Rectangle 155">
          <a:extLst>
            <a:ext uri="{FF2B5EF4-FFF2-40B4-BE49-F238E27FC236}">
              <a16:creationId xmlns:a16="http://schemas.microsoft.com/office/drawing/2014/main" id="{C7F9C7C7-078D-4FA0-9A27-AD830550AC00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2E4B6431-F123-435D-8E4A-DBCFC57F2709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E8AB0E01-74A7-4E90-85FE-39AACB0707AC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19283763-B3B3-417F-A908-4E4CBCE34CE3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5FF99216-2E1B-4749-B131-F70B14EEC822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5413B692-F485-4CC8-87BE-C477BA83FDD9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9E94D4F9-B33E-45AD-B68F-79F711DD4A49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250E2C34-CCBC-40CF-A077-E4F578DF9912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992E9FA3-FE1F-4713-BA56-0D41F67FBA3F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B8BCBA55-3E4A-4FFD-8D08-1DEE4DDC8BA6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66" name="Rectangle 165">
          <a:extLst>
            <a:ext uri="{FF2B5EF4-FFF2-40B4-BE49-F238E27FC236}">
              <a16:creationId xmlns:a16="http://schemas.microsoft.com/office/drawing/2014/main" id="{ABB20152-316C-466D-AB42-C29086E2A437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id="{255C9A29-4131-4EDA-83AC-051C39055DED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3F69FF55-EE79-4E42-9608-F21EB088A57C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A1DBA578-0989-4063-A649-0FB55C1BA3DA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98D63334-5354-4267-954F-78F7F86B14CB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77E19EF0-309F-4866-B03C-6D32D9A57E81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72" name="Rectangle 171">
          <a:extLst>
            <a:ext uri="{FF2B5EF4-FFF2-40B4-BE49-F238E27FC236}">
              <a16:creationId xmlns:a16="http://schemas.microsoft.com/office/drawing/2014/main" id="{028157BA-24B8-434F-B237-B99519AA581B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DE11E19F-504E-4849-AD23-53DE3F0E3157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74" name="Rectangle 173">
          <a:extLst>
            <a:ext uri="{FF2B5EF4-FFF2-40B4-BE49-F238E27FC236}">
              <a16:creationId xmlns:a16="http://schemas.microsoft.com/office/drawing/2014/main" id="{C6632337-9635-4910-A1CA-279D504913A6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75" name="Rectangle 174">
          <a:extLst>
            <a:ext uri="{FF2B5EF4-FFF2-40B4-BE49-F238E27FC236}">
              <a16:creationId xmlns:a16="http://schemas.microsoft.com/office/drawing/2014/main" id="{5350DC54-70D1-4EF6-9404-05E3A21D53D2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76" name="Rectangle 175">
          <a:extLst>
            <a:ext uri="{FF2B5EF4-FFF2-40B4-BE49-F238E27FC236}">
              <a16:creationId xmlns:a16="http://schemas.microsoft.com/office/drawing/2014/main" id="{F9B473CC-ABAD-448D-9FFB-87D9B0ED0970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77" name="Rectangle 176">
          <a:extLst>
            <a:ext uri="{FF2B5EF4-FFF2-40B4-BE49-F238E27FC236}">
              <a16:creationId xmlns:a16="http://schemas.microsoft.com/office/drawing/2014/main" id="{B290461E-4F79-4D26-BE08-67618B38AB34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78" name="Rectangle 177">
          <a:extLst>
            <a:ext uri="{FF2B5EF4-FFF2-40B4-BE49-F238E27FC236}">
              <a16:creationId xmlns:a16="http://schemas.microsoft.com/office/drawing/2014/main" id="{80732CCF-6BF2-42C4-8118-CD08BD844766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7B65CC5B-2FEC-4DB1-A3A1-26FFD1260C7A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59958F02-C51F-41A9-B04B-D0FEFC6F2E0B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F986503E-C21B-4C15-8EEC-B23B61289BE5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2642627E-3CC0-4C50-9F48-AF85BF5717B9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83" name="Rectangle 182">
          <a:extLst>
            <a:ext uri="{FF2B5EF4-FFF2-40B4-BE49-F238E27FC236}">
              <a16:creationId xmlns:a16="http://schemas.microsoft.com/office/drawing/2014/main" id="{9B03EF5B-9577-48CB-818E-E61862619756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84" name="Rectangle 183">
          <a:extLst>
            <a:ext uri="{FF2B5EF4-FFF2-40B4-BE49-F238E27FC236}">
              <a16:creationId xmlns:a16="http://schemas.microsoft.com/office/drawing/2014/main" id="{CE694AEF-DDCC-4A96-B7B4-2025B8B3EDB1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85" name="Rectangle 184">
          <a:extLst>
            <a:ext uri="{FF2B5EF4-FFF2-40B4-BE49-F238E27FC236}">
              <a16:creationId xmlns:a16="http://schemas.microsoft.com/office/drawing/2014/main" id="{92EBF150-7212-4EDA-AB47-2CF63CA3AB59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DF4AC1AC-8C0B-461C-958E-B55E73F65693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87" name="Rectangle 186">
          <a:extLst>
            <a:ext uri="{FF2B5EF4-FFF2-40B4-BE49-F238E27FC236}">
              <a16:creationId xmlns:a16="http://schemas.microsoft.com/office/drawing/2014/main" id="{0710B04E-529C-46C6-A86F-23B95DBD9498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58941AAD-21F0-4526-9AE4-A4B26B6C2541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72F1C46B-9951-4789-AA49-2CD51D3D5FB0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C00EC40F-3F6B-4D86-AC70-D1486E44730B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FDBD43E2-DB87-40A6-8412-0119BBCD0B28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BFF5E9F2-6923-4F3D-B789-1F32502588BC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93" name="Rectangle 192">
          <a:extLst>
            <a:ext uri="{FF2B5EF4-FFF2-40B4-BE49-F238E27FC236}">
              <a16:creationId xmlns:a16="http://schemas.microsoft.com/office/drawing/2014/main" id="{0DC54D80-289E-4FF8-918E-B5AC1F1BB044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94" name="Rectangle 193">
          <a:extLst>
            <a:ext uri="{FF2B5EF4-FFF2-40B4-BE49-F238E27FC236}">
              <a16:creationId xmlns:a16="http://schemas.microsoft.com/office/drawing/2014/main" id="{D0C53E21-0147-4B8B-BAA0-5D20BCF788F1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95" name="Rectangle 194">
          <a:extLst>
            <a:ext uri="{FF2B5EF4-FFF2-40B4-BE49-F238E27FC236}">
              <a16:creationId xmlns:a16="http://schemas.microsoft.com/office/drawing/2014/main" id="{209D87D9-7333-4602-BBF8-59D6D80D1044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96" name="Rectangle 195">
          <a:extLst>
            <a:ext uri="{FF2B5EF4-FFF2-40B4-BE49-F238E27FC236}">
              <a16:creationId xmlns:a16="http://schemas.microsoft.com/office/drawing/2014/main" id="{60D93519-1898-4CF2-9308-5E3C460AB8B0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40BDE698-C0BF-410D-BE3C-483A177DE37E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8C5BB62F-E139-4DFE-92E2-9B1B1FD896B5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D51C3561-92D0-45FC-AF78-C5D7300CE171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200" name="Rectangle 199">
          <a:extLst>
            <a:ext uri="{FF2B5EF4-FFF2-40B4-BE49-F238E27FC236}">
              <a16:creationId xmlns:a16="http://schemas.microsoft.com/office/drawing/2014/main" id="{9A9D3B4F-1D48-44BF-B9A9-EA9F2F7E26EF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96B99467-9BED-475A-8ED3-EC5A873A8EFF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979DFB97-4B59-4DF3-BD19-8A03BE5C7F9D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203" name="Rectangle 202">
          <a:extLst>
            <a:ext uri="{FF2B5EF4-FFF2-40B4-BE49-F238E27FC236}">
              <a16:creationId xmlns:a16="http://schemas.microsoft.com/office/drawing/2014/main" id="{3144A9AA-FBF0-4BC2-9F2F-70263B3B05FA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5EB4D535-64EE-4FB1-ABE6-DB40F30A9D8D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  <xdr:oneCellAnchor>
    <xdr:from>
      <xdr:col>1</xdr:col>
      <xdr:colOff>0</xdr:colOff>
      <xdr:row>40</xdr:row>
      <xdr:rowOff>59266</xdr:rowOff>
    </xdr:from>
    <xdr:ext cx="10439401" cy="169333"/>
    <xdr:sp macro="" textlink="">
      <xdr:nvSpPr>
        <xdr:cNvPr id="205" name="Rectangle 204">
          <a:extLst>
            <a:ext uri="{FF2B5EF4-FFF2-40B4-BE49-F238E27FC236}">
              <a16:creationId xmlns:a16="http://schemas.microsoft.com/office/drawing/2014/main" id="{B004DAD0-9242-4462-85B2-6A052C3A6265}"/>
            </a:ext>
          </a:extLst>
        </xdr:cNvPr>
        <xdr:cNvSpPr/>
      </xdr:nvSpPr>
      <xdr:spPr>
        <a:xfrm>
          <a:off x="609600" y="12356041"/>
          <a:ext cx="10439401" cy="169333"/>
        </a:xfrm>
        <a:prstGeom prst="rect">
          <a:avLst/>
        </a:prstGeom>
        <a:noFill/>
      </xdr:spPr>
      <xdr:txBody>
        <a:bodyPr wrap="square" lIns="91440" tIns="45720" rIns="91440" bIns="45720">
          <a:prstTxWarp prst="textPlain">
            <a:avLst/>
          </a:prstTxWarp>
          <a:spAutoFit/>
        </a:bodyPr>
        <a:lstStyle/>
        <a:p>
          <a:pPr algn="ctr"/>
          <a:endParaRPr lang="en-US" sz="1200" b="1" cap="none" spc="0">
            <a:ln w="1905"/>
            <a:solidFill>
              <a:srgbClr val="FF0000"/>
            </a:soli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  <a:latin typeface="+mn-lt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30\Pro_Plan\Users\Mijanur\AppData\Local\Microsoft\Windows\INetCache\Content.Outlook\0GUMEOY7\C3%202019%20Boys%20Denim-2019-C3-E14240-Columbia-14754-2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Legal Terms"/>
      <sheetName val="Vendor Info"/>
      <sheetName val="Vendor Terms &amp; Income"/>
      <sheetName val="VIT"/>
      <sheetName val="DDL"/>
      <sheetName val="VI_DDL"/>
      <sheetName val="VIT_COL"/>
      <sheetName val="CSTM"/>
      <sheetName val="FCTY"/>
      <sheetName val="SHIP_PNT"/>
      <sheetName val="POEX"/>
      <sheetName val="FCA_CITY"/>
      <sheetName val="MDSE_TYPE"/>
      <sheetName val="ITEM_TYPE"/>
      <sheetName val="BRND"/>
      <sheetName val="C3 2019 Boys Denim-2019-C3-E14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BHW124"/>
  <sheetViews>
    <sheetView tabSelected="1" zoomScale="55" zoomScaleNormal="55" zoomScaleSheetLayoutView="50" workbookViewId="0">
      <pane xSplit="2" ySplit="6" topLeftCell="AHH61" activePane="bottomRight" state="frozen"/>
      <selection pane="topRight" activeCell="B1" sqref="B1"/>
      <selection pane="bottomLeft" activeCell="A7" sqref="A7"/>
      <selection pane="bottomRight" activeCell="AHR86" sqref="AHR86"/>
    </sheetView>
  </sheetViews>
  <sheetFormatPr defaultColWidth="9.109375" defaultRowHeight="15" customHeight="1" x14ac:dyDescent="0.25"/>
  <cols>
    <col min="1" max="1" width="9.109375" style="30"/>
    <col min="2" max="2" width="11.88671875" style="30" customWidth="1"/>
    <col min="3" max="6" width="9.5546875" style="30" hidden="1" customWidth="1"/>
    <col min="7" max="7" width="0" style="30" hidden="1" customWidth="1"/>
    <col min="8" max="8" width="9.6640625" style="30" hidden="1" customWidth="1"/>
    <col min="9" max="13" width="9.5546875" style="30" hidden="1" customWidth="1"/>
    <col min="14" max="14" width="0" style="30" hidden="1" customWidth="1"/>
    <col min="15" max="16" width="9.5546875" style="30" hidden="1" customWidth="1"/>
    <col min="17" max="20" width="9.44140625" style="30" hidden="1" customWidth="1"/>
    <col min="21" max="21" width="0" style="30" hidden="1" customWidth="1"/>
    <col min="22" max="28" width="9.33203125" style="30" hidden="1" customWidth="1"/>
    <col min="29" max="33" width="9.44140625" style="30" hidden="1" customWidth="1"/>
    <col min="34" max="34" width="0" style="30" hidden="1" customWidth="1"/>
    <col min="35" max="35" width="9.33203125" style="30" hidden="1" customWidth="1"/>
    <col min="36" max="36" width="9.44140625" style="30" hidden="1" customWidth="1"/>
    <col min="37" max="37" width="9.33203125" style="30" hidden="1" customWidth="1"/>
    <col min="38" max="41" width="0" style="30" hidden="1" customWidth="1"/>
    <col min="42" max="42" width="9.33203125" style="30" hidden="1" customWidth="1"/>
    <col min="43" max="56" width="0" style="30" hidden="1" customWidth="1"/>
    <col min="57" max="58" width="10.88671875" style="30" hidden="1" customWidth="1"/>
    <col min="59" max="60" width="0" style="30" hidden="1" customWidth="1"/>
    <col min="61" max="61" width="10.88671875" style="30" hidden="1" customWidth="1"/>
    <col min="62" max="62" width="0" style="30" hidden="1" customWidth="1"/>
    <col min="63" max="63" width="10.88671875" style="30" hidden="1" customWidth="1"/>
    <col min="64" max="64" width="11" style="30" hidden="1" customWidth="1"/>
    <col min="65" max="65" width="10.88671875" style="30" hidden="1" customWidth="1"/>
    <col min="66" max="66" width="0" style="30" hidden="1" customWidth="1"/>
    <col min="67" max="67" width="9.6640625" style="30" hidden="1" customWidth="1"/>
    <col min="68" max="69" width="9.33203125" style="30" hidden="1" customWidth="1"/>
    <col min="70" max="70" width="9.5546875" style="30" hidden="1" customWidth="1"/>
    <col min="71" max="71" width="9.44140625" style="30" hidden="1" customWidth="1"/>
    <col min="72" max="72" width="0" style="30" hidden="1" customWidth="1"/>
    <col min="73" max="73" width="10.88671875" style="30" hidden="1" customWidth="1"/>
    <col min="74" max="74" width="9.33203125" style="30" hidden="1" customWidth="1"/>
    <col min="75" max="76" width="9.44140625" style="30" hidden="1" customWidth="1"/>
    <col min="77" max="78" width="9.33203125" style="30" hidden="1" customWidth="1"/>
    <col min="79" max="80" width="0" style="30" hidden="1" customWidth="1"/>
    <col min="81" max="81" width="9.33203125" style="30" hidden="1" customWidth="1"/>
    <col min="82" max="82" width="11.44140625" style="30" hidden="1" customWidth="1"/>
    <col min="83" max="83" width="9.88671875" style="30" hidden="1" customWidth="1"/>
    <col min="84" max="84" width="10" style="30" hidden="1" customWidth="1"/>
    <col min="85" max="85" width="9.88671875" style="30" hidden="1" customWidth="1"/>
    <col min="86" max="86" width="0" style="30" hidden="1" customWidth="1"/>
    <col min="87" max="87" width="10.109375" style="30" hidden="1" customWidth="1"/>
    <col min="88" max="92" width="10" style="30" hidden="1" customWidth="1"/>
    <col min="93" max="93" width="0" style="30" hidden="1" customWidth="1"/>
    <col min="94" max="94" width="10" style="30" hidden="1" customWidth="1"/>
    <col min="95" max="95" width="9.88671875" style="30" hidden="1" customWidth="1"/>
    <col min="96" max="96" width="11.5546875" style="30" hidden="1" customWidth="1"/>
    <col min="97" max="97" width="0" style="30" hidden="1" customWidth="1"/>
    <col min="98" max="116" width="9.44140625" style="30" hidden="1" customWidth="1"/>
    <col min="117" max="117" width="12" style="30" hidden="1" customWidth="1"/>
    <col min="118" max="123" width="9.44140625" style="30" hidden="1" customWidth="1"/>
    <col min="124" max="124" width="12.33203125" style="30" hidden="1" customWidth="1"/>
    <col min="125" max="127" width="9.44140625" style="30" hidden="1" customWidth="1"/>
    <col min="128" max="128" width="12.5546875" style="30" hidden="1" customWidth="1"/>
    <col min="129" max="129" width="0" style="30" hidden="1" customWidth="1"/>
    <col min="130" max="130" width="9.33203125" style="30" hidden="1" customWidth="1"/>
    <col min="131" max="136" width="10.109375" style="30" hidden="1" customWidth="1"/>
    <col min="137" max="137" width="0" style="30" hidden="1" customWidth="1"/>
    <col min="138" max="143" width="10.109375" style="30" hidden="1" customWidth="1"/>
    <col min="144" max="144" width="0" style="30" hidden="1" customWidth="1"/>
    <col min="145" max="150" width="10.109375" style="30" hidden="1" customWidth="1"/>
    <col min="151" max="151" width="0" style="30" hidden="1" customWidth="1"/>
    <col min="152" max="156" width="10.109375" style="30" hidden="1" customWidth="1"/>
    <col min="157" max="157" width="10" style="30" hidden="1" customWidth="1"/>
    <col min="158" max="158" width="0" style="30" hidden="1" customWidth="1"/>
    <col min="159" max="159" width="10.109375" style="30" hidden="1" customWidth="1"/>
    <col min="160" max="160" width="0" style="30" hidden="1" customWidth="1"/>
    <col min="161" max="165" width="10" style="30" hidden="1" customWidth="1"/>
    <col min="166" max="166" width="0" style="30" hidden="1" customWidth="1"/>
    <col min="167" max="171" width="10" style="30" hidden="1" customWidth="1"/>
    <col min="172" max="172" width="10.109375" style="30" hidden="1" customWidth="1"/>
    <col min="173" max="173" width="0" style="30" hidden="1" customWidth="1"/>
    <col min="174" max="175" width="10.109375" style="30" hidden="1" customWidth="1"/>
    <col min="176" max="176" width="11.6640625" style="30" hidden="1" customWidth="1"/>
    <col min="177" max="179" width="10.109375" style="30" hidden="1" customWidth="1"/>
    <col min="180" max="180" width="0" style="30" hidden="1" customWidth="1"/>
    <col min="181" max="183" width="10.109375" style="30" hidden="1" customWidth="1"/>
    <col min="184" max="184" width="10" style="30" hidden="1" customWidth="1"/>
    <col min="185" max="186" width="9.88671875" style="30" hidden="1" customWidth="1"/>
    <col min="187" max="187" width="0" style="30" hidden="1" customWidth="1"/>
    <col min="188" max="188" width="9.88671875" style="30" hidden="1" customWidth="1"/>
    <col min="189" max="190" width="9.6640625" style="30" hidden="1" customWidth="1"/>
    <col min="191" max="191" width="9.5546875" style="30" hidden="1" customWidth="1"/>
    <col min="192" max="192" width="7.88671875" style="30" hidden="1" customWidth="1"/>
    <col min="193" max="194" width="9.5546875" style="30" hidden="1" customWidth="1"/>
    <col min="195" max="195" width="6.33203125" style="30" hidden="1" customWidth="1"/>
    <col min="196" max="198" width="9.5546875" style="30" hidden="1" customWidth="1"/>
    <col min="199" max="199" width="10.88671875" style="30" hidden="1" customWidth="1"/>
    <col min="200" max="201" width="9.5546875" style="30" hidden="1" customWidth="1"/>
    <col min="202" max="202" width="5.6640625" style="30" hidden="1" customWidth="1"/>
    <col min="203" max="204" width="9.5546875" style="30" hidden="1" customWidth="1"/>
    <col min="205" max="205" width="12.5546875" style="30" hidden="1" customWidth="1"/>
    <col min="206" max="206" width="11" style="30" hidden="1" customWidth="1"/>
    <col min="207" max="207" width="11.5546875" style="30" hidden="1" customWidth="1"/>
    <col min="208" max="208" width="9.44140625" style="30" hidden="1" customWidth="1"/>
    <col min="209" max="209" width="6" style="30" hidden="1" customWidth="1"/>
    <col min="210" max="211" width="9.44140625" style="30" hidden="1" customWidth="1"/>
    <col min="212" max="212" width="10.88671875" style="30" hidden="1" customWidth="1"/>
    <col min="213" max="213" width="10.44140625" style="30" hidden="1" customWidth="1"/>
    <col min="214" max="215" width="9.44140625" style="30" hidden="1" customWidth="1"/>
    <col min="216" max="216" width="5.6640625" style="30" hidden="1" customWidth="1"/>
    <col min="217" max="221" width="9.44140625" style="30" hidden="1" customWidth="1"/>
    <col min="222" max="222" width="9.33203125" style="30" hidden="1" customWidth="1"/>
    <col min="223" max="223" width="5.33203125" style="30" hidden="1" customWidth="1"/>
    <col min="224" max="224" width="0" style="30" hidden="1" customWidth="1"/>
    <col min="225" max="226" width="9.33203125" style="30" hidden="1" customWidth="1"/>
    <col min="227" max="227" width="9" style="30" hidden="1" customWidth="1"/>
    <col min="228" max="235" width="0" style="30" hidden="1" customWidth="1"/>
    <col min="236" max="236" width="8.6640625" style="30" hidden="1" customWidth="1"/>
    <col min="237" max="245" width="0" style="30" hidden="1" customWidth="1"/>
    <col min="246" max="246" width="9.6640625" style="30" hidden="1" customWidth="1"/>
    <col min="247" max="250" width="9.44140625" style="30" hidden="1" customWidth="1"/>
    <col min="251" max="254" width="0" style="30" hidden="1" customWidth="1"/>
    <col min="255" max="256" width="9.33203125" style="30" hidden="1" customWidth="1"/>
    <col min="257" max="258" width="0" style="30" hidden="1" customWidth="1"/>
    <col min="259" max="259" width="10" style="30" hidden="1" customWidth="1"/>
    <col min="260" max="261" width="0" style="30" hidden="1" customWidth="1"/>
    <col min="262" max="262" width="10.44140625" style="30" hidden="1" customWidth="1"/>
    <col min="263" max="265" width="0" style="30" hidden="1" customWidth="1"/>
    <col min="266" max="266" width="10.33203125" style="30" hidden="1" customWidth="1"/>
    <col min="267" max="279" width="0" style="30" hidden="1" customWidth="1"/>
    <col min="280" max="281" width="5.6640625" style="30" hidden="1" customWidth="1"/>
    <col min="282" max="286" width="0" style="30" hidden="1" customWidth="1"/>
    <col min="287" max="287" width="9.33203125" style="30" hidden="1" customWidth="1"/>
    <col min="288" max="297" width="0" style="30" hidden="1" customWidth="1"/>
    <col min="298" max="298" width="9.44140625" style="30" hidden="1" customWidth="1"/>
    <col min="299" max="318" width="0" style="30" hidden="1" customWidth="1"/>
    <col min="319" max="319" width="9.6640625" style="30" hidden="1" customWidth="1"/>
    <col min="320" max="328" width="0" style="30" hidden="1" customWidth="1"/>
    <col min="329" max="329" width="9.109375" style="30" hidden="1" customWidth="1"/>
    <col min="330" max="337" width="0" style="30" hidden="1" customWidth="1"/>
    <col min="338" max="338" width="9.33203125" style="30" hidden="1" customWidth="1"/>
    <col min="339" max="339" width="9.109375" style="30" hidden="1" customWidth="1"/>
    <col min="340" max="343" width="6.33203125" style="30" customWidth="1"/>
    <col min="344" max="348" width="9.88671875" style="30" customWidth="1"/>
    <col min="349" max="360" width="9.109375" style="30"/>
    <col min="361" max="361" width="8.6640625" style="30" customWidth="1"/>
    <col min="362" max="366" width="9.109375" style="30"/>
    <col min="367" max="367" width="10.109375" style="30" customWidth="1"/>
    <col min="368" max="368" width="9.5546875" style="30" customWidth="1"/>
    <col min="369" max="386" width="9.109375" style="30"/>
    <col min="387" max="387" width="10.33203125" style="30" customWidth="1"/>
    <col min="388" max="405" width="9.109375" style="30"/>
    <col min="406" max="406" width="9.5546875" style="30" customWidth="1"/>
    <col min="407" max="407" width="10.33203125" style="30" customWidth="1"/>
    <col min="408" max="419" width="9.109375" style="30"/>
    <col min="420" max="420" width="10.88671875" style="30" bestFit="1" customWidth="1"/>
    <col min="421" max="425" width="9.109375" style="30"/>
    <col min="426" max="426" width="8.6640625" style="30" customWidth="1"/>
    <col min="427" max="435" width="9.109375" style="30"/>
    <col min="436" max="436" width="9.6640625" style="30" customWidth="1"/>
    <col min="437" max="437" width="10.44140625" style="30" customWidth="1"/>
    <col min="438" max="438" width="9.109375" style="30"/>
    <col min="439" max="439" width="9.44140625" style="30" bestFit="1" customWidth="1"/>
    <col min="440" max="518" width="9.109375" style="30"/>
    <col min="519" max="519" width="9.44140625" style="30" customWidth="1"/>
    <col min="520" max="537" width="9.109375" style="30"/>
    <col min="538" max="538" width="11.88671875" style="30" customWidth="1"/>
    <col min="539" max="562" width="9.109375" style="30"/>
    <col min="563" max="563" width="10.44140625" style="30" customWidth="1"/>
    <col min="564" max="569" width="9.109375" style="30"/>
    <col min="570" max="570" width="11.88671875" style="30" customWidth="1"/>
    <col min="571" max="583" width="9.109375" style="30"/>
    <col min="584" max="585" width="9.44140625" style="30" customWidth="1"/>
    <col min="586" max="601" width="9.109375" style="30"/>
    <col min="602" max="602" width="11.88671875" style="30" customWidth="1"/>
    <col min="603" max="630" width="9.109375" style="30"/>
    <col min="631" max="631" width="11.88671875" style="30" customWidth="1"/>
    <col min="632" max="662" width="9.109375" style="30"/>
    <col min="663" max="663" width="11.88671875" style="30" customWidth="1"/>
    <col min="664" max="685" width="9.109375" style="30"/>
    <col min="686" max="686" width="9.5546875" style="30" bestFit="1" customWidth="1"/>
    <col min="687" max="693" width="9.109375" style="30"/>
    <col min="694" max="694" width="11.88671875" style="30" customWidth="1"/>
    <col min="695" max="698" width="9.109375" style="30"/>
    <col min="699" max="699" width="9.5546875" style="30" bestFit="1" customWidth="1"/>
    <col min="700" max="724" width="9.109375" style="30"/>
    <col min="726" max="726" width="11.88671875" style="30" customWidth="1"/>
    <col min="727" max="756" width="9.109375" style="30"/>
    <col min="757" max="757" width="11.88671875" style="30" customWidth="1"/>
    <col min="758" max="775" width="9.109375" style="30"/>
    <col min="776" max="776" width="8.33203125" style="30" customWidth="1"/>
    <col min="777" max="784" width="6.33203125" style="30" customWidth="1"/>
    <col min="785" max="788" width="9.109375" style="30"/>
    <col min="789" max="789" width="11.88671875" style="30" customWidth="1"/>
    <col min="790" max="795" width="9.109375" style="30"/>
    <col min="796" max="796" width="8.88671875" style="30" customWidth="1"/>
    <col min="797" max="799" width="9.109375" style="30"/>
    <col min="800" max="800" width="9.5546875" style="30" bestFit="1" customWidth="1"/>
    <col min="801" max="810" width="9.109375" style="30"/>
    <col min="811" max="811" width="9.5546875" style="30" bestFit="1" customWidth="1"/>
    <col min="812" max="820" width="9.109375" style="30"/>
    <col min="821" max="821" width="11.88671875" style="30" customWidth="1"/>
    <col min="822" max="833" width="9.109375" style="30"/>
    <col min="834" max="834" width="10.88671875" style="30" customWidth="1"/>
    <col min="835" max="851" width="9.109375" style="30"/>
    <col min="852" max="852" width="11.88671875" style="30" customWidth="1"/>
    <col min="853" max="881" width="9.109375" style="30"/>
    <col min="882" max="882" width="9.6640625" style="30" customWidth="1"/>
    <col min="883" max="883" width="9.109375" style="30"/>
    <col min="884" max="884" width="11.88671875" style="30" customWidth="1"/>
    <col min="885" max="914" width="9.109375" style="30"/>
    <col min="915" max="915" width="11.88671875" style="30" customWidth="1"/>
    <col min="916" max="946" width="9.109375" style="30"/>
    <col min="947" max="947" width="11.88671875" style="30" customWidth="1"/>
    <col min="948" max="978" width="9.109375" style="30"/>
    <col min="979" max="979" width="11.88671875" style="30" customWidth="1"/>
    <col min="980" max="1007" width="9.109375" style="30"/>
    <col min="1008" max="1008" width="11.88671875" style="30" customWidth="1"/>
    <col min="1009" max="1039" width="9.109375" style="30"/>
    <col min="1040" max="1040" width="11.88671875" style="30" customWidth="1"/>
    <col min="1041" max="1070" width="9.109375" style="30"/>
    <col min="1071" max="1071" width="11.88671875" style="30" customWidth="1"/>
    <col min="1072" max="1102" width="9.109375" style="30"/>
    <col min="1103" max="1103" width="11.88671875" style="30" customWidth="1"/>
    <col min="1104" max="1133" width="9.109375" style="30"/>
    <col min="1134" max="1134" width="11.88671875" style="30" customWidth="1"/>
    <col min="1135" max="1165" width="9.109375" style="30"/>
    <col min="1166" max="1166" width="11.88671875" style="30" customWidth="1"/>
    <col min="1167" max="1197" width="9.109375" style="30"/>
    <col min="1198" max="1198" width="11.88671875" style="30" customWidth="1"/>
    <col min="1199" max="1228" width="9.109375" style="30"/>
    <col min="1229" max="1229" width="11.88671875" style="30" customWidth="1"/>
    <col min="1230" max="1260" width="9.109375" style="30"/>
    <col min="1261" max="1261" width="11.88671875" style="30" customWidth="1"/>
    <col min="1262" max="1291" width="9.109375" style="30"/>
    <col min="1292" max="1292" width="11.88671875" style="30" customWidth="1"/>
    <col min="1293" max="1323" width="9.109375" style="30"/>
    <col min="1324" max="1324" width="11.88671875" style="30" customWidth="1"/>
    <col min="1325" max="16384" width="9.109375" style="30"/>
  </cols>
  <sheetData>
    <row r="1" spans="1:1327" ht="21" customHeight="1" x14ac:dyDescent="0.4">
      <c r="N1" s="1" t="s">
        <v>0</v>
      </c>
      <c r="T1" s="19" t="s">
        <v>43</v>
      </c>
      <c r="Z1" s="6">
        <v>26</v>
      </c>
      <c r="AW1" s="1" t="s">
        <v>0</v>
      </c>
      <c r="BE1" s="22" t="s">
        <v>52</v>
      </c>
      <c r="CB1" s="1" t="s">
        <v>0</v>
      </c>
      <c r="CJ1" s="22" t="s">
        <v>54</v>
      </c>
      <c r="CN1" s="30" t="s">
        <v>94</v>
      </c>
      <c r="DD1" s="1" t="s">
        <v>0</v>
      </c>
      <c r="DL1" s="22" t="s">
        <v>111</v>
      </c>
      <c r="EI1" s="1" t="s">
        <v>0</v>
      </c>
      <c r="EQ1" s="24" t="s">
        <v>112</v>
      </c>
      <c r="FP1" s="1" t="s">
        <v>0</v>
      </c>
      <c r="FX1" s="24" t="s">
        <v>113</v>
      </c>
      <c r="GV1" s="1" t="s">
        <v>0</v>
      </c>
      <c r="HD1" s="24" t="s">
        <v>114</v>
      </c>
      <c r="IB1" s="1" t="s">
        <v>0</v>
      </c>
      <c r="IJ1" s="24" t="s">
        <v>115</v>
      </c>
      <c r="JG1" s="1" t="s">
        <v>0</v>
      </c>
      <c r="JO1" s="24" t="s">
        <v>116</v>
      </c>
      <c r="KI1" s="1" t="s">
        <v>324</v>
      </c>
      <c r="LP1" s="1" t="s">
        <v>325</v>
      </c>
      <c r="MS1" s="1"/>
      <c r="MV1" s="1" t="s">
        <v>373</v>
      </c>
      <c r="OB1" s="1" t="s">
        <v>429</v>
      </c>
      <c r="PH1" s="1" t="s">
        <v>430</v>
      </c>
      <c r="QP1" s="1" t="s">
        <v>545</v>
      </c>
      <c r="RU1" s="1" t="s">
        <v>546</v>
      </c>
      <c r="TB1" s="1" t="s">
        <v>788</v>
      </c>
      <c r="UI1" s="1" t="s">
        <v>789</v>
      </c>
      <c r="VM1" s="1" t="s">
        <v>919</v>
      </c>
      <c r="WS1" s="1" t="s">
        <v>918</v>
      </c>
      <c r="XV1" s="1" t="s">
        <v>917</v>
      </c>
      <c r="ZD1" s="1" t="s">
        <v>1641</v>
      </c>
      <c r="AAG1" s="1" t="s">
        <v>1642</v>
      </c>
      <c r="ABO1" s="1" t="s">
        <v>1643</v>
      </c>
      <c r="ACR1" s="1" t="s">
        <v>1644</v>
      </c>
      <c r="ADX1" s="1" t="s">
        <v>1981</v>
      </c>
      <c r="AFD1" s="1" t="s">
        <v>1980</v>
      </c>
      <c r="AGI1" s="1" t="s">
        <v>1979</v>
      </c>
      <c r="AHO1" s="1" t="s">
        <v>1978</v>
      </c>
      <c r="AIT1" s="1" t="s">
        <v>1977</v>
      </c>
      <c r="AJY1" s="1" t="s">
        <v>2219</v>
      </c>
      <c r="ALE1" s="1" t="s">
        <v>2220</v>
      </c>
      <c r="AMH1" s="1" t="s">
        <v>2244</v>
      </c>
      <c r="ANN1" s="1" t="s">
        <v>2333</v>
      </c>
      <c r="AOS1" s="1" t="s">
        <v>2334</v>
      </c>
      <c r="APY1" s="1" t="s">
        <v>2360</v>
      </c>
      <c r="ARD1" s="1" t="s">
        <v>2359</v>
      </c>
      <c r="ASJ1" s="1" t="s">
        <v>2638</v>
      </c>
      <c r="ATP1" s="1" t="s">
        <v>2639</v>
      </c>
      <c r="AUU1" s="1" t="s">
        <v>2640</v>
      </c>
      <c r="AWA1" s="1" t="s">
        <v>2644</v>
      </c>
      <c r="AXF1" s="1" t="s">
        <v>2645</v>
      </c>
    </row>
    <row r="2" spans="1:1327" ht="29.25" customHeight="1" thickBot="1" x14ac:dyDescent="0.35">
      <c r="BF2" s="578" t="s">
        <v>2118</v>
      </c>
      <c r="LY2" s="309"/>
      <c r="NC2" s="209" t="s">
        <v>749</v>
      </c>
      <c r="YN2" s="468"/>
    </row>
    <row r="3" spans="1:1327" ht="9" customHeight="1" thickTop="1" thickBot="1" x14ac:dyDescent="0.3"/>
    <row r="4" spans="1:1327" s="94" customFormat="1" ht="22.5" customHeight="1" thickTop="1" x14ac:dyDescent="0.3">
      <c r="B4" s="95" t="s">
        <v>1</v>
      </c>
      <c r="C4" s="96">
        <v>1</v>
      </c>
      <c r="D4" s="97">
        <f t="shared" ref="D4:AG4" si="0">C4+1</f>
        <v>2</v>
      </c>
      <c r="E4" s="97">
        <f t="shared" si="0"/>
        <v>3</v>
      </c>
      <c r="F4" s="97">
        <f t="shared" si="0"/>
        <v>4</v>
      </c>
      <c r="G4" s="97">
        <f t="shared" si="0"/>
        <v>5</v>
      </c>
      <c r="H4" s="97">
        <f t="shared" si="0"/>
        <v>6</v>
      </c>
      <c r="I4" s="97">
        <f t="shared" si="0"/>
        <v>7</v>
      </c>
      <c r="J4" s="97">
        <f t="shared" si="0"/>
        <v>8</v>
      </c>
      <c r="K4" s="97">
        <f t="shared" si="0"/>
        <v>9</v>
      </c>
      <c r="L4" s="97">
        <f t="shared" si="0"/>
        <v>10</v>
      </c>
      <c r="M4" s="97">
        <f t="shared" si="0"/>
        <v>11</v>
      </c>
      <c r="N4" s="97">
        <f t="shared" si="0"/>
        <v>12</v>
      </c>
      <c r="O4" s="97">
        <f t="shared" si="0"/>
        <v>13</v>
      </c>
      <c r="P4" s="97">
        <f t="shared" si="0"/>
        <v>14</v>
      </c>
      <c r="Q4" s="97">
        <f t="shared" si="0"/>
        <v>15</v>
      </c>
      <c r="R4" s="97">
        <f t="shared" si="0"/>
        <v>16</v>
      </c>
      <c r="S4" s="97">
        <f t="shared" si="0"/>
        <v>17</v>
      </c>
      <c r="T4" s="97">
        <f t="shared" si="0"/>
        <v>18</v>
      </c>
      <c r="U4" s="97">
        <f t="shared" si="0"/>
        <v>19</v>
      </c>
      <c r="V4" s="97">
        <f t="shared" si="0"/>
        <v>20</v>
      </c>
      <c r="W4" s="97">
        <f t="shared" si="0"/>
        <v>21</v>
      </c>
      <c r="X4" s="97">
        <f t="shared" si="0"/>
        <v>22</v>
      </c>
      <c r="Y4" s="97">
        <f t="shared" si="0"/>
        <v>23</v>
      </c>
      <c r="Z4" s="97">
        <f t="shared" si="0"/>
        <v>24</v>
      </c>
      <c r="AA4" s="97">
        <f t="shared" si="0"/>
        <v>25</v>
      </c>
      <c r="AB4" s="97">
        <f t="shared" si="0"/>
        <v>26</v>
      </c>
      <c r="AC4" s="97">
        <f t="shared" si="0"/>
        <v>27</v>
      </c>
      <c r="AD4" s="97">
        <f t="shared" si="0"/>
        <v>28</v>
      </c>
      <c r="AE4" s="97">
        <f t="shared" si="0"/>
        <v>29</v>
      </c>
      <c r="AF4" s="97">
        <f t="shared" si="0"/>
        <v>30</v>
      </c>
      <c r="AG4" s="97">
        <f t="shared" si="0"/>
        <v>31</v>
      </c>
      <c r="AH4" s="98" t="s">
        <v>1</v>
      </c>
      <c r="AI4" s="99">
        <v>1</v>
      </c>
      <c r="AJ4" s="97">
        <f t="shared" ref="AJ4:BM4" si="1">AI4+1</f>
        <v>2</v>
      </c>
      <c r="AK4" s="97">
        <f t="shared" si="1"/>
        <v>3</v>
      </c>
      <c r="AL4" s="97">
        <f t="shared" si="1"/>
        <v>4</v>
      </c>
      <c r="AM4" s="97">
        <f t="shared" si="1"/>
        <v>5</v>
      </c>
      <c r="AN4" s="97">
        <f t="shared" si="1"/>
        <v>6</v>
      </c>
      <c r="AO4" s="97">
        <f t="shared" si="1"/>
        <v>7</v>
      </c>
      <c r="AP4" s="97">
        <f t="shared" si="1"/>
        <v>8</v>
      </c>
      <c r="AQ4" s="97">
        <f t="shared" si="1"/>
        <v>9</v>
      </c>
      <c r="AR4" s="97">
        <f t="shared" si="1"/>
        <v>10</v>
      </c>
      <c r="AS4" s="97">
        <f t="shared" si="1"/>
        <v>11</v>
      </c>
      <c r="AT4" s="97">
        <f t="shared" si="1"/>
        <v>12</v>
      </c>
      <c r="AU4" s="97">
        <f t="shared" si="1"/>
        <v>13</v>
      </c>
      <c r="AV4" s="97">
        <f t="shared" si="1"/>
        <v>14</v>
      </c>
      <c r="AW4" s="97">
        <f t="shared" si="1"/>
        <v>15</v>
      </c>
      <c r="AX4" s="97">
        <f t="shared" si="1"/>
        <v>16</v>
      </c>
      <c r="AY4" s="97">
        <f t="shared" si="1"/>
        <v>17</v>
      </c>
      <c r="AZ4" s="97">
        <f t="shared" si="1"/>
        <v>18</v>
      </c>
      <c r="BA4" s="97">
        <f t="shared" si="1"/>
        <v>19</v>
      </c>
      <c r="BB4" s="97">
        <f t="shared" si="1"/>
        <v>20</v>
      </c>
      <c r="BC4" s="97">
        <f t="shared" si="1"/>
        <v>21</v>
      </c>
      <c r="BD4" s="97">
        <f t="shared" si="1"/>
        <v>22</v>
      </c>
      <c r="BE4" s="97">
        <f t="shared" si="1"/>
        <v>23</v>
      </c>
      <c r="BF4" s="97">
        <f t="shared" si="1"/>
        <v>24</v>
      </c>
      <c r="BG4" s="97">
        <f t="shared" si="1"/>
        <v>25</v>
      </c>
      <c r="BH4" s="97">
        <f t="shared" si="1"/>
        <v>26</v>
      </c>
      <c r="BI4" s="97">
        <f t="shared" si="1"/>
        <v>27</v>
      </c>
      <c r="BJ4" s="97">
        <f t="shared" si="1"/>
        <v>28</v>
      </c>
      <c r="BK4" s="97">
        <f t="shared" si="1"/>
        <v>29</v>
      </c>
      <c r="BL4" s="97">
        <f t="shared" si="1"/>
        <v>30</v>
      </c>
      <c r="BM4" s="97">
        <f t="shared" si="1"/>
        <v>31</v>
      </c>
      <c r="BN4" s="95" t="s">
        <v>1</v>
      </c>
      <c r="BO4" s="96">
        <v>1</v>
      </c>
      <c r="BP4" s="97">
        <f t="shared" ref="BP4:CR4" si="2">BO4+1</f>
        <v>2</v>
      </c>
      <c r="BQ4" s="97">
        <f t="shared" si="2"/>
        <v>3</v>
      </c>
      <c r="BR4" s="97">
        <f t="shared" si="2"/>
        <v>4</v>
      </c>
      <c r="BS4" s="97">
        <f t="shared" si="2"/>
        <v>5</v>
      </c>
      <c r="BT4" s="97">
        <f t="shared" si="2"/>
        <v>6</v>
      </c>
      <c r="BU4" s="97">
        <f t="shared" si="2"/>
        <v>7</v>
      </c>
      <c r="BV4" s="97">
        <f t="shared" si="2"/>
        <v>8</v>
      </c>
      <c r="BW4" s="97">
        <f t="shared" si="2"/>
        <v>9</v>
      </c>
      <c r="BX4" s="97">
        <f t="shared" si="2"/>
        <v>10</v>
      </c>
      <c r="BY4" s="97">
        <f t="shared" si="2"/>
        <v>11</v>
      </c>
      <c r="BZ4" s="97">
        <f t="shared" si="2"/>
        <v>12</v>
      </c>
      <c r="CA4" s="97">
        <f t="shared" si="2"/>
        <v>13</v>
      </c>
      <c r="CB4" s="97">
        <f t="shared" si="2"/>
        <v>14</v>
      </c>
      <c r="CC4" s="97">
        <f t="shared" si="2"/>
        <v>15</v>
      </c>
      <c r="CD4" s="97">
        <f t="shared" si="2"/>
        <v>16</v>
      </c>
      <c r="CE4" s="97">
        <f t="shared" si="2"/>
        <v>17</v>
      </c>
      <c r="CF4" s="97">
        <f t="shared" si="2"/>
        <v>18</v>
      </c>
      <c r="CG4" s="97">
        <f t="shared" si="2"/>
        <v>19</v>
      </c>
      <c r="CH4" s="97">
        <f t="shared" si="2"/>
        <v>20</v>
      </c>
      <c r="CI4" s="97">
        <f t="shared" si="2"/>
        <v>21</v>
      </c>
      <c r="CJ4" s="97">
        <f t="shared" si="2"/>
        <v>22</v>
      </c>
      <c r="CK4" s="97">
        <f t="shared" si="2"/>
        <v>23</v>
      </c>
      <c r="CL4" s="97">
        <f t="shared" si="2"/>
        <v>24</v>
      </c>
      <c r="CM4" s="97">
        <f t="shared" si="2"/>
        <v>25</v>
      </c>
      <c r="CN4" s="97">
        <f t="shared" si="2"/>
        <v>26</v>
      </c>
      <c r="CO4" s="97">
        <f t="shared" si="2"/>
        <v>27</v>
      </c>
      <c r="CP4" s="97">
        <f t="shared" si="2"/>
        <v>28</v>
      </c>
      <c r="CQ4" s="97">
        <f t="shared" si="2"/>
        <v>29</v>
      </c>
      <c r="CR4" s="97">
        <f t="shared" si="2"/>
        <v>30</v>
      </c>
      <c r="CS4" s="95" t="s">
        <v>1</v>
      </c>
      <c r="CT4" s="96">
        <v>1</v>
      </c>
      <c r="CU4" s="97">
        <f t="shared" ref="CU4:DX4" si="3">CT4+1</f>
        <v>2</v>
      </c>
      <c r="CV4" s="97">
        <f t="shared" si="3"/>
        <v>3</v>
      </c>
      <c r="CW4" s="97">
        <f t="shared" si="3"/>
        <v>4</v>
      </c>
      <c r="CX4" s="97">
        <f t="shared" si="3"/>
        <v>5</v>
      </c>
      <c r="CY4" s="97">
        <f t="shared" si="3"/>
        <v>6</v>
      </c>
      <c r="CZ4" s="97">
        <f t="shared" si="3"/>
        <v>7</v>
      </c>
      <c r="DA4" s="97">
        <f t="shared" si="3"/>
        <v>8</v>
      </c>
      <c r="DB4" s="97">
        <f t="shared" si="3"/>
        <v>9</v>
      </c>
      <c r="DC4" s="97">
        <f t="shared" si="3"/>
        <v>10</v>
      </c>
      <c r="DD4" s="97">
        <f t="shared" si="3"/>
        <v>11</v>
      </c>
      <c r="DE4" s="97">
        <f t="shared" si="3"/>
        <v>12</v>
      </c>
      <c r="DF4" s="97">
        <f t="shared" si="3"/>
        <v>13</v>
      </c>
      <c r="DG4" s="97">
        <f t="shared" si="3"/>
        <v>14</v>
      </c>
      <c r="DH4" s="97">
        <f t="shared" si="3"/>
        <v>15</v>
      </c>
      <c r="DI4" s="97">
        <f t="shared" si="3"/>
        <v>16</v>
      </c>
      <c r="DJ4" s="97">
        <f t="shared" si="3"/>
        <v>17</v>
      </c>
      <c r="DK4" s="97">
        <f t="shared" si="3"/>
        <v>18</v>
      </c>
      <c r="DL4" s="97">
        <f t="shared" si="3"/>
        <v>19</v>
      </c>
      <c r="DM4" s="97">
        <f t="shared" si="3"/>
        <v>20</v>
      </c>
      <c r="DN4" s="97">
        <f t="shared" si="3"/>
        <v>21</v>
      </c>
      <c r="DO4" s="97">
        <f t="shared" si="3"/>
        <v>22</v>
      </c>
      <c r="DP4" s="97">
        <f t="shared" si="3"/>
        <v>23</v>
      </c>
      <c r="DQ4" s="97">
        <f t="shared" si="3"/>
        <v>24</v>
      </c>
      <c r="DR4" s="97">
        <f t="shared" si="3"/>
        <v>25</v>
      </c>
      <c r="DS4" s="97">
        <f t="shared" si="3"/>
        <v>26</v>
      </c>
      <c r="DT4" s="97">
        <f t="shared" si="3"/>
        <v>27</v>
      </c>
      <c r="DU4" s="97">
        <f t="shared" si="3"/>
        <v>28</v>
      </c>
      <c r="DV4" s="97">
        <f t="shared" si="3"/>
        <v>29</v>
      </c>
      <c r="DW4" s="97">
        <f t="shared" si="3"/>
        <v>30</v>
      </c>
      <c r="DX4" s="97">
        <f t="shared" si="3"/>
        <v>31</v>
      </c>
      <c r="DY4" s="95" t="s">
        <v>1</v>
      </c>
      <c r="DZ4" s="100">
        <v>1</v>
      </c>
      <c r="EA4" s="100">
        <v>2</v>
      </c>
      <c r="EB4" s="100">
        <v>3</v>
      </c>
      <c r="EC4" s="100">
        <v>4</v>
      </c>
      <c r="ED4" s="100">
        <v>5</v>
      </c>
      <c r="EE4" s="100">
        <v>6</v>
      </c>
      <c r="EF4" s="100">
        <v>7</v>
      </c>
      <c r="EG4" s="100">
        <v>8</v>
      </c>
      <c r="EH4" s="100">
        <v>9</v>
      </c>
      <c r="EI4" s="100">
        <v>10</v>
      </c>
      <c r="EJ4" s="100">
        <v>11</v>
      </c>
      <c r="EK4" s="100">
        <v>12</v>
      </c>
      <c r="EL4" s="100">
        <v>13</v>
      </c>
      <c r="EM4" s="100">
        <v>14</v>
      </c>
      <c r="EN4" s="100">
        <v>15</v>
      </c>
      <c r="EO4" s="100">
        <v>16</v>
      </c>
      <c r="EP4" s="100">
        <v>17</v>
      </c>
      <c r="EQ4" s="100">
        <v>18</v>
      </c>
      <c r="ER4" s="100">
        <v>19</v>
      </c>
      <c r="ES4" s="100">
        <v>20</v>
      </c>
      <c r="ET4" s="100">
        <v>21</v>
      </c>
      <c r="EU4" s="100">
        <v>22</v>
      </c>
      <c r="EV4" s="100">
        <v>23</v>
      </c>
      <c r="EW4" s="100">
        <v>24</v>
      </c>
      <c r="EX4" s="100">
        <v>25</v>
      </c>
      <c r="EY4" s="100">
        <v>26</v>
      </c>
      <c r="EZ4" s="100">
        <v>27</v>
      </c>
      <c r="FA4" s="100">
        <v>28</v>
      </c>
      <c r="FB4" s="100">
        <v>29</v>
      </c>
      <c r="FC4" s="100">
        <v>30</v>
      </c>
      <c r="FD4" s="95" t="s">
        <v>1</v>
      </c>
      <c r="FE4" s="100">
        <v>1</v>
      </c>
      <c r="FF4" s="100">
        <v>2</v>
      </c>
      <c r="FG4" s="100">
        <v>3</v>
      </c>
      <c r="FH4" s="100">
        <v>4</v>
      </c>
      <c r="FI4" s="100">
        <v>5</v>
      </c>
      <c r="FJ4" s="100">
        <v>6</v>
      </c>
      <c r="FK4" s="100">
        <v>7</v>
      </c>
      <c r="FL4" s="100">
        <v>8</v>
      </c>
      <c r="FM4" s="100">
        <v>9</v>
      </c>
      <c r="FN4" s="100">
        <v>10</v>
      </c>
      <c r="FO4" s="100">
        <v>11</v>
      </c>
      <c r="FP4" s="100">
        <v>12</v>
      </c>
      <c r="FQ4" s="100">
        <v>13</v>
      </c>
      <c r="FR4" s="100">
        <v>14</v>
      </c>
      <c r="FS4" s="100">
        <v>15</v>
      </c>
      <c r="FT4" s="100">
        <v>16</v>
      </c>
      <c r="FU4" s="100">
        <v>17</v>
      </c>
      <c r="FV4" s="100">
        <v>18</v>
      </c>
      <c r="FW4" s="100">
        <v>19</v>
      </c>
      <c r="FX4" s="100">
        <v>20</v>
      </c>
      <c r="FY4" s="100">
        <v>21</v>
      </c>
      <c r="FZ4" s="100">
        <v>22</v>
      </c>
      <c r="GA4" s="100">
        <v>23</v>
      </c>
      <c r="GB4" s="100">
        <v>24</v>
      </c>
      <c r="GC4" s="100">
        <v>25</v>
      </c>
      <c r="GD4" s="100">
        <v>26</v>
      </c>
      <c r="GE4" s="100">
        <v>27</v>
      </c>
      <c r="GF4" s="100">
        <v>28</v>
      </c>
      <c r="GG4" s="100">
        <v>29</v>
      </c>
      <c r="GH4" s="100">
        <v>30</v>
      </c>
      <c r="GI4" s="100">
        <v>31</v>
      </c>
      <c r="GJ4" s="95" t="s">
        <v>1</v>
      </c>
      <c r="GK4" s="100">
        <v>1</v>
      </c>
      <c r="GL4" s="100">
        <v>2</v>
      </c>
      <c r="GM4" s="100">
        <v>3</v>
      </c>
      <c r="GN4" s="100">
        <v>4</v>
      </c>
      <c r="GO4" s="100">
        <v>5</v>
      </c>
      <c r="GP4" s="100">
        <v>6</v>
      </c>
      <c r="GQ4" s="100">
        <v>7</v>
      </c>
      <c r="GR4" s="100">
        <v>8</v>
      </c>
      <c r="GS4" s="100">
        <v>9</v>
      </c>
      <c r="GT4" s="100">
        <v>10</v>
      </c>
      <c r="GU4" s="100">
        <v>11</v>
      </c>
      <c r="GV4" s="100">
        <v>12</v>
      </c>
      <c r="GW4" s="100">
        <v>13</v>
      </c>
      <c r="GX4" s="100">
        <v>14</v>
      </c>
      <c r="GY4" s="100">
        <v>15</v>
      </c>
      <c r="GZ4" s="100">
        <v>16</v>
      </c>
      <c r="HA4" s="100">
        <v>17</v>
      </c>
      <c r="HB4" s="100">
        <v>18</v>
      </c>
      <c r="HC4" s="100">
        <v>19</v>
      </c>
      <c r="HD4" s="100">
        <v>20</v>
      </c>
      <c r="HE4" s="100">
        <v>21</v>
      </c>
      <c r="HF4" s="100">
        <v>22</v>
      </c>
      <c r="HG4" s="100">
        <v>23</v>
      </c>
      <c r="HH4" s="100">
        <v>24</v>
      </c>
      <c r="HI4" s="100">
        <v>25</v>
      </c>
      <c r="HJ4" s="100">
        <v>26</v>
      </c>
      <c r="HK4" s="100">
        <v>27</v>
      </c>
      <c r="HL4" s="100">
        <v>28</v>
      </c>
      <c r="HM4" s="100">
        <v>29</v>
      </c>
      <c r="HN4" s="100">
        <v>30</v>
      </c>
      <c r="HO4" s="100">
        <v>31</v>
      </c>
      <c r="HP4" s="95" t="s">
        <v>1</v>
      </c>
      <c r="HQ4" s="100">
        <v>1</v>
      </c>
      <c r="HR4" s="100">
        <v>2</v>
      </c>
      <c r="HS4" s="100">
        <v>3</v>
      </c>
      <c r="HT4" s="100">
        <v>4</v>
      </c>
      <c r="HU4" s="100">
        <v>5</v>
      </c>
      <c r="HV4" s="100">
        <v>6</v>
      </c>
      <c r="HW4" s="100">
        <v>7</v>
      </c>
      <c r="HX4" s="100">
        <v>8</v>
      </c>
      <c r="HY4" s="100">
        <v>9</v>
      </c>
      <c r="HZ4" s="100">
        <v>10</v>
      </c>
      <c r="IA4" s="100">
        <v>11</v>
      </c>
      <c r="IB4" s="100">
        <v>12</v>
      </c>
      <c r="IC4" s="100">
        <v>13</v>
      </c>
      <c r="ID4" s="100">
        <v>14</v>
      </c>
      <c r="IE4" s="100">
        <v>15</v>
      </c>
      <c r="IF4" s="100">
        <v>16</v>
      </c>
      <c r="IG4" s="100">
        <v>17</v>
      </c>
      <c r="IH4" s="100">
        <v>18</v>
      </c>
      <c r="II4" s="100">
        <v>19</v>
      </c>
      <c r="IJ4" s="100">
        <v>20</v>
      </c>
      <c r="IK4" s="100">
        <v>21</v>
      </c>
      <c r="IL4" s="100">
        <v>22</v>
      </c>
      <c r="IM4" s="100">
        <v>23</v>
      </c>
      <c r="IN4" s="100">
        <v>24</v>
      </c>
      <c r="IO4" s="100">
        <v>25</v>
      </c>
      <c r="IP4" s="100">
        <v>26</v>
      </c>
      <c r="IQ4" s="100">
        <v>27</v>
      </c>
      <c r="IR4" s="100">
        <v>28</v>
      </c>
      <c r="IS4" s="100">
        <v>29</v>
      </c>
      <c r="IT4" s="95" t="s">
        <v>1</v>
      </c>
      <c r="IU4" s="100">
        <v>1</v>
      </c>
      <c r="IV4" s="100">
        <v>2</v>
      </c>
      <c r="IW4" s="100">
        <v>3</v>
      </c>
      <c r="IX4" s="100">
        <v>4</v>
      </c>
      <c r="IY4" s="100">
        <v>5</v>
      </c>
      <c r="IZ4" s="100">
        <v>6</v>
      </c>
      <c r="JA4" s="100">
        <v>7</v>
      </c>
      <c r="JB4" s="100">
        <v>8</v>
      </c>
      <c r="JC4" s="100">
        <v>9</v>
      </c>
      <c r="JD4" s="100">
        <v>10</v>
      </c>
      <c r="JE4" s="100">
        <v>11</v>
      </c>
      <c r="JF4" s="100">
        <v>12</v>
      </c>
      <c r="JG4" s="100">
        <v>13</v>
      </c>
      <c r="JH4" s="100">
        <v>14</v>
      </c>
      <c r="JI4" s="100">
        <v>15</v>
      </c>
      <c r="JJ4" s="100">
        <v>16</v>
      </c>
      <c r="JK4" s="100">
        <v>17</v>
      </c>
      <c r="JL4" s="100">
        <v>18</v>
      </c>
      <c r="JM4" s="100">
        <v>19</v>
      </c>
      <c r="JN4" s="100">
        <v>20</v>
      </c>
      <c r="JO4" s="100">
        <v>21</v>
      </c>
      <c r="JP4" s="100">
        <v>22</v>
      </c>
      <c r="JQ4" s="100">
        <v>23</v>
      </c>
      <c r="JR4" s="100">
        <v>24</v>
      </c>
      <c r="JS4" s="100">
        <v>25</v>
      </c>
      <c r="JT4" s="100">
        <v>26</v>
      </c>
      <c r="JU4" s="100">
        <v>27</v>
      </c>
      <c r="JV4" s="100">
        <v>28</v>
      </c>
      <c r="JW4" s="100">
        <v>29</v>
      </c>
      <c r="JX4" s="100">
        <v>30</v>
      </c>
      <c r="JY4" s="100">
        <v>31</v>
      </c>
      <c r="JZ4" s="95" t="s">
        <v>1</v>
      </c>
      <c r="KA4" s="100">
        <v>1</v>
      </c>
      <c r="KB4" s="100">
        <v>2</v>
      </c>
      <c r="KC4" s="100">
        <v>3</v>
      </c>
      <c r="KD4" s="100">
        <v>4</v>
      </c>
      <c r="KE4" s="100">
        <v>5</v>
      </c>
      <c r="KF4" s="100">
        <v>6</v>
      </c>
      <c r="KG4" s="100">
        <v>7</v>
      </c>
      <c r="KH4" s="100">
        <v>8</v>
      </c>
      <c r="KI4" s="100">
        <v>9</v>
      </c>
      <c r="KJ4" s="100">
        <v>10</v>
      </c>
      <c r="KK4" s="100">
        <v>11</v>
      </c>
      <c r="KL4" s="100">
        <v>12</v>
      </c>
      <c r="KM4" s="100">
        <v>13</v>
      </c>
      <c r="KN4" s="100">
        <v>14</v>
      </c>
      <c r="KO4" s="100">
        <v>15</v>
      </c>
      <c r="KP4" s="100">
        <v>16</v>
      </c>
      <c r="KQ4" s="100">
        <v>17</v>
      </c>
      <c r="KR4" s="100">
        <v>18</v>
      </c>
      <c r="KS4" s="100">
        <v>19</v>
      </c>
      <c r="KT4" s="100">
        <v>20</v>
      </c>
      <c r="KU4" s="100">
        <v>21</v>
      </c>
      <c r="KV4" s="100">
        <v>22</v>
      </c>
      <c r="KW4" s="101">
        <v>23</v>
      </c>
      <c r="KX4" s="101">
        <v>24</v>
      </c>
      <c r="KY4" s="102">
        <v>25</v>
      </c>
      <c r="KZ4" s="102">
        <v>26</v>
      </c>
      <c r="LA4" s="102">
        <v>27</v>
      </c>
      <c r="LB4" s="102">
        <v>28</v>
      </c>
      <c r="LC4" s="102">
        <v>29</v>
      </c>
      <c r="LD4" s="102">
        <v>30</v>
      </c>
      <c r="LE4" s="103" t="s">
        <v>1</v>
      </c>
      <c r="LF4" s="102">
        <v>1</v>
      </c>
      <c r="LG4" s="102">
        <v>2</v>
      </c>
      <c r="LH4" s="102">
        <v>3</v>
      </c>
      <c r="LI4" s="102">
        <v>4</v>
      </c>
      <c r="LJ4" s="102">
        <v>5</v>
      </c>
      <c r="LK4" s="102">
        <v>6</v>
      </c>
      <c r="LL4" s="102">
        <v>7</v>
      </c>
      <c r="LM4" s="102">
        <v>8</v>
      </c>
      <c r="LN4" s="102">
        <v>9</v>
      </c>
      <c r="LO4" s="102">
        <v>10</v>
      </c>
      <c r="LP4" s="102">
        <v>11</v>
      </c>
      <c r="LQ4" s="102">
        <v>12</v>
      </c>
      <c r="LR4" s="102">
        <v>13</v>
      </c>
      <c r="LS4" s="102">
        <v>14</v>
      </c>
      <c r="LT4" s="102">
        <v>15</v>
      </c>
      <c r="LU4" s="102">
        <v>16</v>
      </c>
      <c r="LV4" s="102">
        <v>17</v>
      </c>
      <c r="LW4" s="102">
        <v>18</v>
      </c>
      <c r="LX4" s="102">
        <v>19</v>
      </c>
      <c r="LY4" s="102">
        <v>20</v>
      </c>
      <c r="LZ4" s="100">
        <v>21</v>
      </c>
      <c r="MA4" s="100">
        <v>22</v>
      </c>
      <c r="MB4" s="100">
        <v>23</v>
      </c>
      <c r="MC4" s="100">
        <v>24</v>
      </c>
      <c r="MD4" s="100">
        <v>25</v>
      </c>
      <c r="ME4" s="100">
        <v>26</v>
      </c>
      <c r="MF4" s="100">
        <v>27</v>
      </c>
      <c r="MG4" s="100">
        <v>28</v>
      </c>
      <c r="MH4" s="100">
        <v>29</v>
      </c>
      <c r="MI4" s="100">
        <v>30</v>
      </c>
      <c r="MJ4" s="100">
        <v>31</v>
      </c>
      <c r="MK4" s="95" t="s">
        <v>1</v>
      </c>
      <c r="ML4" s="100">
        <v>1</v>
      </c>
      <c r="MM4" s="100">
        <v>2</v>
      </c>
      <c r="MN4" s="100">
        <v>3</v>
      </c>
      <c r="MO4" s="100">
        <v>4</v>
      </c>
      <c r="MP4" s="221">
        <v>5</v>
      </c>
      <c r="MQ4" s="100">
        <v>6</v>
      </c>
      <c r="MR4" s="100">
        <v>7</v>
      </c>
      <c r="MS4" s="100">
        <v>8</v>
      </c>
      <c r="MT4" s="100">
        <v>9</v>
      </c>
      <c r="MU4" s="100">
        <v>10</v>
      </c>
      <c r="MV4" s="100">
        <v>11</v>
      </c>
      <c r="MW4" s="100">
        <v>12</v>
      </c>
      <c r="MX4" s="100">
        <v>13</v>
      </c>
      <c r="MY4" s="100">
        <v>14</v>
      </c>
      <c r="MZ4" s="100">
        <v>15</v>
      </c>
      <c r="NA4" s="100">
        <v>16</v>
      </c>
      <c r="NB4" s="100">
        <v>17</v>
      </c>
      <c r="NC4" s="100">
        <v>18</v>
      </c>
      <c r="ND4" s="221">
        <v>19</v>
      </c>
      <c r="NE4" s="100">
        <v>20</v>
      </c>
      <c r="NF4" s="100">
        <v>21</v>
      </c>
      <c r="NG4" s="100">
        <v>22</v>
      </c>
      <c r="NH4" s="100">
        <v>23</v>
      </c>
      <c r="NI4" s="100">
        <v>24</v>
      </c>
      <c r="NJ4" s="100">
        <v>25</v>
      </c>
      <c r="NK4" s="100">
        <v>26</v>
      </c>
      <c r="NL4" s="100">
        <v>27</v>
      </c>
      <c r="NM4" s="100">
        <v>28</v>
      </c>
      <c r="NN4" s="100">
        <v>29</v>
      </c>
      <c r="NO4" s="100">
        <v>30</v>
      </c>
      <c r="NP4" s="95" t="s">
        <v>1</v>
      </c>
      <c r="NQ4" s="100">
        <v>1</v>
      </c>
      <c r="NR4" s="100">
        <v>2</v>
      </c>
      <c r="NS4" s="100">
        <v>3</v>
      </c>
      <c r="NT4" s="100">
        <v>4</v>
      </c>
      <c r="NU4" s="100">
        <v>5</v>
      </c>
      <c r="NV4" s="100">
        <v>6</v>
      </c>
      <c r="NW4" s="100">
        <v>7</v>
      </c>
      <c r="NX4" s="100">
        <v>8</v>
      </c>
      <c r="NY4" s="100">
        <v>9</v>
      </c>
      <c r="NZ4" s="100">
        <v>10</v>
      </c>
      <c r="OA4" s="100">
        <v>11</v>
      </c>
      <c r="OB4" s="100">
        <v>12</v>
      </c>
      <c r="OC4" s="100">
        <v>13</v>
      </c>
      <c r="OD4" s="100">
        <v>14</v>
      </c>
      <c r="OE4" s="100">
        <v>15</v>
      </c>
      <c r="OF4" s="100">
        <v>16</v>
      </c>
      <c r="OG4" s="100">
        <v>17</v>
      </c>
      <c r="OH4" s="100">
        <v>18</v>
      </c>
      <c r="OI4" s="100">
        <v>19</v>
      </c>
      <c r="OJ4" s="100">
        <v>20</v>
      </c>
      <c r="OK4" s="100">
        <v>21</v>
      </c>
      <c r="OL4" s="100">
        <v>22</v>
      </c>
      <c r="OM4" s="100">
        <v>23</v>
      </c>
      <c r="ON4" s="221">
        <v>24</v>
      </c>
      <c r="OO4" s="100">
        <v>25</v>
      </c>
      <c r="OP4" s="100">
        <v>26</v>
      </c>
      <c r="OQ4" s="100">
        <v>27</v>
      </c>
      <c r="OR4" s="100">
        <v>28</v>
      </c>
      <c r="OS4" s="100">
        <v>29</v>
      </c>
      <c r="OT4" s="100">
        <v>30</v>
      </c>
      <c r="OU4" s="100">
        <v>31</v>
      </c>
      <c r="OV4" s="95" t="s">
        <v>1</v>
      </c>
      <c r="OW4" s="94">
        <v>1</v>
      </c>
      <c r="OX4" s="94">
        <v>2</v>
      </c>
      <c r="OY4" s="94">
        <v>3</v>
      </c>
      <c r="OZ4" s="94">
        <v>4</v>
      </c>
      <c r="PA4" s="94">
        <v>5</v>
      </c>
      <c r="PB4" s="94">
        <v>6</v>
      </c>
      <c r="PC4" s="94">
        <v>7</v>
      </c>
      <c r="PD4" s="94">
        <v>8</v>
      </c>
      <c r="PE4" s="94">
        <v>9</v>
      </c>
      <c r="PF4" s="94">
        <v>10</v>
      </c>
      <c r="PG4" s="94">
        <v>11</v>
      </c>
      <c r="PH4" s="94">
        <v>12</v>
      </c>
      <c r="PI4" s="94">
        <v>13</v>
      </c>
      <c r="PJ4" s="94">
        <v>14</v>
      </c>
      <c r="PK4" s="94">
        <v>15</v>
      </c>
      <c r="PL4" s="94">
        <v>16</v>
      </c>
      <c r="PM4" s="94">
        <v>17</v>
      </c>
      <c r="PN4" s="94">
        <v>18</v>
      </c>
      <c r="PO4" s="94">
        <v>19</v>
      </c>
      <c r="PP4" s="94">
        <v>20</v>
      </c>
      <c r="PQ4" s="94">
        <v>21</v>
      </c>
      <c r="PR4" s="94">
        <v>22</v>
      </c>
      <c r="PS4" s="94">
        <v>23</v>
      </c>
      <c r="PT4" s="94">
        <v>24</v>
      </c>
      <c r="PU4" s="94">
        <v>25</v>
      </c>
      <c r="PV4" s="94">
        <v>26</v>
      </c>
      <c r="PW4" s="94">
        <v>27</v>
      </c>
      <c r="PX4" s="94">
        <v>28</v>
      </c>
      <c r="PY4" s="94">
        <v>29</v>
      </c>
      <c r="PZ4" s="94">
        <v>30</v>
      </c>
      <c r="QA4" s="94">
        <v>31</v>
      </c>
      <c r="QB4" s="95" t="s">
        <v>1</v>
      </c>
      <c r="QC4" s="94">
        <v>1</v>
      </c>
      <c r="QD4" s="94">
        <v>2</v>
      </c>
      <c r="QE4" s="94">
        <v>3</v>
      </c>
      <c r="QF4" s="94">
        <v>4</v>
      </c>
      <c r="QG4" s="94">
        <v>5</v>
      </c>
      <c r="QH4" s="94">
        <v>6</v>
      </c>
      <c r="QI4" s="94">
        <v>7</v>
      </c>
      <c r="QJ4" s="94">
        <v>8</v>
      </c>
      <c r="QK4" s="94">
        <v>9</v>
      </c>
      <c r="QL4" s="94">
        <v>10</v>
      </c>
      <c r="QM4" s="94">
        <v>11</v>
      </c>
      <c r="QN4" s="94">
        <v>12</v>
      </c>
      <c r="QO4" s="94">
        <v>13</v>
      </c>
      <c r="QP4" s="94">
        <v>14</v>
      </c>
      <c r="QQ4" s="94">
        <v>15</v>
      </c>
      <c r="QR4" s="94">
        <v>16</v>
      </c>
      <c r="QS4" s="94">
        <v>17</v>
      </c>
      <c r="QT4" s="94">
        <v>18</v>
      </c>
      <c r="QU4" s="94">
        <v>19</v>
      </c>
      <c r="QV4" s="94">
        <v>20</v>
      </c>
      <c r="QW4" s="94">
        <v>21</v>
      </c>
      <c r="QX4" s="94">
        <v>22</v>
      </c>
      <c r="QY4" s="94">
        <v>23</v>
      </c>
      <c r="QZ4" s="94">
        <v>24</v>
      </c>
      <c r="RA4" s="94">
        <v>25</v>
      </c>
      <c r="RB4" s="94">
        <v>26</v>
      </c>
      <c r="RC4" s="94">
        <v>27</v>
      </c>
      <c r="RD4" s="94">
        <v>28</v>
      </c>
      <c r="RE4" s="94">
        <v>29</v>
      </c>
      <c r="RF4" s="94">
        <v>30</v>
      </c>
      <c r="RG4" s="95" t="s">
        <v>1</v>
      </c>
      <c r="RH4" s="94">
        <v>1</v>
      </c>
      <c r="RI4" s="94">
        <v>2</v>
      </c>
      <c r="RJ4" s="94">
        <v>3</v>
      </c>
      <c r="RK4" s="94">
        <v>4</v>
      </c>
      <c r="RL4" s="94">
        <v>5</v>
      </c>
      <c r="RM4" s="94">
        <v>6</v>
      </c>
      <c r="RN4" s="94">
        <v>7</v>
      </c>
      <c r="RO4" s="94">
        <v>8</v>
      </c>
      <c r="RP4" s="94">
        <v>9</v>
      </c>
      <c r="RQ4" s="94">
        <v>10</v>
      </c>
      <c r="RR4" s="94">
        <v>11</v>
      </c>
      <c r="RS4" s="94">
        <v>12</v>
      </c>
      <c r="RT4" s="94">
        <v>13</v>
      </c>
      <c r="RU4" s="94">
        <v>14</v>
      </c>
      <c r="RV4" s="94">
        <v>15</v>
      </c>
      <c r="RW4" s="94">
        <v>16</v>
      </c>
      <c r="RX4" s="94">
        <v>17</v>
      </c>
      <c r="RY4" s="94">
        <v>18</v>
      </c>
      <c r="RZ4" s="94">
        <v>19</v>
      </c>
      <c r="SA4" s="94">
        <v>20</v>
      </c>
      <c r="SB4" s="94">
        <v>21</v>
      </c>
      <c r="SC4" s="94">
        <v>22</v>
      </c>
      <c r="SD4" s="94">
        <v>23</v>
      </c>
      <c r="SE4" s="94">
        <v>24</v>
      </c>
      <c r="SF4" s="94">
        <v>25</v>
      </c>
      <c r="SG4" s="94">
        <v>26</v>
      </c>
      <c r="SH4" s="94">
        <v>27</v>
      </c>
      <c r="SI4" s="94">
        <v>28</v>
      </c>
      <c r="SJ4" s="94">
        <v>29</v>
      </c>
      <c r="SK4" s="94">
        <v>30</v>
      </c>
      <c r="SL4" s="94">
        <v>31</v>
      </c>
      <c r="SM4" s="95" t="s">
        <v>1</v>
      </c>
      <c r="SN4" s="94">
        <v>1</v>
      </c>
      <c r="SO4" s="94">
        <v>2</v>
      </c>
      <c r="SP4" s="94">
        <v>3</v>
      </c>
      <c r="SQ4" s="94">
        <v>4</v>
      </c>
      <c r="SR4" s="94">
        <v>5</v>
      </c>
      <c r="SS4" s="94">
        <v>6</v>
      </c>
      <c r="ST4" s="94">
        <v>7</v>
      </c>
      <c r="SU4" s="94">
        <v>8</v>
      </c>
      <c r="SV4" s="94">
        <v>9</v>
      </c>
      <c r="SW4" s="94">
        <v>10</v>
      </c>
      <c r="SX4" s="94">
        <v>11</v>
      </c>
      <c r="SY4" s="94">
        <v>12</v>
      </c>
      <c r="SZ4" s="94">
        <v>13</v>
      </c>
      <c r="TA4" s="94">
        <v>14</v>
      </c>
      <c r="TB4" s="94">
        <v>15</v>
      </c>
      <c r="TC4" s="94">
        <v>16</v>
      </c>
      <c r="TD4" s="94">
        <v>17</v>
      </c>
      <c r="TE4" s="94">
        <v>18</v>
      </c>
      <c r="TF4" s="94">
        <v>19</v>
      </c>
      <c r="TG4" s="94">
        <v>20</v>
      </c>
      <c r="TH4" s="94">
        <v>21</v>
      </c>
      <c r="TI4" s="94">
        <v>22</v>
      </c>
      <c r="TJ4" s="94">
        <v>23</v>
      </c>
      <c r="TK4" s="94">
        <v>24</v>
      </c>
      <c r="TL4" s="94">
        <v>25</v>
      </c>
      <c r="TM4" s="94">
        <v>26</v>
      </c>
      <c r="TN4" s="94">
        <v>27</v>
      </c>
      <c r="TO4" s="94">
        <v>28</v>
      </c>
      <c r="TP4" s="94">
        <v>29</v>
      </c>
      <c r="TQ4" s="94">
        <v>30</v>
      </c>
      <c r="TR4" s="95" t="s">
        <v>1</v>
      </c>
      <c r="TS4" s="94">
        <v>1</v>
      </c>
      <c r="TT4" s="94">
        <v>2</v>
      </c>
      <c r="TU4" s="94">
        <v>3</v>
      </c>
      <c r="TV4" s="94">
        <v>4</v>
      </c>
      <c r="TW4" s="94">
        <v>5</v>
      </c>
      <c r="TX4" s="94">
        <v>6</v>
      </c>
      <c r="TY4" s="94">
        <v>7</v>
      </c>
      <c r="TZ4" s="94">
        <v>8</v>
      </c>
      <c r="UA4" s="94">
        <v>9</v>
      </c>
      <c r="UB4" s="94">
        <v>10</v>
      </c>
      <c r="UC4" s="94">
        <v>11</v>
      </c>
      <c r="UD4" s="94">
        <v>12</v>
      </c>
      <c r="UE4" s="94">
        <v>13</v>
      </c>
      <c r="UF4" s="94">
        <v>14</v>
      </c>
      <c r="UG4" s="94">
        <v>15</v>
      </c>
      <c r="UH4" s="94">
        <v>16</v>
      </c>
      <c r="UI4" s="94">
        <v>17</v>
      </c>
      <c r="UJ4" s="94">
        <v>18</v>
      </c>
      <c r="UK4" s="94">
        <v>19</v>
      </c>
      <c r="UL4" s="94">
        <v>20</v>
      </c>
      <c r="UM4" s="94">
        <v>21</v>
      </c>
      <c r="UN4" s="94">
        <v>22</v>
      </c>
      <c r="UO4" s="94">
        <v>23</v>
      </c>
      <c r="UP4" s="94">
        <v>24</v>
      </c>
      <c r="UQ4" s="94">
        <v>25</v>
      </c>
      <c r="UR4" s="94">
        <v>26</v>
      </c>
      <c r="US4" s="94">
        <v>27</v>
      </c>
      <c r="UT4" s="94">
        <v>28</v>
      </c>
      <c r="UU4" s="94">
        <v>29</v>
      </c>
      <c r="UV4" s="94">
        <v>30</v>
      </c>
      <c r="UW4" s="94">
        <v>31</v>
      </c>
      <c r="UX4" s="95" t="s">
        <v>1</v>
      </c>
      <c r="UY4" s="94">
        <v>1</v>
      </c>
      <c r="UZ4" s="94">
        <v>2</v>
      </c>
      <c r="VA4" s="94">
        <v>3</v>
      </c>
      <c r="VB4" s="94">
        <v>4</v>
      </c>
      <c r="VC4" s="94">
        <v>5</v>
      </c>
      <c r="VD4" s="94">
        <v>6</v>
      </c>
      <c r="VE4" s="94">
        <v>7</v>
      </c>
      <c r="VF4" s="94">
        <v>8</v>
      </c>
      <c r="VG4" s="94">
        <v>9</v>
      </c>
      <c r="VH4" s="94">
        <v>10</v>
      </c>
      <c r="VI4" s="94">
        <v>11</v>
      </c>
      <c r="VJ4" s="94">
        <v>12</v>
      </c>
      <c r="VK4" s="94">
        <v>13</v>
      </c>
      <c r="VL4" s="94">
        <v>14</v>
      </c>
      <c r="VM4" s="94">
        <v>15</v>
      </c>
      <c r="VN4" s="94">
        <v>16</v>
      </c>
      <c r="VO4" s="94">
        <v>17</v>
      </c>
      <c r="VP4" s="94">
        <v>18</v>
      </c>
      <c r="VQ4" s="94">
        <v>19</v>
      </c>
      <c r="VR4" s="94">
        <v>20</v>
      </c>
      <c r="VS4" s="94">
        <v>21</v>
      </c>
      <c r="VT4" s="94">
        <v>22</v>
      </c>
      <c r="VU4" s="94">
        <v>23</v>
      </c>
      <c r="VV4" s="94">
        <v>24</v>
      </c>
      <c r="VW4" s="94">
        <v>25</v>
      </c>
      <c r="VX4" s="94">
        <v>26</v>
      </c>
      <c r="VY4" s="94">
        <v>27</v>
      </c>
      <c r="VZ4" s="94">
        <v>28</v>
      </c>
      <c r="WA4" s="94">
        <v>29</v>
      </c>
      <c r="WB4" s="94">
        <v>30</v>
      </c>
      <c r="WC4" s="94">
        <v>31</v>
      </c>
      <c r="WD4" s="95" t="s">
        <v>1</v>
      </c>
      <c r="WE4" s="94">
        <v>1</v>
      </c>
      <c r="WF4" s="94">
        <v>2</v>
      </c>
      <c r="WG4" s="94">
        <v>3</v>
      </c>
      <c r="WH4" s="94">
        <v>4</v>
      </c>
      <c r="WI4" s="94">
        <v>5</v>
      </c>
      <c r="WJ4" s="94">
        <v>6</v>
      </c>
      <c r="WK4" s="94">
        <v>7</v>
      </c>
      <c r="WL4" s="94">
        <v>8</v>
      </c>
      <c r="WM4" s="94">
        <v>9</v>
      </c>
      <c r="WN4" s="94">
        <v>10</v>
      </c>
      <c r="WO4" s="94">
        <v>11</v>
      </c>
      <c r="WP4" s="94">
        <v>12</v>
      </c>
      <c r="WQ4" s="94">
        <v>13</v>
      </c>
      <c r="WR4" s="94">
        <v>14</v>
      </c>
      <c r="WS4" s="94">
        <v>15</v>
      </c>
      <c r="WT4" s="94">
        <v>16</v>
      </c>
      <c r="WU4" s="94">
        <v>17</v>
      </c>
      <c r="WV4" s="94">
        <v>18</v>
      </c>
      <c r="WW4" s="94">
        <v>19</v>
      </c>
      <c r="WX4" s="94">
        <v>20</v>
      </c>
      <c r="WY4" s="469">
        <v>21</v>
      </c>
      <c r="WZ4" s="94">
        <v>22</v>
      </c>
      <c r="XA4" s="94">
        <v>23</v>
      </c>
      <c r="XB4" s="94">
        <v>24</v>
      </c>
      <c r="XC4" s="94">
        <v>25</v>
      </c>
      <c r="XD4" s="94">
        <v>26</v>
      </c>
      <c r="XE4" s="94">
        <v>27</v>
      </c>
      <c r="XF4" s="94">
        <v>28</v>
      </c>
      <c r="XG4" s="95" t="s">
        <v>1</v>
      </c>
      <c r="XH4" s="94">
        <v>1</v>
      </c>
      <c r="XI4" s="94">
        <v>2</v>
      </c>
      <c r="XJ4" s="94">
        <v>3</v>
      </c>
      <c r="XK4" s="94">
        <v>4</v>
      </c>
      <c r="XL4" s="94">
        <v>5</v>
      </c>
      <c r="XM4" s="94">
        <v>6</v>
      </c>
      <c r="XN4" s="94">
        <v>7</v>
      </c>
      <c r="XO4" s="94">
        <v>8</v>
      </c>
      <c r="XP4" s="94">
        <v>9</v>
      </c>
      <c r="XQ4" s="94">
        <v>10</v>
      </c>
      <c r="XR4" s="94">
        <v>11</v>
      </c>
      <c r="XS4" s="94">
        <v>12</v>
      </c>
      <c r="XT4" s="94">
        <v>13</v>
      </c>
      <c r="XU4" s="94">
        <v>14</v>
      </c>
      <c r="XV4" s="94">
        <v>15</v>
      </c>
      <c r="XW4" s="94">
        <v>16</v>
      </c>
      <c r="XX4" s="94">
        <v>17</v>
      </c>
      <c r="XY4" s="94">
        <v>18</v>
      </c>
      <c r="XZ4" s="575">
        <v>19</v>
      </c>
      <c r="YA4" s="94">
        <v>20</v>
      </c>
      <c r="YB4" s="94">
        <v>21</v>
      </c>
      <c r="YC4" s="94">
        <v>22</v>
      </c>
      <c r="YD4" s="94">
        <v>23</v>
      </c>
      <c r="YE4" s="94">
        <v>24</v>
      </c>
      <c r="YF4" s="94">
        <v>25</v>
      </c>
      <c r="YG4" s="94">
        <v>26</v>
      </c>
      <c r="YH4" s="94">
        <v>27</v>
      </c>
      <c r="YI4" s="94">
        <v>28</v>
      </c>
      <c r="YJ4" s="94">
        <v>29</v>
      </c>
      <c r="YK4" s="469">
        <v>30</v>
      </c>
      <c r="YL4" s="94">
        <v>31</v>
      </c>
      <c r="YM4" s="95" t="s">
        <v>1</v>
      </c>
      <c r="YN4" s="94">
        <v>1</v>
      </c>
      <c r="YO4" s="470">
        <v>2</v>
      </c>
      <c r="YP4" s="94">
        <v>3</v>
      </c>
      <c r="YQ4" s="94">
        <v>4</v>
      </c>
      <c r="YR4" s="94">
        <v>5</v>
      </c>
      <c r="YS4" s="94">
        <v>6</v>
      </c>
      <c r="YT4" s="94">
        <v>7</v>
      </c>
      <c r="YU4" s="94">
        <v>8</v>
      </c>
      <c r="YV4" s="94">
        <v>9</v>
      </c>
      <c r="YW4" s="94">
        <v>10</v>
      </c>
      <c r="YX4" s="94">
        <v>11</v>
      </c>
      <c r="YY4" s="94">
        <v>12</v>
      </c>
      <c r="YZ4" s="94">
        <v>13</v>
      </c>
      <c r="ZA4" s="469">
        <v>14</v>
      </c>
      <c r="ZB4" s="94">
        <v>15</v>
      </c>
      <c r="ZC4" s="469">
        <v>16</v>
      </c>
      <c r="ZD4" s="94">
        <v>17</v>
      </c>
      <c r="ZE4" s="94">
        <v>18</v>
      </c>
      <c r="ZF4" s="94">
        <v>19</v>
      </c>
      <c r="ZG4" s="94">
        <v>20</v>
      </c>
      <c r="ZH4" s="94">
        <v>21</v>
      </c>
      <c r="ZI4" s="94">
        <v>22</v>
      </c>
      <c r="ZJ4" s="94">
        <v>23</v>
      </c>
      <c r="ZK4" s="94">
        <v>24</v>
      </c>
      <c r="ZL4" s="94">
        <v>25</v>
      </c>
      <c r="ZM4" s="94">
        <v>26</v>
      </c>
      <c r="ZN4" s="94">
        <v>27</v>
      </c>
      <c r="ZO4" s="94">
        <v>28</v>
      </c>
      <c r="ZP4" s="94">
        <v>29</v>
      </c>
      <c r="ZQ4" s="94">
        <v>30</v>
      </c>
      <c r="ZR4" s="95" t="s">
        <v>1</v>
      </c>
      <c r="ZS4" s="469">
        <v>1</v>
      </c>
      <c r="ZT4" s="94">
        <v>2</v>
      </c>
      <c r="ZU4" s="94">
        <v>3</v>
      </c>
      <c r="ZV4" s="94">
        <v>4</v>
      </c>
      <c r="ZW4" s="94">
        <v>5</v>
      </c>
      <c r="ZX4" s="94">
        <v>6</v>
      </c>
      <c r="ZY4" s="470">
        <v>7</v>
      </c>
      <c r="ZZ4" s="94">
        <v>8</v>
      </c>
      <c r="AAA4" s="94">
        <v>9</v>
      </c>
      <c r="AAB4" s="94">
        <v>10</v>
      </c>
      <c r="AAC4" s="94">
        <v>11</v>
      </c>
      <c r="AAD4" s="94">
        <v>12</v>
      </c>
      <c r="AAE4" s="94">
        <v>13</v>
      </c>
      <c r="AAF4" s="94">
        <v>14</v>
      </c>
      <c r="AAG4" s="94">
        <v>15</v>
      </c>
      <c r="AAH4" s="94">
        <v>16</v>
      </c>
      <c r="AAI4" s="94">
        <v>17</v>
      </c>
      <c r="AAJ4" s="94">
        <v>18</v>
      </c>
      <c r="AAK4" s="94">
        <v>19</v>
      </c>
      <c r="AAL4" s="94">
        <v>20</v>
      </c>
      <c r="AAM4" s="94">
        <v>21</v>
      </c>
      <c r="AAN4" s="94">
        <v>22</v>
      </c>
      <c r="AAO4" s="94">
        <v>23</v>
      </c>
      <c r="AAP4" s="94">
        <v>24</v>
      </c>
      <c r="AAQ4" s="94">
        <v>25</v>
      </c>
      <c r="AAR4" s="94">
        <v>26</v>
      </c>
      <c r="AAS4" s="94">
        <v>27</v>
      </c>
      <c r="AAT4" s="94">
        <v>28</v>
      </c>
      <c r="AAU4" s="94">
        <v>29</v>
      </c>
      <c r="AAV4" s="94">
        <v>30</v>
      </c>
      <c r="AAW4" s="94">
        <v>31</v>
      </c>
      <c r="AAX4" s="95" t="s">
        <v>1</v>
      </c>
      <c r="AAY4" s="94">
        <v>1</v>
      </c>
      <c r="AAZ4" s="94">
        <v>2</v>
      </c>
      <c r="ABA4" s="94">
        <v>3</v>
      </c>
      <c r="ABB4" s="94">
        <v>3</v>
      </c>
      <c r="ABC4" s="94">
        <v>5</v>
      </c>
      <c r="ABD4" s="94">
        <v>6</v>
      </c>
      <c r="ABE4" s="94">
        <v>7</v>
      </c>
      <c r="ABF4" s="94">
        <v>8</v>
      </c>
      <c r="ABG4" s="94">
        <v>9</v>
      </c>
      <c r="ABH4" s="94">
        <v>10</v>
      </c>
      <c r="ABI4" s="470">
        <v>11</v>
      </c>
      <c r="ABJ4" s="94">
        <v>12</v>
      </c>
      <c r="ABK4" s="94">
        <v>13</v>
      </c>
      <c r="ABL4" s="94">
        <v>14</v>
      </c>
      <c r="ABM4" s="94">
        <v>15</v>
      </c>
      <c r="ABN4" s="94">
        <v>16</v>
      </c>
      <c r="ABO4" s="94">
        <v>17</v>
      </c>
      <c r="ABP4" s="94">
        <v>18</v>
      </c>
      <c r="ABQ4" s="94">
        <v>19</v>
      </c>
      <c r="ABR4" s="94">
        <v>20</v>
      </c>
      <c r="ABS4" s="94">
        <v>21</v>
      </c>
      <c r="ABT4" s="94">
        <v>22</v>
      </c>
      <c r="ABU4" s="94">
        <v>23</v>
      </c>
      <c r="ABV4" s="94">
        <v>24</v>
      </c>
      <c r="ABW4" s="94">
        <v>25</v>
      </c>
      <c r="ABX4" s="94">
        <v>26</v>
      </c>
      <c r="ABY4" s="94">
        <v>27</v>
      </c>
      <c r="ABZ4" s="94">
        <v>28</v>
      </c>
      <c r="ACA4" s="94">
        <v>29</v>
      </c>
      <c r="ACB4" s="94">
        <v>30</v>
      </c>
      <c r="ACC4" s="95" t="s">
        <v>1</v>
      </c>
      <c r="ACD4" s="94">
        <v>1</v>
      </c>
      <c r="ACE4" s="94">
        <v>2</v>
      </c>
      <c r="ACF4" s="94">
        <v>3</v>
      </c>
      <c r="ACG4" s="94">
        <v>4</v>
      </c>
      <c r="ACH4" s="94">
        <v>5</v>
      </c>
      <c r="ACI4" s="94">
        <v>6</v>
      </c>
      <c r="ACJ4" s="94">
        <v>7</v>
      </c>
      <c r="ACK4" s="94">
        <v>8</v>
      </c>
      <c r="ACL4" s="470">
        <v>9</v>
      </c>
      <c r="ACM4" s="94">
        <v>10</v>
      </c>
      <c r="ACN4" s="94">
        <v>11</v>
      </c>
      <c r="ACO4" s="94">
        <v>12</v>
      </c>
      <c r="ACP4" s="94">
        <v>13</v>
      </c>
      <c r="ACQ4" s="94">
        <v>14</v>
      </c>
      <c r="ACR4" s="94">
        <v>15</v>
      </c>
      <c r="ACS4" s="94">
        <v>16</v>
      </c>
      <c r="ACT4" s="94">
        <v>17</v>
      </c>
      <c r="ACU4" s="94">
        <v>18</v>
      </c>
      <c r="ACV4" s="94">
        <v>19</v>
      </c>
      <c r="ACW4" s="94">
        <v>20</v>
      </c>
      <c r="ACX4" s="94">
        <v>21</v>
      </c>
      <c r="ACY4" s="94">
        <v>22</v>
      </c>
      <c r="ACZ4" s="94">
        <v>23</v>
      </c>
      <c r="ADA4" s="94">
        <v>24</v>
      </c>
      <c r="ADB4" s="94">
        <v>25</v>
      </c>
      <c r="ADC4" s="94">
        <v>26</v>
      </c>
      <c r="ADD4" s="94">
        <v>27</v>
      </c>
      <c r="ADE4" s="94">
        <v>28</v>
      </c>
      <c r="ADF4" s="94">
        <v>29</v>
      </c>
      <c r="ADG4" s="94">
        <v>30</v>
      </c>
      <c r="ADH4" s="94">
        <v>31</v>
      </c>
      <c r="ADI4" s="95" t="s">
        <v>1</v>
      </c>
      <c r="ADJ4" s="94">
        <v>1</v>
      </c>
      <c r="ADK4" s="94">
        <v>2</v>
      </c>
      <c r="ADL4" s="94">
        <v>3</v>
      </c>
      <c r="ADM4" s="94">
        <v>4</v>
      </c>
      <c r="ADN4" s="94">
        <v>5</v>
      </c>
      <c r="ADO4" s="94">
        <v>6</v>
      </c>
      <c r="ADP4" s="94">
        <v>7</v>
      </c>
      <c r="ADQ4" s="94">
        <v>8</v>
      </c>
      <c r="ADR4" s="94">
        <v>9</v>
      </c>
      <c r="ADS4" s="94">
        <v>10</v>
      </c>
      <c r="ADT4" s="94">
        <v>11</v>
      </c>
      <c r="ADU4" s="94">
        <v>12</v>
      </c>
      <c r="ADV4" s="94">
        <v>13</v>
      </c>
      <c r="ADW4" s="94">
        <v>14</v>
      </c>
      <c r="ADX4" s="94">
        <v>15</v>
      </c>
      <c r="ADY4" s="94">
        <v>16</v>
      </c>
      <c r="ADZ4" s="94">
        <v>17</v>
      </c>
      <c r="AEA4" s="94">
        <v>18</v>
      </c>
      <c r="AEB4" s="94">
        <v>19</v>
      </c>
      <c r="AEC4" s="94">
        <v>20</v>
      </c>
      <c r="AED4" s="94">
        <v>21</v>
      </c>
      <c r="AEE4" s="94">
        <v>22</v>
      </c>
      <c r="AEF4" s="94">
        <v>23</v>
      </c>
      <c r="AEG4" s="94">
        <v>24</v>
      </c>
      <c r="AEH4" s="94">
        <v>25</v>
      </c>
      <c r="AEI4" s="94">
        <v>26</v>
      </c>
      <c r="AEJ4" s="94">
        <v>27</v>
      </c>
      <c r="AEK4" s="94">
        <v>28</v>
      </c>
      <c r="AEL4" s="94">
        <v>29</v>
      </c>
      <c r="AEM4" s="94">
        <v>30</v>
      </c>
      <c r="AEN4" s="94">
        <v>31</v>
      </c>
      <c r="AEO4" s="95" t="s">
        <v>1</v>
      </c>
      <c r="AEP4" s="94">
        <v>1</v>
      </c>
      <c r="AEQ4" s="94">
        <v>2</v>
      </c>
      <c r="AER4" s="94">
        <v>3</v>
      </c>
      <c r="AES4" s="94">
        <v>4</v>
      </c>
      <c r="AET4" s="94">
        <v>5</v>
      </c>
      <c r="AEU4" s="94">
        <v>6</v>
      </c>
      <c r="AEV4" s="94">
        <v>7</v>
      </c>
      <c r="AEW4" s="94">
        <v>8</v>
      </c>
      <c r="AEX4" s="94">
        <v>9</v>
      </c>
      <c r="AEY4" s="94">
        <v>10</v>
      </c>
      <c r="AEZ4" s="94">
        <v>11</v>
      </c>
      <c r="AFA4" s="94">
        <v>12</v>
      </c>
      <c r="AFB4" s="94">
        <v>13</v>
      </c>
      <c r="AFC4" s="94">
        <v>14</v>
      </c>
      <c r="AFD4" s="94">
        <v>15</v>
      </c>
      <c r="AFE4" s="94">
        <v>16</v>
      </c>
      <c r="AFF4" s="94">
        <v>17</v>
      </c>
      <c r="AFG4" s="94">
        <v>18</v>
      </c>
      <c r="AFH4" s="94">
        <v>19</v>
      </c>
      <c r="AFI4" s="94">
        <v>20</v>
      </c>
      <c r="AFJ4" s="94">
        <v>21</v>
      </c>
      <c r="AFK4" s="94">
        <v>22</v>
      </c>
      <c r="AFL4" s="94">
        <v>23</v>
      </c>
      <c r="AFM4" s="94">
        <v>24</v>
      </c>
      <c r="AFN4" s="94">
        <v>25</v>
      </c>
      <c r="AFO4" s="94">
        <v>26</v>
      </c>
      <c r="AFP4" s="94">
        <v>27</v>
      </c>
      <c r="AFQ4" s="94">
        <v>28</v>
      </c>
      <c r="AFR4" s="94">
        <v>29</v>
      </c>
      <c r="AFS4" s="94">
        <v>30</v>
      </c>
      <c r="AFT4" s="95" t="s">
        <v>1</v>
      </c>
      <c r="AFU4" s="94">
        <v>1</v>
      </c>
      <c r="AFV4" s="94">
        <v>2</v>
      </c>
      <c r="AFW4" s="94">
        <v>3</v>
      </c>
      <c r="AFX4" s="94">
        <v>4</v>
      </c>
      <c r="AFY4" s="94">
        <v>5</v>
      </c>
      <c r="AFZ4" s="94">
        <v>6</v>
      </c>
      <c r="AGA4" s="94">
        <v>7</v>
      </c>
      <c r="AGB4" s="94">
        <v>8</v>
      </c>
      <c r="AGC4" s="94">
        <v>9</v>
      </c>
      <c r="AGD4" s="94">
        <v>10</v>
      </c>
      <c r="AGE4" s="94">
        <v>11</v>
      </c>
      <c r="AGF4" s="94">
        <v>12</v>
      </c>
      <c r="AGG4" s="94">
        <v>13</v>
      </c>
      <c r="AGH4" s="94">
        <v>14</v>
      </c>
      <c r="AGI4" s="94">
        <v>15</v>
      </c>
      <c r="AGJ4" s="94">
        <v>16</v>
      </c>
      <c r="AGK4" s="94">
        <v>17</v>
      </c>
      <c r="AGL4" s="94">
        <v>18</v>
      </c>
      <c r="AGM4" s="94">
        <v>19</v>
      </c>
      <c r="AGN4" s="94">
        <v>20</v>
      </c>
      <c r="AGO4" s="94">
        <v>21</v>
      </c>
      <c r="AGP4" s="94">
        <v>22</v>
      </c>
      <c r="AGQ4" s="94">
        <v>23</v>
      </c>
      <c r="AGR4" s="94">
        <v>24</v>
      </c>
      <c r="AGS4" s="94">
        <v>25</v>
      </c>
      <c r="AGT4" s="94">
        <v>26</v>
      </c>
      <c r="AGU4" s="94">
        <v>27</v>
      </c>
      <c r="AGV4" s="94">
        <v>28</v>
      </c>
      <c r="AGW4" s="94">
        <v>29</v>
      </c>
      <c r="AGX4" s="94">
        <v>30</v>
      </c>
      <c r="AGY4" s="94">
        <v>31</v>
      </c>
      <c r="AGZ4" s="95" t="s">
        <v>1</v>
      </c>
      <c r="AHA4" s="94">
        <v>1</v>
      </c>
      <c r="AHB4" s="94">
        <v>2</v>
      </c>
      <c r="AHC4" s="94">
        <v>3</v>
      </c>
      <c r="AHD4" s="94">
        <v>4</v>
      </c>
      <c r="AHE4" s="94">
        <v>5</v>
      </c>
      <c r="AHF4" s="94">
        <v>6</v>
      </c>
      <c r="AHG4" s="94">
        <v>7</v>
      </c>
      <c r="AHH4" s="94">
        <v>8</v>
      </c>
      <c r="AHI4" s="94">
        <v>9</v>
      </c>
      <c r="AHJ4" s="94">
        <v>10</v>
      </c>
      <c r="AHK4" s="94">
        <v>11</v>
      </c>
      <c r="AHL4" s="94">
        <v>12</v>
      </c>
      <c r="AHM4" s="94">
        <v>13</v>
      </c>
      <c r="AHN4" s="94">
        <v>14</v>
      </c>
      <c r="AHO4" s="94">
        <v>15</v>
      </c>
      <c r="AHP4" s="94">
        <v>16</v>
      </c>
      <c r="AHQ4" s="94">
        <v>17</v>
      </c>
      <c r="AHR4" s="94">
        <v>18</v>
      </c>
      <c r="AHS4" s="94">
        <v>19</v>
      </c>
      <c r="AHT4" s="94">
        <v>20</v>
      </c>
      <c r="AHU4" s="94">
        <v>21</v>
      </c>
      <c r="AHV4" s="94">
        <v>22</v>
      </c>
      <c r="AHW4" s="94">
        <v>23</v>
      </c>
      <c r="AHX4" s="94">
        <v>24</v>
      </c>
      <c r="AHY4" s="94">
        <v>25</v>
      </c>
      <c r="AHZ4" s="94">
        <v>26</v>
      </c>
      <c r="AIA4" s="94">
        <v>27</v>
      </c>
      <c r="AIB4" s="94">
        <v>28</v>
      </c>
      <c r="AIC4" s="94">
        <v>29</v>
      </c>
      <c r="AID4" s="94">
        <v>30</v>
      </c>
      <c r="AIE4" s="95" t="s">
        <v>1</v>
      </c>
      <c r="AIF4" s="94">
        <v>1</v>
      </c>
      <c r="AIG4" s="94">
        <v>2</v>
      </c>
      <c r="AIH4" s="94">
        <v>3</v>
      </c>
      <c r="AII4" s="94">
        <v>4</v>
      </c>
      <c r="AIJ4" s="94">
        <v>5</v>
      </c>
      <c r="AIK4" s="94">
        <v>6</v>
      </c>
      <c r="AIL4" s="94">
        <v>7</v>
      </c>
      <c r="AIM4" s="94">
        <v>8</v>
      </c>
      <c r="AIN4" s="94">
        <v>9</v>
      </c>
      <c r="AIO4" s="94">
        <v>10</v>
      </c>
      <c r="AIP4" s="94">
        <v>11</v>
      </c>
      <c r="AIQ4" s="94">
        <v>12</v>
      </c>
      <c r="AIR4" s="94">
        <v>13</v>
      </c>
      <c r="AIS4" s="94">
        <v>14</v>
      </c>
      <c r="AIT4" s="94">
        <v>15</v>
      </c>
      <c r="AIU4" s="94">
        <v>16</v>
      </c>
      <c r="AIV4" s="94">
        <v>17</v>
      </c>
      <c r="AIW4" s="94">
        <v>18</v>
      </c>
      <c r="AIX4" s="94">
        <v>19</v>
      </c>
      <c r="AIY4" s="94">
        <v>20</v>
      </c>
      <c r="AIZ4" s="94">
        <v>21</v>
      </c>
      <c r="AJA4" s="94">
        <v>22</v>
      </c>
      <c r="AJB4" s="94">
        <v>23</v>
      </c>
      <c r="AJC4" s="94">
        <v>24</v>
      </c>
      <c r="AJD4" s="94">
        <v>25</v>
      </c>
      <c r="AJE4" s="94">
        <v>26</v>
      </c>
      <c r="AJF4" s="94">
        <v>27</v>
      </c>
      <c r="AJG4" s="94">
        <v>28</v>
      </c>
      <c r="AJH4" s="94">
        <v>29</v>
      </c>
      <c r="AJI4" s="94">
        <v>30</v>
      </c>
      <c r="AJJ4" s="94">
        <v>31</v>
      </c>
      <c r="AJK4" s="95" t="s">
        <v>1</v>
      </c>
      <c r="AJL4" s="94">
        <v>1</v>
      </c>
      <c r="AJM4" s="94">
        <v>2</v>
      </c>
      <c r="AJN4" s="94">
        <v>3</v>
      </c>
      <c r="AJO4" s="94">
        <v>4</v>
      </c>
      <c r="AJP4" s="94">
        <v>5</v>
      </c>
      <c r="AJQ4" s="94">
        <v>6</v>
      </c>
      <c r="AJR4" s="94">
        <v>7</v>
      </c>
      <c r="AJS4" s="94">
        <v>8</v>
      </c>
      <c r="AJT4" s="94">
        <v>9</v>
      </c>
      <c r="AJU4" s="94">
        <v>10</v>
      </c>
      <c r="AJV4" s="94">
        <v>11</v>
      </c>
      <c r="AJW4" s="94">
        <v>12</v>
      </c>
      <c r="AJX4" s="94">
        <v>13</v>
      </c>
      <c r="AJY4" s="94">
        <v>14</v>
      </c>
      <c r="AJZ4" s="94">
        <v>15</v>
      </c>
      <c r="AKA4" s="94">
        <v>16</v>
      </c>
      <c r="AKB4" s="94">
        <v>17</v>
      </c>
      <c r="AKC4" s="94">
        <v>18</v>
      </c>
      <c r="AKD4" s="94">
        <v>19</v>
      </c>
      <c r="AKE4" s="94">
        <v>20</v>
      </c>
      <c r="AKF4" s="94">
        <v>21</v>
      </c>
      <c r="AKG4" s="94">
        <v>22</v>
      </c>
      <c r="AKH4" s="94">
        <v>23</v>
      </c>
      <c r="AKI4" s="94">
        <v>24</v>
      </c>
      <c r="AKJ4" s="94">
        <v>25</v>
      </c>
      <c r="AKK4" s="94">
        <v>26</v>
      </c>
      <c r="AKL4" s="94">
        <v>27</v>
      </c>
      <c r="AKM4" s="94">
        <v>28</v>
      </c>
      <c r="AKN4" s="94">
        <v>29</v>
      </c>
      <c r="AKO4" s="94">
        <v>30</v>
      </c>
      <c r="AKP4" s="94">
        <v>31</v>
      </c>
      <c r="AKQ4" s="95" t="s">
        <v>1</v>
      </c>
      <c r="AKR4" s="94">
        <v>1</v>
      </c>
      <c r="AKS4" s="94">
        <v>2</v>
      </c>
      <c r="AKT4" s="94">
        <v>3</v>
      </c>
      <c r="AKU4" s="94">
        <v>4</v>
      </c>
      <c r="AKV4" s="94">
        <v>5</v>
      </c>
      <c r="AKW4" s="94">
        <v>6</v>
      </c>
      <c r="AKX4" s="94">
        <v>7</v>
      </c>
      <c r="AKY4" s="94">
        <v>8</v>
      </c>
      <c r="AKZ4" s="94">
        <v>9</v>
      </c>
      <c r="ALA4" s="94">
        <v>10</v>
      </c>
      <c r="ALB4" s="94">
        <v>11</v>
      </c>
      <c r="ALC4" s="94">
        <v>12</v>
      </c>
      <c r="ALD4" s="94">
        <v>13</v>
      </c>
      <c r="ALE4" s="94">
        <v>14</v>
      </c>
      <c r="ALF4" s="94">
        <v>15</v>
      </c>
      <c r="ALG4" s="94">
        <v>16</v>
      </c>
      <c r="ALH4" s="94">
        <v>17</v>
      </c>
      <c r="ALI4" s="94">
        <v>18</v>
      </c>
      <c r="ALJ4" s="94">
        <v>19</v>
      </c>
      <c r="ALK4" s="94">
        <v>20</v>
      </c>
      <c r="ALL4" s="94">
        <v>21</v>
      </c>
      <c r="ALM4" s="94">
        <v>22</v>
      </c>
      <c r="ALN4" s="94">
        <v>23</v>
      </c>
      <c r="ALO4" s="94">
        <v>24</v>
      </c>
      <c r="ALP4" s="94">
        <v>25</v>
      </c>
      <c r="ALQ4" s="94">
        <v>26</v>
      </c>
      <c r="ALR4" s="94">
        <v>27</v>
      </c>
      <c r="ALS4" s="94">
        <v>28</v>
      </c>
      <c r="ALT4" s="95" t="s">
        <v>1</v>
      </c>
      <c r="ALU4" s="94">
        <v>1</v>
      </c>
      <c r="ALV4" s="94">
        <v>2</v>
      </c>
      <c r="ALW4" s="94">
        <v>3</v>
      </c>
      <c r="ALX4" s="94">
        <v>4</v>
      </c>
      <c r="ALY4" s="94">
        <v>5</v>
      </c>
      <c r="ALZ4" s="94">
        <v>6</v>
      </c>
      <c r="AMA4" s="94">
        <v>7</v>
      </c>
      <c r="AMB4" s="94">
        <v>8</v>
      </c>
      <c r="AMC4" s="94">
        <v>9</v>
      </c>
      <c r="AMD4" s="94">
        <v>10</v>
      </c>
      <c r="AME4" s="94">
        <v>11</v>
      </c>
      <c r="AMF4" s="94">
        <v>12</v>
      </c>
      <c r="AMG4" s="94">
        <v>13</v>
      </c>
      <c r="AMH4" s="94">
        <v>14</v>
      </c>
      <c r="AMI4" s="94">
        <v>15</v>
      </c>
      <c r="AMJ4" s="94">
        <v>16</v>
      </c>
      <c r="AMK4" s="94">
        <v>17</v>
      </c>
      <c r="AML4" s="94">
        <v>18</v>
      </c>
      <c r="AMM4" s="94">
        <v>19</v>
      </c>
      <c r="AMN4" s="94">
        <v>20</v>
      </c>
      <c r="AMO4" s="94">
        <v>21</v>
      </c>
      <c r="AMP4" s="94">
        <v>22</v>
      </c>
      <c r="AMQ4" s="94">
        <v>23</v>
      </c>
      <c r="AMR4" s="94">
        <v>24</v>
      </c>
      <c r="AMS4" s="94">
        <v>25</v>
      </c>
      <c r="AMT4" s="94">
        <v>26</v>
      </c>
      <c r="AMU4" s="94">
        <v>27</v>
      </c>
      <c r="AMV4" s="94">
        <v>28</v>
      </c>
      <c r="AMW4" s="94">
        <v>29</v>
      </c>
      <c r="AMX4" s="94">
        <v>30</v>
      </c>
      <c r="AMY4" s="94">
        <v>31</v>
      </c>
      <c r="AMZ4" s="95" t="s">
        <v>1</v>
      </c>
      <c r="ANA4" s="94">
        <v>1</v>
      </c>
      <c r="ANB4" s="94">
        <v>2</v>
      </c>
      <c r="ANC4" s="605">
        <v>3</v>
      </c>
      <c r="AND4" s="605">
        <v>4</v>
      </c>
      <c r="ANE4" s="605">
        <v>5</v>
      </c>
      <c r="ANF4" s="605">
        <v>6</v>
      </c>
      <c r="ANG4" s="605">
        <v>7</v>
      </c>
      <c r="ANH4" s="470">
        <v>8</v>
      </c>
      <c r="ANI4" s="605">
        <v>9</v>
      </c>
      <c r="ANJ4" s="605">
        <v>10</v>
      </c>
      <c r="ANK4" s="605">
        <v>11</v>
      </c>
      <c r="ANL4" s="605">
        <v>12</v>
      </c>
      <c r="ANM4" s="605">
        <v>13</v>
      </c>
      <c r="ANN4" s="605">
        <v>14</v>
      </c>
      <c r="ANO4" s="605">
        <v>15</v>
      </c>
      <c r="ANP4" s="605">
        <v>16</v>
      </c>
      <c r="ANQ4" s="605">
        <v>17</v>
      </c>
      <c r="ANR4" s="605">
        <v>18</v>
      </c>
      <c r="ANS4" s="605">
        <v>19</v>
      </c>
      <c r="ANT4" s="605">
        <v>20</v>
      </c>
      <c r="ANU4" s="605">
        <v>21</v>
      </c>
      <c r="ANV4" s="470">
        <v>22</v>
      </c>
      <c r="ANW4" s="605">
        <v>23</v>
      </c>
      <c r="ANX4" s="605">
        <v>24</v>
      </c>
      <c r="ANY4" s="605">
        <v>25</v>
      </c>
      <c r="ANZ4" s="605">
        <v>26</v>
      </c>
      <c r="AOA4" s="605">
        <v>27</v>
      </c>
      <c r="AOB4" s="605">
        <v>28</v>
      </c>
      <c r="AOC4" s="602">
        <v>29</v>
      </c>
      <c r="AOD4" s="605">
        <v>30</v>
      </c>
      <c r="AOE4" s="95" t="s">
        <v>1</v>
      </c>
      <c r="AOF4" s="94">
        <v>1</v>
      </c>
      <c r="AOG4" s="94">
        <v>2</v>
      </c>
      <c r="AOH4" s="598">
        <v>3</v>
      </c>
      <c r="AOI4" s="94">
        <v>4</v>
      </c>
      <c r="AOJ4" s="94">
        <v>5</v>
      </c>
      <c r="AOK4" s="94">
        <v>6</v>
      </c>
      <c r="AOL4" s="94">
        <v>7</v>
      </c>
      <c r="AOM4" s="94">
        <v>8</v>
      </c>
      <c r="AON4" s="94">
        <v>9</v>
      </c>
      <c r="AOO4" s="94">
        <v>10</v>
      </c>
      <c r="AOP4" s="94">
        <v>11</v>
      </c>
      <c r="AOQ4" s="94">
        <v>12</v>
      </c>
      <c r="AOR4" s="94">
        <v>13</v>
      </c>
      <c r="AOS4" s="94">
        <v>14</v>
      </c>
      <c r="AOT4" s="94">
        <v>15</v>
      </c>
      <c r="AOU4" s="94">
        <v>16</v>
      </c>
      <c r="AOV4" s="94">
        <v>17</v>
      </c>
      <c r="AOW4" s="94">
        <v>18</v>
      </c>
      <c r="AOX4" s="94">
        <v>19</v>
      </c>
      <c r="AOY4" s="94">
        <v>20</v>
      </c>
      <c r="AOZ4" s="94">
        <v>21</v>
      </c>
      <c r="APA4" s="94">
        <v>22</v>
      </c>
      <c r="APB4" s="94">
        <v>23</v>
      </c>
      <c r="APC4" s="94">
        <v>24</v>
      </c>
      <c r="APD4" s="94">
        <v>25</v>
      </c>
      <c r="APE4" s="94">
        <v>26</v>
      </c>
      <c r="APF4" s="94">
        <v>27</v>
      </c>
      <c r="APG4" s="94">
        <v>28</v>
      </c>
      <c r="APH4" s="94">
        <v>29</v>
      </c>
      <c r="API4" s="94">
        <v>30</v>
      </c>
      <c r="APJ4" s="94">
        <v>31</v>
      </c>
      <c r="APK4" s="95" t="s">
        <v>1</v>
      </c>
      <c r="APL4" s="94">
        <v>1</v>
      </c>
      <c r="APM4" s="94">
        <v>2</v>
      </c>
      <c r="APN4" s="470">
        <v>3</v>
      </c>
      <c r="APO4" s="94">
        <v>4</v>
      </c>
      <c r="APP4" s="94">
        <v>5</v>
      </c>
      <c r="APQ4" s="94">
        <v>6</v>
      </c>
      <c r="APR4" s="94">
        <v>7</v>
      </c>
      <c r="APS4" s="94">
        <v>8</v>
      </c>
      <c r="APT4" s="94">
        <v>9</v>
      </c>
      <c r="APU4" s="94">
        <v>10</v>
      </c>
      <c r="APV4" s="94">
        <v>11</v>
      </c>
      <c r="APW4" s="94">
        <v>12</v>
      </c>
      <c r="APX4" s="94">
        <v>13</v>
      </c>
      <c r="APY4" s="94">
        <v>14</v>
      </c>
      <c r="APZ4" s="94">
        <v>15</v>
      </c>
      <c r="AQA4" s="94">
        <v>16</v>
      </c>
      <c r="AQB4" s="94">
        <v>17</v>
      </c>
      <c r="AQC4" s="94">
        <v>18</v>
      </c>
      <c r="AQD4" s="94">
        <v>19</v>
      </c>
      <c r="AQE4" s="94">
        <v>20</v>
      </c>
      <c r="AQF4" s="94">
        <v>21</v>
      </c>
      <c r="AQG4" s="94">
        <v>22</v>
      </c>
      <c r="AQH4" s="94">
        <v>23</v>
      </c>
      <c r="AQI4" s="470">
        <v>24</v>
      </c>
      <c r="AQJ4" s="94">
        <v>25</v>
      </c>
      <c r="AQK4" s="94">
        <v>26</v>
      </c>
      <c r="AQL4" s="94">
        <v>27</v>
      </c>
      <c r="AQM4" s="94">
        <v>28</v>
      </c>
      <c r="AQN4" s="94">
        <v>29</v>
      </c>
      <c r="AQO4" s="94">
        <v>30</v>
      </c>
      <c r="AQP4" s="95" t="s">
        <v>1</v>
      </c>
      <c r="AQQ4" s="94">
        <v>1</v>
      </c>
      <c r="AQR4" s="94">
        <v>2</v>
      </c>
      <c r="AQS4" s="94">
        <v>3</v>
      </c>
      <c r="AQT4" s="94">
        <v>4</v>
      </c>
      <c r="AQU4" s="94">
        <v>5</v>
      </c>
      <c r="AQV4" s="94">
        <v>6</v>
      </c>
      <c r="AQW4" s="94">
        <v>7</v>
      </c>
      <c r="AQX4" s="607">
        <v>8</v>
      </c>
      <c r="AQY4" s="607">
        <v>9</v>
      </c>
      <c r="AQZ4" s="607">
        <v>10</v>
      </c>
      <c r="ARA4" s="607">
        <v>11</v>
      </c>
      <c r="ARB4" s="607">
        <v>12</v>
      </c>
      <c r="ARC4" s="607">
        <v>13</v>
      </c>
      <c r="ARD4" s="607">
        <v>14</v>
      </c>
      <c r="ARE4" s="607">
        <v>15</v>
      </c>
      <c r="ARF4" s="607">
        <v>16</v>
      </c>
      <c r="ARG4" s="94">
        <v>17</v>
      </c>
      <c r="ARH4" s="94">
        <v>18</v>
      </c>
      <c r="ARI4" s="94">
        <v>19</v>
      </c>
      <c r="ARJ4" s="94">
        <v>20</v>
      </c>
      <c r="ARK4" s="94">
        <v>21</v>
      </c>
      <c r="ARL4" s="94">
        <v>22</v>
      </c>
      <c r="ARM4" s="94">
        <v>23</v>
      </c>
      <c r="ARN4" s="94">
        <v>24</v>
      </c>
      <c r="ARO4" s="94">
        <v>25</v>
      </c>
      <c r="ARP4" s="94">
        <v>26</v>
      </c>
      <c r="ARQ4" s="94">
        <v>27</v>
      </c>
      <c r="ARR4" s="94">
        <v>28</v>
      </c>
      <c r="ARS4" s="94">
        <v>29</v>
      </c>
      <c r="ART4" s="94">
        <v>30</v>
      </c>
      <c r="ARU4" s="94">
        <v>31</v>
      </c>
      <c r="ARV4" s="95" t="s">
        <v>1</v>
      </c>
      <c r="ARW4" s="94">
        <v>1</v>
      </c>
      <c r="ARX4" s="94">
        <v>2</v>
      </c>
      <c r="ARY4" s="94">
        <v>3</v>
      </c>
      <c r="ARZ4" s="94">
        <v>4</v>
      </c>
      <c r="ASA4" s="94">
        <v>5</v>
      </c>
      <c r="ASB4" s="94">
        <v>6</v>
      </c>
      <c r="ASC4" s="94">
        <v>7</v>
      </c>
      <c r="ASD4" s="94">
        <v>8</v>
      </c>
      <c r="ASE4" s="94">
        <v>9</v>
      </c>
      <c r="ASF4" s="94">
        <v>10</v>
      </c>
      <c r="ASG4" s="94">
        <v>11</v>
      </c>
      <c r="ASH4" s="94">
        <v>12</v>
      </c>
      <c r="ASI4" s="94">
        <v>13</v>
      </c>
      <c r="ASJ4" s="94">
        <v>14</v>
      </c>
      <c r="ASK4" s="469">
        <v>15</v>
      </c>
      <c r="ASL4" s="94">
        <v>16</v>
      </c>
      <c r="ASM4" s="94">
        <v>17</v>
      </c>
      <c r="ASN4" s="94">
        <v>18</v>
      </c>
      <c r="ASO4" s="94">
        <v>19</v>
      </c>
      <c r="ASP4" s="94">
        <v>20</v>
      </c>
      <c r="ASQ4" s="94">
        <v>21</v>
      </c>
      <c r="ASR4" s="94">
        <v>22</v>
      </c>
      <c r="ASS4" s="94">
        <v>23</v>
      </c>
      <c r="AST4" s="94">
        <v>24</v>
      </c>
      <c r="ASU4" s="94">
        <v>25</v>
      </c>
      <c r="ASV4" s="94">
        <v>26</v>
      </c>
      <c r="ASW4" s="94">
        <v>27</v>
      </c>
      <c r="ASX4" s="94">
        <v>28</v>
      </c>
      <c r="ASY4" s="94">
        <v>29</v>
      </c>
      <c r="ASZ4" s="94">
        <v>30</v>
      </c>
      <c r="ATA4" s="94">
        <v>31</v>
      </c>
      <c r="ATB4" s="95" t="s">
        <v>1</v>
      </c>
      <c r="ATC4" s="94">
        <v>1</v>
      </c>
      <c r="ATD4" s="94">
        <v>2</v>
      </c>
      <c r="ATE4" s="94">
        <v>3</v>
      </c>
      <c r="ATF4" s="94">
        <v>4</v>
      </c>
      <c r="ATG4" s="94">
        <v>5</v>
      </c>
      <c r="ATH4" s="94">
        <v>6</v>
      </c>
      <c r="ATI4" s="94">
        <v>7</v>
      </c>
      <c r="ATJ4" s="94">
        <v>8</v>
      </c>
      <c r="ATK4" s="94">
        <v>9</v>
      </c>
      <c r="ATL4" s="94">
        <v>10</v>
      </c>
      <c r="ATM4" s="94">
        <v>11</v>
      </c>
      <c r="ATN4" s="94">
        <v>12</v>
      </c>
      <c r="ATO4" s="94">
        <v>13</v>
      </c>
      <c r="ATP4" s="94">
        <v>14</v>
      </c>
      <c r="ATQ4" s="94">
        <v>15</v>
      </c>
      <c r="ATR4" s="94">
        <v>16</v>
      </c>
      <c r="ATS4" s="94">
        <v>17</v>
      </c>
      <c r="ATT4" s="94">
        <v>18</v>
      </c>
      <c r="ATU4" s="94">
        <v>19</v>
      </c>
      <c r="ATV4" s="94">
        <v>20</v>
      </c>
      <c r="ATW4" s="94">
        <v>21</v>
      </c>
      <c r="ATX4" s="94">
        <v>22</v>
      </c>
      <c r="ATY4" s="94">
        <v>23</v>
      </c>
      <c r="ATZ4" s="94">
        <v>24</v>
      </c>
      <c r="AUA4" s="94">
        <v>25</v>
      </c>
      <c r="AUB4" s="94">
        <v>26</v>
      </c>
      <c r="AUC4" s="94">
        <v>27</v>
      </c>
      <c r="AUD4" s="94">
        <v>28</v>
      </c>
      <c r="AUE4" s="94">
        <v>29</v>
      </c>
      <c r="AUF4" s="94">
        <v>30</v>
      </c>
      <c r="AUG4" s="95" t="s">
        <v>1</v>
      </c>
      <c r="AUH4" s="94">
        <v>1</v>
      </c>
      <c r="AUI4" s="94">
        <v>2</v>
      </c>
      <c r="AUJ4" s="94">
        <v>3</v>
      </c>
      <c r="AUK4" s="94">
        <v>4</v>
      </c>
      <c r="AUL4" s="469">
        <v>5</v>
      </c>
      <c r="AUM4" s="94">
        <v>6</v>
      </c>
      <c r="AUN4" s="94">
        <v>7</v>
      </c>
      <c r="AUO4" s="94">
        <v>8</v>
      </c>
      <c r="AUP4" s="94">
        <v>9</v>
      </c>
      <c r="AUQ4" s="94">
        <v>10</v>
      </c>
      <c r="AUR4" s="94">
        <v>11</v>
      </c>
      <c r="AUS4" s="94">
        <v>12</v>
      </c>
      <c r="AUT4" s="94">
        <v>13</v>
      </c>
      <c r="AUU4" s="94">
        <v>14</v>
      </c>
      <c r="AUV4" s="94">
        <v>15</v>
      </c>
      <c r="AUW4" s="94">
        <v>16</v>
      </c>
      <c r="AUX4" s="94">
        <v>17</v>
      </c>
      <c r="AUY4" s="94">
        <v>18</v>
      </c>
      <c r="AUZ4" s="94">
        <v>19</v>
      </c>
      <c r="AVA4" s="94">
        <v>20</v>
      </c>
      <c r="AVB4" s="94">
        <v>21</v>
      </c>
      <c r="AVC4" s="94">
        <v>22</v>
      </c>
      <c r="AVD4" s="94">
        <v>23</v>
      </c>
      <c r="AVE4" s="94">
        <v>24</v>
      </c>
      <c r="AVF4" s="94">
        <v>25</v>
      </c>
      <c r="AVG4" s="94">
        <v>26</v>
      </c>
      <c r="AVH4" s="94">
        <v>27</v>
      </c>
      <c r="AVI4" s="94">
        <v>28</v>
      </c>
      <c r="AVJ4" s="94">
        <v>29</v>
      </c>
      <c r="AVK4" s="94">
        <v>30</v>
      </c>
      <c r="AVL4" s="94">
        <v>31</v>
      </c>
      <c r="AVM4" s="95" t="s">
        <v>1</v>
      </c>
      <c r="AVN4" s="94">
        <v>1</v>
      </c>
      <c r="AVO4" s="94">
        <v>2</v>
      </c>
      <c r="AVP4" s="94">
        <v>3</v>
      </c>
      <c r="AVQ4" s="94">
        <v>4</v>
      </c>
      <c r="AVR4" s="94">
        <v>5</v>
      </c>
      <c r="AVS4" s="94">
        <v>6</v>
      </c>
      <c r="AVT4" s="94">
        <v>7</v>
      </c>
      <c r="AVU4" s="94">
        <v>8</v>
      </c>
      <c r="AVV4" s="94">
        <v>9</v>
      </c>
      <c r="AVW4" s="94">
        <v>10</v>
      </c>
      <c r="AVX4" s="94">
        <v>11</v>
      </c>
      <c r="AVY4" s="94">
        <v>12</v>
      </c>
      <c r="AVZ4" s="94">
        <v>13</v>
      </c>
      <c r="AWA4" s="94">
        <v>14</v>
      </c>
      <c r="AWB4" s="94">
        <v>15</v>
      </c>
      <c r="AWC4" s="94">
        <v>16</v>
      </c>
      <c r="AWD4" s="94">
        <v>17</v>
      </c>
      <c r="AWE4" s="94">
        <v>18</v>
      </c>
      <c r="AWF4" s="94">
        <v>19</v>
      </c>
      <c r="AWG4" s="94">
        <v>20</v>
      </c>
      <c r="AWH4" s="94">
        <v>21</v>
      </c>
      <c r="AWI4" s="94">
        <v>22</v>
      </c>
      <c r="AWJ4" s="94">
        <v>23</v>
      </c>
      <c r="AWK4" s="94">
        <v>24</v>
      </c>
      <c r="AWL4" s="94">
        <v>25</v>
      </c>
      <c r="AWM4" s="94">
        <v>26</v>
      </c>
      <c r="AWN4" s="94">
        <v>27</v>
      </c>
      <c r="AWO4" s="94">
        <v>28</v>
      </c>
      <c r="AWP4" s="94">
        <v>29</v>
      </c>
      <c r="AWQ4" s="94">
        <v>30</v>
      </c>
      <c r="AWR4" s="95" t="s">
        <v>1</v>
      </c>
      <c r="AWS4" s="94">
        <v>1</v>
      </c>
      <c r="AWT4" s="94">
        <v>2</v>
      </c>
      <c r="AWU4" s="94">
        <v>3</v>
      </c>
      <c r="AWV4" s="94">
        <v>4</v>
      </c>
      <c r="AWW4" s="94">
        <v>5</v>
      </c>
      <c r="AWX4" s="94">
        <v>6</v>
      </c>
      <c r="AWY4" s="94">
        <v>7</v>
      </c>
      <c r="AWZ4" s="94">
        <v>8</v>
      </c>
      <c r="AXA4" s="94">
        <v>9</v>
      </c>
      <c r="AXB4" s="94">
        <v>10</v>
      </c>
      <c r="AXC4" s="94">
        <v>11</v>
      </c>
      <c r="AXD4" s="94">
        <v>12</v>
      </c>
      <c r="AXE4" s="94">
        <v>13</v>
      </c>
      <c r="AXF4" s="94">
        <v>14</v>
      </c>
      <c r="AXG4" s="94">
        <v>15</v>
      </c>
      <c r="AXH4" s="94">
        <v>16</v>
      </c>
      <c r="AXI4" s="94">
        <v>17</v>
      </c>
      <c r="AXJ4" s="94">
        <v>18</v>
      </c>
      <c r="AXK4" s="94">
        <v>19</v>
      </c>
      <c r="AXL4" s="94">
        <v>20</v>
      </c>
      <c r="AXM4" s="94">
        <v>21</v>
      </c>
      <c r="AXN4" s="94">
        <v>22</v>
      </c>
      <c r="AXO4" s="94">
        <v>23</v>
      </c>
      <c r="AXP4" s="94">
        <v>24</v>
      </c>
      <c r="AXQ4" s="94">
        <v>25</v>
      </c>
      <c r="AXR4" s="94">
        <v>26</v>
      </c>
      <c r="AXS4" s="94">
        <v>27</v>
      </c>
      <c r="AXT4" s="94">
        <v>28</v>
      </c>
      <c r="AXU4" s="94">
        <v>29</v>
      </c>
      <c r="AXV4" s="94">
        <v>30</v>
      </c>
      <c r="AXW4" s="94">
        <v>31</v>
      </c>
      <c r="AXX4" s="95" t="s">
        <v>1</v>
      </c>
      <c r="AXY4" s="94">
        <v>32</v>
      </c>
      <c r="AXZ4" s="94">
        <v>33</v>
      </c>
      <c r="AYA4" s="94">
        <v>34</v>
      </c>
    </row>
    <row r="5" spans="1:1327" s="104" customFormat="1" ht="9" customHeight="1" x14ac:dyDescent="0.3">
      <c r="B5" s="2" t="s">
        <v>2</v>
      </c>
      <c r="C5" s="21" t="s">
        <v>8</v>
      </c>
      <c r="D5" s="2" t="s">
        <v>9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1" t="s">
        <v>8</v>
      </c>
      <c r="K5" s="2" t="s">
        <v>9</v>
      </c>
      <c r="L5" s="2" t="s">
        <v>3</v>
      </c>
      <c r="M5" s="2" t="s">
        <v>4</v>
      </c>
      <c r="N5" s="2" t="s">
        <v>5</v>
      </c>
      <c r="O5" s="2" t="s">
        <v>6</v>
      </c>
      <c r="P5" s="2" t="s">
        <v>7</v>
      </c>
      <c r="Q5" s="21" t="s">
        <v>8</v>
      </c>
      <c r="R5" s="2" t="s">
        <v>9</v>
      </c>
      <c r="S5" s="2" t="s">
        <v>3</v>
      </c>
      <c r="T5" s="2" t="s">
        <v>4</v>
      </c>
      <c r="U5" s="2" t="s">
        <v>5</v>
      </c>
      <c r="V5" s="2" t="s">
        <v>6</v>
      </c>
      <c r="W5" s="2" t="s">
        <v>7</v>
      </c>
      <c r="X5" s="21" t="s">
        <v>8</v>
      </c>
      <c r="Y5" s="2" t="s">
        <v>9</v>
      </c>
      <c r="Z5" s="2" t="s">
        <v>3</v>
      </c>
      <c r="AA5" s="2" t="s">
        <v>4</v>
      </c>
      <c r="AB5" s="2" t="s">
        <v>5</v>
      </c>
      <c r="AC5" s="2" t="s">
        <v>6</v>
      </c>
      <c r="AD5" s="2" t="s">
        <v>7</v>
      </c>
      <c r="AE5" s="2" t="s">
        <v>8</v>
      </c>
      <c r="AF5" s="2" t="s">
        <v>9</v>
      </c>
      <c r="AG5" s="2" t="s">
        <v>3</v>
      </c>
      <c r="AH5" s="46" t="s">
        <v>2</v>
      </c>
      <c r="AI5" s="53" t="s">
        <v>4</v>
      </c>
      <c r="AJ5" s="2" t="s">
        <v>5</v>
      </c>
      <c r="AK5" s="2" t="s">
        <v>6</v>
      </c>
      <c r="AL5" s="2" t="s">
        <v>7</v>
      </c>
      <c r="AM5" s="2" t="s">
        <v>8</v>
      </c>
      <c r="AN5" s="2" t="s">
        <v>9</v>
      </c>
      <c r="AO5" s="21" t="s">
        <v>3</v>
      </c>
      <c r="AP5" s="2" t="s">
        <v>4</v>
      </c>
      <c r="AQ5" s="2" t="s">
        <v>5</v>
      </c>
      <c r="AR5" s="2" t="s">
        <v>6</v>
      </c>
      <c r="AS5" s="2" t="s">
        <v>7</v>
      </c>
      <c r="AT5" s="2" t="s">
        <v>8</v>
      </c>
      <c r="AU5" s="2" t="s">
        <v>9</v>
      </c>
      <c r="AV5" s="21" t="s">
        <v>3</v>
      </c>
      <c r="AW5" s="2" t="s">
        <v>4</v>
      </c>
      <c r="AX5" s="2" t="s">
        <v>5</v>
      </c>
      <c r="AY5" s="2" t="s">
        <v>6</v>
      </c>
      <c r="AZ5" s="2" t="s">
        <v>7</v>
      </c>
      <c r="BA5" s="2" t="s">
        <v>8</v>
      </c>
      <c r="BB5" s="2" t="s">
        <v>9</v>
      </c>
      <c r="BC5" s="21" t="s">
        <v>3</v>
      </c>
      <c r="BD5" s="2" t="s">
        <v>4</v>
      </c>
      <c r="BE5" s="2" t="s">
        <v>5</v>
      </c>
      <c r="BF5" s="2" t="s">
        <v>6</v>
      </c>
      <c r="BG5" s="2" t="s">
        <v>7</v>
      </c>
      <c r="BH5" s="2" t="s">
        <v>8</v>
      </c>
      <c r="BI5" s="2" t="s">
        <v>9</v>
      </c>
      <c r="BJ5" s="2" t="s">
        <v>3</v>
      </c>
      <c r="BK5" s="2" t="s">
        <v>4</v>
      </c>
      <c r="BL5" s="2" t="s">
        <v>5</v>
      </c>
      <c r="BM5" s="2" t="s">
        <v>6</v>
      </c>
      <c r="BN5" s="2" t="s">
        <v>2</v>
      </c>
      <c r="BO5" s="2" t="s">
        <v>7</v>
      </c>
      <c r="BP5" s="2" t="s">
        <v>8</v>
      </c>
      <c r="BQ5" s="2" t="s">
        <v>9</v>
      </c>
      <c r="BR5" s="2" t="s">
        <v>3</v>
      </c>
      <c r="BS5" s="2" t="s">
        <v>4</v>
      </c>
      <c r="BT5" s="2" t="s">
        <v>5</v>
      </c>
      <c r="BU5" s="21" t="s">
        <v>6</v>
      </c>
      <c r="BV5" s="2" t="s">
        <v>7</v>
      </c>
      <c r="BW5" s="2" t="s">
        <v>8</v>
      </c>
      <c r="BX5" s="2" t="s">
        <v>9</v>
      </c>
      <c r="BY5" s="2" t="s">
        <v>3</v>
      </c>
      <c r="BZ5" s="2" t="s">
        <v>4</v>
      </c>
      <c r="CA5" s="2" t="s">
        <v>5</v>
      </c>
      <c r="CB5" s="21" t="s">
        <v>6</v>
      </c>
      <c r="CC5" s="2" t="s">
        <v>7</v>
      </c>
      <c r="CD5" s="2" t="s">
        <v>8</v>
      </c>
      <c r="CE5" s="2" t="s">
        <v>9</v>
      </c>
      <c r="CF5" s="2" t="s">
        <v>3</v>
      </c>
      <c r="CG5" s="2" t="s">
        <v>4</v>
      </c>
      <c r="CH5" s="2" t="s">
        <v>5</v>
      </c>
      <c r="CI5" s="21" t="s">
        <v>6</v>
      </c>
      <c r="CJ5" s="2" t="s">
        <v>7</v>
      </c>
      <c r="CK5" s="2" t="s">
        <v>8</v>
      </c>
      <c r="CL5" s="2" t="s">
        <v>9</v>
      </c>
      <c r="CM5" s="2" t="s">
        <v>3</v>
      </c>
      <c r="CN5" s="2" t="s">
        <v>4</v>
      </c>
      <c r="CO5" s="2" t="s">
        <v>5</v>
      </c>
      <c r="CP5" s="21" t="s">
        <v>6</v>
      </c>
      <c r="CQ5" s="2" t="s">
        <v>7</v>
      </c>
      <c r="CR5" s="2" t="s">
        <v>8</v>
      </c>
      <c r="CS5" s="2" t="s">
        <v>2</v>
      </c>
      <c r="CT5" s="2" t="s">
        <v>9</v>
      </c>
      <c r="CU5" s="2" t="s">
        <v>3</v>
      </c>
      <c r="CV5" s="2" t="s">
        <v>4</v>
      </c>
      <c r="CW5" s="2" t="s">
        <v>5</v>
      </c>
      <c r="CX5" s="21" t="s">
        <v>6</v>
      </c>
      <c r="CY5" s="2" t="s">
        <v>7</v>
      </c>
      <c r="CZ5" s="2" t="s">
        <v>8</v>
      </c>
      <c r="DA5" s="2" t="s">
        <v>9</v>
      </c>
      <c r="DB5" s="2" t="s">
        <v>3</v>
      </c>
      <c r="DC5" s="2" t="s">
        <v>4</v>
      </c>
      <c r="DD5" s="2" t="s">
        <v>5</v>
      </c>
      <c r="DE5" s="21" t="s">
        <v>6</v>
      </c>
      <c r="DF5" s="2" t="s">
        <v>7</v>
      </c>
      <c r="DG5" s="2" t="s">
        <v>8</v>
      </c>
      <c r="DH5" s="2" t="s">
        <v>9</v>
      </c>
      <c r="DI5" s="2" t="s">
        <v>3</v>
      </c>
      <c r="DJ5" s="2" t="s">
        <v>4</v>
      </c>
      <c r="DK5" s="2" t="s">
        <v>5</v>
      </c>
      <c r="DL5" s="21" t="s">
        <v>6</v>
      </c>
      <c r="DM5" s="2" t="s">
        <v>7</v>
      </c>
      <c r="DN5" s="2" t="s">
        <v>8</v>
      </c>
      <c r="DO5" s="2" t="s">
        <v>9</v>
      </c>
      <c r="DP5" s="2" t="s">
        <v>3</v>
      </c>
      <c r="DQ5" s="2" t="s">
        <v>4</v>
      </c>
      <c r="DR5" s="2" t="s">
        <v>5</v>
      </c>
      <c r="DS5" s="21" t="s">
        <v>6</v>
      </c>
      <c r="DT5" s="2" t="s">
        <v>7</v>
      </c>
      <c r="DU5" s="2" t="s">
        <v>8</v>
      </c>
      <c r="DV5" s="2" t="s">
        <v>9</v>
      </c>
      <c r="DW5" s="2" t="s">
        <v>3</v>
      </c>
      <c r="DX5" s="2" t="s">
        <v>4</v>
      </c>
      <c r="DY5" s="2" t="s">
        <v>2</v>
      </c>
      <c r="DZ5" s="2" t="s">
        <v>5</v>
      </c>
      <c r="EA5" s="21" t="s">
        <v>6</v>
      </c>
      <c r="EB5" s="2" t="s">
        <v>7</v>
      </c>
      <c r="EC5" s="2" t="s">
        <v>8</v>
      </c>
      <c r="ED5" s="2" t="s">
        <v>9</v>
      </c>
      <c r="EE5" s="2" t="s">
        <v>3</v>
      </c>
      <c r="EF5" s="2" t="s">
        <v>4</v>
      </c>
      <c r="EG5" s="21" t="s">
        <v>5</v>
      </c>
      <c r="EH5" s="2" t="s">
        <v>6</v>
      </c>
      <c r="EI5" s="2" t="s">
        <v>7</v>
      </c>
      <c r="EJ5" s="2" t="s">
        <v>8</v>
      </c>
      <c r="EK5" s="2" t="s">
        <v>9</v>
      </c>
      <c r="EL5" s="2" t="s">
        <v>3</v>
      </c>
      <c r="EM5" s="21" t="s">
        <v>4</v>
      </c>
      <c r="EN5" s="2" t="s">
        <v>5</v>
      </c>
      <c r="EO5" s="2" t="s">
        <v>6</v>
      </c>
      <c r="EP5" s="2" t="s">
        <v>7</v>
      </c>
      <c r="EQ5" s="2" t="s">
        <v>8</v>
      </c>
      <c r="ER5" s="2" t="s">
        <v>9</v>
      </c>
      <c r="ES5" s="21" t="s">
        <v>3</v>
      </c>
      <c r="ET5" s="2" t="s">
        <v>4</v>
      </c>
      <c r="EU5" s="2" t="s">
        <v>5</v>
      </c>
      <c r="EV5" s="2" t="s">
        <v>6</v>
      </c>
      <c r="EW5" s="2" t="s">
        <v>7</v>
      </c>
      <c r="EX5" s="2" t="s">
        <v>8</v>
      </c>
      <c r="EY5" s="21" t="s">
        <v>9</v>
      </c>
      <c r="EZ5" s="2" t="s">
        <v>3</v>
      </c>
      <c r="FA5" s="2" t="s">
        <v>4</v>
      </c>
      <c r="FB5" s="2" t="s">
        <v>5</v>
      </c>
      <c r="FC5" s="2" t="s">
        <v>6</v>
      </c>
      <c r="FD5" s="2" t="s">
        <v>2</v>
      </c>
      <c r="FE5" s="2" t="s">
        <v>7</v>
      </c>
      <c r="FF5" s="2" t="s">
        <v>8</v>
      </c>
      <c r="FG5" s="21" t="s">
        <v>9</v>
      </c>
      <c r="FH5" s="2" t="s">
        <v>3</v>
      </c>
      <c r="FI5" s="2" t="s">
        <v>4</v>
      </c>
      <c r="FJ5" s="2" t="s">
        <v>5</v>
      </c>
      <c r="FK5" s="2" t="s">
        <v>6</v>
      </c>
      <c r="FL5" s="2" t="s">
        <v>7</v>
      </c>
      <c r="FM5" s="2" t="s">
        <v>8</v>
      </c>
      <c r="FN5" s="2" t="s">
        <v>9</v>
      </c>
      <c r="FO5" s="2" t="s">
        <v>3</v>
      </c>
      <c r="FP5" s="2" t="s">
        <v>4</v>
      </c>
      <c r="FQ5" s="2" t="s">
        <v>5</v>
      </c>
      <c r="FR5" s="2" t="s">
        <v>6</v>
      </c>
      <c r="FS5" s="2" t="s">
        <v>7</v>
      </c>
      <c r="FT5" s="3" t="s">
        <v>8</v>
      </c>
      <c r="FU5" s="2" t="s">
        <v>9</v>
      </c>
      <c r="FV5" s="2" t="s">
        <v>3</v>
      </c>
      <c r="FW5" s="2" t="s">
        <v>4</v>
      </c>
      <c r="FX5" s="2" t="s">
        <v>5</v>
      </c>
      <c r="FY5" s="2" t="s">
        <v>6</v>
      </c>
      <c r="FZ5" s="2" t="s">
        <v>7</v>
      </c>
      <c r="GA5" s="2" t="s">
        <v>8</v>
      </c>
      <c r="GB5" s="2" t="s">
        <v>9</v>
      </c>
      <c r="GC5" s="2" t="s">
        <v>3</v>
      </c>
      <c r="GD5" s="2" t="s">
        <v>4</v>
      </c>
      <c r="GE5" s="2" t="s">
        <v>5</v>
      </c>
      <c r="GF5" s="2" t="s">
        <v>6</v>
      </c>
      <c r="GG5" s="2" t="s">
        <v>7</v>
      </c>
      <c r="GH5" s="2" t="s">
        <v>8</v>
      </c>
      <c r="GI5" s="2" t="s">
        <v>9</v>
      </c>
      <c r="GJ5" s="2" t="s">
        <v>2</v>
      </c>
      <c r="GK5" s="2" t="s">
        <v>3</v>
      </c>
      <c r="GL5" s="2" t="s">
        <v>4</v>
      </c>
      <c r="GM5" s="2" t="s">
        <v>5</v>
      </c>
      <c r="GN5" s="2" t="s">
        <v>6</v>
      </c>
      <c r="GO5" s="2" t="s">
        <v>7</v>
      </c>
      <c r="GP5" s="2" t="s">
        <v>8</v>
      </c>
      <c r="GQ5" s="2" t="s">
        <v>9</v>
      </c>
      <c r="GR5" s="2" t="s">
        <v>3</v>
      </c>
      <c r="GS5" s="2" t="s">
        <v>4</v>
      </c>
      <c r="GT5" s="2" t="s">
        <v>5</v>
      </c>
      <c r="GU5" s="2" t="s">
        <v>6</v>
      </c>
      <c r="GV5" s="2" t="s">
        <v>7</v>
      </c>
      <c r="GW5" s="2" t="s">
        <v>8</v>
      </c>
      <c r="GX5" s="2" t="s">
        <v>9</v>
      </c>
      <c r="GY5" s="2" t="s">
        <v>3</v>
      </c>
      <c r="GZ5" s="2" t="s">
        <v>4</v>
      </c>
      <c r="HA5" s="2" t="s">
        <v>5</v>
      </c>
      <c r="HB5" s="2" t="s">
        <v>6</v>
      </c>
      <c r="HC5" s="2" t="s">
        <v>7</v>
      </c>
      <c r="HD5" s="2" t="s">
        <v>8</v>
      </c>
      <c r="HE5" s="2" t="s">
        <v>9</v>
      </c>
      <c r="HF5" s="2" t="s">
        <v>3</v>
      </c>
      <c r="HG5" s="2" t="s">
        <v>4</v>
      </c>
      <c r="HH5" s="2" t="s">
        <v>5</v>
      </c>
      <c r="HI5" s="2" t="s">
        <v>6</v>
      </c>
      <c r="HJ5" s="2" t="s">
        <v>7</v>
      </c>
      <c r="HK5" s="2" t="s">
        <v>8</v>
      </c>
      <c r="HL5" s="2" t="s">
        <v>9</v>
      </c>
      <c r="HM5" s="2" t="s">
        <v>3</v>
      </c>
      <c r="HN5" s="2" t="s">
        <v>4</v>
      </c>
      <c r="HO5" s="2" t="s">
        <v>5</v>
      </c>
      <c r="HP5" s="2" t="s">
        <v>2</v>
      </c>
      <c r="HQ5" s="2" t="s">
        <v>6</v>
      </c>
      <c r="HR5" s="2" t="s">
        <v>7</v>
      </c>
      <c r="HS5" s="2" t="s">
        <v>8</v>
      </c>
      <c r="HT5" s="2" t="s">
        <v>9</v>
      </c>
      <c r="HU5" s="2" t="s">
        <v>3</v>
      </c>
      <c r="HV5" s="2" t="s">
        <v>4</v>
      </c>
      <c r="HW5" s="2" t="s">
        <v>5</v>
      </c>
      <c r="HX5" s="2" t="s">
        <v>6</v>
      </c>
      <c r="HY5" s="2" t="s">
        <v>7</v>
      </c>
      <c r="HZ5" s="2" t="s">
        <v>8</v>
      </c>
      <c r="IA5" s="2" t="s">
        <v>9</v>
      </c>
      <c r="IB5" s="2" t="s">
        <v>3</v>
      </c>
      <c r="IC5" s="2" t="s">
        <v>4</v>
      </c>
      <c r="ID5" s="2" t="s">
        <v>5</v>
      </c>
      <c r="IE5" s="2" t="s">
        <v>6</v>
      </c>
      <c r="IF5" s="2" t="s">
        <v>7</v>
      </c>
      <c r="IG5" s="2" t="s">
        <v>8</v>
      </c>
      <c r="IH5" s="2" t="s">
        <v>9</v>
      </c>
      <c r="II5" s="2" t="s">
        <v>3</v>
      </c>
      <c r="IJ5" s="2" t="s">
        <v>4</v>
      </c>
      <c r="IK5" s="2" t="s">
        <v>5</v>
      </c>
      <c r="IL5" s="2" t="s">
        <v>6</v>
      </c>
      <c r="IM5" s="2" t="s">
        <v>7</v>
      </c>
      <c r="IN5" s="2" t="s">
        <v>8</v>
      </c>
      <c r="IO5" s="2" t="s">
        <v>9</v>
      </c>
      <c r="IP5" s="2" t="s">
        <v>3</v>
      </c>
      <c r="IQ5" s="2" t="s">
        <v>4</v>
      </c>
      <c r="IR5" s="2" t="s">
        <v>5</v>
      </c>
      <c r="IS5" s="2" t="s">
        <v>6</v>
      </c>
      <c r="IT5" s="2" t="s">
        <v>2</v>
      </c>
      <c r="IU5" s="2" t="s">
        <v>7</v>
      </c>
      <c r="IV5" s="2" t="s">
        <v>8</v>
      </c>
      <c r="IW5" s="2" t="s">
        <v>9</v>
      </c>
      <c r="IX5" s="2" t="s">
        <v>3</v>
      </c>
      <c r="IY5" s="2" t="s">
        <v>4</v>
      </c>
      <c r="IZ5" s="2" t="s">
        <v>5</v>
      </c>
      <c r="JA5" s="2" t="s">
        <v>6</v>
      </c>
      <c r="JB5" s="2" t="s">
        <v>7</v>
      </c>
      <c r="JC5" s="2" t="s">
        <v>8</v>
      </c>
      <c r="JD5" s="2" t="s">
        <v>9</v>
      </c>
      <c r="JE5" s="2" t="s">
        <v>3</v>
      </c>
      <c r="JF5" s="2" t="s">
        <v>4</v>
      </c>
      <c r="JG5" s="2" t="s">
        <v>5</v>
      </c>
      <c r="JH5" s="2" t="s">
        <v>6</v>
      </c>
      <c r="JI5" s="2" t="s">
        <v>7</v>
      </c>
      <c r="JJ5" s="2" t="s">
        <v>8</v>
      </c>
      <c r="JK5" s="2" t="s">
        <v>9</v>
      </c>
      <c r="JL5" s="2" t="s">
        <v>3</v>
      </c>
      <c r="JM5" s="2" t="s">
        <v>4</v>
      </c>
      <c r="JN5" s="2" t="s">
        <v>5</v>
      </c>
      <c r="JO5" s="2" t="s">
        <v>6</v>
      </c>
      <c r="JP5" s="2" t="s">
        <v>7</v>
      </c>
      <c r="JQ5" s="2" t="s">
        <v>8</v>
      </c>
      <c r="JR5" s="2" t="s">
        <v>9</v>
      </c>
      <c r="JS5" s="2" t="s">
        <v>3</v>
      </c>
      <c r="JT5" s="3" t="s">
        <v>4</v>
      </c>
      <c r="JU5" s="2" t="s">
        <v>5</v>
      </c>
      <c r="JV5" s="2" t="s">
        <v>6</v>
      </c>
      <c r="JW5" s="2" t="s">
        <v>7</v>
      </c>
      <c r="JX5" s="2" t="s">
        <v>8</v>
      </c>
      <c r="JY5" s="2" t="s">
        <v>9</v>
      </c>
      <c r="JZ5" s="2" t="s">
        <v>2</v>
      </c>
      <c r="KA5" s="2" t="s">
        <v>317</v>
      </c>
      <c r="KB5" s="2" t="s">
        <v>318</v>
      </c>
      <c r="KC5" s="2" t="s">
        <v>319</v>
      </c>
      <c r="KD5" s="2" t="s">
        <v>320</v>
      </c>
      <c r="KE5" s="2" t="s">
        <v>321</v>
      </c>
      <c r="KF5" s="2" t="s">
        <v>322</v>
      </c>
      <c r="KG5" s="2" t="s">
        <v>323</v>
      </c>
      <c r="KH5" s="3" t="s">
        <v>317</v>
      </c>
      <c r="KI5" s="2" t="s">
        <v>318</v>
      </c>
      <c r="KJ5" s="2" t="s">
        <v>319</v>
      </c>
      <c r="KK5" s="2" t="s">
        <v>320</v>
      </c>
      <c r="KL5" s="2" t="s">
        <v>321</v>
      </c>
      <c r="KM5" s="2" t="s">
        <v>322</v>
      </c>
      <c r="KN5" s="3" t="s">
        <v>323</v>
      </c>
      <c r="KO5" s="2" t="s">
        <v>317</v>
      </c>
      <c r="KP5" s="2" t="s">
        <v>318</v>
      </c>
      <c r="KQ5" s="2" t="s">
        <v>319</v>
      </c>
      <c r="KR5" s="2" t="s">
        <v>320</v>
      </c>
      <c r="KS5" s="2" t="s">
        <v>321</v>
      </c>
      <c r="KT5" s="2" t="s">
        <v>322</v>
      </c>
      <c r="KU5" s="2" t="s">
        <v>323</v>
      </c>
      <c r="KV5" s="2" t="s">
        <v>317</v>
      </c>
      <c r="KW5" s="2" t="s">
        <v>318</v>
      </c>
      <c r="KX5" s="2" t="s">
        <v>319</v>
      </c>
      <c r="KY5" s="2" t="s">
        <v>320</v>
      </c>
      <c r="KZ5" s="2" t="s">
        <v>321</v>
      </c>
      <c r="LA5" s="2" t="s">
        <v>322</v>
      </c>
      <c r="LB5" s="2" t="s">
        <v>323</v>
      </c>
      <c r="LC5" s="2" t="s">
        <v>317</v>
      </c>
      <c r="LD5" s="2" t="s">
        <v>318</v>
      </c>
      <c r="LE5" s="2" t="s">
        <v>2</v>
      </c>
      <c r="LF5" s="2" t="s">
        <v>319</v>
      </c>
      <c r="LG5" s="2" t="s">
        <v>320</v>
      </c>
      <c r="LH5" s="2" t="s">
        <v>321</v>
      </c>
      <c r="LI5" s="2" t="s">
        <v>322</v>
      </c>
      <c r="LJ5" s="2" t="s">
        <v>323</v>
      </c>
      <c r="LK5" s="2" t="s">
        <v>317</v>
      </c>
      <c r="LL5" s="2" t="s">
        <v>318</v>
      </c>
      <c r="LM5" s="2" t="s">
        <v>319</v>
      </c>
      <c r="LN5" s="2" t="s">
        <v>320</v>
      </c>
      <c r="LO5" s="2" t="s">
        <v>321</v>
      </c>
      <c r="LP5" s="2" t="s">
        <v>322</v>
      </c>
      <c r="LQ5" s="2" t="s">
        <v>323</v>
      </c>
      <c r="LR5" s="2" t="s">
        <v>317</v>
      </c>
      <c r="LS5" s="2" t="s">
        <v>318</v>
      </c>
      <c r="LT5" s="2" t="s">
        <v>319</v>
      </c>
      <c r="LU5" s="2" t="s">
        <v>320</v>
      </c>
      <c r="LV5" s="2" t="s">
        <v>321</v>
      </c>
      <c r="LW5" s="2" t="s">
        <v>322</v>
      </c>
      <c r="LX5" s="2" t="s">
        <v>323</v>
      </c>
      <c r="LY5" s="2" t="s">
        <v>317</v>
      </c>
      <c r="LZ5" s="2" t="s">
        <v>318</v>
      </c>
      <c r="MA5" s="2" t="s">
        <v>319</v>
      </c>
      <c r="MB5" s="2" t="s">
        <v>320</v>
      </c>
      <c r="MC5" s="2" t="s">
        <v>321</v>
      </c>
      <c r="MD5" s="2" t="s">
        <v>322</v>
      </c>
      <c r="ME5" s="2" t="s">
        <v>323</v>
      </c>
      <c r="MF5" s="2" t="s">
        <v>317</v>
      </c>
      <c r="MG5" s="2" t="s">
        <v>318</v>
      </c>
      <c r="MH5" s="2" t="s">
        <v>319</v>
      </c>
      <c r="MI5" s="2" t="s">
        <v>320</v>
      </c>
      <c r="MJ5" s="2" t="s">
        <v>321</v>
      </c>
      <c r="MK5" s="2" t="s">
        <v>2</v>
      </c>
      <c r="ML5" s="2" t="s">
        <v>322</v>
      </c>
      <c r="MM5" s="2" t="s">
        <v>323</v>
      </c>
      <c r="MN5" s="2" t="s">
        <v>317</v>
      </c>
      <c r="MO5" s="2" t="s">
        <v>318</v>
      </c>
      <c r="MP5" s="2" t="s">
        <v>319</v>
      </c>
      <c r="MQ5" s="2" t="s">
        <v>320</v>
      </c>
      <c r="MR5" s="2" t="s">
        <v>321</v>
      </c>
      <c r="MS5" s="2" t="s">
        <v>322</v>
      </c>
      <c r="MT5" s="2" t="s">
        <v>323</v>
      </c>
      <c r="MU5" s="2" t="s">
        <v>317</v>
      </c>
      <c r="MV5" s="2" t="s">
        <v>318</v>
      </c>
      <c r="MW5" s="2" t="s">
        <v>319</v>
      </c>
      <c r="MX5" s="2" t="s">
        <v>320</v>
      </c>
      <c r="MY5" s="2" t="s">
        <v>321</v>
      </c>
      <c r="MZ5" s="2" t="s">
        <v>322</v>
      </c>
      <c r="NA5" s="2" t="s">
        <v>323</v>
      </c>
      <c r="NB5" s="2" t="s">
        <v>317</v>
      </c>
      <c r="NC5" s="2" t="s">
        <v>318</v>
      </c>
      <c r="ND5" s="2" t="s">
        <v>319</v>
      </c>
      <c r="NE5" s="2" t="s">
        <v>320</v>
      </c>
      <c r="NF5" s="2" t="s">
        <v>321</v>
      </c>
      <c r="NG5" s="2" t="s">
        <v>322</v>
      </c>
      <c r="NH5" s="2" t="s">
        <v>323</v>
      </c>
      <c r="NI5" s="2" t="s">
        <v>317</v>
      </c>
      <c r="NJ5" s="2" t="s">
        <v>318</v>
      </c>
      <c r="NK5" s="2" t="s">
        <v>319</v>
      </c>
      <c r="NL5" s="2" t="s">
        <v>320</v>
      </c>
      <c r="NM5" s="2" t="s">
        <v>321</v>
      </c>
      <c r="NN5" s="2" t="s">
        <v>322</v>
      </c>
      <c r="NO5" s="2" t="s">
        <v>323</v>
      </c>
      <c r="NP5" s="2" t="s">
        <v>2</v>
      </c>
      <c r="NQ5" s="2" t="s">
        <v>317</v>
      </c>
      <c r="NR5" s="2" t="s">
        <v>318</v>
      </c>
      <c r="NS5" s="2" t="s">
        <v>319</v>
      </c>
      <c r="NT5" s="2" t="s">
        <v>320</v>
      </c>
      <c r="NU5" s="2" t="s">
        <v>321</v>
      </c>
      <c r="NV5" s="2" t="s">
        <v>322</v>
      </c>
      <c r="NW5" s="2" t="s">
        <v>323</v>
      </c>
      <c r="NX5" s="2" t="s">
        <v>317</v>
      </c>
      <c r="NY5" s="2" t="s">
        <v>318</v>
      </c>
      <c r="NZ5" s="2" t="s">
        <v>319</v>
      </c>
      <c r="OA5" s="2" t="s">
        <v>320</v>
      </c>
      <c r="OB5" s="2" t="s">
        <v>321</v>
      </c>
      <c r="OC5" s="2" t="s">
        <v>322</v>
      </c>
      <c r="OD5" s="2" t="s">
        <v>323</v>
      </c>
      <c r="OE5" s="2" t="s">
        <v>317</v>
      </c>
      <c r="OF5" s="2" t="s">
        <v>318</v>
      </c>
      <c r="OG5" s="2" t="s">
        <v>319</v>
      </c>
      <c r="OH5" s="2" t="s">
        <v>320</v>
      </c>
      <c r="OI5" s="2" t="s">
        <v>321</v>
      </c>
      <c r="OJ5" s="2" t="s">
        <v>322</v>
      </c>
      <c r="OK5" s="2" t="s">
        <v>323</v>
      </c>
      <c r="OL5" s="2" t="s">
        <v>317</v>
      </c>
      <c r="OM5" s="2" t="s">
        <v>318</v>
      </c>
      <c r="ON5" s="2" t="s">
        <v>319</v>
      </c>
      <c r="OO5" s="2" t="s">
        <v>320</v>
      </c>
      <c r="OP5" s="2" t="s">
        <v>321</v>
      </c>
      <c r="OQ5" s="2" t="s">
        <v>322</v>
      </c>
      <c r="OR5" s="2" t="s">
        <v>323</v>
      </c>
      <c r="OS5" s="2" t="s">
        <v>317</v>
      </c>
      <c r="OT5" s="2" t="s">
        <v>318</v>
      </c>
      <c r="OU5" s="2" t="s">
        <v>319</v>
      </c>
      <c r="OV5" s="2" t="s">
        <v>2</v>
      </c>
      <c r="OW5" s="2" t="s">
        <v>320</v>
      </c>
      <c r="OX5" s="2" t="s">
        <v>321</v>
      </c>
      <c r="OY5" s="2" t="s">
        <v>322</v>
      </c>
      <c r="OZ5" s="2" t="s">
        <v>323</v>
      </c>
      <c r="PA5" s="2" t="s">
        <v>317</v>
      </c>
      <c r="PB5" s="2" t="s">
        <v>318</v>
      </c>
      <c r="PC5" s="2" t="s">
        <v>319</v>
      </c>
      <c r="PD5" s="2" t="s">
        <v>320</v>
      </c>
      <c r="PE5" s="2" t="s">
        <v>321</v>
      </c>
      <c r="PF5" s="2" t="s">
        <v>322</v>
      </c>
      <c r="PG5" s="2" t="s">
        <v>323</v>
      </c>
      <c r="PH5" s="2" t="s">
        <v>317</v>
      </c>
      <c r="PI5" s="2" t="s">
        <v>318</v>
      </c>
      <c r="PJ5" s="2" t="s">
        <v>319</v>
      </c>
      <c r="PK5" s="223" t="s">
        <v>320</v>
      </c>
      <c r="PL5" s="2" t="s">
        <v>321</v>
      </c>
      <c r="PM5" s="2" t="s">
        <v>322</v>
      </c>
      <c r="PN5" s="2" t="s">
        <v>323</v>
      </c>
      <c r="PO5" s="2" t="s">
        <v>317</v>
      </c>
      <c r="PP5" s="2" t="s">
        <v>318</v>
      </c>
      <c r="PQ5" s="2" t="s">
        <v>319</v>
      </c>
      <c r="PR5" s="2" t="s">
        <v>320</v>
      </c>
      <c r="PS5" s="2" t="s">
        <v>321</v>
      </c>
      <c r="PT5" s="2" t="s">
        <v>322</v>
      </c>
      <c r="PU5" s="2" t="s">
        <v>323</v>
      </c>
      <c r="PV5" s="2" t="s">
        <v>317</v>
      </c>
      <c r="PW5" s="2" t="s">
        <v>318</v>
      </c>
      <c r="PX5" s="2" t="s">
        <v>319</v>
      </c>
      <c r="PY5" s="2" t="s">
        <v>320</v>
      </c>
      <c r="PZ5" s="2" t="s">
        <v>321</v>
      </c>
      <c r="QA5" s="2" t="s">
        <v>322</v>
      </c>
      <c r="QB5" s="2" t="s">
        <v>2</v>
      </c>
      <c r="QC5" s="2" t="s">
        <v>323</v>
      </c>
      <c r="QD5" s="2" t="s">
        <v>317</v>
      </c>
      <c r="QE5" s="2" t="s">
        <v>318</v>
      </c>
      <c r="QF5" s="2" t="s">
        <v>319</v>
      </c>
      <c r="QG5" s="2" t="s">
        <v>320</v>
      </c>
      <c r="QH5" s="2" t="s">
        <v>321</v>
      </c>
      <c r="QI5" s="2" t="s">
        <v>322</v>
      </c>
      <c r="QJ5" s="2" t="s">
        <v>323</v>
      </c>
      <c r="QK5" s="2" t="s">
        <v>317</v>
      </c>
      <c r="QL5" s="2" t="s">
        <v>318</v>
      </c>
      <c r="QM5" s="2" t="s">
        <v>319</v>
      </c>
      <c r="QN5" s="2" t="s">
        <v>320</v>
      </c>
      <c r="QO5" s="2" t="s">
        <v>321</v>
      </c>
      <c r="QP5" s="2" t="s">
        <v>322</v>
      </c>
      <c r="QQ5" s="2" t="s">
        <v>323</v>
      </c>
      <c r="QR5" s="2" t="s">
        <v>317</v>
      </c>
      <c r="QS5" s="2" t="s">
        <v>318</v>
      </c>
      <c r="QT5" s="2" t="s">
        <v>319</v>
      </c>
      <c r="QU5" s="2" t="s">
        <v>320</v>
      </c>
      <c r="QV5" s="2" t="s">
        <v>321</v>
      </c>
      <c r="QW5" s="2" t="s">
        <v>322</v>
      </c>
      <c r="QX5" s="2" t="s">
        <v>323</v>
      </c>
      <c r="QY5" s="2" t="s">
        <v>317</v>
      </c>
      <c r="QZ5" s="2" t="s">
        <v>318</v>
      </c>
      <c r="RA5" s="2" t="s">
        <v>319</v>
      </c>
      <c r="RB5" s="2" t="s">
        <v>320</v>
      </c>
      <c r="RC5" s="2" t="s">
        <v>321</v>
      </c>
      <c r="RD5" s="2" t="s">
        <v>322</v>
      </c>
      <c r="RE5" s="2" t="s">
        <v>323</v>
      </c>
      <c r="RF5" s="2" t="s">
        <v>317</v>
      </c>
      <c r="RG5" s="2" t="s">
        <v>2</v>
      </c>
      <c r="RH5" s="2" t="s">
        <v>318</v>
      </c>
      <c r="RI5" s="2" t="s">
        <v>319</v>
      </c>
      <c r="RJ5" s="2" t="s">
        <v>320</v>
      </c>
      <c r="RK5" s="2" t="s">
        <v>321</v>
      </c>
      <c r="RL5" s="2" t="s">
        <v>322</v>
      </c>
      <c r="RM5" s="2" t="s">
        <v>323</v>
      </c>
      <c r="RN5" s="2" t="s">
        <v>317</v>
      </c>
      <c r="RO5" s="2" t="s">
        <v>318</v>
      </c>
      <c r="RP5" s="2" t="s">
        <v>319</v>
      </c>
      <c r="RQ5" s="2" t="s">
        <v>320</v>
      </c>
      <c r="RR5" s="2" t="s">
        <v>321</v>
      </c>
      <c r="RS5" s="2" t="s">
        <v>322</v>
      </c>
      <c r="RT5" s="2" t="s">
        <v>323</v>
      </c>
      <c r="RU5" s="2" t="s">
        <v>317</v>
      </c>
      <c r="RV5" s="2" t="s">
        <v>318</v>
      </c>
      <c r="RW5" s="2" t="s">
        <v>319</v>
      </c>
      <c r="RX5" s="2" t="s">
        <v>320</v>
      </c>
      <c r="RY5" s="2" t="s">
        <v>321</v>
      </c>
      <c r="RZ5" s="2" t="s">
        <v>322</v>
      </c>
      <c r="SA5" s="2" t="s">
        <v>323</v>
      </c>
      <c r="SB5" s="2" t="s">
        <v>317</v>
      </c>
      <c r="SC5" s="2" t="s">
        <v>318</v>
      </c>
      <c r="SD5" s="2" t="s">
        <v>319</v>
      </c>
      <c r="SE5" s="2" t="s">
        <v>320</v>
      </c>
      <c r="SF5" s="2" t="s">
        <v>321</v>
      </c>
      <c r="SG5" s="2" t="s">
        <v>322</v>
      </c>
      <c r="SH5" s="2" t="s">
        <v>323</v>
      </c>
      <c r="SI5" s="2" t="s">
        <v>317</v>
      </c>
      <c r="SJ5" s="2" t="s">
        <v>318</v>
      </c>
      <c r="SK5" s="2" t="s">
        <v>319</v>
      </c>
      <c r="SL5" s="2" t="s">
        <v>320</v>
      </c>
      <c r="SM5" s="2" t="s">
        <v>2</v>
      </c>
      <c r="SN5" s="2" t="s">
        <v>321</v>
      </c>
      <c r="SO5" s="2" t="s">
        <v>322</v>
      </c>
      <c r="SP5" s="2" t="s">
        <v>323</v>
      </c>
      <c r="SQ5" s="2" t="s">
        <v>317</v>
      </c>
      <c r="SR5" s="2" t="s">
        <v>318</v>
      </c>
      <c r="SS5" s="2" t="s">
        <v>319</v>
      </c>
      <c r="ST5" s="2" t="s">
        <v>320</v>
      </c>
      <c r="SU5" s="2" t="s">
        <v>321</v>
      </c>
      <c r="SV5" s="2" t="s">
        <v>322</v>
      </c>
      <c r="SW5" s="2" t="s">
        <v>323</v>
      </c>
      <c r="SX5" s="2" t="s">
        <v>317</v>
      </c>
      <c r="SY5" s="2" t="s">
        <v>318</v>
      </c>
      <c r="SZ5" s="2" t="s">
        <v>319</v>
      </c>
      <c r="TA5" s="2" t="s">
        <v>320</v>
      </c>
      <c r="TB5" s="2" t="s">
        <v>321</v>
      </c>
      <c r="TC5" s="2" t="s">
        <v>322</v>
      </c>
      <c r="TD5" s="2" t="s">
        <v>323</v>
      </c>
      <c r="TE5" s="2" t="s">
        <v>317</v>
      </c>
      <c r="TF5" s="2" t="s">
        <v>318</v>
      </c>
      <c r="TG5" s="2" t="s">
        <v>319</v>
      </c>
      <c r="TH5" s="2" t="s">
        <v>320</v>
      </c>
      <c r="TI5" s="2" t="s">
        <v>321</v>
      </c>
      <c r="TJ5" s="2" t="s">
        <v>322</v>
      </c>
      <c r="TK5" s="2" t="s">
        <v>323</v>
      </c>
      <c r="TL5" s="2" t="s">
        <v>317</v>
      </c>
      <c r="TM5" s="2" t="s">
        <v>318</v>
      </c>
      <c r="TN5" s="2" t="s">
        <v>319</v>
      </c>
      <c r="TO5" s="2" t="s">
        <v>320</v>
      </c>
      <c r="TP5" s="2" t="s">
        <v>321</v>
      </c>
      <c r="TQ5" s="2" t="s">
        <v>322</v>
      </c>
      <c r="TR5" s="2" t="s">
        <v>2</v>
      </c>
      <c r="TS5" s="2" t="s">
        <v>323</v>
      </c>
      <c r="TT5" s="2" t="s">
        <v>317</v>
      </c>
      <c r="TU5" s="2" t="s">
        <v>318</v>
      </c>
      <c r="TV5" s="2" t="s">
        <v>319</v>
      </c>
      <c r="TW5" s="2" t="s">
        <v>320</v>
      </c>
      <c r="TX5" s="2" t="s">
        <v>321</v>
      </c>
      <c r="TY5" s="2" t="s">
        <v>322</v>
      </c>
      <c r="TZ5" s="2" t="s">
        <v>323</v>
      </c>
      <c r="UA5" s="2" t="s">
        <v>317</v>
      </c>
      <c r="UB5" s="2" t="s">
        <v>318</v>
      </c>
      <c r="UC5" s="2" t="s">
        <v>319</v>
      </c>
      <c r="UD5" s="2" t="s">
        <v>320</v>
      </c>
      <c r="UE5" s="2" t="s">
        <v>321</v>
      </c>
      <c r="UF5" s="2" t="s">
        <v>322</v>
      </c>
      <c r="UG5" s="2" t="s">
        <v>323</v>
      </c>
      <c r="UH5" s="223" t="s">
        <v>317</v>
      </c>
      <c r="UI5" s="2" t="s">
        <v>318</v>
      </c>
      <c r="UJ5" s="2" t="s">
        <v>319</v>
      </c>
      <c r="UK5" s="2" t="s">
        <v>320</v>
      </c>
      <c r="UL5" s="2" t="s">
        <v>321</v>
      </c>
      <c r="UM5" s="2" t="s">
        <v>322</v>
      </c>
      <c r="UN5" s="2" t="s">
        <v>323</v>
      </c>
      <c r="UO5" s="2" t="s">
        <v>317</v>
      </c>
      <c r="UP5" s="2" t="s">
        <v>318</v>
      </c>
      <c r="UQ5" s="2" t="s">
        <v>319</v>
      </c>
      <c r="UR5" s="2" t="s">
        <v>320</v>
      </c>
      <c r="US5" s="2" t="s">
        <v>321</v>
      </c>
      <c r="UT5" s="2" t="s">
        <v>322</v>
      </c>
      <c r="UU5" s="2" t="s">
        <v>323</v>
      </c>
      <c r="UV5" s="2" t="s">
        <v>317</v>
      </c>
      <c r="UW5" s="2" t="s">
        <v>318</v>
      </c>
      <c r="UX5" s="2" t="s">
        <v>2</v>
      </c>
      <c r="UY5" s="2" t="s">
        <v>319</v>
      </c>
      <c r="UZ5" s="2" t="s">
        <v>320</v>
      </c>
      <c r="VA5" s="2" t="s">
        <v>321</v>
      </c>
      <c r="VB5" s="2" t="s">
        <v>322</v>
      </c>
      <c r="VC5" s="2" t="s">
        <v>323</v>
      </c>
      <c r="VD5" s="2" t="s">
        <v>317</v>
      </c>
      <c r="VE5" s="2" t="s">
        <v>318</v>
      </c>
      <c r="VF5" s="2" t="s">
        <v>319</v>
      </c>
      <c r="VG5" s="2" t="s">
        <v>320</v>
      </c>
      <c r="VH5" s="2" t="s">
        <v>321</v>
      </c>
      <c r="VI5" s="2" t="s">
        <v>322</v>
      </c>
      <c r="VJ5" s="2" t="s">
        <v>323</v>
      </c>
      <c r="VK5" s="2" t="s">
        <v>317</v>
      </c>
      <c r="VL5" s="2" t="s">
        <v>318</v>
      </c>
      <c r="VM5" s="2" t="s">
        <v>319</v>
      </c>
      <c r="VN5" s="2" t="s">
        <v>320</v>
      </c>
      <c r="VO5" s="2" t="s">
        <v>321</v>
      </c>
      <c r="VP5" s="2" t="s">
        <v>322</v>
      </c>
      <c r="VQ5" s="2" t="s">
        <v>323</v>
      </c>
      <c r="VR5" s="2" t="s">
        <v>317</v>
      </c>
      <c r="VS5" s="2" t="s">
        <v>318</v>
      </c>
      <c r="VT5" s="2" t="s">
        <v>319</v>
      </c>
      <c r="VU5" s="2" t="s">
        <v>320</v>
      </c>
      <c r="VV5" s="2" t="s">
        <v>321</v>
      </c>
      <c r="VW5" s="2" t="s">
        <v>322</v>
      </c>
      <c r="VX5" s="2" t="s">
        <v>323</v>
      </c>
      <c r="VY5" s="2" t="s">
        <v>317</v>
      </c>
      <c r="VZ5" s="2" t="s">
        <v>318</v>
      </c>
      <c r="WA5" s="2" t="s">
        <v>319</v>
      </c>
      <c r="WB5" s="2" t="s">
        <v>320</v>
      </c>
      <c r="WC5" s="2" t="s">
        <v>321</v>
      </c>
      <c r="WD5" s="2" t="s">
        <v>2</v>
      </c>
      <c r="WE5" s="2" t="s">
        <v>322</v>
      </c>
      <c r="WF5" s="2" t="s">
        <v>323</v>
      </c>
      <c r="WG5" s="2" t="s">
        <v>317</v>
      </c>
      <c r="WH5" s="2" t="s">
        <v>318</v>
      </c>
      <c r="WI5" s="2" t="s">
        <v>319</v>
      </c>
      <c r="WJ5" s="2" t="s">
        <v>320</v>
      </c>
      <c r="WK5" s="2" t="s">
        <v>321</v>
      </c>
      <c r="WL5" s="2" t="s">
        <v>322</v>
      </c>
      <c r="WM5" s="2" t="s">
        <v>323</v>
      </c>
      <c r="WN5" s="2" t="s">
        <v>317</v>
      </c>
      <c r="WO5" s="2" t="s">
        <v>318</v>
      </c>
      <c r="WP5" s="2" t="s">
        <v>319</v>
      </c>
      <c r="WQ5" s="2" t="s">
        <v>320</v>
      </c>
      <c r="WR5" s="2" t="s">
        <v>321</v>
      </c>
      <c r="WS5" s="2" t="s">
        <v>322</v>
      </c>
      <c r="WT5" s="2" t="s">
        <v>323</v>
      </c>
      <c r="WU5" s="2" t="s">
        <v>317</v>
      </c>
      <c r="WV5" s="2" t="s">
        <v>318</v>
      </c>
      <c r="WW5" s="2" t="s">
        <v>319</v>
      </c>
      <c r="WX5" s="2" t="s">
        <v>320</v>
      </c>
      <c r="WY5" s="2" t="s">
        <v>321</v>
      </c>
      <c r="WZ5" s="2" t="s">
        <v>322</v>
      </c>
      <c r="XA5" s="2" t="s">
        <v>323</v>
      </c>
      <c r="XB5" s="2" t="s">
        <v>317</v>
      </c>
      <c r="XC5" s="2" t="s">
        <v>318</v>
      </c>
      <c r="XD5" s="2" t="s">
        <v>319</v>
      </c>
      <c r="XE5" s="2" t="s">
        <v>320</v>
      </c>
      <c r="XF5" s="2" t="s">
        <v>321</v>
      </c>
      <c r="XG5" s="2" t="s">
        <v>2</v>
      </c>
      <c r="XH5" s="2" t="s">
        <v>322</v>
      </c>
      <c r="XI5" s="2" t="s">
        <v>323</v>
      </c>
      <c r="XJ5" s="2" t="s">
        <v>317</v>
      </c>
      <c r="XK5" s="2" t="s">
        <v>318</v>
      </c>
      <c r="XL5" s="2" t="s">
        <v>319</v>
      </c>
      <c r="XM5" s="2" t="s">
        <v>320</v>
      </c>
      <c r="XN5" s="2" t="s">
        <v>321</v>
      </c>
      <c r="XO5" s="2" t="s">
        <v>322</v>
      </c>
      <c r="XP5" s="2" t="s">
        <v>323</v>
      </c>
      <c r="XQ5" s="2" t="s">
        <v>317</v>
      </c>
      <c r="XR5" s="2" t="s">
        <v>318</v>
      </c>
      <c r="XS5" s="2" t="s">
        <v>319</v>
      </c>
      <c r="XT5" s="2" t="s">
        <v>320</v>
      </c>
      <c r="XU5" s="2" t="s">
        <v>321</v>
      </c>
      <c r="XV5" s="2" t="s">
        <v>322</v>
      </c>
      <c r="XW5" s="2" t="s">
        <v>323</v>
      </c>
      <c r="XX5" s="2" t="s">
        <v>317</v>
      </c>
      <c r="XY5" s="2" t="s">
        <v>318</v>
      </c>
      <c r="XZ5" s="2" t="s">
        <v>319</v>
      </c>
      <c r="YA5" s="2" t="s">
        <v>320</v>
      </c>
      <c r="YB5" s="2" t="s">
        <v>321</v>
      </c>
      <c r="YC5" s="2" t="s">
        <v>322</v>
      </c>
      <c r="YD5" s="2" t="s">
        <v>323</v>
      </c>
      <c r="YE5" s="2" t="s">
        <v>317</v>
      </c>
      <c r="YF5" s="2" t="s">
        <v>318</v>
      </c>
      <c r="YG5" s="2" t="s">
        <v>319</v>
      </c>
      <c r="YH5" s="2" t="s">
        <v>320</v>
      </c>
      <c r="YI5" s="2" t="s">
        <v>321</v>
      </c>
      <c r="YJ5" s="2" t="s">
        <v>322</v>
      </c>
      <c r="YK5" s="2" t="s">
        <v>323</v>
      </c>
      <c r="YL5" s="2" t="s">
        <v>317</v>
      </c>
      <c r="YM5" s="2" t="s">
        <v>2</v>
      </c>
      <c r="YN5" s="2" t="s">
        <v>318</v>
      </c>
      <c r="YO5" s="2" t="s">
        <v>319</v>
      </c>
      <c r="YP5" s="2" t="s">
        <v>320</v>
      </c>
      <c r="YQ5" s="2" t="s">
        <v>321</v>
      </c>
      <c r="YR5" s="2" t="s">
        <v>322</v>
      </c>
      <c r="YS5" s="2" t="s">
        <v>323</v>
      </c>
      <c r="YT5" s="2" t="s">
        <v>317</v>
      </c>
      <c r="YU5" s="2" t="s">
        <v>318</v>
      </c>
      <c r="YV5" s="2" t="s">
        <v>319</v>
      </c>
      <c r="YW5" s="2" t="s">
        <v>320</v>
      </c>
      <c r="YX5" s="2" t="s">
        <v>321</v>
      </c>
      <c r="YY5" s="2" t="s">
        <v>322</v>
      </c>
      <c r="YZ5" s="2" t="s">
        <v>323</v>
      </c>
      <c r="ZA5" s="2" t="s">
        <v>317</v>
      </c>
      <c r="ZB5" s="2" t="s">
        <v>318</v>
      </c>
      <c r="ZC5" s="2" t="s">
        <v>319</v>
      </c>
      <c r="ZD5" s="2" t="s">
        <v>320</v>
      </c>
      <c r="ZE5" s="2" t="s">
        <v>321</v>
      </c>
      <c r="ZF5" s="2" t="s">
        <v>322</v>
      </c>
      <c r="ZG5" s="2" t="s">
        <v>323</v>
      </c>
      <c r="ZH5" s="2" t="s">
        <v>317</v>
      </c>
      <c r="ZI5" s="2" t="s">
        <v>318</v>
      </c>
      <c r="ZJ5" s="2" t="s">
        <v>319</v>
      </c>
      <c r="ZK5" s="2" t="s">
        <v>320</v>
      </c>
      <c r="ZL5" s="2" t="s">
        <v>321</v>
      </c>
      <c r="ZM5" s="2" t="s">
        <v>322</v>
      </c>
      <c r="ZN5" s="2" t="s">
        <v>323</v>
      </c>
      <c r="ZO5" s="2" t="s">
        <v>317</v>
      </c>
      <c r="ZP5" s="2" t="s">
        <v>318</v>
      </c>
      <c r="ZQ5" s="2" t="s">
        <v>319</v>
      </c>
      <c r="ZR5" s="2" t="s">
        <v>2</v>
      </c>
      <c r="ZS5" s="2" t="s">
        <v>320</v>
      </c>
      <c r="ZT5" s="2" t="s">
        <v>321</v>
      </c>
      <c r="ZU5" s="2" t="s">
        <v>322</v>
      </c>
      <c r="ZV5" s="2" t="s">
        <v>323</v>
      </c>
      <c r="ZW5" s="2" t="s">
        <v>317</v>
      </c>
      <c r="ZX5" s="2" t="s">
        <v>318</v>
      </c>
      <c r="ZY5" s="2" t="s">
        <v>319</v>
      </c>
      <c r="ZZ5" s="2" t="s">
        <v>320</v>
      </c>
      <c r="AAA5" s="2" t="s">
        <v>321</v>
      </c>
      <c r="AAB5" s="2" t="s">
        <v>322</v>
      </c>
      <c r="AAC5" s="2" t="s">
        <v>323</v>
      </c>
      <c r="AAD5" s="2" t="s">
        <v>317</v>
      </c>
      <c r="AAE5" s="2" t="s">
        <v>318</v>
      </c>
      <c r="AAF5" s="2" t="s">
        <v>319</v>
      </c>
      <c r="AAG5" s="2" t="s">
        <v>320</v>
      </c>
      <c r="AAH5" s="2" t="s">
        <v>321</v>
      </c>
      <c r="AAI5" s="2" t="s">
        <v>322</v>
      </c>
      <c r="AAJ5" s="2" t="s">
        <v>323</v>
      </c>
      <c r="AAK5" s="2" t="s">
        <v>317</v>
      </c>
      <c r="AAL5" s="2" t="s">
        <v>318</v>
      </c>
      <c r="AAM5" s="2" t="s">
        <v>319</v>
      </c>
      <c r="AAN5" s="2" t="s">
        <v>320</v>
      </c>
      <c r="AAO5" s="2" t="s">
        <v>321</v>
      </c>
      <c r="AAP5" s="2" t="s">
        <v>322</v>
      </c>
      <c r="AAQ5" s="2" t="s">
        <v>323</v>
      </c>
      <c r="AAR5" s="2" t="s">
        <v>317</v>
      </c>
      <c r="AAS5" s="2" t="s">
        <v>318</v>
      </c>
      <c r="AAT5" s="2" t="s">
        <v>319</v>
      </c>
      <c r="AAU5" s="2" t="s">
        <v>320</v>
      </c>
      <c r="AAV5" s="2" t="s">
        <v>321</v>
      </c>
      <c r="AAW5" s="2" t="s">
        <v>322</v>
      </c>
      <c r="AAX5" s="2" t="s">
        <v>2</v>
      </c>
      <c r="AAY5" s="2" t="s">
        <v>323</v>
      </c>
      <c r="AAZ5" s="2" t="s">
        <v>317</v>
      </c>
      <c r="ABA5" s="2" t="s">
        <v>318</v>
      </c>
      <c r="ABB5" s="2" t="s">
        <v>319</v>
      </c>
      <c r="ABC5" s="2" t="s">
        <v>320</v>
      </c>
      <c r="ABD5" s="2" t="s">
        <v>321</v>
      </c>
      <c r="ABE5" s="2" t="s">
        <v>322</v>
      </c>
      <c r="ABF5" s="2" t="s">
        <v>323</v>
      </c>
      <c r="ABG5" s="2" t="s">
        <v>317</v>
      </c>
      <c r="ABH5" s="2" t="s">
        <v>318</v>
      </c>
      <c r="ABI5" s="2" t="s">
        <v>319</v>
      </c>
      <c r="ABJ5" s="2" t="s">
        <v>320</v>
      </c>
      <c r="ABK5" s="2" t="s">
        <v>321</v>
      </c>
      <c r="ABL5" s="2" t="s">
        <v>322</v>
      </c>
      <c r="ABM5" s="2" t="s">
        <v>323</v>
      </c>
      <c r="ABN5" s="2" t="s">
        <v>317</v>
      </c>
      <c r="ABO5" s="2" t="s">
        <v>318</v>
      </c>
      <c r="ABP5" s="2" t="s">
        <v>319</v>
      </c>
      <c r="ABQ5" s="2" t="s">
        <v>320</v>
      </c>
      <c r="ABR5" s="2" t="s">
        <v>321</v>
      </c>
      <c r="ABS5" s="2" t="s">
        <v>322</v>
      </c>
      <c r="ABT5" s="2" t="s">
        <v>323</v>
      </c>
      <c r="ABU5" s="2" t="s">
        <v>317</v>
      </c>
      <c r="ABV5" s="2" t="s">
        <v>318</v>
      </c>
      <c r="ABW5" s="2" t="s">
        <v>319</v>
      </c>
      <c r="ABX5" s="2" t="s">
        <v>320</v>
      </c>
      <c r="ABY5" s="2" t="s">
        <v>321</v>
      </c>
      <c r="ABZ5" s="2" t="s">
        <v>322</v>
      </c>
      <c r="ACA5" s="2" t="s">
        <v>323</v>
      </c>
      <c r="ACB5" s="2" t="s">
        <v>317</v>
      </c>
      <c r="ACC5" s="2" t="s">
        <v>2</v>
      </c>
      <c r="ACD5" s="2" t="s">
        <v>318</v>
      </c>
      <c r="ACE5" s="2" t="s">
        <v>319</v>
      </c>
      <c r="ACF5" s="2" t="s">
        <v>320</v>
      </c>
      <c r="ACG5" s="2" t="s">
        <v>321</v>
      </c>
      <c r="ACH5" s="2" t="s">
        <v>322</v>
      </c>
      <c r="ACI5" s="2" t="s">
        <v>323</v>
      </c>
      <c r="ACJ5" s="2" t="s">
        <v>317</v>
      </c>
      <c r="ACK5" s="2" t="s">
        <v>318</v>
      </c>
      <c r="ACL5" s="2" t="s">
        <v>319</v>
      </c>
      <c r="ACM5" s="2" t="s">
        <v>320</v>
      </c>
      <c r="ACN5" s="2" t="s">
        <v>321</v>
      </c>
      <c r="ACO5" s="2" t="s">
        <v>322</v>
      </c>
      <c r="ACP5" s="2" t="s">
        <v>323</v>
      </c>
      <c r="ACQ5" s="2" t="s">
        <v>317</v>
      </c>
      <c r="ACR5" s="2" t="s">
        <v>318</v>
      </c>
      <c r="ACS5" s="2" t="s">
        <v>319</v>
      </c>
      <c r="ACT5" s="2" t="s">
        <v>320</v>
      </c>
      <c r="ACU5" s="2" t="s">
        <v>321</v>
      </c>
      <c r="ACV5" s="2" t="s">
        <v>322</v>
      </c>
      <c r="ACW5" s="2" t="s">
        <v>323</v>
      </c>
      <c r="ACX5" s="2" t="s">
        <v>317</v>
      </c>
      <c r="ACY5" s="2" t="s">
        <v>318</v>
      </c>
      <c r="ACZ5" s="2" t="s">
        <v>319</v>
      </c>
      <c r="ADA5" s="2" t="s">
        <v>320</v>
      </c>
      <c r="ADB5" s="2" t="s">
        <v>321</v>
      </c>
      <c r="ADC5" s="2" t="s">
        <v>322</v>
      </c>
      <c r="ADD5" s="2" t="s">
        <v>323</v>
      </c>
      <c r="ADE5" s="2" t="s">
        <v>317</v>
      </c>
      <c r="ADF5" s="2" t="s">
        <v>318</v>
      </c>
      <c r="ADG5" s="2" t="s">
        <v>319</v>
      </c>
      <c r="ADH5" s="2" t="s">
        <v>320</v>
      </c>
      <c r="ADI5" s="2" t="s">
        <v>2</v>
      </c>
      <c r="ADJ5" s="2" t="s">
        <v>321</v>
      </c>
      <c r="ADK5" s="2" t="s">
        <v>322</v>
      </c>
      <c r="ADL5" s="2" t="s">
        <v>323</v>
      </c>
      <c r="ADM5" s="2" t="s">
        <v>317</v>
      </c>
      <c r="ADN5" s="2" t="s">
        <v>318</v>
      </c>
      <c r="ADO5" s="2" t="s">
        <v>319</v>
      </c>
      <c r="ADP5" s="2" t="s">
        <v>320</v>
      </c>
      <c r="ADQ5" s="2" t="s">
        <v>321</v>
      </c>
      <c r="ADR5" s="2" t="s">
        <v>322</v>
      </c>
      <c r="ADS5" s="2" t="s">
        <v>323</v>
      </c>
      <c r="ADT5" s="2" t="s">
        <v>317</v>
      </c>
      <c r="ADU5" s="2" t="s">
        <v>318</v>
      </c>
      <c r="ADV5" s="2" t="s">
        <v>319</v>
      </c>
      <c r="ADW5" s="2" t="s">
        <v>320</v>
      </c>
      <c r="ADX5" s="3" t="s">
        <v>321</v>
      </c>
      <c r="ADY5" s="2" t="s">
        <v>322</v>
      </c>
      <c r="ADZ5" s="2" t="s">
        <v>323</v>
      </c>
      <c r="AEA5" s="2" t="s">
        <v>317</v>
      </c>
      <c r="AEB5" s="2" t="s">
        <v>318</v>
      </c>
      <c r="AEC5" s="2" t="s">
        <v>319</v>
      </c>
      <c r="AED5" s="2" t="s">
        <v>320</v>
      </c>
      <c r="AEE5" s="2" t="s">
        <v>321</v>
      </c>
      <c r="AEF5" s="2" t="s">
        <v>322</v>
      </c>
      <c r="AEG5" s="2" t="s">
        <v>323</v>
      </c>
      <c r="AEH5" s="2" t="s">
        <v>317</v>
      </c>
      <c r="AEI5" s="2" t="s">
        <v>318</v>
      </c>
      <c r="AEJ5" s="2" t="s">
        <v>319</v>
      </c>
      <c r="AEK5" s="2" t="s">
        <v>320</v>
      </c>
      <c r="AEL5" s="2" t="s">
        <v>321</v>
      </c>
      <c r="AEM5" s="2" t="s">
        <v>322</v>
      </c>
      <c r="AEN5" s="2" t="s">
        <v>323</v>
      </c>
      <c r="AEO5" s="2" t="s">
        <v>2</v>
      </c>
      <c r="AEP5" s="2" t="s">
        <v>317</v>
      </c>
      <c r="AEQ5" s="2" t="s">
        <v>318</v>
      </c>
      <c r="AER5" s="2" t="s">
        <v>319</v>
      </c>
      <c r="AES5" s="2" t="s">
        <v>320</v>
      </c>
      <c r="AET5" s="2" t="s">
        <v>321</v>
      </c>
      <c r="AEU5" s="2" t="s">
        <v>322</v>
      </c>
      <c r="AEV5" s="2" t="s">
        <v>323</v>
      </c>
      <c r="AEW5" s="2" t="s">
        <v>317</v>
      </c>
      <c r="AEX5" s="2" t="s">
        <v>318</v>
      </c>
      <c r="AEY5" s="2" t="s">
        <v>319</v>
      </c>
      <c r="AEZ5" s="2" t="s">
        <v>320</v>
      </c>
      <c r="AFA5" s="2" t="s">
        <v>321</v>
      </c>
      <c r="AFB5" s="2" t="s">
        <v>322</v>
      </c>
      <c r="AFC5" s="2" t="s">
        <v>323</v>
      </c>
      <c r="AFD5" s="2" t="s">
        <v>317</v>
      </c>
      <c r="AFE5" s="2" t="s">
        <v>318</v>
      </c>
      <c r="AFF5" s="2" t="s">
        <v>319</v>
      </c>
      <c r="AFG5" s="2" t="s">
        <v>320</v>
      </c>
      <c r="AFH5" s="2" t="s">
        <v>321</v>
      </c>
      <c r="AFI5" s="2" t="s">
        <v>322</v>
      </c>
      <c r="AFJ5" s="2" t="s">
        <v>323</v>
      </c>
      <c r="AFK5" s="2" t="s">
        <v>317</v>
      </c>
      <c r="AFL5" s="2" t="s">
        <v>318</v>
      </c>
      <c r="AFM5" s="2" t="s">
        <v>319</v>
      </c>
      <c r="AFN5" s="2" t="s">
        <v>320</v>
      </c>
      <c r="AFO5" s="2" t="s">
        <v>321</v>
      </c>
      <c r="AFP5" s="2" t="s">
        <v>322</v>
      </c>
      <c r="AFQ5" s="2" t="s">
        <v>323</v>
      </c>
      <c r="AFR5" s="2" t="s">
        <v>317</v>
      </c>
      <c r="AFS5" s="2" t="s">
        <v>318</v>
      </c>
      <c r="AFT5" s="2" t="s">
        <v>2</v>
      </c>
      <c r="AFU5" s="2" t="s">
        <v>319</v>
      </c>
      <c r="AFV5" s="2" t="s">
        <v>320</v>
      </c>
      <c r="AFW5" s="2" t="s">
        <v>321</v>
      </c>
      <c r="AFX5" s="2" t="s">
        <v>322</v>
      </c>
      <c r="AFY5" s="2" t="s">
        <v>323</v>
      </c>
      <c r="AFZ5" s="2" t="s">
        <v>317</v>
      </c>
      <c r="AGA5" s="2" t="s">
        <v>318</v>
      </c>
      <c r="AGB5" s="2" t="s">
        <v>319</v>
      </c>
      <c r="AGC5" s="2" t="s">
        <v>320</v>
      </c>
      <c r="AGD5" s="2" t="s">
        <v>321</v>
      </c>
      <c r="AGE5" s="2" t="s">
        <v>322</v>
      </c>
      <c r="AGF5" s="2" t="s">
        <v>323</v>
      </c>
      <c r="AGG5" s="2" t="s">
        <v>317</v>
      </c>
      <c r="AGH5" s="2" t="s">
        <v>318</v>
      </c>
      <c r="AGI5" s="2" t="s">
        <v>319</v>
      </c>
      <c r="AGJ5" s="2" t="s">
        <v>320</v>
      </c>
      <c r="AGK5" s="2" t="s">
        <v>321</v>
      </c>
      <c r="AGL5" s="2" t="s">
        <v>322</v>
      </c>
      <c r="AGM5" s="2" t="s">
        <v>323</v>
      </c>
      <c r="AGN5" s="2" t="s">
        <v>317</v>
      </c>
      <c r="AGO5" s="2" t="s">
        <v>318</v>
      </c>
      <c r="AGP5" s="2" t="s">
        <v>319</v>
      </c>
      <c r="AGQ5" s="2" t="s">
        <v>320</v>
      </c>
      <c r="AGR5" s="2" t="s">
        <v>321</v>
      </c>
      <c r="AGS5" s="2" t="s">
        <v>322</v>
      </c>
      <c r="AGT5" s="2" t="s">
        <v>323</v>
      </c>
      <c r="AGU5" s="2" t="s">
        <v>317</v>
      </c>
      <c r="AGV5" s="2" t="s">
        <v>318</v>
      </c>
      <c r="AGW5" s="2" t="s">
        <v>319</v>
      </c>
      <c r="AGX5" s="2" t="s">
        <v>320</v>
      </c>
      <c r="AGY5" s="2" t="s">
        <v>321</v>
      </c>
      <c r="AGZ5" s="2" t="s">
        <v>2</v>
      </c>
      <c r="AHA5" s="2" t="s">
        <v>322</v>
      </c>
      <c r="AHB5" s="2" t="s">
        <v>323</v>
      </c>
      <c r="AHC5" s="2" t="s">
        <v>317</v>
      </c>
      <c r="AHD5" s="2" t="s">
        <v>318</v>
      </c>
      <c r="AHE5" s="2" t="s">
        <v>319</v>
      </c>
      <c r="AHF5" s="2" t="s">
        <v>320</v>
      </c>
      <c r="AHG5" s="2" t="s">
        <v>321</v>
      </c>
      <c r="AHH5" s="2" t="s">
        <v>322</v>
      </c>
      <c r="AHI5" s="2" t="s">
        <v>323</v>
      </c>
      <c r="AHJ5" s="2" t="s">
        <v>317</v>
      </c>
      <c r="AHK5" s="2" t="s">
        <v>318</v>
      </c>
      <c r="AHL5" s="2" t="s">
        <v>319</v>
      </c>
      <c r="AHM5" s="2" t="s">
        <v>320</v>
      </c>
      <c r="AHN5" s="2" t="s">
        <v>321</v>
      </c>
      <c r="AHO5" s="2" t="s">
        <v>322</v>
      </c>
      <c r="AHP5" s="2" t="s">
        <v>323</v>
      </c>
      <c r="AHQ5" s="2" t="s">
        <v>317</v>
      </c>
      <c r="AHR5" s="2" t="s">
        <v>318</v>
      </c>
      <c r="AHS5" s="2" t="s">
        <v>319</v>
      </c>
      <c r="AHT5" s="2" t="s">
        <v>320</v>
      </c>
      <c r="AHU5" s="2" t="s">
        <v>321</v>
      </c>
      <c r="AHV5" s="2" t="s">
        <v>322</v>
      </c>
      <c r="AHW5" s="2" t="s">
        <v>323</v>
      </c>
      <c r="AHX5" s="2" t="s">
        <v>317</v>
      </c>
      <c r="AHY5" s="2" t="s">
        <v>318</v>
      </c>
      <c r="AHZ5" s="2" t="s">
        <v>319</v>
      </c>
      <c r="AIA5" s="2" t="s">
        <v>320</v>
      </c>
      <c r="AIB5" s="2" t="s">
        <v>321</v>
      </c>
      <c r="AIC5" s="2" t="s">
        <v>322</v>
      </c>
      <c r="AID5" s="2" t="s">
        <v>323</v>
      </c>
      <c r="AIE5" s="2" t="s">
        <v>2</v>
      </c>
      <c r="AIF5" s="2" t="s">
        <v>317</v>
      </c>
      <c r="AIG5" s="2" t="s">
        <v>318</v>
      </c>
      <c r="AIH5" s="2" t="s">
        <v>319</v>
      </c>
      <c r="AII5" s="2" t="s">
        <v>320</v>
      </c>
      <c r="AIJ5" s="2" t="s">
        <v>321</v>
      </c>
      <c r="AIK5" s="2" t="s">
        <v>322</v>
      </c>
      <c r="AIL5" s="2" t="s">
        <v>323</v>
      </c>
      <c r="AIM5" s="2" t="s">
        <v>317</v>
      </c>
      <c r="AIN5" s="2" t="s">
        <v>318</v>
      </c>
      <c r="AIO5" s="2" t="s">
        <v>319</v>
      </c>
      <c r="AIP5" s="2" t="s">
        <v>320</v>
      </c>
      <c r="AIQ5" s="2" t="s">
        <v>321</v>
      </c>
      <c r="AIR5" s="2" t="s">
        <v>322</v>
      </c>
      <c r="AIS5" s="2" t="s">
        <v>323</v>
      </c>
      <c r="AIT5" s="2" t="s">
        <v>317</v>
      </c>
      <c r="AIU5" s="3" t="s">
        <v>318</v>
      </c>
      <c r="AIV5" s="2" t="s">
        <v>319</v>
      </c>
      <c r="AIW5" s="2" t="s">
        <v>320</v>
      </c>
      <c r="AIX5" s="2" t="s">
        <v>321</v>
      </c>
      <c r="AIY5" s="2" t="s">
        <v>322</v>
      </c>
      <c r="AIZ5" s="2" t="s">
        <v>323</v>
      </c>
      <c r="AJA5" s="2" t="s">
        <v>317</v>
      </c>
      <c r="AJB5" s="2" t="s">
        <v>318</v>
      </c>
      <c r="AJC5" s="2" t="s">
        <v>319</v>
      </c>
      <c r="AJD5" s="2" t="s">
        <v>320</v>
      </c>
      <c r="AJE5" s="2" t="s">
        <v>321</v>
      </c>
      <c r="AJF5" s="2" t="s">
        <v>322</v>
      </c>
      <c r="AJG5" s="2" t="s">
        <v>323</v>
      </c>
      <c r="AJH5" s="2" t="s">
        <v>317</v>
      </c>
      <c r="AJI5" s="2" t="s">
        <v>318</v>
      </c>
      <c r="AJJ5" s="2" t="s">
        <v>319</v>
      </c>
      <c r="AJK5" s="2" t="s">
        <v>2</v>
      </c>
      <c r="AJL5" s="2" t="s">
        <v>320</v>
      </c>
      <c r="AJM5" s="2" t="s">
        <v>321</v>
      </c>
      <c r="AJN5" s="2" t="s">
        <v>322</v>
      </c>
      <c r="AJO5" s="2" t="s">
        <v>323</v>
      </c>
      <c r="AJP5" s="2" t="s">
        <v>317</v>
      </c>
      <c r="AJQ5" s="2" t="s">
        <v>318</v>
      </c>
      <c r="AJR5" s="2" t="s">
        <v>319</v>
      </c>
      <c r="AJS5" s="2" t="s">
        <v>320</v>
      </c>
      <c r="AJT5" s="2" t="s">
        <v>321</v>
      </c>
      <c r="AJU5" s="2" t="s">
        <v>322</v>
      </c>
      <c r="AJV5" s="2" t="s">
        <v>323</v>
      </c>
      <c r="AJW5" s="2" t="s">
        <v>317</v>
      </c>
      <c r="AJX5" s="2" t="s">
        <v>318</v>
      </c>
      <c r="AJY5" s="2" t="s">
        <v>319</v>
      </c>
      <c r="AJZ5" s="2" t="s">
        <v>320</v>
      </c>
      <c r="AKA5" s="2" t="s">
        <v>321</v>
      </c>
      <c r="AKB5" s="2" t="s">
        <v>322</v>
      </c>
      <c r="AKC5" s="2" t="s">
        <v>323</v>
      </c>
      <c r="AKD5" s="2" t="s">
        <v>317</v>
      </c>
      <c r="AKE5" s="2" t="s">
        <v>318</v>
      </c>
      <c r="AKF5" s="2" t="s">
        <v>319</v>
      </c>
      <c r="AKG5" s="2" t="s">
        <v>320</v>
      </c>
      <c r="AKH5" s="2" t="s">
        <v>321</v>
      </c>
      <c r="AKI5" s="2" t="s">
        <v>322</v>
      </c>
      <c r="AKJ5" s="2" t="s">
        <v>323</v>
      </c>
      <c r="AKK5" s="2" t="s">
        <v>317</v>
      </c>
      <c r="AKL5" s="2" t="s">
        <v>318</v>
      </c>
      <c r="AKM5" s="2" t="s">
        <v>319</v>
      </c>
      <c r="AKN5" s="2" t="s">
        <v>320</v>
      </c>
      <c r="AKO5" s="2" t="s">
        <v>321</v>
      </c>
      <c r="AKP5" s="2" t="s">
        <v>322</v>
      </c>
      <c r="AKQ5" s="2" t="s">
        <v>2</v>
      </c>
      <c r="AKR5" s="2" t="s">
        <v>323</v>
      </c>
      <c r="AKS5" s="2" t="s">
        <v>317</v>
      </c>
      <c r="AKT5" s="2" t="s">
        <v>318</v>
      </c>
      <c r="AKU5" s="2" t="s">
        <v>319</v>
      </c>
      <c r="AKV5" s="2" t="s">
        <v>320</v>
      </c>
      <c r="AKW5" s="2" t="s">
        <v>321</v>
      </c>
      <c r="AKX5" s="2" t="s">
        <v>322</v>
      </c>
      <c r="AKY5" s="2" t="s">
        <v>323</v>
      </c>
      <c r="AKZ5" s="2" t="s">
        <v>317</v>
      </c>
      <c r="ALA5" s="2" t="s">
        <v>318</v>
      </c>
      <c r="ALB5" s="2" t="s">
        <v>319</v>
      </c>
      <c r="ALC5" s="2" t="s">
        <v>320</v>
      </c>
      <c r="ALD5" s="2" t="s">
        <v>321</v>
      </c>
      <c r="ALE5" s="2" t="s">
        <v>322</v>
      </c>
      <c r="ALF5" s="2" t="s">
        <v>323</v>
      </c>
      <c r="ALG5" s="2" t="s">
        <v>317</v>
      </c>
      <c r="ALH5" s="2" t="s">
        <v>318</v>
      </c>
      <c r="ALI5" s="2" t="s">
        <v>319</v>
      </c>
      <c r="ALJ5" s="2" t="s">
        <v>320</v>
      </c>
      <c r="ALK5" s="2" t="s">
        <v>321</v>
      </c>
      <c r="ALL5" s="3" t="s">
        <v>322</v>
      </c>
      <c r="ALM5" s="2" t="s">
        <v>323</v>
      </c>
      <c r="ALN5" s="2" t="s">
        <v>317</v>
      </c>
      <c r="ALO5" s="2" t="s">
        <v>318</v>
      </c>
      <c r="ALP5" s="2" t="s">
        <v>319</v>
      </c>
      <c r="ALQ5" s="2" t="s">
        <v>320</v>
      </c>
      <c r="ALR5" s="2" t="s">
        <v>321</v>
      </c>
      <c r="ALS5" s="2" t="s">
        <v>322</v>
      </c>
      <c r="ALT5" s="2" t="s">
        <v>2</v>
      </c>
      <c r="ALU5" s="2" t="s">
        <v>323</v>
      </c>
      <c r="ALV5" s="2" t="s">
        <v>317</v>
      </c>
      <c r="ALW5" s="2" t="s">
        <v>318</v>
      </c>
      <c r="ALX5" s="2" t="s">
        <v>319</v>
      </c>
      <c r="ALY5" s="2" t="s">
        <v>320</v>
      </c>
      <c r="ALZ5" s="2" t="s">
        <v>321</v>
      </c>
      <c r="AMA5" s="2" t="s">
        <v>322</v>
      </c>
      <c r="AMB5" s="2" t="s">
        <v>323</v>
      </c>
      <c r="AMC5" s="2" t="s">
        <v>317</v>
      </c>
      <c r="AMD5" s="2" t="s">
        <v>318</v>
      </c>
      <c r="AME5" s="2" t="s">
        <v>319</v>
      </c>
      <c r="AMF5" s="2" t="s">
        <v>320</v>
      </c>
      <c r="AMG5" s="2" t="s">
        <v>321</v>
      </c>
      <c r="AMH5" s="2" t="s">
        <v>322</v>
      </c>
      <c r="AMI5" s="2" t="s">
        <v>323</v>
      </c>
      <c r="AMJ5" s="2" t="s">
        <v>317</v>
      </c>
      <c r="AMK5" s="2" t="s">
        <v>318</v>
      </c>
      <c r="AML5" s="2" t="s">
        <v>319</v>
      </c>
      <c r="AMM5" s="2" t="s">
        <v>320</v>
      </c>
      <c r="AMN5" s="2" t="s">
        <v>321</v>
      </c>
      <c r="AMO5" s="2" t="s">
        <v>322</v>
      </c>
      <c r="AMP5" s="2" t="s">
        <v>323</v>
      </c>
      <c r="AMQ5" s="2" t="s">
        <v>317</v>
      </c>
      <c r="AMR5" s="2" t="s">
        <v>318</v>
      </c>
      <c r="AMS5" s="2" t="s">
        <v>319</v>
      </c>
      <c r="AMT5" s="3" t="s">
        <v>320</v>
      </c>
      <c r="AMU5" s="2" t="s">
        <v>321</v>
      </c>
      <c r="AMV5" s="2" t="s">
        <v>322</v>
      </c>
      <c r="AMW5" s="2" t="s">
        <v>323</v>
      </c>
      <c r="AMX5" s="2" t="s">
        <v>317</v>
      </c>
      <c r="AMY5" s="2" t="s">
        <v>318</v>
      </c>
      <c r="AMZ5" s="2" t="s">
        <v>2</v>
      </c>
      <c r="ANA5" s="2" t="s">
        <v>319</v>
      </c>
      <c r="ANB5" s="2" t="s">
        <v>320</v>
      </c>
      <c r="ANC5" s="2" t="s">
        <v>321</v>
      </c>
      <c r="AND5" s="2" t="s">
        <v>322</v>
      </c>
      <c r="ANE5" s="2" t="s">
        <v>323</v>
      </c>
      <c r="ANF5" s="2" t="s">
        <v>317</v>
      </c>
      <c r="ANG5" s="2" t="s">
        <v>318</v>
      </c>
      <c r="ANH5" s="2" t="s">
        <v>319</v>
      </c>
      <c r="ANI5" s="2" t="s">
        <v>320</v>
      </c>
      <c r="ANJ5" s="2" t="s">
        <v>321</v>
      </c>
      <c r="ANK5" s="2" t="s">
        <v>322</v>
      </c>
      <c r="ANL5" s="2" t="s">
        <v>323</v>
      </c>
      <c r="ANM5" s="2" t="s">
        <v>317</v>
      </c>
      <c r="ANN5" s="3" t="s">
        <v>318</v>
      </c>
      <c r="ANO5" s="2" t="s">
        <v>319</v>
      </c>
      <c r="ANP5" s="2" t="s">
        <v>320</v>
      </c>
      <c r="ANQ5" s="2" t="s">
        <v>321</v>
      </c>
      <c r="ANR5" s="2" t="s">
        <v>322</v>
      </c>
      <c r="ANS5" s="2" t="s">
        <v>323</v>
      </c>
      <c r="ANT5" s="2" t="s">
        <v>317</v>
      </c>
      <c r="ANU5" s="2" t="s">
        <v>318</v>
      </c>
      <c r="ANV5" s="2" t="s">
        <v>319</v>
      </c>
      <c r="ANW5" s="2" t="s">
        <v>320</v>
      </c>
      <c r="ANX5" s="2" t="s">
        <v>321</v>
      </c>
      <c r="ANY5" s="2" t="s">
        <v>322</v>
      </c>
      <c r="ANZ5" s="2" t="s">
        <v>323</v>
      </c>
      <c r="AOA5" s="2" t="s">
        <v>317</v>
      </c>
      <c r="AOB5" s="2" t="s">
        <v>318</v>
      </c>
      <c r="AOC5" s="2" t="s">
        <v>319</v>
      </c>
      <c r="AOD5" s="2" t="s">
        <v>320</v>
      </c>
      <c r="AOE5" s="2" t="s">
        <v>2</v>
      </c>
      <c r="AOF5" s="223" t="s">
        <v>321</v>
      </c>
      <c r="AOG5" s="2" t="s">
        <v>322</v>
      </c>
      <c r="AOH5" s="2" t="s">
        <v>323</v>
      </c>
      <c r="AOI5" s="2" t="s">
        <v>317</v>
      </c>
      <c r="AOJ5" s="2" t="s">
        <v>318</v>
      </c>
      <c r="AOK5" s="2" t="s">
        <v>319</v>
      </c>
      <c r="AOL5" s="2" t="s">
        <v>320</v>
      </c>
      <c r="AOM5" s="2" t="s">
        <v>321</v>
      </c>
      <c r="AON5" s="2" t="s">
        <v>322</v>
      </c>
      <c r="AOO5" s="2" t="s">
        <v>323</v>
      </c>
      <c r="AOP5" s="2" t="s">
        <v>317</v>
      </c>
      <c r="AOQ5" s="2" t="s">
        <v>318</v>
      </c>
      <c r="AOR5" s="2" t="s">
        <v>319</v>
      </c>
      <c r="AOS5" s="2" t="s">
        <v>320</v>
      </c>
      <c r="AOT5" s="2" t="s">
        <v>321</v>
      </c>
      <c r="AOU5" s="2" t="s">
        <v>322</v>
      </c>
      <c r="AOV5" s="2" t="s">
        <v>323</v>
      </c>
      <c r="AOW5" s="2" t="s">
        <v>317</v>
      </c>
      <c r="AOX5" s="2" t="s">
        <v>318</v>
      </c>
      <c r="AOY5" s="2" t="s">
        <v>319</v>
      </c>
      <c r="AOZ5" s="2" t="s">
        <v>320</v>
      </c>
      <c r="APA5" s="2" t="s">
        <v>321</v>
      </c>
      <c r="APB5" s="2" t="s">
        <v>322</v>
      </c>
      <c r="APC5" s="2" t="s">
        <v>323</v>
      </c>
      <c r="APD5" s="2" t="s">
        <v>317</v>
      </c>
      <c r="APE5" s="2" t="s">
        <v>318</v>
      </c>
      <c r="APF5" s="2" t="s">
        <v>319</v>
      </c>
      <c r="APG5" s="2" t="s">
        <v>320</v>
      </c>
      <c r="APH5" s="2" t="s">
        <v>321</v>
      </c>
      <c r="API5" s="2" t="s">
        <v>322</v>
      </c>
      <c r="APJ5" s="2" t="s">
        <v>323</v>
      </c>
      <c r="APK5" s="2" t="s">
        <v>2</v>
      </c>
      <c r="APL5" s="2" t="s">
        <v>317</v>
      </c>
      <c r="APM5" s="2" t="s">
        <v>318</v>
      </c>
      <c r="APN5" s="2" t="s">
        <v>319</v>
      </c>
      <c r="APO5" s="2" t="s">
        <v>320</v>
      </c>
      <c r="APP5" s="2" t="s">
        <v>321</v>
      </c>
      <c r="APQ5" s="2" t="s">
        <v>322</v>
      </c>
      <c r="APR5" s="2" t="s">
        <v>323</v>
      </c>
      <c r="APS5" s="2" t="s">
        <v>317</v>
      </c>
      <c r="APT5" s="2" t="s">
        <v>318</v>
      </c>
      <c r="APU5" s="2" t="s">
        <v>319</v>
      </c>
      <c r="APV5" s="2" t="s">
        <v>320</v>
      </c>
      <c r="APW5" s="2" t="s">
        <v>321</v>
      </c>
      <c r="APX5" s="2" t="s">
        <v>322</v>
      </c>
      <c r="APY5" s="2" t="s">
        <v>323</v>
      </c>
      <c r="APZ5" s="2" t="s">
        <v>317</v>
      </c>
      <c r="AQA5" s="2" t="s">
        <v>318</v>
      </c>
      <c r="AQB5" s="2" t="s">
        <v>319</v>
      </c>
      <c r="AQC5" s="2" t="s">
        <v>320</v>
      </c>
      <c r="AQD5" s="2" t="s">
        <v>321</v>
      </c>
      <c r="AQE5" s="2" t="s">
        <v>322</v>
      </c>
      <c r="AQF5" s="2" t="s">
        <v>323</v>
      </c>
      <c r="AQG5" s="2" t="s">
        <v>317</v>
      </c>
      <c r="AQH5" s="2" t="s">
        <v>318</v>
      </c>
      <c r="AQI5" s="2" t="s">
        <v>319</v>
      </c>
      <c r="AQJ5" s="2" t="s">
        <v>320</v>
      </c>
      <c r="AQK5" s="2" t="s">
        <v>321</v>
      </c>
      <c r="AQL5" s="2" t="s">
        <v>322</v>
      </c>
      <c r="AQM5" s="2" t="s">
        <v>323</v>
      </c>
      <c r="AQN5" s="2" t="s">
        <v>317</v>
      </c>
      <c r="AQO5" s="2" t="s">
        <v>318</v>
      </c>
      <c r="AQP5" s="2" t="s">
        <v>2</v>
      </c>
      <c r="AQQ5" s="2" t="s">
        <v>319</v>
      </c>
      <c r="AQR5" s="2" t="s">
        <v>320</v>
      </c>
      <c r="AQS5" s="2" t="s">
        <v>321</v>
      </c>
      <c r="AQT5" s="2" t="s">
        <v>322</v>
      </c>
      <c r="AQU5" s="2" t="s">
        <v>323</v>
      </c>
      <c r="AQV5" s="2" t="s">
        <v>317</v>
      </c>
      <c r="AQW5" s="2" t="s">
        <v>318</v>
      </c>
      <c r="AQX5" s="2" t="s">
        <v>319</v>
      </c>
      <c r="AQY5" s="2" t="s">
        <v>320</v>
      </c>
      <c r="AQZ5" s="2" t="s">
        <v>321</v>
      </c>
      <c r="ARA5" s="2" t="s">
        <v>322</v>
      </c>
      <c r="ARB5" s="2" t="s">
        <v>323</v>
      </c>
      <c r="ARC5" s="2" t="s">
        <v>317</v>
      </c>
      <c r="ARD5" s="2" t="s">
        <v>318</v>
      </c>
      <c r="ARE5" s="2" t="s">
        <v>319</v>
      </c>
      <c r="ARF5" s="2" t="s">
        <v>320</v>
      </c>
      <c r="ARG5" s="2" t="s">
        <v>321</v>
      </c>
      <c r="ARH5" s="2" t="s">
        <v>322</v>
      </c>
      <c r="ARI5" s="2" t="s">
        <v>323</v>
      </c>
      <c r="ARJ5" s="2" t="s">
        <v>317</v>
      </c>
      <c r="ARK5" s="2" t="s">
        <v>318</v>
      </c>
      <c r="ARL5" s="2" t="s">
        <v>319</v>
      </c>
      <c r="ARM5" s="2" t="s">
        <v>320</v>
      </c>
      <c r="ARN5" s="2" t="s">
        <v>321</v>
      </c>
      <c r="ARO5" s="2" t="s">
        <v>322</v>
      </c>
      <c r="ARP5" s="2" t="s">
        <v>323</v>
      </c>
      <c r="ARQ5" s="2" t="s">
        <v>317</v>
      </c>
      <c r="ARR5" s="2" t="s">
        <v>318</v>
      </c>
      <c r="ARS5" s="2" t="s">
        <v>319</v>
      </c>
      <c r="ART5" s="2" t="s">
        <v>320</v>
      </c>
      <c r="ARU5" s="2" t="s">
        <v>321</v>
      </c>
      <c r="ARV5" s="2" t="s">
        <v>2</v>
      </c>
      <c r="ARW5" s="2" t="s">
        <v>322</v>
      </c>
      <c r="ARX5" s="2" t="s">
        <v>323</v>
      </c>
      <c r="ARY5" s="2" t="s">
        <v>317</v>
      </c>
      <c r="ARZ5" s="2" t="s">
        <v>318</v>
      </c>
      <c r="ASA5" s="2" t="s">
        <v>319</v>
      </c>
      <c r="ASB5" s="2" t="s">
        <v>320</v>
      </c>
      <c r="ASC5" s="2" t="s">
        <v>321</v>
      </c>
      <c r="ASD5" s="2" t="s">
        <v>322</v>
      </c>
      <c r="ASE5" s="2" t="s">
        <v>323</v>
      </c>
      <c r="ASF5" s="2" t="s">
        <v>317</v>
      </c>
      <c r="ASG5" s="2" t="s">
        <v>318</v>
      </c>
      <c r="ASH5" s="2" t="s">
        <v>319</v>
      </c>
      <c r="ASI5" s="2" t="s">
        <v>320</v>
      </c>
      <c r="ASJ5" s="2" t="s">
        <v>321</v>
      </c>
      <c r="ASK5" s="2" t="s">
        <v>322</v>
      </c>
      <c r="ASL5" s="2" t="s">
        <v>323</v>
      </c>
      <c r="ASM5" s="2" t="s">
        <v>317</v>
      </c>
      <c r="ASN5" s="2" t="s">
        <v>318</v>
      </c>
      <c r="ASO5" s="2" t="s">
        <v>319</v>
      </c>
      <c r="ASP5" s="2" t="s">
        <v>320</v>
      </c>
      <c r="ASQ5" s="2" t="s">
        <v>321</v>
      </c>
      <c r="ASR5" s="2" t="s">
        <v>322</v>
      </c>
      <c r="ASS5" s="2" t="s">
        <v>323</v>
      </c>
      <c r="AST5" s="2" t="s">
        <v>317</v>
      </c>
      <c r="ASU5" s="2" t="s">
        <v>318</v>
      </c>
      <c r="ASV5" s="2" t="s">
        <v>319</v>
      </c>
      <c r="ASW5" s="2" t="s">
        <v>320</v>
      </c>
      <c r="ASX5" s="2" t="s">
        <v>321</v>
      </c>
      <c r="ASY5" s="2" t="s">
        <v>322</v>
      </c>
      <c r="ASZ5" s="2" t="s">
        <v>323</v>
      </c>
      <c r="ATA5" s="2" t="s">
        <v>317</v>
      </c>
      <c r="ATB5" s="2" t="s">
        <v>2</v>
      </c>
      <c r="ATC5" s="2" t="s">
        <v>318</v>
      </c>
      <c r="ATD5" s="2" t="s">
        <v>319</v>
      </c>
      <c r="ATE5" s="2" t="s">
        <v>320</v>
      </c>
      <c r="ATF5" s="2" t="s">
        <v>321</v>
      </c>
      <c r="ATG5" s="2" t="s">
        <v>322</v>
      </c>
      <c r="ATH5" s="2" t="s">
        <v>323</v>
      </c>
      <c r="ATI5" s="2" t="s">
        <v>317</v>
      </c>
      <c r="ATJ5" s="2" t="s">
        <v>318</v>
      </c>
      <c r="ATK5" s="2" t="s">
        <v>319</v>
      </c>
      <c r="ATL5" s="2" t="s">
        <v>320</v>
      </c>
      <c r="ATM5" s="2" t="s">
        <v>321</v>
      </c>
      <c r="ATN5" s="2" t="s">
        <v>322</v>
      </c>
      <c r="ATO5" s="2" t="s">
        <v>323</v>
      </c>
      <c r="ATP5" s="2" t="s">
        <v>317</v>
      </c>
      <c r="ATQ5" s="2" t="s">
        <v>318</v>
      </c>
      <c r="ATR5" s="2" t="s">
        <v>319</v>
      </c>
      <c r="ATS5" s="2" t="s">
        <v>320</v>
      </c>
      <c r="ATT5" s="2" t="s">
        <v>321</v>
      </c>
      <c r="ATU5" s="2" t="s">
        <v>322</v>
      </c>
      <c r="ATV5" s="2" t="s">
        <v>323</v>
      </c>
      <c r="ATW5" s="2" t="s">
        <v>317</v>
      </c>
      <c r="ATX5" s="2" t="s">
        <v>318</v>
      </c>
      <c r="ATY5" s="2" t="s">
        <v>319</v>
      </c>
      <c r="ATZ5" s="2" t="s">
        <v>320</v>
      </c>
      <c r="AUA5" s="2" t="s">
        <v>321</v>
      </c>
      <c r="AUB5" s="2" t="s">
        <v>322</v>
      </c>
      <c r="AUC5" s="2" t="s">
        <v>323</v>
      </c>
      <c r="AUD5" s="2" t="s">
        <v>317</v>
      </c>
      <c r="AUE5" s="2" t="s">
        <v>318</v>
      </c>
      <c r="AUF5" s="2" t="s">
        <v>319</v>
      </c>
      <c r="AUG5" s="2" t="s">
        <v>2</v>
      </c>
      <c r="AUH5" s="2" t="s">
        <v>320</v>
      </c>
      <c r="AUI5" s="2" t="s">
        <v>321</v>
      </c>
      <c r="AUJ5" s="2" t="s">
        <v>322</v>
      </c>
      <c r="AUK5" s="2" t="s">
        <v>323</v>
      </c>
      <c r="AUL5" s="2" t="s">
        <v>317</v>
      </c>
      <c r="AUM5" s="2" t="s">
        <v>318</v>
      </c>
      <c r="AUN5" s="2" t="s">
        <v>319</v>
      </c>
      <c r="AUO5" s="2" t="s">
        <v>320</v>
      </c>
      <c r="AUP5" s="2" t="s">
        <v>321</v>
      </c>
      <c r="AUQ5" s="2" t="s">
        <v>322</v>
      </c>
      <c r="AUR5" s="2" t="s">
        <v>323</v>
      </c>
      <c r="AUS5" s="2" t="s">
        <v>317</v>
      </c>
      <c r="AUT5" s="2" t="s">
        <v>318</v>
      </c>
      <c r="AUU5" s="2" t="s">
        <v>319</v>
      </c>
      <c r="AUV5" s="2" t="s">
        <v>320</v>
      </c>
      <c r="AUW5" s="2" t="s">
        <v>321</v>
      </c>
      <c r="AUX5" s="2" t="s">
        <v>322</v>
      </c>
      <c r="AUY5" s="2" t="s">
        <v>323</v>
      </c>
      <c r="AUZ5" s="2" t="s">
        <v>317</v>
      </c>
      <c r="AVA5" s="2" t="s">
        <v>318</v>
      </c>
      <c r="AVB5" s="2" t="s">
        <v>319</v>
      </c>
      <c r="AVC5" s="2" t="s">
        <v>320</v>
      </c>
      <c r="AVD5" s="2" t="s">
        <v>321</v>
      </c>
      <c r="AVE5" s="2" t="s">
        <v>322</v>
      </c>
      <c r="AVF5" s="2" t="s">
        <v>323</v>
      </c>
      <c r="AVG5" s="2" t="s">
        <v>317</v>
      </c>
      <c r="AVH5" s="2" t="s">
        <v>318</v>
      </c>
      <c r="AVI5" s="2" t="s">
        <v>319</v>
      </c>
      <c r="AVJ5" s="2" t="s">
        <v>320</v>
      </c>
      <c r="AVK5" s="2" t="s">
        <v>321</v>
      </c>
      <c r="AVL5" s="2" t="s">
        <v>322</v>
      </c>
      <c r="AVM5" s="2" t="s">
        <v>2</v>
      </c>
      <c r="AVN5" s="2" t="s">
        <v>323</v>
      </c>
      <c r="AVO5" s="2" t="s">
        <v>317</v>
      </c>
      <c r="AVP5" s="2" t="s">
        <v>318</v>
      </c>
      <c r="AVQ5" s="2" t="s">
        <v>319</v>
      </c>
      <c r="AVR5" s="2" t="s">
        <v>320</v>
      </c>
      <c r="AVS5" s="2" t="s">
        <v>321</v>
      </c>
      <c r="AVT5" s="2" t="s">
        <v>322</v>
      </c>
      <c r="AVU5" s="2" t="s">
        <v>323</v>
      </c>
      <c r="AVV5" s="2" t="s">
        <v>317</v>
      </c>
      <c r="AVW5" s="2" t="s">
        <v>318</v>
      </c>
      <c r="AVX5" s="2" t="s">
        <v>319</v>
      </c>
      <c r="AVY5" s="2" t="s">
        <v>320</v>
      </c>
      <c r="AVZ5" s="2" t="s">
        <v>321</v>
      </c>
      <c r="AWA5" s="2" t="s">
        <v>322</v>
      </c>
      <c r="AWB5" s="2" t="s">
        <v>323</v>
      </c>
      <c r="AWC5" s="2" t="s">
        <v>317</v>
      </c>
      <c r="AWD5" s="2" t="s">
        <v>318</v>
      </c>
      <c r="AWE5" s="2" t="s">
        <v>319</v>
      </c>
      <c r="AWF5" s="2" t="s">
        <v>320</v>
      </c>
      <c r="AWG5" s="2" t="s">
        <v>321</v>
      </c>
      <c r="AWH5" s="2" t="s">
        <v>322</v>
      </c>
      <c r="AWI5" s="2" t="s">
        <v>323</v>
      </c>
      <c r="AWJ5" s="2" t="s">
        <v>317</v>
      </c>
      <c r="AWK5" s="2" t="s">
        <v>318</v>
      </c>
      <c r="AWL5" s="2" t="s">
        <v>319</v>
      </c>
      <c r="AWM5" s="2" t="s">
        <v>320</v>
      </c>
      <c r="AWN5" s="2" t="s">
        <v>321</v>
      </c>
      <c r="AWO5" s="2" t="s">
        <v>322</v>
      </c>
      <c r="AWP5" s="2" t="s">
        <v>323</v>
      </c>
      <c r="AWQ5" s="2" t="s">
        <v>317</v>
      </c>
      <c r="AWR5" s="2" t="s">
        <v>2</v>
      </c>
      <c r="AWS5" s="2" t="s">
        <v>318</v>
      </c>
      <c r="AWT5" s="2" t="s">
        <v>319</v>
      </c>
      <c r="AWU5" s="2" t="s">
        <v>320</v>
      </c>
      <c r="AWV5" s="2" t="s">
        <v>321</v>
      </c>
      <c r="AWW5" s="2" t="s">
        <v>322</v>
      </c>
      <c r="AWX5" s="2" t="s">
        <v>323</v>
      </c>
      <c r="AWY5" s="2" t="s">
        <v>317</v>
      </c>
      <c r="AWZ5" s="2" t="s">
        <v>318</v>
      </c>
      <c r="AXA5" s="2" t="s">
        <v>319</v>
      </c>
      <c r="AXB5" s="2" t="s">
        <v>320</v>
      </c>
      <c r="AXC5" s="2" t="s">
        <v>321</v>
      </c>
      <c r="AXD5" s="2" t="s">
        <v>322</v>
      </c>
      <c r="AXE5" s="2" t="s">
        <v>323</v>
      </c>
      <c r="AXF5" s="2" t="s">
        <v>317</v>
      </c>
      <c r="AXG5" s="2" t="s">
        <v>318</v>
      </c>
      <c r="AXH5" s="2" t="s">
        <v>319</v>
      </c>
      <c r="AXI5" s="2" t="s">
        <v>320</v>
      </c>
      <c r="AXJ5" s="2" t="s">
        <v>321</v>
      </c>
      <c r="AXK5" s="2" t="s">
        <v>322</v>
      </c>
      <c r="AXL5" s="2" t="s">
        <v>323</v>
      </c>
      <c r="AXM5" s="2" t="s">
        <v>317</v>
      </c>
      <c r="AXN5" s="2" t="s">
        <v>318</v>
      </c>
      <c r="AXO5" s="2" t="s">
        <v>319</v>
      </c>
      <c r="AXP5" s="2" t="s">
        <v>320</v>
      </c>
      <c r="AXQ5" s="2" t="s">
        <v>321</v>
      </c>
      <c r="AXR5" s="2" t="s">
        <v>322</v>
      </c>
      <c r="AXS5" s="2" t="s">
        <v>323</v>
      </c>
      <c r="AXT5" s="2" t="s">
        <v>317</v>
      </c>
      <c r="AXU5" s="2" t="s">
        <v>318</v>
      </c>
      <c r="AXV5" s="2" t="s">
        <v>319</v>
      </c>
      <c r="AXW5" s="2" t="s">
        <v>320</v>
      </c>
      <c r="AXX5" s="2" t="s">
        <v>2</v>
      </c>
      <c r="AXY5" s="2" t="s">
        <v>321</v>
      </c>
      <c r="AXZ5" s="2" t="s">
        <v>322</v>
      </c>
      <c r="AYA5" s="2" t="s">
        <v>323</v>
      </c>
    </row>
    <row r="6" spans="1:1327" s="105" customFormat="1" ht="9" customHeight="1" thickBot="1" x14ac:dyDescent="0.35">
      <c r="B6" s="106" t="s">
        <v>10</v>
      </c>
      <c r="C6" s="107">
        <f t="shared" ref="C6:AG6" si="4">IF(C5="Fri",0,10)</f>
        <v>10</v>
      </c>
      <c r="D6" s="108">
        <f t="shared" si="4"/>
        <v>10</v>
      </c>
      <c r="E6" s="108">
        <f t="shared" si="4"/>
        <v>10</v>
      </c>
      <c r="F6" s="108">
        <f t="shared" si="4"/>
        <v>10</v>
      </c>
      <c r="G6" s="108">
        <f t="shared" si="4"/>
        <v>0</v>
      </c>
      <c r="H6" s="108">
        <f t="shared" si="4"/>
        <v>10</v>
      </c>
      <c r="I6" s="108">
        <f t="shared" si="4"/>
        <v>10</v>
      </c>
      <c r="J6" s="108">
        <f t="shared" si="4"/>
        <v>10</v>
      </c>
      <c r="K6" s="108">
        <f t="shared" si="4"/>
        <v>10</v>
      </c>
      <c r="L6" s="108">
        <f t="shared" si="4"/>
        <v>10</v>
      </c>
      <c r="M6" s="108">
        <f t="shared" si="4"/>
        <v>10</v>
      </c>
      <c r="N6" s="108">
        <f t="shared" si="4"/>
        <v>0</v>
      </c>
      <c r="O6" s="108">
        <f t="shared" si="4"/>
        <v>10</v>
      </c>
      <c r="P6" s="108">
        <f t="shared" si="4"/>
        <v>10</v>
      </c>
      <c r="Q6" s="108">
        <f t="shared" si="4"/>
        <v>10</v>
      </c>
      <c r="R6" s="108">
        <f t="shared" si="4"/>
        <v>10</v>
      </c>
      <c r="S6" s="108">
        <f t="shared" si="4"/>
        <v>10</v>
      </c>
      <c r="T6" s="108">
        <f t="shared" si="4"/>
        <v>10</v>
      </c>
      <c r="U6" s="108">
        <f t="shared" si="4"/>
        <v>0</v>
      </c>
      <c r="V6" s="108">
        <f t="shared" si="4"/>
        <v>10</v>
      </c>
      <c r="W6" s="108">
        <f t="shared" si="4"/>
        <v>10</v>
      </c>
      <c r="X6" s="108">
        <f t="shared" si="4"/>
        <v>10</v>
      </c>
      <c r="Y6" s="108">
        <f t="shared" si="4"/>
        <v>10</v>
      </c>
      <c r="Z6" s="108">
        <f t="shared" si="4"/>
        <v>10</v>
      </c>
      <c r="AA6" s="108">
        <f t="shared" si="4"/>
        <v>10</v>
      </c>
      <c r="AB6" s="108">
        <f t="shared" si="4"/>
        <v>0</v>
      </c>
      <c r="AC6" s="108">
        <f t="shared" si="4"/>
        <v>10</v>
      </c>
      <c r="AD6" s="108">
        <f t="shared" si="4"/>
        <v>10</v>
      </c>
      <c r="AE6" s="108">
        <f t="shared" si="4"/>
        <v>10</v>
      </c>
      <c r="AF6" s="108">
        <f t="shared" si="4"/>
        <v>10</v>
      </c>
      <c r="AG6" s="108">
        <f t="shared" si="4"/>
        <v>10</v>
      </c>
      <c r="AH6" s="109" t="s">
        <v>10</v>
      </c>
      <c r="AI6" s="110">
        <f t="shared" ref="AI6:BM6" si="5">IF(AI5="Fri",0,10)</f>
        <v>10</v>
      </c>
      <c r="AJ6" s="108">
        <f t="shared" si="5"/>
        <v>0</v>
      </c>
      <c r="AK6" s="108">
        <f t="shared" si="5"/>
        <v>10</v>
      </c>
      <c r="AL6" s="108">
        <f t="shared" si="5"/>
        <v>10</v>
      </c>
      <c r="AM6" s="108">
        <f t="shared" si="5"/>
        <v>10</v>
      </c>
      <c r="AN6" s="108">
        <f t="shared" si="5"/>
        <v>10</v>
      </c>
      <c r="AO6" s="108">
        <f t="shared" si="5"/>
        <v>10</v>
      </c>
      <c r="AP6" s="108">
        <f t="shared" si="5"/>
        <v>10</v>
      </c>
      <c r="AQ6" s="108">
        <f t="shared" si="5"/>
        <v>0</v>
      </c>
      <c r="AR6" s="108">
        <f t="shared" si="5"/>
        <v>10</v>
      </c>
      <c r="AS6" s="108">
        <f t="shared" si="5"/>
        <v>10</v>
      </c>
      <c r="AT6" s="108">
        <f t="shared" si="5"/>
        <v>10</v>
      </c>
      <c r="AU6" s="108">
        <f t="shared" si="5"/>
        <v>10</v>
      </c>
      <c r="AV6" s="108">
        <f t="shared" si="5"/>
        <v>10</v>
      </c>
      <c r="AW6" s="108">
        <f t="shared" si="5"/>
        <v>10</v>
      </c>
      <c r="AX6" s="108">
        <f t="shared" si="5"/>
        <v>0</v>
      </c>
      <c r="AY6" s="108">
        <f t="shared" si="5"/>
        <v>10</v>
      </c>
      <c r="AZ6" s="108">
        <f t="shared" si="5"/>
        <v>10</v>
      </c>
      <c r="BA6" s="108">
        <f t="shared" si="5"/>
        <v>10</v>
      </c>
      <c r="BB6" s="108">
        <f t="shared" si="5"/>
        <v>10</v>
      </c>
      <c r="BC6" s="108">
        <f t="shared" si="5"/>
        <v>10</v>
      </c>
      <c r="BD6" s="108">
        <f t="shared" si="5"/>
        <v>10</v>
      </c>
      <c r="BE6" s="108">
        <f t="shared" si="5"/>
        <v>0</v>
      </c>
      <c r="BF6" s="108">
        <f t="shared" si="5"/>
        <v>10</v>
      </c>
      <c r="BG6" s="108">
        <f t="shared" si="5"/>
        <v>10</v>
      </c>
      <c r="BH6" s="108">
        <f t="shared" si="5"/>
        <v>10</v>
      </c>
      <c r="BI6" s="108">
        <f t="shared" si="5"/>
        <v>10</v>
      </c>
      <c r="BJ6" s="108">
        <f t="shared" si="5"/>
        <v>10</v>
      </c>
      <c r="BK6" s="108">
        <f t="shared" si="5"/>
        <v>10</v>
      </c>
      <c r="BL6" s="108">
        <f t="shared" si="5"/>
        <v>0</v>
      </c>
      <c r="BM6" s="108">
        <f t="shared" si="5"/>
        <v>10</v>
      </c>
      <c r="BN6" s="106" t="s">
        <v>10</v>
      </c>
      <c r="BO6" s="107">
        <f t="shared" ref="BO6:CR6" si="6">IF(BO5="Fri",0,10)</f>
        <v>10</v>
      </c>
      <c r="BP6" s="108">
        <f t="shared" si="6"/>
        <v>10</v>
      </c>
      <c r="BQ6" s="108">
        <f t="shared" si="6"/>
        <v>10</v>
      </c>
      <c r="BR6" s="108">
        <f t="shared" si="6"/>
        <v>10</v>
      </c>
      <c r="BS6" s="108">
        <f t="shared" si="6"/>
        <v>10</v>
      </c>
      <c r="BT6" s="108">
        <f t="shared" si="6"/>
        <v>0</v>
      </c>
      <c r="BU6" s="108">
        <f t="shared" si="6"/>
        <v>10</v>
      </c>
      <c r="BV6" s="108">
        <f t="shared" si="6"/>
        <v>10</v>
      </c>
      <c r="BW6" s="108">
        <f t="shared" si="6"/>
        <v>10</v>
      </c>
      <c r="BX6" s="108">
        <f t="shared" si="6"/>
        <v>10</v>
      </c>
      <c r="BY6" s="108">
        <f t="shared" si="6"/>
        <v>10</v>
      </c>
      <c r="BZ6" s="108">
        <f t="shared" si="6"/>
        <v>10</v>
      </c>
      <c r="CA6" s="108">
        <f t="shared" si="6"/>
        <v>0</v>
      </c>
      <c r="CB6" s="108">
        <f t="shared" si="6"/>
        <v>10</v>
      </c>
      <c r="CC6" s="108">
        <f t="shared" si="6"/>
        <v>10</v>
      </c>
      <c r="CD6" s="108">
        <f t="shared" si="6"/>
        <v>10</v>
      </c>
      <c r="CE6" s="108">
        <f t="shared" si="6"/>
        <v>10</v>
      </c>
      <c r="CF6" s="108">
        <f t="shared" si="6"/>
        <v>10</v>
      </c>
      <c r="CG6" s="108">
        <f t="shared" si="6"/>
        <v>10</v>
      </c>
      <c r="CH6" s="108">
        <f t="shared" si="6"/>
        <v>0</v>
      </c>
      <c r="CI6" s="108">
        <f t="shared" si="6"/>
        <v>10</v>
      </c>
      <c r="CJ6" s="108">
        <f t="shared" si="6"/>
        <v>10</v>
      </c>
      <c r="CK6" s="108">
        <f t="shared" si="6"/>
        <v>10</v>
      </c>
      <c r="CL6" s="108">
        <f t="shared" si="6"/>
        <v>10</v>
      </c>
      <c r="CM6" s="108">
        <f t="shared" si="6"/>
        <v>10</v>
      </c>
      <c r="CN6" s="108">
        <f t="shared" si="6"/>
        <v>10</v>
      </c>
      <c r="CO6" s="108">
        <f t="shared" si="6"/>
        <v>0</v>
      </c>
      <c r="CP6" s="108">
        <f t="shared" si="6"/>
        <v>10</v>
      </c>
      <c r="CQ6" s="108">
        <f t="shared" si="6"/>
        <v>10</v>
      </c>
      <c r="CR6" s="108">
        <f t="shared" si="6"/>
        <v>10</v>
      </c>
      <c r="CS6" s="106" t="s">
        <v>10</v>
      </c>
      <c r="CT6" s="107">
        <f t="shared" ref="CT6:DX6" si="7">IF(CT5="Fri",0,10)</f>
        <v>10</v>
      </c>
      <c r="CU6" s="108">
        <f t="shared" si="7"/>
        <v>10</v>
      </c>
      <c r="CV6" s="108">
        <f t="shared" si="7"/>
        <v>10</v>
      </c>
      <c r="CW6" s="108">
        <f t="shared" si="7"/>
        <v>0</v>
      </c>
      <c r="CX6" s="108">
        <f t="shared" si="7"/>
        <v>10</v>
      </c>
      <c r="CY6" s="108">
        <f t="shared" si="7"/>
        <v>10</v>
      </c>
      <c r="CZ6" s="108">
        <f t="shared" si="7"/>
        <v>10</v>
      </c>
      <c r="DA6" s="108">
        <f t="shared" si="7"/>
        <v>10</v>
      </c>
      <c r="DB6" s="108">
        <f t="shared" si="7"/>
        <v>10</v>
      </c>
      <c r="DC6" s="108">
        <f t="shared" si="7"/>
        <v>10</v>
      </c>
      <c r="DD6" s="108">
        <f t="shared" si="7"/>
        <v>0</v>
      </c>
      <c r="DE6" s="108">
        <f t="shared" si="7"/>
        <v>10</v>
      </c>
      <c r="DF6" s="108">
        <f t="shared" si="7"/>
        <v>10</v>
      </c>
      <c r="DG6" s="108">
        <f t="shared" si="7"/>
        <v>10</v>
      </c>
      <c r="DH6" s="108">
        <f t="shared" si="7"/>
        <v>10</v>
      </c>
      <c r="DI6" s="108">
        <f t="shared" si="7"/>
        <v>10</v>
      </c>
      <c r="DJ6" s="108">
        <f t="shared" si="7"/>
        <v>10</v>
      </c>
      <c r="DK6" s="108">
        <f t="shared" si="7"/>
        <v>0</v>
      </c>
      <c r="DL6" s="108">
        <f t="shared" si="7"/>
        <v>10</v>
      </c>
      <c r="DM6" s="108">
        <f t="shared" si="7"/>
        <v>10</v>
      </c>
      <c r="DN6" s="108">
        <f t="shared" si="7"/>
        <v>10</v>
      </c>
      <c r="DO6" s="108">
        <f t="shared" si="7"/>
        <v>10</v>
      </c>
      <c r="DP6" s="108">
        <f t="shared" si="7"/>
        <v>10</v>
      </c>
      <c r="DQ6" s="108">
        <f t="shared" si="7"/>
        <v>10</v>
      </c>
      <c r="DR6" s="108">
        <f t="shared" si="7"/>
        <v>0</v>
      </c>
      <c r="DS6" s="108">
        <f t="shared" si="7"/>
        <v>10</v>
      </c>
      <c r="DT6" s="108">
        <f t="shared" si="7"/>
        <v>10</v>
      </c>
      <c r="DU6" s="108">
        <f t="shared" si="7"/>
        <v>10</v>
      </c>
      <c r="DV6" s="108">
        <f t="shared" si="7"/>
        <v>10</v>
      </c>
      <c r="DW6" s="108">
        <f t="shared" si="7"/>
        <v>10</v>
      </c>
      <c r="DX6" s="108">
        <f t="shared" si="7"/>
        <v>10</v>
      </c>
      <c r="DY6" s="106" t="s">
        <v>10</v>
      </c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06" t="s">
        <v>10</v>
      </c>
      <c r="FE6" s="111"/>
      <c r="FF6" s="111"/>
      <c r="FG6" s="111"/>
      <c r="FH6" s="111"/>
      <c r="FI6" s="111"/>
      <c r="FJ6" s="111"/>
      <c r="FK6" s="111"/>
      <c r="FL6" s="111"/>
      <c r="FM6" s="111"/>
      <c r="FN6" s="111"/>
      <c r="FO6" s="111"/>
      <c r="FP6" s="111"/>
      <c r="FQ6" s="11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06" t="s">
        <v>10</v>
      </c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  <c r="GW6" s="111"/>
      <c r="GX6" s="111"/>
      <c r="GY6" s="111"/>
      <c r="GZ6" s="111"/>
      <c r="HA6" s="111"/>
      <c r="HB6" s="111"/>
      <c r="HC6" s="111"/>
      <c r="HD6" s="111"/>
      <c r="HE6" s="111"/>
      <c r="HF6" s="111"/>
      <c r="HG6" s="111"/>
      <c r="HH6" s="111"/>
      <c r="HI6" s="111"/>
      <c r="HJ6" s="111"/>
      <c r="HK6" s="111"/>
      <c r="HL6" s="111"/>
      <c r="HM6" s="111"/>
      <c r="HN6" s="111"/>
      <c r="HO6" s="111"/>
      <c r="HP6" s="106" t="s">
        <v>10</v>
      </c>
      <c r="HQ6" s="111"/>
      <c r="HR6" s="111"/>
      <c r="HS6" s="111"/>
      <c r="HT6" s="111"/>
      <c r="HU6" s="111"/>
      <c r="HV6" s="111"/>
      <c r="HW6" s="111"/>
      <c r="HX6" s="111"/>
      <c r="HY6" s="111"/>
      <c r="HZ6" s="111"/>
      <c r="IA6" s="111"/>
      <c r="IB6" s="111"/>
      <c r="IC6" s="111"/>
      <c r="ID6" s="111"/>
      <c r="IE6" s="111"/>
      <c r="IF6" s="111"/>
      <c r="IG6" s="111"/>
      <c r="IH6" s="111"/>
      <c r="II6" s="111"/>
      <c r="IJ6" s="111"/>
      <c r="IK6" s="111"/>
      <c r="IL6" s="111"/>
      <c r="IM6" s="111"/>
      <c r="IN6" s="111"/>
      <c r="IO6" s="111"/>
      <c r="IP6" s="111"/>
      <c r="IQ6" s="111"/>
      <c r="IR6" s="111"/>
      <c r="IS6" s="111"/>
      <c r="IT6" s="106" t="s">
        <v>10</v>
      </c>
      <c r="IU6" s="111"/>
      <c r="IV6" s="111"/>
      <c r="IW6" s="111"/>
      <c r="IX6" s="111"/>
      <c r="IY6" s="111"/>
      <c r="IZ6" s="111"/>
      <c r="JA6" s="111"/>
      <c r="JB6" s="111"/>
      <c r="JC6" s="111"/>
      <c r="JD6" s="111"/>
      <c r="JE6" s="111"/>
      <c r="JF6" s="111"/>
      <c r="JG6" s="111"/>
      <c r="JH6" s="111"/>
      <c r="JI6" s="111"/>
      <c r="JJ6" s="111"/>
      <c r="JK6" s="111"/>
      <c r="JL6" s="111"/>
      <c r="JM6" s="111"/>
      <c r="JN6" s="111"/>
      <c r="JO6" s="111"/>
      <c r="JP6" s="111"/>
      <c r="JQ6" s="111"/>
      <c r="JR6" s="111"/>
      <c r="JS6" s="111"/>
      <c r="JT6" s="111"/>
      <c r="JU6" s="111"/>
      <c r="JV6" s="111"/>
      <c r="JW6" s="111"/>
      <c r="JX6" s="111"/>
      <c r="JY6" s="111"/>
      <c r="JZ6" s="106" t="s">
        <v>10</v>
      </c>
      <c r="KA6" s="111"/>
      <c r="KB6" s="111"/>
      <c r="KC6" s="111"/>
      <c r="KD6" s="111"/>
      <c r="KE6" s="111"/>
      <c r="KF6" s="111"/>
      <c r="KG6" s="111"/>
      <c r="KH6" s="111"/>
      <c r="KI6" s="111"/>
      <c r="KJ6" s="111"/>
      <c r="KK6" s="111"/>
      <c r="KL6" s="111"/>
      <c r="KM6" s="111"/>
      <c r="KN6" s="111"/>
      <c r="KO6" s="111"/>
      <c r="KP6" s="111"/>
      <c r="KQ6" s="111"/>
      <c r="KR6" s="111"/>
      <c r="KS6" s="111"/>
      <c r="KT6" s="111"/>
      <c r="KU6" s="111"/>
      <c r="KV6" s="111"/>
      <c r="KW6" s="111"/>
      <c r="KX6" s="111"/>
      <c r="KY6" s="111"/>
      <c r="KZ6" s="111"/>
      <c r="LA6" s="111"/>
      <c r="LB6" s="111"/>
      <c r="LC6" s="111"/>
      <c r="LD6" s="111"/>
      <c r="LE6" s="106" t="s">
        <v>10</v>
      </c>
      <c r="LF6" s="111"/>
      <c r="LG6" s="111"/>
      <c r="LH6" s="111"/>
      <c r="LI6" s="111"/>
      <c r="LJ6" s="111"/>
      <c r="LK6" s="111"/>
      <c r="LL6" s="111"/>
      <c r="LM6" s="111"/>
      <c r="LN6" s="111"/>
      <c r="LO6" s="111"/>
      <c r="LP6" s="111"/>
      <c r="LQ6" s="111"/>
      <c r="LR6" s="111"/>
      <c r="LS6" s="111"/>
      <c r="LT6" s="111"/>
      <c r="LU6" s="111"/>
      <c r="LV6" s="111"/>
      <c r="LW6" s="111"/>
      <c r="LX6" s="111"/>
      <c r="LY6" s="111"/>
      <c r="LZ6" s="111"/>
      <c r="MA6" s="111"/>
      <c r="MB6" s="111"/>
      <c r="MC6" s="111"/>
      <c r="MD6" s="111"/>
      <c r="ME6" s="111"/>
      <c r="MF6" s="111"/>
      <c r="MG6" s="111"/>
      <c r="MH6" s="111"/>
      <c r="MI6" s="111"/>
      <c r="MJ6" s="111"/>
      <c r="MK6" s="106" t="s">
        <v>10</v>
      </c>
      <c r="ML6" s="111"/>
      <c r="MM6" s="111"/>
      <c r="MN6" s="111"/>
      <c r="MO6" s="111"/>
      <c r="MP6" s="111"/>
      <c r="MQ6" s="111"/>
      <c r="MR6" s="111"/>
      <c r="MS6" s="111"/>
      <c r="MT6" s="111"/>
      <c r="MU6" s="111"/>
      <c r="MV6" s="111"/>
      <c r="MW6" s="111"/>
      <c r="MX6" s="111"/>
      <c r="MY6" s="111"/>
      <c r="MZ6" s="111"/>
      <c r="NA6" s="111"/>
      <c r="NB6" s="111"/>
      <c r="NC6" s="111"/>
      <c r="ND6" s="111"/>
      <c r="NE6" s="111"/>
      <c r="NF6" s="111"/>
      <c r="NG6" s="111"/>
      <c r="NH6" s="111"/>
      <c r="NI6" s="111"/>
      <c r="NJ6" s="111"/>
      <c r="NK6" s="111"/>
      <c r="NL6" s="111"/>
      <c r="NM6" s="111"/>
      <c r="NN6" s="111"/>
      <c r="NO6" s="111"/>
      <c r="NP6" s="106" t="s">
        <v>10</v>
      </c>
      <c r="NQ6" s="111"/>
      <c r="OS6" s="189"/>
      <c r="OT6" s="189"/>
      <c r="OU6" s="189"/>
      <c r="OV6" s="190" t="s">
        <v>10</v>
      </c>
      <c r="OW6" s="189"/>
      <c r="OX6" s="189"/>
      <c r="OY6" s="189"/>
      <c r="OZ6" s="189"/>
      <c r="PA6" s="189"/>
      <c r="PB6" s="189"/>
      <c r="PC6" s="189"/>
      <c r="QB6" s="106" t="s">
        <v>10</v>
      </c>
      <c r="RG6" s="106" t="s">
        <v>10</v>
      </c>
      <c r="SM6" s="106" t="s">
        <v>10</v>
      </c>
      <c r="TR6" s="106" t="s">
        <v>10</v>
      </c>
      <c r="UX6" s="106" t="s">
        <v>10</v>
      </c>
      <c r="WD6" s="106" t="s">
        <v>10</v>
      </c>
      <c r="XG6" s="106" t="s">
        <v>10</v>
      </c>
      <c r="YM6" s="106" t="s">
        <v>10</v>
      </c>
      <c r="ZR6" s="106" t="s">
        <v>10</v>
      </c>
      <c r="AAX6" s="106" t="s">
        <v>10</v>
      </c>
      <c r="ACC6" s="106" t="s">
        <v>10</v>
      </c>
      <c r="ACV6" s="189"/>
      <c r="ACW6" s="189"/>
      <c r="ACX6" s="189"/>
      <c r="ACY6" s="189"/>
      <c r="ACZ6" s="189"/>
      <c r="ADA6" s="189"/>
      <c r="ADB6" s="189"/>
      <c r="ADC6" s="189"/>
      <c r="ADD6" s="189"/>
      <c r="ADI6" s="106" t="s">
        <v>10</v>
      </c>
      <c r="AEO6" s="106" t="s">
        <v>10</v>
      </c>
      <c r="AFT6" s="106" t="s">
        <v>10</v>
      </c>
      <c r="AGZ6" s="106" t="s">
        <v>10</v>
      </c>
      <c r="AIE6" s="106" t="s">
        <v>10</v>
      </c>
      <c r="AJK6" s="106" t="s">
        <v>10</v>
      </c>
      <c r="AKQ6" s="106" t="s">
        <v>10</v>
      </c>
      <c r="ALT6" s="106" t="s">
        <v>10</v>
      </c>
      <c r="AMZ6" s="106" t="s">
        <v>10</v>
      </c>
      <c r="AOE6" s="106" t="s">
        <v>10</v>
      </c>
      <c r="APK6" s="106" t="s">
        <v>10</v>
      </c>
      <c r="AQP6" s="106" t="s">
        <v>10</v>
      </c>
      <c r="ARV6" s="106" t="s">
        <v>10</v>
      </c>
      <c r="ATB6" s="106" t="s">
        <v>10</v>
      </c>
      <c r="AUG6" s="106" t="s">
        <v>10</v>
      </c>
      <c r="AVM6" s="106" t="s">
        <v>10</v>
      </c>
      <c r="AWR6" s="106" t="s">
        <v>10</v>
      </c>
      <c r="AXX6" s="106" t="s">
        <v>10</v>
      </c>
    </row>
    <row r="7" spans="1:1327" s="113" customFormat="1" ht="28.5" customHeight="1" thickTop="1" x14ac:dyDescent="0.35">
      <c r="A7" s="710" t="s">
        <v>380</v>
      </c>
      <c r="B7" s="112"/>
      <c r="AH7" s="114"/>
      <c r="AQ7" s="747" t="s">
        <v>53</v>
      </c>
      <c r="AR7" s="748"/>
      <c r="AS7" s="748"/>
      <c r="AT7" s="748"/>
      <c r="AU7" s="748"/>
      <c r="AV7" s="748"/>
      <c r="AW7" s="748"/>
      <c r="AX7" s="748"/>
      <c r="AY7" s="748"/>
      <c r="AZ7" s="749"/>
      <c r="BN7" s="112"/>
      <c r="CS7" s="112"/>
      <c r="CT7" s="113">
        <v>2025</v>
      </c>
      <c r="CU7" s="113">
        <v>2025</v>
      </c>
      <c r="CV7" s="113">
        <v>2025</v>
      </c>
      <c r="CX7" s="113">
        <v>2025</v>
      </c>
      <c r="CY7" s="113">
        <v>2025</v>
      </c>
      <c r="CZ7" s="113">
        <v>2025</v>
      </c>
      <c r="DA7" s="113">
        <v>2025</v>
      </c>
      <c r="DB7" s="113">
        <v>2025</v>
      </c>
      <c r="DC7" s="113">
        <v>2025</v>
      </c>
      <c r="DE7" s="113">
        <v>2025</v>
      </c>
      <c r="DF7" s="113">
        <v>2025</v>
      </c>
      <c r="DG7" s="113">
        <v>2025</v>
      </c>
      <c r="DH7" s="113">
        <v>2025</v>
      </c>
      <c r="DI7" s="113">
        <v>2025</v>
      </c>
      <c r="DJ7" s="113">
        <v>2025</v>
      </c>
      <c r="DL7" s="113">
        <v>2025</v>
      </c>
      <c r="DM7" s="113">
        <v>2025</v>
      </c>
      <c r="DN7" s="113">
        <v>2025</v>
      </c>
      <c r="DO7" s="113">
        <v>2025</v>
      </c>
      <c r="DP7" s="113">
        <v>2025</v>
      </c>
      <c r="DQ7" s="113">
        <v>2025</v>
      </c>
      <c r="DS7" s="113">
        <v>2025</v>
      </c>
      <c r="DT7" s="113">
        <v>2025</v>
      </c>
      <c r="DU7" s="113">
        <v>2025</v>
      </c>
      <c r="DV7" s="113">
        <v>2025</v>
      </c>
      <c r="DW7" s="113">
        <v>2025</v>
      </c>
      <c r="DX7" s="113">
        <v>2025</v>
      </c>
      <c r="DY7" s="112"/>
      <c r="EA7" s="113">
        <v>2025</v>
      </c>
      <c r="EB7" s="113">
        <v>2025</v>
      </c>
      <c r="EC7" s="113">
        <v>2025</v>
      </c>
      <c r="ED7" s="113">
        <v>2025</v>
      </c>
      <c r="EE7" s="113">
        <v>2025</v>
      </c>
      <c r="EF7" s="113">
        <v>2025</v>
      </c>
      <c r="EH7" s="113">
        <v>2025</v>
      </c>
      <c r="EI7" s="113">
        <v>2025</v>
      </c>
      <c r="EJ7" s="113">
        <v>2025</v>
      </c>
      <c r="EK7" s="113">
        <v>2025</v>
      </c>
      <c r="EL7" s="113">
        <v>2025</v>
      </c>
      <c r="EM7" s="113">
        <v>2025</v>
      </c>
      <c r="EO7" s="113">
        <v>2025</v>
      </c>
      <c r="EP7" s="113">
        <v>2025</v>
      </c>
      <c r="EQ7" s="113">
        <v>2025</v>
      </c>
      <c r="ER7" s="113">
        <v>2025</v>
      </c>
      <c r="ES7" s="113">
        <v>2025</v>
      </c>
      <c r="ET7" s="113">
        <v>2025</v>
      </c>
      <c r="EV7" s="113">
        <v>2025</v>
      </c>
      <c r="EW7" s="113">
        <v>2025</v>
      </c>
      <c r="EX7" s="113">
        <v>2025</v>
      </c>
      <c r="EY7" s="113">
        <v>2025</v>
      </c>
      <c r="EZ7" s="113">
        <v>2025</v>
      </c>
      <c r="FA7" s="113">
        <v>2025</v>
      </c>
      <c r="FC7" s="113">
        <v>2025</v>
      </c>
      <c r="FD7" s="112"/>
      <c r="FE7" s="115">
        <v>1880</v>
      </c>
      <c r="FF7" s="115">
        <v>1880</v>
      </c>
      <c r="FG7" s="115">
        <v>1880</v>
      </c>
      <c r="FH7" s="115">
        <v>1880</v>
      </c>
      <c r="FI7" s="115">
        <v>1880</v>
      </c>
      <c r="FJ7" s="115"/>
      <c r="FK7" s="115">
        <v>1880</v>
      </c>
      <c r="FL7" s="115">
        <v>1880</v>
      </c>
      <c r="FM7" s="115">
        <v>1880</v>
      </c>
      <c r="FN7" s="115">
        <v>1880</v>
      </c>
      <c r="FO7" s="115">
        <v>1880</v>
      </c>
      <c r="FP7" s="115">
        <v>1880</v>
      </c>
      <c r="FQ7" s="115"/>
      <c r="FR7" s="115">
        <v>1880</v>
      </c>
      <c r="FS7" s="115">
        <v>1880</v>
      </c>
      <c r="FT7" s="115"/>
      <c r="FU7" s="115">
        <v>1880</v>
      </c>
      <c r="FV7" s="115">
        <v>1880</v>
      </c>
      <c r="FW7" s="115">
        <v>1880</v>
      </c>
      <c r="FX7" s="115"/>
      <c r="FY7" s="115">
        <v>1880</v>
      </c>
      <c r="FZ7" s="115">
        <v>1880</v>
      </c>
      <c r="GA7" s="115">
        <v>440</v>
      </c>
      <c r="GB7" s="116">
        <v>1500</v>
      </c>
      <c r="GC7" s="116">
        <v>1760</v>
      </c>
      <c r="GD7" s="116">
        <v>1760</v>
      </c>
      <c r="GF7" s="116">
        <v>1760</v>
      </c>
      <c r="GG7" s="116">
        <v>1760</v>
      </c>
      <c r="GH7" s="116">
        <v>1760</v>
      </c>
      <c r="GI7" s="116">
        <v>1760</v>
      </c>
      <c r="GJ7" s="112"/>
      <c r="GK7" s="116">
        <v>1760</v>
      </c>
      <c r="GL7" s="116">
        <v>1760</v>
      </c>
      <c r="GM7" s="116"/>
      <c r="GN7" s="116">
        <v>1760</v>
      </c>
      <c r="GO7" s="116">
        <v>1760</v>
      </c>
      <c r="GP7" s="116">
        <v>1760</v>
      </c>
      <c r="GQ7" s="116">
        <v>1760</v>
      </c>
      <c r="GR7" s="116">
        <v>1760</v>
      </c>
      <c r="GS7" s="116">
        <v>1760</v>
      </c>
      <c r="GT7" s="116"/>
      <c r="GU7" s="116">
        <v>1760</v>
      </c>
      <c r="GV7" s="116">
        <v>1760</v>
      </c>
      <c r="GW7" s="116">
        <v>1760</v>
      </c>
      <c r="GX7" s="116">
        <v>1760</v>
      </c>
      <c r="GY7" s="116">
        <v>1760</v>
      </c>
      <c r="GZ7" s="116">
        <v>1760</v>
      </c>
      <c r="HA7" s="116"/>
      <c r="HB7" s="116">
        <v>1760</v>
      </c>
      <c r="HC7" s="116">
        <f>500+200</f>
        <v>700</v>
      </c>
      <c r="HD7" s="116">
        <v>1100</v>
      </c>
      <c r="HE7" s="116">
        <v>1500</v>
      </c>
      <c r="HF7" s="116">
        <v>1840</v>
      </c>
      <c r="HG7" s="116">
        <v>1285</v>
      </c>
      <c r="HH7" s="116"/>
      <c r="HI7" s="116">
        <v>510</v>
      </c>
      <c r="HJ7" s="116">
        <v>1200</v>
      </c>
      <c r="HK7" s="116">
        <v>1500</v>
      </c>
      <c r="HL7" s="116">
        <v>1840</v>
      </c>
      <c r="HM7" s="116">
        <v>1840</v>
      </c>
      <c r="HN7" s="116">
        <v>1840</v>
      </c>
      <c r="HO7" s="116"/>
      <c r="HP7" s="112"/>
      <c r="HQ7" s="116">
        <v>2530</v>
      </c>
      <c r="HR7" s="116">
        <v>2530</v>
      </c>
      <c r="HS7" s="116">
        <v>2530</v>
      </c>
      <c r="HT7" s="116">
        <v>2530</v>
      </c>
      <c r="HU7" s="116">
        <v>2530</v>
      </c>
      <c r="HV7" s="116">
        <v>2530</v>
      </c>
      <c r="HW7" s="116"/>
      <c r="HX7" s="116">
        <v>2530</v>
      </c>
      <c r="HY7" s="116">
        <v>2530</v>
      </c>
      <c r="HZ7" s="116">
        <v>2530</v>
      </c>
      <c r="IA7" s="116">
        <v>2530</v>
      </c>
      <c r="IB7" s="117">
        <v>2355</v>
      </c>
      <c r="IC7" s="116">
        <v>900</v>
      </c>
      <c r="ID7" s="118"/>
      <c r="IE7" s="203">
        <v>900</v>
      </c>
      <c r="IF7" s="118">
        <v>2530</v>
      </c>
      <c r="IG7" s="118">
        <v>2530</v>
      </c>
      <c r="IH7" s="118">
        <v>2530</v>
      </c>
      <c r="II7" s="118">
        <v>2530</v>
      </c>
      <c r="IJ7" s="118">
        <v>2530</v>
      </c>
      <c r="IK7" s="118"/>
      <c r="IL7" s="118">
        <v>2530</v>
      </c>
      <c r="IM7" s="118">
        <v>2530</v>
      </c>
      <c r="IN7" s="118">
        <v>2530</v>
      </c>
      <c r="IO7" s="118">
        <v>2530</v>
      </c>
      <c r="IP7" s="118">
        <v>2530</v>
      </c>
      <c r="IQ7" s="118">
        <v>2530</v>
      </c>
      <c r="IR7" s="118"/>
      <c r="IS7" s="118">
        <v>2530</v>
      </c>
      <c r="IT7" s="112"/>
      <c r="IU7" s="118">
        <v>2530</v>
      </c>
      <c r="IV7" s="118">
        <v>2530</v>
      </c>
      <c r="IW7" s="118">
        <v>2530</v>
      </c>
      <c r="IX7" s="118">
        <v>2530</v>
      </c>
      <c r="IY7" s="118">
        <v>2530</v>
      </c>
      <c r="IZ7" s="118"/>
      <c r="JA7" s="118">
        <v>2530</v>
      </c>
      <c r="JB7" s="118">
        <v>2530</v>
      </c>
      <c r="JC7" s="118">
        <v>2530</v>
      </c>
      <c r="JD7" s="118">
        <v>2530</v>
      </c>
      <c r="JE7" s="118">
        <v>2530</v>
      </c>
      <c r="JF7" s="118">
        <v>2530</v>
      </c>
      <c r="JG7" s="118"/>
      <c r="JH7" s="118">
        <v>2530</v>
      </c>
      <c r="JI7" s="118">
        <v>2530</v>
      </c>
      <c r="JJ7" s="118">
        <v>2530</v>
      </c>
      <c r="JK7" s="118">
        <v>2530</v>
      </c>
      <c r="JL7" s="118">
        <v>2530</v>
      </c>
      <c r="JM7" s="118">
        <v>2530</v>
      </c>
      <c r="JN7" s="118"/>
      <c r="JO7" s="118">
        <v>2530</v>
      </c>
      <c r="JP7" s="118">
        <v>2530</v>
      </c>
      <c r="JQ7" s="118">
        <v>2530</v>
      </c>
      <c r="JR7" s="118">
        <v>2530</v>
      </c>
      <c r="JS7" s="118">
        <v>2530</v>
      </c>
      <c r="JT7" s="118"/>
      <c r="JU7" s="118"/>
      <c r="JV7" s="118">
        <v>2530</v>
      </c>
      <c r="JW7" s="118">
        <v>2530</v>
      </c>
      <c r="JX7" s="118">
        <v>2530</v>
      </c>
      <c r="JY7" s="118">
        <v>2530</v>
      </c>
      <c r="JZ7" s="112"/>
      <c r="KA7" s="118">
        <v>2530</v>
      </c>
      <c r="KB7" s="118">
        <v>2530</v>
      </c>
      <c r="KC7" s="118"/>
      <c r="KD7" s="118">
        <v>2530</v>
      </c>
      <c r="KE7" s="118">
        <v>2530</v>
      </c>
      <c r="KF7" s="118">
        <v>2530</v>
      </c>
      <c r="KG7" s="118">
        <v>2530</v>
      </c>
      <c r="KH7" s="118"/>
      <c r="KI7" s="118">
        <v>2530</v>
      </c>
      <c r="KJ7" s="118">
        <v>2530</v>
      </c>
      <c r="KK7" s="118">
        <v>2530</v>
      </c>
      <c r="KL7" s="118">
        <v>2530</v>
      </c>
      <c r="KM7" s="118">
        <v>2530</v>
      </c>
      <c r="KN7" s="118"/>
      <c r="KO7" s="118">
        <v>2530</v>
      </c>
      <c r="KP7" s="118">
        <v>2530</v>
      </c>
      <c r="KQ7" s="118">
        <v>2530</v>
      </c>
      <c r="KR7" s="118">
        <v>2530</v>
      </c>
      <c r="KS7" s="118">
        <v>2530</v>
      </c>
      <c r="KT7" s="118">
        <v>2530</v>
      </c>
      <c r="KU7" s="118">
        <v>2530</v>
      </c>
      <c r="KV7" s="118">
        <v>2530</v>
      </c>
      <c r="KW7" s="118">
        <v>2530</v>
      </c>
      <c r="KX7" s="118"/>
      <c r="KY7" s="118">
        <v>2070</v>
      </c>
      <c r="KZ7" s="118">
        <v>2070</v>
      </c>
      <c r="LA7" s="118">
        <v>2070</v>
      </c>
      <c r="LB7" s="118">
        <v>2070</v>
      </c>
      <c r="LC7" s="118">
        <v>2070</v>
      </c>
      <c r="LD7" s="118">
        <v>2070</v>
      </c>
      <c r="LE7" s="112"/>
      <c r="LF7" s="118"/>
      <c r="LG7" s="118">
        <v>2070</v>
      </c>
      <c r="LH7" s="118">
        <v>2070</v>
      </c>
      <c r="LI7" s="118">
        <v>2070</v>
      </c>
      <c r="LJ7" s="118">
        <v>2070</v>
      </c>
      <c r="LK7" s="118">
        <v>2070</v>
      </c>
      <c r="LL7" s="118">
        <v>2070</v>
      </c>
      <c r="LM7" s="118">
        <v>2070</v>
      </c>
      <c r="LN7" s="118">
        <v>2070</v>
      </c>
      <c r="LO7" s="118">
        <v>2070</v>
      </c>
      <c r="LP7" s="118">
        <v>2070</v>
      </c>
      <c r="LQ7" s="118">
        <v>2070</v>
      </c>
      <c r="LR7" s="118">
        <v>2070</v>
      </c>
      <c r="LS7" s="118">
        <v>2070</v>
      </c>
      <c r="LT7" s="118"/>
      <c r="LU7" s="118">
        <v>2070</v>
      </c>
      <c r="LV7" s="118">
        <v>2070</v>
      </c>
      <c r="LW7" s="118">
        <v>2070</v>
      </c>
      <c r="LX7" s="118">
        <v>2070</v>
      </c>
      <c r="LY7" s="118">
        <v>2070</v>
      </c>
      <c r="LZ7" s="753" t="s">
        <v>369</v>
      </c>
      <c r="MA7" s="754"/>
      <c r="MB7" s="754"/>
      <c r="MC7" s="754"/>
      <c r="MD7" s="754"/>
      <c r="ME7" s="754"/>
      <c r="MF7" s="754"/>
      <c r="MG7" s="754"/>
      <c r="MH7" s="754"/>
      <c r="MI7" s="755"/>
      <c r="MJ7" s="118">
        <v>2070</v>
      </c>
      <c r="MK7" s="112"/>
      <c r="ML7" s="334">
        <v>2300</v>
      </c>
      <c r="MM7" s="334">
        <v>2300</v>
      </c>
      <c r="MN7" s="334">
        <v>2300</v>
      </c>
      <c r="MO7" s="334">
        <v>2300</v>
      </c>
      <c r="MP7" s="334"/>
      <c r="MQ7" s="334">
        <v>2300</v>
      </c>
      <c r="MR7" s="334">
        <v>2300</v>
      </c>
      <c r="MS7" s="334">
        <v>2300</v>
      </c>
      <c r="MT7" s="334">
        <v>2300</v>
      </c>
      <c r="MU7" s="334">
        <v>2300</v>
      </c>
      <c r="MV7" s="334">
        <v>2300</v>
      </c>
      <c r="MW7" s="334"/>
      <c r="MX7" s="334">
        <v>2300</v>
      </c>
      <c r="MY7" s="334">
        <v>2300</v>
      </c>
      <c r="MZ7" s="334">
        <v>2300</v>
      </c>
      <c r="NA7" s="334">
        <v>2300</v>
      </c>
      <c r="NB7" s="334">
        <v>2300</v>
      </c>
      <c r="NC7" s="334">
        <v>2300</v>
      </c>
      <c r="ND7" s="334"/>
      <c r="NE7" s="334">
        <v>2300</v>
      </c>
      <c r="NF7" s="334">
        <v>2300</v>
      </c>
      <c r="NG7" s="334">
        <v>2300</v>
      </c>
      <c r="NH7" s="334">
        <v>2300</v>
      </c>
      <c r="NI7" s="334">
        <v>2300</v>
      </c>
      <c r="NJ7" s="334">
        <v>2300</v>
      </c>
      <c r="NK7" s="334">
        <v>2300</v>
      </c>
      <c r="NL7" s="334">
        <v>2300</v>
      </c>
      <c r="NM7" s="334">
        <v>2300</v>
      </c>
      <c r="NN7" s="334">
        <v>2300</v>
      </c>
      <c r="NO7" s="341">
        <v>2300</v>
      </c>
      <c r="NP7" s="112"/>
      <c r="NQ7" s="343"/>
      <c r="NR7" s="343"/>
      <c r="NS7" s="343"/>
      <c r="NT7" s="343"/>
      <c r="NU7" s="343"/>
      <c r="NV7" s="343"/>
      <c r="NW7" s="343"/>
      <c r="NX7" s="343"/>
      <c r="NY7" s="343"/>
      <c r="NZ7" s="343"/>
      <c r="OA7" s="343"/>
      <c r="OB7" s="343"/>
      <c r="OC7" s="343"/>
      <c r="OD7" s="343"/>
      <c r="OE7" s="343"/>
      <c r="OF7" s="343"/>
      <c r="OG7" s="343"/>
      <c r="OH7" s="343"/>
      <c r="OI7" s="343"/>
      <c r="OJ7" s="343"/>
      <c r="OK7" s="343"/>
      <c r="OL7" s="343"/>
      <c r="OM7" s="343"/>
      <c r="ON7" s="343"/>
      <c r="OO7" s="343"/>
      <c r="OP7" s="343"/>
      <c r="OQ7" s="343"/>
      <c r="OR7" s="343"/>
      <c r="OS7" s="759" t="s">
        <v>431</v>
      </c>
      <c r="OT7" s="760"/>
      <c r="OU7" s="761"/>
      <c r="OV7" s="192"/>
      <c r="OW7" s="768" t="s">
        <v>432</v>
      </c>
      <c r="OX7" s="760"/>
      <c r="OY7" s="760"/>
      <c r="OZ7" s="760"/>
      <c r="PA7" s="760"/>
      <c r="PB7" s="760"/>
      <c r="PC7" s="769"/>
      <c r="PD7" s="353"/>
      <c r="PE7" s="353"/>
      <c r="PF7" s="353"/>
      <c r="PG7" s="353"/>
      <c r="PH7" s="353"/>
      <c r="PI7" s="353"/>
      <c r="PJ7" s="353"/>
      <c r="PK7" s="353"/>
      <c r="PL7" s="353"/>
      <c r="PM7" s="353"/>
      <c r="PN7" s="353"/>
      <c r="PO7" s="353"/>
      <c r="PP7" s="353"/>
      <c r="PQ7" s="353"/>
      <c r="PR7" s="353"/>
      <c r="PS7" s="353"/>
      <c r="PT7" s="353"/>
      <c r="PU7" s="353"/>
      <c r="PV7" s="353"/>
      <c r="PW7" s="353"/>
      <c r="PX7" s="353"/>
      <c r="PY7" s="353"/>
      <c r="PZ7" s="353"/>
      <c r="QA7" s="353"/>
      <c r="QB7" s="112"/>
      <c r="QC7" s="359"/>
      <c r="QD7" s="359"/>
      <c r="QE7" s="359"/>
      <c r="QF7" s="359"/>
      <c r="QG7" s="359"/>
      <c r="QH7" s="359"/>
      <c r="QI7" s="359"/>
      <c r="QJ7" s="359"/>
      <c r="QK7" s="359"/>
      <c r="QL7" s="359"/>
      <c r="QM7" s="359"/>
      <c r="QN7" s="359"/>
      <c r="QO7" s="359"/>
      <c r="QP7" s="359"/>
      <c r="QQ7" s="359"/>
      <c r="QR7" s="359"/>
      <c r="QS7" s="359"/>
      <c r="QT7" s="359"/>
      <c r="QU7" s="359"/>
      <c r="QV7" s="359"/>
      <c r="QW7" s="359"/>
      <c r="QX7" s="359"/>
      <c r="QY7" s="359"/>
      <c r="QZ7" s="359"/>
      <c r="RA7" s="359"/>
      <c r="RB7" s="359"/>
      <c r="RC7" s="359"/>
      <c r="RD7" s="359"/>
      <c r="RE7" s="359"/>
      <c r="RF7" s="359"/>
      <c r="RG7" s="112"/>
      <c r="RH7" s="439"/>
      <c r="RI7" s="439"/>
      <c r="RJ7" s="439"/>
      <c r="RK7" s="439"/>
      <c r="RL7" s="439"/>
      <c r="RM7" s="439"/>
      <c r="RN7" s="439"/>
      <c r="RO7" s="439"/>
      <c r="RP7" s="439"/>
      <c r="RQ7" s="439"/>
      <c r="RR7" s="439"/>
      <c r="RS7" s="439"/>
      <c r="RT7" s="439"/>
      <c r="RU7" s="439"/>
      <c r="RV7" s="439"/>
      <c r="RW7" s="439"/>
      <c r="RX7" s="439"/>
      <c r="RY7" s="439"/>
      <c r="RZ7" s="439"/>
      <c r="SA7" s="439"/>
      <c r="SB7" s="439"/>
      <c r="SC7" s="439"/>
      <c r="SD7" s="439"/>
      <c r="SE7" s="439"/>
      <c r="SF7" s="439"/>
      <c r="SG7" s="439"/>
      <c r="SH7" s="439"/>
      <c r="SI7" s="439"/>
      <c r="SJ7" s="439"/>
      <c r="SK7" s="439"/>
      <c r="SL7" s="439"/>
      <c r="SM7" s="112"/>
      <c r="SN7" s="439"/>
      <c r="SO7" s="439"/>
      <c r="SP7" s="439"/>
      <c r="SQ7" s="439"/>
      <c r="SR7" s="439"/>
      <c r="SS7" s="439"/>
      <c r="ST7" s="439"/>
      <c r="SU7" s="439"/>
      <c r="SV7" s="439"/>
      <c r="SW7" s="439"/>
      <c r="SX7" s="439"/>
      <c r="SY7" s="439"/>
      <c r="SZ7" s="439"/>
      <c r="TA7" s="439"/>
      <c r="TB7" s="439"/>
      <c r="TC7" s="439"/>
      <c r="TD7" s="439"/>
      <c r="TE7" s="439"/>
      <c r="TF7" s="439"/>
      <c r="TG7" s="439"/>
      <c r="TH7" s="439"/>
      <c r="TI7" s="439"/>
      <c r="TJ7" s="439"/>
      <c r="TK7" s="439"/>
      <c r="TL7" s="439"/>
      <c r="TM7" s="439"/>
      <c r="TN7" s="439"/>
      <c r="TO7" s="439"/>
      <c r="TP7" s="439"/>
      <c r="TQ7" s="439"/>
      <c r="TR7" s="112"/>
      <c r="TS7" s="439"/>
      <c r="TT7" s="439"/>
      <c r="TU7" s="439"/>
      <c r="TV7" s="439"/>
      <c r="TW7" s="439"/>
      <c r="TX7" s="439"/>
      <c r="TY7" s="439"/>
      <c r="TZ7" s="439"/>
      <c r="UA7" s="439"/>
      <c r="UB7" s="439"/>
      <c r="UC7" s="439"/>
      <c r="UD7" s="439"/>
      <c r="UE7" s="439"/>
      <c r="UF7" s="439"/>
      <c r="UG7" s="439"/>
      <c r="UH7" s="439"/>
      <c r="UI7" s="447"/>
      <c r="UJ7" s="447"/>
      <c r="UK7" s="447"/>
      <c r="UL7" s="447"/>
      <c r="UM7" s="447"/>
      <c r="UN7" s="447"/>
      <c r="UO7" s="447"/>
      <c r="UP7" s="447"/>
      <c r="UQ7" s="447"/>
      <c r="UR7" s="447"/>
      <c r="US7" s="447"/>
      <c r="UT7" s="447"/>
      <c r="UU7" s="447"/>
      <c r="UV7" s="447"/>
      <c r="UW7" s="447"/>
      <c r="UX7" s="112"/>
      <c r="UY7" s="447"/>
      <c r="UZ7" s="447"/>
      <c r="VA7" s="447"/>
      <c r="VB7" s="447"/>
      <c r="VC7" s="447"/>
      <c r="VD7" s="447"/>
      <c r="VE7" s="447"/>
      <c r="VF7" s="447"/>
      <c r="VG7" s="447"/>
      <c r="VH7" s="447"/>
      <c r="VI7" s="447"/>
      <c r="VJ7" s="447"/>
      <c r="VK7" s="447"/>
      <c r="VL7" s="447"/>
      <c r="VM7" s="447"/>
      <c r="VN7" s="447"/>
      <c r="VO7" s="447"/>
      <c r="VP7" s="447"/>
      <c r="VQ7" s="447"/>
      <c r="VR7" s="447"/>
      <c r="VS7" s="447"/>
      <c r="VT7" s="447"/>
      <c r="WD7" s="112"/>
      <c r="XG7" s="112"/>
      <c r="YM7" s="112"/>
      <c r="ZR7" s="112"/>
      <c r="AAX7" s="112"/>
      <c r="ACC7" s="112"/>
      <c r="ACV7" s="701" t="s">
        <v>1645</v>
      </c>
      <c r="ACW7" s="702"/>
      <c r="ACX7" s="702"/>
      <c r="ACY7" s="702"/>
      <c r="ACZ7" s="702"/>
      <c r="ADA7" s="702"/>
      <c r="ADB7" s="702"/>
      <c r="ADC7" s="702"/>
      <c r="ADD7" s="703"/>
      <c r="ADI7" s="112"/>
      <c r="ADJ7" s="314">
        <v>8</v>
      </c>
      <c r="ADK7" s="314">
        <v>11</v>
      </c>
      <c r="ADL7" s="314">
        <v>11</v>
      </c>
      <c r="ADM7" s="314">
        <v>11</v>
      </c>
      <c r="ADN7" s="314">
        <v>8</v>
      </c>
      <c r="ADO7" s="314"/>
      <c r="ADP7" s="314">
        <v>11</v>
      </c>
      <c r="ADQ7" s="314">
        <v>11</v>
      </c>
      <c r="ADR7" s="314">
        <v>11</v>
      </c>
      <c r="ADS7" s="314">
        <v>11</v>
      </c>
      <c r="ADT7" s="314">
        <v>11</v>
      </c>
      <c r="ADU7" s="314">
        <v>11</v>
      </c>
      <c r="ADV7" s="314"/>
      <c r="ADW7" s="314">
        <v>11</v>
      </c>
      <c r="ADX7" s="314"/>
      <c r="ADY7" s="314">
        <v>11</v>
      </c>
      <c r="ADZ7" s="314">
        <v>11</v>
      </c>
      <c r="AEA7" s="314">
        <v>11</v>
      </c>
      <c r="AEB7" s="314">
        <v>8</v>
      </c>
      <c r="AEC7" s="314"/>
      <c r="AED7" s="314">
        <v>11</v>
      </c>
      <c r="AEE7" s="314">
        <v>11</v>
      </c>
      <c r="AEF7" s="314">
        <v>11</v>
      </c>
      <c r="AEG7" s="314">
        <v>11</v>
      </c>
      <c r="AEH7" s="314">
        <v>11</v>
      </c>
      <c r="AEI7" s="314">
        <v>11</v>
      </c>
      <c r="AEJ7" s="314"/>
      <c r="AEK7" s="314">
        <v>11</v>
      </c>
      <c r="AEL7" s="314">
        <v>11</v>
      </c>
      <c r="AEM7" s="314">
        <v>11</v>
      </c>
      <c r="AEN7" s="314">
        <v>11</v>
      </c>
      <c r="AEO7" s="112"/>
      <c r="AEP7" s="314">
        <v>11</v>
      </c>
      <c r="AEQ7" s="314">
        <v>11</v>
      </c>
      <c r="AER7" s="314"/>
      <c r="AES7" s="314">
        <v>11</v>
      </c>
      <c r="AET7" s="314">
        <v>11</v>
      </c>
      <c r="AEU7" s="314">
        <v>11</v>
      </c>
      <c r="AEV7" s="314">
        <v>11</v>
      </c>
      <c r="AEW7" s="314">
        <v>11</v>
      </c>
      <c r="AEX7" s="314">
        <v>11</v>
      </c>
      <c r="AEY7" s="314"/>
      <c r="AEZ7" s="314">
        <v>11</v>
      </c>
      <c r="AFA7" s="314">
        <v>11</v>
      </c>
      <c r="AFB7" s="314">
        <v>11</v>
      </c>
      <c r="AFC7" s="314">
        <v>11</v>
      </c>
      <c r="AFD7" s="636">
        <v>11</v>
      </c>
      <c r="AFE7" s="314">
        <v>703</v>
      </c>
      <c r="AFF7" s="314"/>
      <c r="AFG7" s="314">
        <v>2300</v>
      </c>
      <c r="AFH7" s="314">
        <v>2550</v>
      </c>
      <c r="AFI7" s="314">
        <v>2550</v>
      </c>
      <c r="AFJ7" s="314">
        <v>2250</v>
      </c>
      <c r="AFK7" s="314">
        <v>2250</v>
      </c>
      <c r="AFL7" s="314">
        <v>2250</v>
      </c>
      <c r="AFM7" s="314"/>
      <c r="AFN7" s="314">
        <v>2250</v>
      </c>
      <c r="AFO7" s="314">
        <v>2250</v>
      </c>
      <c r="AFP7" s="314">
        <v>2250</v>
      </c>
      <c r="AFQ7" s="314">
        <v>2250</v>
      </c>
      <c r="AFR7" s="314">
        <v>2250</v>
      </c>
      <c r="AFS7" s="314">
        <v>2250</v>
      </c>
      <c r="AFT7" s="112"/>
      <c r="AFU7" s="314"/>
      <c r="AFV7" s="314">
        <v>2250</v>
      </c>
      <c r="AFW7" s="314">
        <v>2250</v>
      </c>
      <c r="AFX7" s="314">
        <v>2250</v>
      </c>
      <c r="AFY7" s="314">
        <v>2250</v>
      </c>
      <c r="AFZ7" s="314">
        <v>2250</v>
      </c>
      <c r="AGA7" s="314">
        <v>2250</v>
      </c>
      <c r="AGB7" s="314"/>
      <c r="AGC7" s="314">
        <v>2250</v>
      </c>
      <c r="AGD7" s="314">
        <v>2250</v>
      </c>
      <c r="AGE7" s="314">
        <v>2250</v>
      </c>
      <c r="AGF7" s="314">
        <v>2250</v>
      </c>
      <c r="AGG7" s="314">
        <v>2250</v>
      </c>
      <c r="AGH7" s="314">
        <v>2250</v>
      </c>
      <c r="AGI7" s="314"/>
      <c r="AGJ7" s="314">
        <v>2250</v>
      </c>
      <c r="AGK7" s="314">
        <v>2250</v>
      </c>
      <c r="AGL7" s="314">
        <v>2250</v>
      </c>
      <c r="AGM7" s="314">
        <v>2250</v>
      </c>
      <c r="AGN7" s="314">
        <v>2250</v>
      </c>
      <c r="AGO7" s="314">
        <v>2250</v>
      </c>
      <c r="AGP7" s="314"/>
      <c r="AGQ7" s="314">
        <v>2250</v>
      </c>
      <c r="AGR7" s="314">
        <v>2250</v>
      </c>
      <c r="AGS7" s="314">
        <v>2250</v>
      </c>
      <c r="AGT7" s="314">
        <v>2250</v>
      </c>
      <c r="AGU7" s="314">
        <v>2250</v>
      </c>
      <c r="AGV7" s="314">
        <v>2250</v>
      </c>
      <c r="AGX7" s="314">
        <v>2250</v>
      </c>
      <c r="AGY7" s="314">
        <v>2250</v>
      </c>
      <c r="AGZ7" s="112"/>
      <c r="AHA7" s="314">
        <v>2500</v>
      </c>
      <c r="AHB7" s="314">
        <v>2500</v>
      </c>
      <c r="AHC7" s="314">
        <v>2500</v>
      </c>
      <c r="AHD7" s="314">
        <v>2500</v>
      </c>
      <c r="AHE7" s="314"/>
      <c r="AHF7" s="314">
        <v>2500</v>
      </c>
      <c r="AHG7" s="314">
        <v>2500</v>
      </c>
      <c r="AHH7" s="314">
        <v>2500</v>
      </c>
      <c r="AHI7" s="314">
        <v>2500</v>
      </c>
      <c r="AHJ7" s="314">
        <v>2500</v>
      </c>
      <c r="AHK7" s="314">
        <v>2500</v>
      </c>
      <c r="AHM7" s="314">
        <v>2500</v>
      </c>
      <c r="AHN7" s="314">
        <v>2500</v>
      </c>
      <c r="AHO7" s="314">
        <v>2500</v>
      </c>
      <c r="AHP7" s="314">
        <v>2500</v>
      </c>
      <c r="AHQ7" s="314">
        <v>2500</v>
      </c>
      <c r="AHR7" s="314">
        <v>2500</v>
      </c>
      <c r="AHT7" s="314">
        <v>2500</v>
      </c>
      <c r="AHU7" s="314">
        <v>2500</v>
      </c>
      <c r="AHV7" s="314">
        <v>2500</v>
      </c>
      <c r="AHW7" s="314">
        <v>2500</v>
      </c>
      <c r="AHX7" s="314">
        <v>2500</v>
      </c>
      <c r="AHY7" s="314">
        <v>2500</v>
      </c>
      <c r="AHZ7" s="314"/>
      <c r="AIA7" s="314">
        <v>2500</v>
      </c>
      <c r="AIB7" s="314">
        <v>2500</v>
      </c>
      <c r="AIC7" s="314">
        <v>2500</v>
      </c>
      <c r="AID7" s="314">
        <v>2500</v>
      </c>
      <c r="AIE7" s="112"/>
      <c r="AIF7" s="314">
        <v>2500</v>
      </c>
      <c r="AIG7" s="314">
        <v>2500</v>
      </c>
      <c r="AIH7" s="314"/>
      <c r="AII7" s="314">
        <v>2500</v>
      </c>
      <c r="AIJ7" s="314">
        <v>2500</v>
      </c>
      <c r="AIK7" s="314">
        <v>2500</v>
      </c>
      <c r="AIL7" s="314">
        <v>2500</v>
      </c>
      <c r="AIM7" s="314">
        <v>2500</v>
      </c>
      <c r="AIN7" s="314">
        <v>2500</v>
      </c>
      <c r="AIO7" s="314"/>
      <c r="AIP7" s="314">
        <v>2500</v>
      </c>
      <c r="AIQ7" s="314">
        <v>2500</v>
      </c>
      <c r="AIR7" s="314">
        <v>2500</v>
      </c>
      <c r="AIS7" s="314">
        <v>2500</v>
      </c>
      <c r="AIT7" s="314">
        <v>2500</v>
      </c>
      <c r="AIU7" s="314"/>
      <c r="AIV7" s="314"/>
      <c r="AIW7" s="314">
        <v>2500</v>
      </c>
      <c r="AIX7" s="314">
        <v>2500</v>
      </c>
      <c r="AIY7" s="314">
        <v>2500</v>
      </c>
      <c r="AIZ7" s="314">
        <v>2500</v>
      </c>
      <c r="AJA7" s="314">
        <v>2500</v>
      </c>
      <c r="AJB7" s="314">
        <v>2500</v>
      </c>
      <c r="AJC7" s="314"/>
      <c r="AJD7" s="314">
        <v>2500</v>
      </c>
      <c r="AJE7" s="314">
        <v>2500</v>
      </c>
      <c r="AJF7" s="314">
        <v>2500</v>
      </c>
      <c r="AJG7" s="314">
        <v>2500</v>
      </c>
      <c r="AJH7" s="314">
        <v>2500</v>
      </c>
      <c r="AJI7" s="314">
        <v>2500</v>
      </c>
      <c r="AJJ7" s="314"/>
      <c r="AJK7" s="112"/>
      <c r="AJL7" s="314">
        <v>2250</v>
      </c>
      <c r="AJM7" s="314">
        <v>2250</v>
      </c>
      <c r="AJN7" s="314">
        <v>2250</v>
      </c>
      <c r="AJO7" s="314">
        <v>2250</v>
      </c>
      <c r="AJP7" s="314">
        <v>2250</v>
      </c>
      <c r="AJQ7" s="124">
        <v>2250</v>
      </c>
      <c r="AJR7" s="314"/>
      <c r="AJS7" s="314">
        <v>2250</v>
      </c>
      <c r="AJT7" s="314">
        <v>2250</v>
      </c>
      <c r="AJU7" s="314">
        <v>2250</v>
      </c>
      <c r="AJV7" s="314">
        <v>2250</v>
      </c>
      <c r="AJW7" s="314">
        <v>2250</v>
      </c>
      <c r="AJX7" s="314">
        <v>2250</v>
      </c>
      <c r="AJY7" s="314"/>
      <c r="AJZ7" s="314">
        <v>2250</v>
      </c>
      <c r="AKA7" s="314">
        <v>2250</v>
      </c>
      <c r="AKB7" s="314">
        <v>2250</v>
      </c>
      <c r="AKC7" s="314">
        <v>2250</v>
      </c>
      <c r="AKD7" s="314">
        <v>2250</v>
      </c>
      <c r="AKE7" s="314">
        <v>2250</v>
      </c>
      <c r="AKF7" s="314"/>
      <c r="AKG7" s="314">
        <v>2250</v>
      </c>
      <c r="AKH7" s="314">
        <v>2250</v>
      </c>
      <c r="AKI7" s="314">
        <v>2250</v>
      </c>
      <c r="AKJ7" s="314">
        <v>2250</v>
      </c>
      <c r="AKK7" s="314">
        <v>2250</v>
      </c>
      <c r="AKL7" s="314">
        <v>2250</v>
      </c>
      <c r="AKM7" s="314"/>
      <c r="AKN7" s="314">
        <v>2250</v>
      </c>
      <c r="AKO7" s="314">
        <v>2250</v>
      </c>
      <c r="AKP7" s="314">
        <v>2250</v>
      </c>
      <c r="AKQ7" s="112"/>
      <c r="AKR7" s="314">
        <v>2250</v>
      </c>
      <c r="AKS7" s="314">
        <v>2250</v>
      </c>
      <c r="AKT7" s="314">
        <v>2250</v>
      </c>
      <c r="AKU7" s="314"/>
      <c r="AKV7" s="314">
        <v>2250</v>
      </c>
      <c r="AKW7" s="314">
        <v>2250</v>
      </c>
      <c r="AKX7" s="314">
        <v>2250</v>
      </c>
      <c r="AKY7" s="314">
        <v>2250</v>
      </c>
      <c r="AKZ7" s="314">
        <v>2250</v>
      </c>
      <c r="ALA7" s="314">
        <v>2250</v>
      </c>
      <c r="ALC7" s="314">
        <v>2250</v>
      </c>
      <c r="ALD7" s="314">
        <v>2250</v>
      </c>
      <c r="ALE7" s="314">
        <v>2250</v>
      </c>
      <c r="ALF7" s="314">
        <v>2250</v>
      </c>
      <c r="ALG7" s="314">
        <v>2250</v>
      </c>
      <c r="ALH7" s="314">
        <v>2250</v>
      </c>
      <c r="ALI7" s="314"/>
      <c r="ALJ7" s="314">
        <v>2250</v>
      </c>
      <c r="ALK7" s="314">
        <v>2250</v>
      </c>
      <c r="ALL7" s="314"/>
      <c r="ALM7" s="314">
        <v>2250</v>
      </c>
      <c r="ALN7" s="314">
        <v>2250</v>
      </c>
      <c r="ALO7" s="314">
        <v>2250</v>
      </c>
      <c r="ALP7" s="314"/>
      <c r="ALQ7" s="314">
        <v>2250</v>
      </c>
      <c r="ALR7" s="314">
        <v>2250</v>
      </c>
      <c r="ALS7" s="124">
        <v>2250</v>
      </c>
      <c r="ALT7" s="112"/>
      <c r="ALU7" s="314">
        <v>2200</v>
      </c>
      <c r="ALV7" s="314">
        <v>2200</v>
      </c>
      <c r="ALW7" s="314">
        <v>2200</v>
      </c>
      <c r="ALX7" s="314"/>
      <c r="ALY7" s="314">
        <v>2200</v>
      </c>
      <c r="ALZ7" s="314">
        <v>2200</v>
      </c>
      <c r="AMA7" s="314">
        <v>2200</v>
      </c>
      <c r="AMB7" s="314">
        <v>2200</v>
      </c>
      <c r="AMC7" s="314">
        <v>2200</v>
      </c>
      <c r="AMD7" s="314">
        <v>2200</v>
      </c>
      <c r="AME7" s="314"/>
      <c r="AMF7" s="314">
        <v>2200</v>
      </c>
      <c r="AMG7" s="314">
        <v>2200</v>
      </c>
      <c r="AMH7" s="314">
        <v>2200</v>
      </c>
      <c r="AMI7" s="314">
        <v>2200</v>
      </c>
      <c r="AMJ7" s="314">
        <v>2200</v>
      </c>
      <c r="AMK7" s="124">
        <v>2200</v>
      </c>
      <c r="AML7" s="314"/>
      <c r="AMM7" s="314">
        <v>2200</v>
      </c>
      <c r="AMN7" s="314">
        <v>2200</v>
      </c>
      <c r="AMO7" s="314">
        <v>2200</v>
      </c>
      <c r="AMP7" s="314">
        <v>2200</v>
      </c>
      <c r="AMQ7" s="314">
        <v>2200</v>
      </c>
      <c r="AMR7" s="314">
        <v>2200</v>
      </c>
      <c r="AMS7" s="314"/>
      <c r="AMT7" s="314"/>
      <c r="AMU7" s="314">
        <v>2200</v>
      </c>
      <c r="AMV7" s="314">
        <v>2200</v>
      </c>
      <c r="AMW7" s="314">
        <v>2200</v>
      </c>
      <c r="AMX7" s="314">
        <v>2200</v>
      </c>
      <c r="AMY7" s="124">
        <v>2200</v>
      </c>
      <c r="AMZ7" s="112"/>
      <c r="ANB7" s="314">
        <v>1760</v>
      </c>
      <c r="ANC7" s="314">
        <v>1760</v>
      </c>
      <c r="AND7" s="314">
        <v>1760</v>
      </c>
      <c r="ANE7" s="314">
        <v>1760</v>
      </c>
      <c r="ANF7" s="314">
        <v>1760</v>
      </c>
      <c r="ANG7" s="314">
        <v>1760</v>
      </c>
      <c r="ANH7" s="314">
        <v>1760</v>
      </c>
      <c r="ANI7" s="314">
        <v>1760</v>
      </c>
      <c r="ANJ7" s="314">
        <v>1760</v>
      </c>
      <c r="ANK7" s="314">
        <v>1760</v>
      </c>
      <c r="ANL7" s="314">
        <v>1760</v>
      </c>
      <c r="ANM7" s="124">
        <v>1760</v>
      </c>
      <c r="ANN7" s="314"/>
      <c r="ANO7" s="314"/>
      <c r="ANP7" s="314">
        <v>1760</v>
      </c>
      <c r="ANQ7" s="314">
        <v>1760</v>
      </c>
      <c r="ANR7" s="314">
        <v>1760</v>
      </c>
      <c r="ANS7" s="314">
        <v>1760</v>
      </c>
      <c r="ANT7" s="314">
        <v>1760</v>
      </c>
      <c r="ANU7" s="314">
        <v>1760</v>
      </c>
      <c r="ANV7" s="124">
        <v>1760</v>
      </c>
      <c r="ANW7" s="314">
        <v>1760</v>
      </c>
      <c r="ANX7" s="314">
        <v>1760</v>
      </c>
      <c r="ANY7" s="314">
        <v>1760</v>
      </c>
      <c r="ANZ7" s="314">
        <v>1760</v>
      </c>
      <c r="AOA7" s="314">
        <v>1760</v>
      </c>
      <c r="AOB7" s="314">
        <v>1760</v>
      </c>
      <c r="AOC7" s="314"/>
      <c r="AOD7" s="314">
        <v>1760</v>
      </c>
      <c r="AOE7" s="112"/>
      <c r="AOF7" s="601"/>
      <c r="AOG7" s="601"/>
      <c r="AOH7" s="601"/>
      <c r="AOI7" s="601"/>
      <c r="AOJ7" s="601"/>
      <c r="AOK7" s="601"/>
      <c r="AOL7" s="601"/>
      <c r="AOM7" s="601"/>
      <c r="AON7" s="601"/>
      <c r="AOO7" s="314">
        <v>2200</v>
      </c>
      <c r="AOP7" s="314">
        <v>2200</v>
      </c>
      <c r="AOQ7" s="314">
        <v>2200</v>
      </c>
      <c r="AOR7" s="314"/>
      <c r="AOS7" s="314">
        <v>2200</v>
      </c>
      <c r="AOT7" s="314">
        <v>2200</v>
      </c>
      <c r="AOU7" s="314">
        <v>2200</v>
      </c>
      <c r="AOV7" s="314">
        <v>2200</v>
      </c>
      <c r="AOW7" s="314">
        <v>2200</v>
      </c>
      <c r="AOX7" s="314">
        <v>2200</v>
      </c>
      <c r="AOY7" s="314"/>
      <c r="AOZ7" s="314">
        <v>2200</v>
      </c>
      <c r="APA7" s="314">
        <v>2200</v>
      </c>
      <c r="APB7" s="314">
        <v>2200</v>
      </c>
      <c r="APC7" s="314">
        <v>2200</v>
      </c>
      <c r="APD7" s="314">
        <v>2200</v>
      </c>
      <c r="APE7" s="314">
        <v>2200</v>
      </c>
      <c r="APF7" s="314"/>
      <c r="APG7" s="314">
        <v>2200</v>
      </c>
      <c r="APH7" s="314">
        <v>2200</v>
      </c>
      <c r="API7" s="314">
        <v>2200</v>
      </c>
      <c r="APJ7" s="314">
        <v>2200</v>
      </c>
      <c r="APK7" s="112"/>
      <c r="APL7" s="314">
        <v>2200</v>
      </c>
      <c r="APM7" s="314">
        <v>2200</v>
      </c>
      <c r="APN7" s="314">
        <v>1760</v>
      </c>
      <c r="APO7" s="314">
        <v>2200</v>
      </c>
      <c r="APP7" s="314">
        <v>2200</v>
      </c>
      <c r="APQ7" s="314">
        <v>2200</v>
      </c>
      <c r="APR7" s="314">
        <v>2200</v>
      </c>
      <c r="APS7" s="314">
        <v>2200</v>
      </c>
      <c r="APT7" s="314">
        <v>2200</v>
      </c>
      <c r="APU7" s="314"/>
      <c r="APV7" s="314">
        <v>2200</v>
      </c>
      <c r="APW7" s="314">
        <v>2200</v>
      </c>
      <c r="APX7" s="124">
        <v>2200</v>
      </c>
      <c r="APY7" s="314">
        <v>2200</v>
      </c>
      <c r="APZ7" s="314">
        <v>2200</v>
      </c>
      <c r="AQA7" s="314">
        <v>2200</v>
      </c>
      <c r="AQB7" s="314"/>
      <c r="AQC7" s="314">
        <v>2200</v>
      </c>
      <c r="AQD7" s="314">
        <v>2200</v>
      </c>
      <c r="AQE7" s="314">
        <v>2200</v>
      </c>
      <c r="AQF7" s="314">
        <v>2200</v>
      </c>
      <c r="AQG7" s="314">
        <v>2200</v>
      </c>
      <c r="AQH7" s="314">
        <v>2200</v>
      </c>
      <c r="AQI7" s="314">
        <v>1760</v>
      </c>
      <c r="AQJ7" s="124">
        <v>2200</v>
      </c>
      <c r="AQK7" s="314">
        <v>2200</v>
      </c>
      <c r="AQL7" s="314">
        <v>2200</v>
      </c>
      <c r="AQM7" s="314">
        <v>2200</v>
      </c>
      <c r="AQN7" s="314">
        <v>2200</v>
      </c>
      <c r="AQO7" s="314">
        <v>2200</v>
      </c>
      <c r="AQP7" s="112"/>
      <c r="AQQ7" s="314"/>
      <c r="AQR7" s="314">
        <v>2200</v>
      </c>
      <c r="AQS7" s="314">
        <v>2200</v>
      </c>
      <c r="AQT7" s="314">
        <v>2200</v>
      </c>
      <c r="AQU7" s="314">
        <v>2200</v>
      </c>
      <c r="AQV7" s="314">
        <v>2200</v>
      </c>
      <c r="AQW7" s="314">
        <v>2200</v>
      </c>
      <c r="AQX7" s="601"/>
      <c r="AQY7" s="601"/>
      <c r="AQZ7" s="601"/>
      <c r="ARA7" s="601"/>
      <c r="ARB7" s="601"/>
      <c r="ARC7" s="601"/>
      <c r="ARD7" s="601"/>
      <c r="ARE7" s="601"/>
      <c r="ARF7" s="601"/>
      <c r="ARG7" s="314">
        <v>2200</v>
      </c>
      <c r="ARH7" s="314">
        <v>2200</v>
      </c>
      <c r="ARI7" s="314">
        <v>2200</v>
      </c>
      <c r="ARJ7" s="314">
        <v>2200</v>
      </c>
      <c r="ARK7" s="314">
        <v>2200</v>
      </c>
      <c r="ARL7" s="314"/>
      <c r="ARM7" s="314">
        <v>2200</v>
      </c>
      <c r="ARN7" s="314">
        <v>2200</v>
      </c>
      <c r="ARO7" s="314">
        <v>2200</v>
      </c>
      <c r="ARP7" s="314">
        <v>2200</v>
      </c>
      <c r="ARQ7" s="314">
        <v>2200</v>
      </c>
      <c r="ARR7" s="314">
        <v>2200</v>
      </c>
      <c r="ARS7" s="314"/>
      <c r="ART7" s="314">
        <v>2200</v>
      </c>
      <c r="ARU7" s="314">
        <v>2200</v>
      </c>
      <c r="ARV7" s="112"/>
      <c r="ARW7" s="314">
        <v>2200</v>
      </c>
      <c r="ARX7" s="314">
        <v>2200</v>
      </c>
      <c r="ARY7" s="314">
        <v>2200</v>
      </c>
      <c r="ARZ7" s="314">
        <v>2200</v>
      </c>
      <c r="ASA7" s="314"/>
      <c r="ASB7" s="314">
        <v>2200</v>
      </c>
      <c r="ASC7" s="314">
        <v>2200</v>
      </c>
      <c r="ASD7" s="314">
        <v>2200</v>
      </c>
      <c r="ASE7" s="314">
        <v>2200</v>
      </c>
      <c r="ASF7" s="314">
        <v>2200</v>
      </c>
      <c r="ASG7" s="314">
        <v>2200</v>
      </c>
      <c r="ASH7" s="314"/>
      <c r="ASI7" s="314">
        <v>2200</v>
      </c>
      <c r="ASJ7" s="314">
        <v>2200</v>
      </c>
      <c r="ASK7" s="314"/>
      <c r="ASL7" s="314">
        <v>2200</v>
      </c>
      <c r="ASM7" s="314">
        <v>2200</v>
      </c>
      <c r="ASN7" s="314">
        <v>2200</v>
      </c>
      <c r="ASO7" s="314"/>
      <c r="ASP7" s="314">
        <v>2200</v>
      </c>
      <c r="ASQ7" s="314">
        <v>2200</v>
      </c>
      <c r="ASR7" s="314">
        <v>2200</v>
      </c>
      <c r="ASS7" s="314">
        <v>2200</v>
      </c>
      <c r="AST7" s="314">
        <v>2200</v>
      </c>
      <c r="ASU7" s="314">
        <v>2200</v>
      </c>
      <c r="ASV7" s="314"/>
      <c r="ASW7" s="314">
        <v>2200</v>
      </c>
      <c r="ASX7" s="314">
        <v>2200</v>
      </c>
      <c r="ASY7" s="314">
        <v>2200</v>
      </c>
      <c r="ASZ7" s="314">
        <v>2200</v>
      </c>
      <c r="ATA7" s="314">
        <v>2200</v>
      </c>
      <c r="ATB7" s="112"/>
      <c r="ATC7" s="314">
        <v>2200</v>
      </c>
      <c r="ATE7" s="314">
        <v>2200</v>
      </c>
      <c r="ATF7" s="314">
        <v>2200</v>
      </c>
      <c r="ATG7" s="314">
        <v>2200</v>
      </c>
      <c r="ATH7" s="124">
        <v>2200</v>
      </c>
      <c r="ATI7" s="314">
        <v>2200</v>
      </c>
      <c r="ATJ7" s="314">
        <v>2200</v>
      </c>
      <c r="ATK7" s="314"/>
      <c r="ATL7" s="314">
        <v>2200</v>
      </c>
      <c r="ATM7" s="314">
        <v>2200</v>
      </c>
      <c r="ATN7" s="314">
        <v>2200</v>
      </c>
      <c r="ATO7" s="314">
        <v>2200</v>
      </c>
      <c r="ATP7" s="314">
        <v>2200</v>
      </c>
      <c r="ATQ7" s="314">
        <v>2200</v>
      </c>
      <c r="ATR7" s="314"/>
      <c r="ATS7" s="314">
        <v>2200</v>
      </c>
      <c r="ATT7" s="314">
        <v>2200</v>
      </c>
      <c r="ATU7" s="314">
        <v>2200</v>
      </c>
      <c r="ATV7" s="314">
        <v>2200</v>
      </c>
      <c r="ATW7" s="314">
        <v>2200</v>
      </c>
      <c r="ATX7" s="314">
        <v>2200</v>
      </c>
      <c r="ATY7" s="314"/>
      <c r="ATZ7" s="314">
        <v>2200</v>
      </c>
      <c r="AUA7" s="314">
        <v>2200</v>
      </c>
      <c r="AUB7" s="314">
        <v>2200</v>
      </c>
      <c r="AUC7" s="314">
        <v>2200</v>
      </c>
      <c r="AUD7" s="314">
        <v>2200</v>
      </c>
      <c r="AUE7" s="314">
        <v>2200</v>
      </c>
      <c r="AUF7" s="314"/>
      <c r="AUG7" s="112"/>
      <c r="AUH7" s="314">
        <v>2200</v>
      </c>
      <c r="AUI7" s="314">
        <v>2200</v>
      </c>
      <c r="AUJ7" s="314">
        <v>2200</v>
      </c>
      <c r="AUK7" s="314">
        <v>2200</v>
      </c>
      <c r="AUM7" s="314">
        <v>2200</v>
      </c>
      <c r="AUN7" s="314"/>
      <c r="AUO7" s="314">
        <v>2200</v>
      </c>
      <c r="AUP7" s="314">
        <v>2200</v>
      </c>
      <c r="AUQ7" s="314">
        <v>2200</v>
      </c>
      <c r="AUR7" s="314">
        <v>2200</v>
      </c>
      <c r="AUS7" s="314">
        <v>2200</v>
      </c>
      <c r="AUT7" s="314">
        <v>2200</v>
      </c>
      <c r="AUU7" s="314"/>
      <c r="AUV7" s="314">
        <v>2200</v>
      </c>
      <c r="AUW7" s="314">
        <v>2200</v>
      </c>
      <c r="AUX7" s="314">
        <v>2200</v>
      </c>
      <c r="AUY7" s="314">
        <v>2200</v>
      </c>
      <c r="AUZ7" s="314">
        <v>2200</v>
      </c>
      <c r="AVA7" s="314">
        <v>2200</v>
      </c>
      <c r="AVB7" s="314"/>
      <c r="AVC7" s="314">
        <v>2200</v>
      </c>
      <c r="AVD7" s="314">
        <v>2200</v>
      </c>
      <c r="AVE7" s="314">
        <v>2200</v>
      </c>
      <c r="AVF7" s="314">
        <v>2200</v>
      </c>
      <c r="AVG7" s="314">
        <v>2200</v>
      </c>
      <c r="AVH7" s="314">
        <v>2200</v>
      </c>
      <c r="AVI7" s="314"/>
      <c r="AVJ7" s="314">
        <v>2200</v>
      </c>
      <c r="AVK7" s="314">
        <v>2200</v>
      </c>
      <c r="AVL7" s="314">
        <v>2200</v>
      </c>
      <c r="AVM7" s="112"/>
      <c r="AVN7" s="314">
        <v>2200</v>
      </c>
      <c r="AVO7" s="314">
        <v>2200</v>
      </c>
      <c r="AVP7" s="314">
        <v>2200</v>
      </c>
      <c r="AVR7" s="314">
        <v>2200</v>
      </c>
      <c r="AVS7" s="314">
        <v>2200</v>
      </c>
      <c r="AVT7" s="314">
        <v>2200</v>
      </c>
      <c r="AVU7" s="314">
        <v>2200</v>
      </c>
      <c r="AVV7" s="314">
        <v>2200</v>
      </c>
      <c r="AVW7" s="314">
        <v>2200</v>
      </c>
      <c r="AVX7" s="314"/>
      <c r="AVY7" s="314">
        <v>2200</v>
      </c>
      <c r="AVZ7" s="314">
        <v>2200</v>
      </c>
      <c r="AWA7" s="314">
        <v>2200</v>
      </c>
      <c r="AWB7" s="314">
        <v>2200</v>
      </c>
      <c r="AWC7" s="314">
        <v>2200</v>
      </c>
      <c r="AWD7" s="314">
        <v>2200</v>
      </c>
      <c r="AWE7" s="314"/>
      <c r="AWF7" s="314">
        <v>2200</v>
      </c>
      <c r="AWG7" s="314">
        <v>2200</v>
      </c>
      <c r="AWH7" s="314">
        <v>2200</v>
      </c>
      <c r="AWI7" s="314">
        <v>2200</v>
      </c>
      <c r="AWJ7" s="314">
        <v>2200</v>
      </c>
      <c r="AWK7" s="314">
        <v>2200</v>
      </c>
      <c r="AWL7" s="314"/>
      <c r="AWM7" s="314">
        <v>2200</v>
      </c>
      <c r="AWN7" s="314">
        <v>2200</v>
      </c>
      <c r="AWO7" s="124">
        <v>2200</v>
      </c>
      <c r="AWP7" s="314">
        <v>2200</v>
      </c>
      <c r="AWQ7" s="314">
        <v>2200</v>
      </c>
      <c r="AWR7" s="112"/>
      <c r="AWS7" s="314">
        <v>2200</v>
      </c>
      <c r="AWU7" s="314">
        <v>2200</v>
      </c>
      <c r="AWV7" s="314">
        <v>2200</v>
      </c>
      <c r="AWW7" s="314">
        <v>2200</v>
      </c>
      <c r="AWX7" s="314">
        <v>2200</v>
      </c>
      <c r="AWY7" s="314">
        <v>2200</v>
      </c>
      <c r="AWZ7" s="314">
        <v>2200</v>
      </c>
      <c r="AXB7" s="314">
        <v>2200</v>
      </c>
      <c r="AXC7" s="314">
        <v>2200</v>
      </c>
      <c r="AXD7" s="314">
        <v>2200</v>
      </c>
      <c r="AXE7" s="314">
        <v>2200</v>
      </c>
      <c r="AXF7" s="314">
        <v>2200</v>
      </c>
      <c r="AXG7" s="314">
        <v>2200</v>
      </c>
      <c r="AXI7" s="314">
        <v>2200</v>
      </c>
      <c r="AXJ7" s="314">
        <v>2200</v>
      </c>
      <c r="AXK7" s="314">
        <v>2200</v>
      </c>
      <c r="AXL7" s="314">
        <v>2200</v>
      </c>
      <c r="AXM7" s="314">
        <v>2200</v>
      </c>
      <c r="AXN7" s="314">
        <v>2200</v>
      </c>
      <c r="AXP7" s="314">
        <v>2200</v>
      </c>
      <c r="AXQ7" s="314">
        <v>2200</v>
      </c>
      <c r="AXR7" s="314">
        <v>2200</v>
      </c>
      <c r="AXS7" s="314">
        <v>2200</v>
      </c>
      <c r="AXT7" s="314">
        <v>2200</v>
      </c>
      <c r="AXU7" s="314">
        <v>2200</v>
      </c>
      <c r="AXV7" s="314"/>
      <c r="AXW7" s="314">
        <v>2200</v>
      </c>
      <c r="AXX7" s="112"/>
    </row>
    <row r="8" spans="1:1327" s="130" customFormat="1" ht="28.5" customHeight="1" thickBot="1" x14ac:dyDescent="0.45">
      <c r="A8" s="711"/>
      <c r="B8" s="8" t="s">
        <v>11</v>
      </c>
      <c r="C8" s="119" t="s">
        <v>62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1" t="s">
        <v>63</v>
      </c>
      <c r="V8" s="122"/>
      <c r="W8" s="122"/>
      <c r="X8" s="122"/>
      <c r="Y8" s="122"/>
      <c r="Z8" s="122"/>
      <c r="AA8" s="122"/>
      <c r="AB8" s="121" t="s">
        <v>60</v>
      </c>
      <c r="AC8" s="122"/>
      <c r="AD8" s="122"/>
      <c r="AE8" s="122"/>
      <c r="AF8" s="122"/>
      <c r="AG8" s="122"/>
      <c r="AH8" s="28" t="s">
        <v>11</v>
      </c>
      <c r="AI8" s="121" t="s">
        <v>63</v>
      </c>
      <c r="AJ8" s="123"/>
      <c r="AK8" s="123"/>
      <c r="AL8" s="123"/>
      <c r="AM8" s="123"/>
      <c r="AN8" s="123"/>
      <c r="AO8" s="123"/>
      <c r="AP8" s="123"/>
      <c r="AQ8" s="750"/>
      <c r="AR8" s="751"/>
      <c r="AS8" s="751"/>
      <c r="AT8" s="751"/>
      <c r="AU8" s="751"/>
      <c r="AV8" s="751"/>
      <c r="AW8" s="751"/>
      <c r="AX8" s="751"/>
      <c r="AY8" s="751"/>
      <c r="AZ8" s="752"/>
      <c r="BA8" s="123" t="s">
        <v>63</v>
      </c>
      <c r="BB8" s="123"/>
      <c r="BC8" s="123"/>
      <c r="BD8" s="123"/>
      <c r="BE8" s="123"/>
      <c r="BF8" s="123"/>
      <c r="BG8" s="121" t="s">
        <v>60</v>
      </c>
      <c r="BH8" s="123"/>
      <c r="BI8" s="123"/>
      <c r="BJ8" s="123"/>
      <c r="BK8" s="123"/>
      <c r="BL8" s="123"/>
      <c r="BM8" s="123"/>
      <c r="BN8" s="8" t="s">
        <v>11</v>
      </c>
      <c r="BO8" s="123" t="s">
        <v>60</v>
      </c>
      <c r="BP8" s="122"/>
      <c r="BQ8" s="122"/>
      <c r="BR8" s="122"/>
      <c r="BS8" s="122"/>
      <c r="BT8" s="122"/>
      <c r="BU8" s="122"/>
      <c r="BV8" s="122"/>
      <c r="BW8" s="122"/>
      <c r="BX8" s="122"/>
      <c r="BY8" s="122"/>
      <c r="BZ8" s="122"/>
      <c r="CA8" s="122"/>
      <c r="CB8" s="122"/>
      <c r="CC8" s="122"/>
      <c r="CD8" s="122"/>
      <c r="CE8" s="122"/>
      <c r="CF8" s="122"/>
      <c r="CG8" s="121" t="s">
        <v>63</v>
      </c>
      <c r="CH8" s="122"/>
      <c r="CI8" s="122"/>
      <c r="CJ8" s="122"/>
      <c r="CK8" s="122"/>
      <c r="CL8" s="122"/>
      <c r="CM8" s="122"/>
      <c r="CN8" s="122"/>
      <c r="CO8" s="122"/>
      <c r="CP8" s="122"/>
      <c r="CQ8" s="121" t="s">
        <v>135</v>
      </c>
      <c r="CR8" s="123"/>
      <c r="CS8" s="8" t="s">
        <v>11</v>
      </c>
      <c r="CT8" s="123" t="s">
        <v>135</v>
      </c>
      <c r="CU8" s="123"/>
      <c r="CV8" s="123"/>
      <c r="CW8" s="123"/>
      <c r="CX8" s="123"/>
      <c r="CY8" s="123"/>
      <c r="CZ8" s="123"/>
      <c r="DA8" s="123"/>
      <c r="DB8" s="123"/>
      <c r="DC8" s="123"/>
      <c r="DD8" s="123"/>
      <c r="DE8" s="123"/>
      <c r="DF8" s="123"/>
      <c r="DG8" s="123"/>
      <c r="DH8" s="123"/>
      <c r="DI8" s="123"/>
      <c r="DJ8" s="123"/>
      <c r="DK8" s="123"/>
      <c r="DL8" s="123"/>
      <c r="DM8" s="123"/>
      <c r="DN8" s="123"/>
      <c r="DO8" s="123"/>
      <c r="DP8" s="123"/>
      <c r="DQ8" s="123"/>
      <c r="DR8" s="123"/>
      <c r="DS8" s="123"/>
      <c r="DT8" s="123"/>
      <c r="DU8" s="123"/>
      <c r="DV8" s="123"/>
      <c r="DW8" s="123"/>
      <c r="DX8" s="123"/>
      <c r="DY8" s="8" t="s">
        <v>11</v>
      </c>
      <c r="DZ8" s="123" t="s">
        <v>135</v>
      </c>
      <c r="EA8" s="123"/>
      <c r="EB8" s="123"/>
      <c r="EC8" s="123"/>
      <c r="ED8" s="123"/>
      <c r="EE8" s="123"/>
      <c r="EF8" s="123"/>
      <c r="EG8" s="123"/>
      <c r="EH8" s="123"/>
      <c r="EI8" s="123"/>
      <c r="EJ8" s="123"/>
      <c r="EK8" s="123"/>
      <c r="EL8" s="123"/>
      <c r="EM8" s="123"/>
      <c r="EN8" s="123"/>
      <c r="EO8" s="123"/>
      <c r="EP8" s="123"/>
      <c r="EQ8" s="123"/>
      <c r="ER8" s="123"/>
      <c r="ES8" s="123"/>
      <c r="ET8" s="123"/>
      <c r="EU8" s="123"/>
      <c r="EV8" s="123"/>
      <c r="EW8" s="123"/>
      <c r="EX8" s="123"/>
      <c r="EY8" s="123"/>
      <c r="EZ8" s="123"/>
      <c r="FA8" s="123"/>
      <c r="FB8" s="123"/>
      <c r="FC8" s="123"/>
      <c r="FD8" s="8" t="s">
        <v>11</v>
      </c>
      <c r="FE8" s="124" t="s">
        <v>326</v>
      </c>
      <c r="FF8" s="119"/>
      <c r="FG8" s="125"/>
      <c r="FH8" s="125"/>
      <c r="FI8" s="119"/>
      <c r="FJ8" s="119"/>
      <c r="FK8" s="125"/>
      <c r="FL8" s="125"/>
      <c r="FM8" s="125"/>
      <c r="FN8" s="125"/>
      <c r="FO8" s="125"/>
      <c r="FP8" s="125"/>
      <c r="FQ8" s="125"/>
      <c r="FR8" s="125"/>
      <c r="FS8" s="125"/>
      <c r="FT8" s="124"/>
      <c r="FU8" s="124"/>
      <c r="FV8" s="124"/>
      <c r="FW8" s="124"/>
      <c r="FX8" s="124"/>
      <c r="FY8" s="125"/>
      <c r="FZ8" s="126" t="s">
        <v>327</v>
      </c>
      <c r="GA8" s="127"/>
      <c r="GB8" s="123"/>
      <c r="GC8" s="123"/>
      <c r="GD8" s="123"/>
      <c r="GE8" s="123"/>
      <c r="GF8" s="123"/>
      <c r="GG8" s="123"/>
      <c r="GH8" s="123"/>
      <c r="GI8" s="123"/>
      <c r="GJ8" s="8" t="s">
        <v>11</v>
      </c>
      <c r="GK8" s="126" t="s">
        <v>444</v>
      </c>
      <c r="GL8" s="126" t="s">
        <v>445</v>
      </c>
      <c r="GM8" s="119"/>
      <c r="GN8" s="119"/>
      <c r="GO8" s="119"/>
      <c r="GP8" s="126" t="s">
        <v>446</v>
      </c>
      <c r="GQ8" s="126"/>
      <c r="GR8" s="119"/>
      <c r="GS8" s="119"/>
      <c r="GT8" s="119"/>
      <c r="GU8" s="119"/>
      <c r="GV8" s="119"/>
      <c r="GW8" s="119"/>
      <c r="GX8" s="119"/>
      <c r="GY8" s="119"/>
      <c r="GZ8" s="119"/>
      <c r="HA8" s="119"/>
      <c r="HB8" s="126" t="s">
        <v>351</v>
      </c>
      <c r="HC8" s="126"/>
      <c r="HD8" s="123"/>
      <c r="HE8" s="123"/>
      <c r="HF8" s="123"/>
      <c r="HG8" s="126" t="s">
        <v>365</v>
      </c>
      <c r="HH8" s="126"/>
      <c r="HI8" s="123"/>
      <c r="HJ8" s="123"/>
      <c r="HK8" s="123"/>
      <c r="HL8" s="123"/>
      <c r="HM8" s="123"/>
      <c r="HN8" s="123"/>
      <c r="HO8" s="123"/>
      <c r="HP8" s="8" t="s">
        <v>11</v>
      </c>
      <c r="HQ8" s="123" t="s">
        <v>365</v>
      </c>
      <c r="HR8" s="123"/>
      <c r="HS8" s="123"/>
      <c r="HT8" s="123"/>
      <c r="HU8" s="123"/>
      <c r="HV8" s="123"/>
      <c r="HW8" s="123"/>
      <c r="HX8" s="123"/>
      <c r="HY8" s="123"/>
      <c r="HZ8" s="123"/>
      <c r="IA8" s="126" t="s">
        <v>433</v>
      </c>
      <c r="IB8" s="126"/>
      <c r="IC8" s="123"/>
      <c r="ID8" s="126" t="s">
        <v>370</v>
      </c>
      <c r="IE8" s="126"/>
      <c r="IF8" s="123"/>
      <c r="IG8" s="123"/>
      <c r="IH8" s="123"/>
      <c r="II8" s="123"/>
      <c r="IJ8" s="123"/>
      <c r="IK8" s="123"/>
      <c r="IL8" s="123"/>
      <c r="IM8" s="123"/>
      <c r="IN8" s="123"/>
      <c r="IO8" s="123"/>
      <c r="IP8" s="123"/>
      <c r="IQ8" s="123"/>
      <c r="IR8" s="123"/>
      <c r="IS8" s="123"/>
      <c r="IT8" s="8" t="s">
        <v>11</v>
      </c>
      <c r="IU8" s="123" t="s">
        <v>370</v>
      </c>
      <c r="IV8" s="123"/>
      <c r="IW8" s="123"/>
      <c r="IX8" s="123"/>
      <c r="IY8" s="123"/>
      <c r="IZ8" s="123"/>
      <c r="JA8" s="123"/>
      <c r="JB8" s="123"/>
      <c r="JC8" s="123"/>
      <c r="JD8" s="123"/>
      <c r="JE8" s="123"/>
      <c r="JF8" s="123"/>
      <c r="JG8" s="123"/>
      <c r="JH8" s="123"/>
      <c r="JI8" s="123"/>
      <c r="JJ8" s="123"/>
      <c r="JK8" s="123"/>
      <c r="JL8" s="123"/>
      <c r="JM8" s="123"/>
      <c r="JN8" s="123"/>
      <c r="JO8" s="123"/>
      <c r="JP8" s="123"/>
      <c r="JQ8" s="123"/>
      <c r="JR8" s="123"/>
      <c r="JS8" s="123"/>
      <c r="JT8" s="123"/>
      <c r="JU8" s="123"/>
      <c r="JV8" s="123"/>
      <c r="JW8" s="123"/>
      <c r="JX8" s="123"/>
      <c r="JY8" s="123"/>
      <c r="JZ8" s="8" t="s">
        <v>11</v>
      </c>
      <c r="KA8" s="123" t="s">
        <v>370</v>
      </c>
      <c r="KB8" s="123"/>
      <c r="KC8" s="123"/>
      <c r="KD8" s="123"/>
      <c r="KE8" s="123"/>
      <c r="KF8" s="123"/>
      <c r="KG8" s="123"/>
      <c r="KH8" s="123"/>
      <c r="KI8" s="123"/>
      <c r="KJ8" s="123"/>
      <c r="KK8" s="123"/>
      <c r="KL8" s="123"/>
      <c r="KM8" s="123"/>
      <c r="KN8" s="123"/>
      <c r="KO8" s="123"/>
      <c r="KP8" s="123"/>
      <c r="KQ8" s="123"/>
      <c r="KR8" s="123"/>
      <c r="KS8" s="123"/>
      <c r="KT8" s="123"/>
      <c r="KU8" s="123"/>
      <c r="KV8" s="123"/>
      <c r="KW8" s="123"/>
      <c r="KX8" s="123"/>
      <c r="KY8" s="123"/>
      <c r="KZ8" s="123"/>
      <c r="LA8" s="123"/>
      <c r="LB8" s="123"/>
      <c r="LC8" s="123"/>
      <c r="LD8" s="123"/>
      <c r="LE8" s="8" t="s">
        <v>11</v>
      </c>
      <c r="LF8" s="123" t="s">
        <v>370</v>
      </c>
      <c r="LG8" s="123"/>
      <c r="LH8" s="123"/>
      <c r="LI8" s="123"/>
      <c r="LJ8" s="123"/>
      <c r="LK8" s="123"/>
      <c r="LL8" s="123"/>
      <c r="LM8" s="123"/>
      <c r="LN8" s="123"/>
      <c r="LO8" s="123"/>
      <c r="LP8" s="123"/>
      <c r="LQ8" s="123"/>
      <c r="LR8" s="123"/>
      <c r="LS8" s="123"/>
      <c r="LT8" s="123"/>
      <c r="LU8" s="123"/>
      <c r="LV8" s="123"/>
      <c r="LW8" s="123"/>
      <c r="LX8" s="123"/>
      <c r="LY8" s="123"/>
      <c r="LZ8" s="756"/>
      <c r="MA8" s="757"/>
      <c r="MB8" s="757"/>
      <c r="MC8" s="757"/>
      <c r="MD8" s="757"/>
      <c r="ME8" s="757"/>
      <c r="MF8" s="757"/>
      <c r="MG8" s="757"/>
      <c r="MH8" s="757"/>
      <c r="MI8" s="758"/>
      <c r="MJ8" s="123" t="s">
        <v>370</v>
      </c>
      <c r="MK8" s="8" t="s">
        <v>11</v>
      </c>
      <c r="ML8" s="335" t="s">
        <v>370</v>
      </c>
      <c r="MM8" s="335"/>
      <c r="MN8" s="335"/>
      <c r="MO8" s="335"/>
      <c r="MP8" s="335"/>
      <c r="MQ8" s="335"/>
      <c r="MR8" s="335"/>
      <c r="MS8" s="335"/>
      <c r="MT8" s="335"/>
      <c r="MU8" s="335"/>
      <c r="MV8" s="335"/>
      <c r="MW8" s="335"/>
      <c r="MX8" s="335"/>
      <c r="MY8" s="335"/>
      <c r="MZ8" s="335"/>
      <c r="NA8" s="335"/>
      <c r="NB8" s="335"/>
      <c r="NC8" s="335"/>
      <c r="ND8" s="335"/>
      <c r="NE8" s="335"/>
      <c r="NF8" s="335"/>
      <c r="NG8" s="335"/>
      <c r="NH8" s="335"/>
      <c r="NI8" s="335"/>
      <c r="NJ8" s="335"/>
      <c r="NK8" s="335"/>
      <c r="NL8" s="335"/>
      <c r="NM8" s="335"/>
      <c r="NN8" s="335"/>
      <c r="NO8" s="335"/>
      <c r="NP8" s="8" t="s">
        <v>11</v>
      </c>
      <c r="NQ8" s="344" t="s">
        <v>371</v>
      </c>
      <c r="NR8" s="350"/>
      <c r="NS8" s="350"/>
      <c r="NT8" s="350"/>
      <c r="NU8" s="350"/>
      <c r="NV8" s="351" t="s">
        <v>881</v>
      </c>
      <c r="NW8" s="350"/>
      <c r="NX8" s="350"/>
      <c r="NY8" s="350"/>
      <c r="NZ8" s="350"/>
      <c r="OA8" s="350"/>
      <c r="OB8" s="350"/>
      <c r="OC8" s="350"/>
      <c r="OD8" s="350"/>
      <c r="OE8" s="350"/>
      <c r="OF8" s="350"/>
      <c r="OG8" s="350"/>
      <c r="OH8" s="350"/>
      <c r="OI8" s="350"/>
      <c r="OJ8" s="350"/>
      <c r="OK8" s="350"/>
      <c r="OL8" s="350"/>
      <c r="OM8" s="350"/>
      <c r="ON8" s="350"/>
      <c r="OO8" s="350"/>
      <c r="OP8" s="350"/>
      <c r="OQ8" s="350"/>
      <c r="OR8" s="350"/>
      <c r="OS8" s="762"/>
      <c r="OT8" s="763"/>
      <c r="OU8" s="764"/>
      <c r="OV8" s="8" t="s">
        <v>11</v>
      </c>
      <c r="OW8" s="770"/>
      <c r="OX8" s="763"/>
      <c r="OY8" s="763"/>
      <c r="OZ8" s="763"/>
      <c r="PA8" s="763"/>
      <c r="PB8" s="763"/>
      <c r="PC8" s="771"/>
      <c r="PD8" s="358" t="s">
        <v>881</v>
      </c>
      <c r="PE8" s="352" t="s">
        <v>371</v>
      </c>
      <c r="PF8" s="357"/>
      <c r="PG8" s="357"/>
      <c r="PH8" s="357" t="s">
        <v>890</v>
      </c>
      <c r="PI8" s="357"/>
      <c r="PJ8" s="357"/>
      <c r="PK8" s="357"/>
      <c r="PL8" s="357"/>
      <c r="PM8" s="357"/>
      <c r="PN8" s="357"/>
      <c r="PO8" s="357"/>
      <c r="PP8" s="357"/>
      <c r="PQ8" s="357"/>
      <c r="PR8" s="357"/>
      <c r="PS8" s="357"/>
      <c r="PT8" s="357"/>
      <c r="PU8" s="357"/>
      <c r="PV8" s="357"/>
      <c r="PW8" s="357"/>
      <c r="PX8" s="357"/>
      <c r="PY8" s="357"/>
      <c r="PZ8" s="357"/>
      <c r="QA8" s="357"/>
      <c r="QB8" s="8" t="s">
        <v>11</v>
      </c>
      <c r="QC8" s="363" t="s">
        <v>890</v>
      </c>
      <c r="QD8" s="363"/>
      <c r="QE8" s="363"/>
      <c r="QF8" s="363"/>
      <c r="QG8" s="363"/>
      <c r="QH8" s="363"/>
      <c r="QI8" s="363"/>
      <c r="QJ8" s="363"/>
      <c r="QK8" s="363"/>
      <c r="QL8" s="363"/>
      <c r="QM8" s="363"/>
      <c r="QN8" s="363"/>
      <c r="QO8" s="363"/>
      <c r="QP8" s="363"/>
      <c r="QQ8" s="363"/>
      <c r="QR8" s="363"/>
      <c r="QS8" s="363"/>
      <c r="QT8" s="363"/>
      <c r="QU8" s="363"/>
      <c r="QV8" s="363"/>
      <c r="QW8" s="363"/>
      <c r="QX8" s="363"/>
      <c r="QY8" s="363"/>
      <c r="QZ8" s="363"/>
      <c r="RA8" s="363"/>
      <c r="RB8" s="363"/>
      <c r="RC8" s="363"/>
      <c r="RD8" s="363"/>
      <c r="RE8" s="363"/>
      <c r="RF8" s="363"/>
      <c r="RG8" s="8" t="s">
        <v>11</v>
      </c>
      <c r="RH8" s="440" t="s">
        <v>1493</v>
      </c>
      <c r="RI8" s="441"/>
      <c r="RJ8" s="441"/>
      <c r="RK8" s="441"/>
      <c r="RL8" s="441"/>
      <c r="RM8" s="441"/>
      <c r="RN8" s="441"/>
      <c r="RO8" s="441"/>
      <c r="RP8" s="441"/>
      <c r="RQ8" s="441"/>
      <c r="RR8" s="441"/>
      <c r="RS8" s="441"/>
      <c r="RT8" s="441"/>
      <c r="RU8" s="441"/>
      <c r="RV8" s="441"/>
      <c r="RW8" s="441"/>
      <c r="RX8" s="441"/>
      <c r="RY8" s="442" t="s">
        <v>1494</v>
      </c>
      <c r="RZ8" s="443"/>
      <c r="SA8" s="443"/>
      <c r="SB8" s="443"/>
      <c r="SC8" s="443"/>
      <c r="SD8" s="443"/>
      <c r="SE8" s="443"/>
      <c r="SF8" s="443"/>
      <c r="SG8" s="443"/>
      <c r="SH8" s="443"/>
      <c r="SI8" s="443"/>
      <c r="SJ8" s="443"/>
      <c r="SK8" s="443"/>
      <c r="SL8" s="443"/>
      <c r="SM8" s="8" t="s">
        <v>11</v>
      </c>
      <c r="SN8" s="449" t="s">
        <v>1494</v>
      </c>
      <c r="SO8" s="443"/>
      <c r="SP8" s="443"/>
      <c r="SQ8" s="443"/>
      <c r="SR8" s="443"/>
      <c r="SS8" s="443"/>
      <c r="ST8" s="443"/>
      <c r="SU8" s="443"/>
      <c r="SV8" s="443"/>
      <c r="SW8" s="443"/>
      <c r="SX8" s="440" t="s">
        <v>1522</v>
      </c>
      <c r="SY8" s="440" t="s">
        <v>1523</v>
      </c>
      <c r="SZ8" s="442" t="s">
        <v>1524</v>
      </c>
      <c r="TA8" s="440"/>
      <c r="TB8" s="440"/>
      <c r="TC8" s="440"/>
      <c r="TD8" s="440"/>
      <c r="TE8" s="440"/>
      <c r="TF8" s="440"/>
      <c r="TG8" s="440"/>
      <c r="TH8" s="440"/>
      <c r="TI8" s="440"/>
      <c r="TJ8" s="440"/>
      <c r="TK8" s="442" t="s">
        <v>1525</v>
      </c>
      <c r="TL8" s="440"/>
      <c r="TM8" s="440"/>
      <c r="TN8" s="440"/>
      <c r="TO8" s="440"/>
      <c r="TP8" s="440"/>
      <c r="TQ8" s="440"/>
      <c r="TR8" s="8" t="s">
        <v>11</v>
      </c>
      <c r="TS8" s="440" t="s">
        <v>1524</v>
      </c>
      <c r="TT8" s="442" t="s">
        <v>1493</v>
      </c>
      <c r="TU8" s="441"/>
      <c r="TV8" s="441"/>
      <c r="TW8" s="441"/>
      <c r="TX8" s="441"/>
      <c r="TY8" s="441"/>
      <c r="TZ8" s="441"/>
      <c r="UA8" s="441"/>
      <c r="UB8" s="441"/>
      <c r="UC8" s="441"/>
      <c r="UD8" s="441"/>
      <c r="UE8" s="441"/>
      <c r="UF8" s="441"/>
      <c r="UG8" s="441"/>
      <c r="UH8" s="441"/>
      <c r="UI8" s="441"/>
      <c r="UJ8" s="441"/>
      <c r="UK8" s="441"/>
      <c r="UL8" s="441"/>
      <c r="UM8" s="441"/>
      <c r="UN8" s="441"/>
      <c r="UO8" s="442" t="s">
        <v>1494</v>
      </c>
      <c r="UP8" s="443"/>
      <c r="UQ8" s="443"/>
      <c r="UR8" s="443"/>
      <c r="US8" s="443"/>
      <c r="UT8" s="443"/>
      <c r="UU8" s="443"/>
      <c r="UV8" s="443"/>
      <c r="UW8" s="443"/>
      <c r="UX8" s="8" t="s">
        <v>11</v>
      </c>
      <c r="UY8" s="449" t="s">
        <v>1494</v>
      </c>
      <c r="UZ8" s="443"/>
      <c r="VA8" s="443"/>
      <c r="VB8" s="443"/>
      <c r="VC8" s="443"/>
      <c r="VD8" s="443"/>
      <c r="VE8" s="443"/>
      <c r="VF8" s="443"/>
      <c r="VG8" s="442" t="s">
        <v>1520</v>
      </c>
      <c r="VH8" s="443"/>
      <c r="VI8" s="443"/>
      <c r="VJ8" s="443"/>
      <c r="VK8" s="443"/>
      <c r="VL8" s="442" t="s">
        <v>1505</v>
      </c>
      <c r="VM8" s="443"/>
      <c r="VN8" s="443"/>
      <c r="VO8" s="443"/>
      <c r="VP8" s="443"/>
      <c r="VQ8" s="443"/>
      <c r="VR8" s="443"/>
      <c r="VS8" s="443"/>
      <c r="VT8" s="447"/>
      <c r="WD8" s="8" t="s">
        <v>11</v>
      </c>
      <c r="XG8" s="8" t="s">
        <v>11</v>
      </c>
      <c r="YM8" s="8" t="s">
        <v>11</v>
      </c>
      <c r="ZR8" s="8" t="s">
        <v>11</v>
      </c>
      <c r="AAX8" s="8" t="s">
        <v>11</v>
      </c>
      <c r="ACC8" s="8" t="s">
        <v>11</v>
      </c>
      <c r="ACV8" s="704"/>
      <c r="ACW8" s="705"/>
      <c r="ACX8" s="705"/>
      <c r="ACY8" s="705"/>
      <c r="ACZ8" s="705"/>
      <c r="ADA8" s="705"/>
      <c r="ADB8" s="705"/>
      <c r="ADC8" s="705"/>
      <c r="ADD8" s="706"/>
      <c r="ADI8" s="8" t="s">
        <v>11</v>
      </c>
      <c r="ADJ8" s="352"/>
      <c r="ADK8" s="352"/>
      <c r="ADL8" s="352"/>
      <c r="ADM8" s="352"/>
      <c r="ADN8" s="352"/>
      <c r="ADO8" s="352"/>
      <c r="ADP8" s="352"/>
      <c r="ADQ8" s="352"/>
      <c r="ADR8" s="352"/>
      <c r="ADS8" s="352"/>
      <c r="ADT8" s="352"/>
      <c r="ADU8" s="352"/>
      <c r="ADV8" s="352"/>
      <c r="ADW8" s="352"/>
      <c r="ADX8" s="352"/>
      <c r="ADY8" s="352"/>
      <c r="ADZ8" s="352"/>
      <c r="AEA8" s="352"/>
      <c r="AEB8" s="352"/>
      <c r="AEC8" s="352"/>
      <c r="AED8" s="352"/>
      <c r="AEE8" s="352"/>
      <c r="AEF8" s="352"/>
      <c r="AEG8" s="352"/>
      <c r="AEH8" s="352"/>
      <c r="AEI8" s="352"/>
      <c r="AEJ8" s="352"/>
      <c r="AEK8" s="352"/>
      <c r="AEL8" s="352"/>
      <c r="AEM8" s="352"/>
      <c r="AEN8" s="352"/>
      <c r="AEO8" s="8" t="s">
        <v>11</v>
      </c>
      <c r="AEP8" s="352"/>
      <c r="AEQ8" s="352"/>
      <c r="AER8" s="352"/>
      <c r="AES8" s="352"/>
      <c r="AET8" s="352"/>
      <c r="AEU8" s="352"/>
      <c r="AEV8" s="352"/>
      <c r="AEW8" s="352"/>
      <c r="AEX8" s="352"/>
      <c r="AEY8" s="352"/>
      <c r="AEZ8" s="352"/>
      <c r="AFA8" s="352"/>
      <c r="AFB8" s="352"/>
      <c r="AFC8" s="345" t="s">
        <v>2462</v>
      </c>
      <c r="AFD8" s="345"/>
      <c r="AFE8" s="352"/>
      <c r="AFF8" s="352"/>
      <c r="AFG8" s="352"/>
      <c r="AFH8" s="352"/>
      <c r="AFI8" s="352"/>
      <c r="AFJ8" s="352"/>
      <c r="AFK8" s="352"/>
      <c r="AFL8" s="352"/>
      <c r="AFM8" s="352"/>
      <c r="AFN8" s="352"/>
      <c r="AFO8" s="352"/>
      <c r="AFP8" s="352"/>
      <c r="AFQ8" s="352"/>
      <c r="AFR8" s="352"/>
      <c r="AFS8" s="352"/>
      <c r="AFT8" s="28" t="s">
        <v>11</v>
      </c>
      <c r="AFU8" s="352" t="s">
        <v>2462</v>
      </c>
      <c r="AFV8" s="352"/>
      <c r="AFW8" s="352"/>
      <c r="AFX8" s="352"/>
      <c r="AFY8" s="352"/>
      <c r="AFZ8" s="352"/>
      <c r="AGA8" s="352"/>
      <c r="AGB8" s="352"/>
      <c r="AGC8" s="352"/>
      <c r="AGD8" s="352"/>
      <c r="AGE8" s="352"/>
      <c r="AGF8" s="352"/>
      <c r="AGG8" s="352"/>
      <c r="AGH8" s="352"/>
      <c r="AGI8" s="352"/>
      <c r="AGJ8" s="352"/>
      <c r="AGK8" s="352"/>
      <c r="AGL8" s="352"/>
      <c r="AGM8" s="352"/>
      <c r="AGN8" s="352"/>
      <c r="AGO8" s="352"/>
      <c r="AGP8" s="352"/>
      <c r="AGQ8" s="352"/>
      <c r="AGR8" s="352"/>
      <c r="AGS8" s="352"/>
      <c r="AGT8" s="352"/>
      <c r="AGU8" s="352"/>
      <c r="AGV8" s="352"/>
      <c r="AGW8" s="352"/>
      <c r="AGX8" s="352"/>
      <c r="AGY8" s="352"/>
      <c r="AGZ8" s="8" t="s">
        <v>11</v>
      </c>
      <c r="AHA8" s="352" t="s">
        <v>2462</v>
      </c>
      <c r="AHB8" s="352"/>
      <c r="AHC8" s="352"/>
      <c r="AHD8" s="352"/>
      <c r="AHE8" s="352"/>
      <c r="AHF8" s="352"/>
      <c r="AHG8" s="352"/>
      <c r="AHH8" s="352"/>
      <c r="AHI8" s="352"/>
      <c r="AHJ8" s="352"/>
      <c r="AHK8" s="352"/>
      <c r="AHL8" s="352"/>
      <c r="AHM8" s="352"/>
      <c r="AHN8" s="352"/>
      <c r="AHO8" s="352"/>
      <c r="AHP8" s="352"/>
      <c r="AHQ8" s="352"/>
      <c r="AHR8" s="352"/>
      <c r="AHS8" s="352"/>
      <c r="AHT8" s="352"/>
      <c r="AHU8" s="352"/>
      <c r="AHV8" s="352"/>
      <c r="AHW8" s="352"/>
      <c r="AHX8" s="352"/>
      <c r="AHY8" s="352"/>
      <c r="AHZ8" s="352"/>
      <c r="AIA8" s="352"/>
      <c r="AIB8" s="352"/>
      <c r="AIC8" s="352"/>
      <c r="AID8" s="352"/>
      <c r="AIE8" s="8" t="s">
        <v>11</v>
      </c>
      <c r="AIF8" s="352" t="s">
        <v>2462</v>
      </c>
      <c r="AIG8" s="352"/>
      <c r="AIH8" s="352"/>
      <c r="AII8" s="352"/>
      <c r="AIJ8" s="352"/>
      <c r="AIK8" s="352"/>
      <c r="AIL8" s="352"/>
      <c r="AIM8" s="352"/>
      <c r="AIN8" s="352"/>
      <c r="AIO8" s="352"/>
      <c r="AIP8" s="352"/>
      <c r="AIQ8" s="352"/>
      <c r="AIR8" s="352"/>
      <c r="AIS8" s="352"/>
      <c r="AIT8" s="352"/>
      <c r="AIU8" s="352"/>
      <c r="AIV8" s="352"/>
      <c r="AIW8" s="352"/>
      <c r="AIX8" s="352"/>
      <c r="AIY8" s="352"/>
      <c r="AIZ8" s="352"/>
      <c r="AJA8" s="352"/>
      <c r="AJB8" s="352"/>
      <c r="AJC8" s="352"/>
      <c r="AJD8" s="352"/>
      <c r="AJE8" s="352"/>
      <c r="AJF8" s="352"/>
      <c r="AJG8" s="352"/>
      <c r="AJH8" s="352"/>
      <c r="AJI8" s="352"/>
      <c r="AJJ8" s="352"/>
      <c r="AJK8" s="8" t="s">
        <v>11</v>
      </c>
      <c r="AJL8" s="352" t="s">
        <v>2684</v>
      </c>
      <c r="AJM8" s="352"/>
      <c r="AJN8" s="352"/>
      <c r="AJO8" s="352"/>
      <c r="AJP8" s="345" t="s">
        <v>2684</v>
      </c>
      <c r="AJQ8" s="345"/>
      <c r="AJR8" s="352"/>
      <c r="AJS8" s="352"/>
      <c r="AJT8" s="352"/>
      <c r="AJU8" s="352"/>
      <c r="AJV8" s="352"/>
      <c r="AJW8" s="352"/>
      <c r="AJX8" s="352"/>
      <c r="AJY8" s="352"/>
      <c r="AJZ8" s="352"/>
      <c r="AKA8" s="352"/>
      <c r="AKB8" s="352"/>
      <c r="AKC8" s="352"/>
      <c r="AKD8" s="352"/>
      <c r="AKE8" s="352"/>
      <c r="AKF8" s="352"/>
      <c r="AKG8" s="352"/>
      <c r="AKH8" s="352"/>
      <c r="AKI8" s="352"/>
      <c r="AKJ8" s="352"/>
      <c r="AKK8" s="352"/>
      <c r="AKL8" s="352"/>
      <c r="AKM8" s="352"/>
      <c r="AKN8" s="352"/>
      <c r="AKO8" s="352"/>
      <c r="AKP8" s="352"/>
      <c r="AKQ8" s="8" t="s">
        <v>11</v>
      </c>
      <c r="AKR8" s="352" t="s">
        <v>2461</v>
      </c>
      <c r="AKS8" s="352"/>
      <c r="AKT8" s="352"/>
      <c r="AKU8" s="352"/>
      <c r="AKV8" s="352"/>
      <c r="AKW8" s="352"/>
      <c r="AKX8" s="352"/>
      <c r="AKY8" s="352"/>
      <c r="AKZ8" s="352"/>
      <c r="ALA8" s="352"/>
      <c r="ALB8" s="352"/>
      <c r="ALC8" s="352"/>
      <c r="ALD8" s="352"/>
      <c r="ALE8" s="352"/>
      <c r="ALF8" s="352"/>
      <c r="ALG8" s="352"/>
      <c r="ALH8" s="352"/>
      <c r="ALI8" s="352"/>
      <c r="ALJ8" s="352"/>
      <c r="ALK8" s="352"/>
      <c r="ALL8" s="352"/>
      <c r="ALM8" s="352"/>
      <c r="ALN8" s="352"/>
      <c r="ALO8" s="352"/>
      <c r="ALP8" s="352"/>
      <c r="ALQ8" s="352"/>
      <c r="ALR8" s="345" t="s">
        <v>2634</v>
      </c>
      <c r="ALS8" s="345"/>
      <c r="ALT8" s="8" t="s">
        <v>11</v>
      </c>
      <c r="ALU8" s="352" t="s">
        <v>2634</v>
      </c>
      <c r="ALV8" s="352"/>
      <c r="ALW8" s="352"/>
      <c r="ALX8" s="352"/>
      <c r="ALY8" s="352"/>
      <c r="ALZ8" s="352"/>
      <c r="AMA8" s="352"/>
      <c r="AMB8" s="352"/>
      <c r="AMC8" s="352"/>
      <c r="AMD8" s="352"/>
      <c r="AME8" s="352"/>
      <c r="AMF8" s="352"/>
      <c r="AMG8" s="352"/>
      <c r="AMH8" s="352"/>
      <c r="AMI8" s="352"/>
      <c r="AMJ8" s="352"/>
      <c r="AMK8" s="352"/>
      <c r="AML8" s="352"/>
      <c r="AMM8" s="352"/>
      <c r="AMN8" s="352"/>
      <c r="AMO8" s="352"/>
      <c r="AMP8" s="352"/>
      <c r="AMQ8" s="352"/>
      <c r="AMR8" s="352"/>
      <c r="AMS8" s="352"/>
      <c r="AMT8" s="352"/>
      <c r="AMU8" s="352"/>
      <c r="AMV8" s="352"/>
      <c r="AMW8" s="352"/>
      <c r="AMX8" s="352"/>
      <c r="AMY8" s="352"/>
      <c r="AMZ8" s="8" t="s">
        <v>11</v>
      </c>
      <c r="ANA8" s="352" t="s">
        <v>2634</v>
      </c>
      <c r="ANB8" s="352"/>
      <c r="ANC8" s="352"/>
      <c r="AND8" s="352"/>
      <c r="ANE8" s="352"/>
      <c r="ANF8" s="352"/>
      <c r="ANG8" s="352"/>
      <c r="ANH8" s="352"/>
      <c r="ANI8" s="352"/>
      <c r="ANJ8" s="352"/>
      <c r="ANK8" s="352"/>
      <c r="ANL8" s="352"/>
      <c r="ANM8" s="352"/>
      <c r="ANN8" s="352"/>
      <c r="ANO8" s="352"/>
      <c r="ANP8" s="352"/>
      <c r="ANQ8" s="352"/>
      <c r="ANR8" s="352"/>
      <c r="ANS8" s="352"/>
      <c r="ANT8" s="352"/>
      <c r="ANU8" s="352"/>
      <c r="ANV8" s="352"/>
      <c r="ANW8" s="352"/>
      <c r="ANX8" s="352"/>
      <c r="ANY8" s="352"/>
      <c r="ANZ8" s="352"/>
      <c r="AOA8" s="352"/>
      <c r="AOB8" s="352"/>
      <c r="AOC8" s="352"/>
      <c r="AOD8" s="352"/>
      <c r="AOE8" s="8" t="s">
        <v>11</v>
      </c>
      <c r="AOF8" s="128"/>
      <c r="AOG8" s="128"/>
      <c r="AOH8" s="128"/>
      <c r="AOI8" s="128"/>
      <c r="AOJ8" s="128"/>
      <c r="AOK8" s="128"/>
      <c r="AOL8" s="128"/>
      <c r="AOM8" s="128"/>
      <c r="AON8" s="128"/>
      <c r="AOO8" s="352" t="s">
        <v>2634</v>
      </c>
      <c r="AOP8" s="352"/>
      <c r="AOQ8" s="352"/>
      <c r="AOR8" s="352"/>
      <c r="AOS8" s="352"/>
      <c r="AOT8" s="352"/>
      <c r="AOU8" s="352"/>
      <c r="AOV8" s="352"/>
      <c r="AOW8" s="352"/>
      <c r="AOX8" s="352"/>
      <c r="AOY8" s="352"/>
      <c r="AOZ8" s="352"/>
      <c r="APA8" s="352"/>
      <c r="APB8" s="352"/>
      <c r="APC8" s="352"/>
      <c r="APD8" s="352"/>
      <c r="APE8" s="352"/>
      <c r="APF8" s="352"/>
      <c r="APG8" s="352"/>
      <c r="APH8" s="352"/>
      <c r="API8" s="352"/>
      <c r="APJ8" s="352"/>
      <c r="APK8" s="8" t="s">
        <v>11</v>
      </c>
      <c r="APL8" s="352" t="s">
        <v>2634</v>
      </c>
      <c r="APM8" s="352"/>
      <c r="APN8" s="352"/>
      <c r="APO8" s="352"/>
      <c r="APP8" s="352"/>
      <c r="APQ8" s="352"/>
      <c r="APR8" s="352"/>
      <c r="APS8" s="352"/>
      <c r="APT8" s="352"/>
      <c r="APU8" s="352"/>
      <c r="APV8" s="352"/>
      <c r="APW8" s="345" t="s">
        <v>2865</v>
      </c>
      <c r="APX8" s="345"/>
      <c r="APY8" s="352"/>
      <c r="APZ8" s="352"/>
      <c r="AQA8" s="352"/>
      <c r="AQB8" s="352"/>
      <c r="AQC8" s="352"/>
      <c r="AQD8" s="352"/>
      <c r="AQE8" s="352"/>
      <c r="AQF8" s="352"/>
      <c r="AQG8" s="352"/>
      <c r="AQH8" s="352"/>
      <c r="AQI8" s="352"/>
      <c r="AQJ8" s="352"/>
      <c r="AQK8" s="352"/>
      <c r="AQL8" s="352"/>
      <c r="AQM8" s="352"/>
      <c r="AQN8" s="352"/>
      <c r="AQO8" s="352"/>
      <c r="AQP8" s="8" t="s">
        <v>11</v>
      </c>
      <c r="AQQ8" s="352" t="s">
        <v>2865</v>
      </c>
      <c r="AQR8" s="352"/>
      <c r="AQS8" s="352"/>
      <c r="AQT8" s="352"/>
      <c r="AQU8" s="352"/>
      <c r="AQV8" s="352"/>
      <c r="AQW8" s="352"/>
      <c r="AQX8" s="128"/>
      <c r="AQY8" s="128"/>
      <c r="AQZ8" s="128"/>
      <c r="ARA8" s="128"/>
      <c r="ARB8" s="128"/>
      <c r="ARC8" s="128"/>
      <c r="ARD8" s="128"/>
      <c r="ARE8" s="128"/>
      <c r="ARF8" s="128"/>
      <c r="ARG8" s="352" t="s">
        <v>2865</v>
      </c>
      <c r="ARH8" s="352"/>
      <c r="ARI8" s="352"/>
      <c r="ARJ8" s="352"/>
      <c r="ARK8" s="352"/>
      <c r="ARL8" s="352"/>
      <c r="ARM8" s="352"/>
      <c r="ARN8" s="352"/>
      <c r="ARO8" s="352"/>
      <c r="ARP8" s="352"/>
      <c r="ARQ8" s="352"/>
      <c r="ARR8" s="352"/>
      <c r="ARS8" s="352"/>
      <c r="ART8" s="352"/>
      <c r="ARU8" s="352"/>
      <c r="ARV8" s="8" t="s">
        <v>11</v>
      </c>
      <c r="ARW8" s="352" t="s">
        <v>2865</v>
      </c>
      <c r="ARX8" s="352"/>
      <c r="ARY8" s="352"/>
      <c r="ARZ8" s="352"/>
      <c r="ASA8" s="352"/>
      <c r="ASB8" s="352"/>
      <c r="ASC8" s="352"/>
      <c r="ASD8" s="352"/>
      <c r="ASE8" s="352"/>
      <c r="ASF8" s="352"/>
      <c r="ASG8" s="352"/>
      <c r="ASH8" s="352"/>
      <c r="ASI8" s="352"/>
      <c r="ASJ8" s="352"/>
      <c r="ASK8" s="352"/>
      <c r="ASL8" s="352"/>
      <c r="ASM8" s="352"/>
      <c r="ASN8" s="352"/>
      <c r="ASO8" s="352"/>
      <c r="ASP8" s="352"/>
      <c r="ASQ8" s="352"/>
      <c r="ASR8" s="352"/>
      <c r="ASS8" s="352"/>
      <c r="AST8" s="352"/>
      <c r="ASU8" s="352"/>
      <c r="ASV8" s="352"/>
      <c r="ASW8" s="352"/>
      <c r="ASX8" s="352"/>
      <c r="ASY8" s="352"/>
      <c r="ASZ8" s="352"/>
      <c r="ATA8" s="352"/>
      <c r="ATB8" s="8" t="s">
        <v>11</v>
      </c>
      <c r="ATC8" s="352" t="s">
        <v>2865</v>
      </c>
      <c r="ATD8" s="352"/>
      <c r="ATE8" s="352"/>
      <c r="ATF8" s="352"/>
      <c r="ATG8" s="345" t="s">
        <v>2694</v>
      </c>
      <c r="ATH8" s="345"/>
      <c r="ATI8" s="352"/>
      <c r="ATJ8" s="352"/>
      <c r="ATK8" s="352"/>
      <c r="ATL8" s="352"/>
      <c r="ATM8" s="352"/>
      <c r="ATN8" s="352"/>
      <c r="ATO8" s="352"/>
      <c r="ATP8" s="352"/>
      <c r="ATQ8" s="352"/>
      <c r="ATR8" s="352"/>
      <c r="ATS8" s="352"/>
      <c r="ATT8" s="352"/>
      <c r="ATU8" s="352"/>
      <c r="ATV8" s="352"/>
      <c r="ATW8" s="352"/>
      <c r="ATX8" s="352"/>
      <c r="ATY8" s="352"/>
      <c r="ATZ8" s="352"/>
      <c r="AUA8" s="352"/>
      <c r="AUB8" s="352"/>
      <c r="AUC8" s="352"/>
      <c r="AUD8" s="352"/>
      <c r="AUE8" s="352"/>
      <c r="AUF8" s="352"/>
      <c r="AUG8" s="8" t="s">
        <v>11</v>
      </c>
      <c r="AUH8" s="352" t="s">
        <v>2694</v>
      </c>
      <c r="AUI8" s="352"/>
      <c r="AUJ8" s="352"/>
      <c r="AUK8" s="352"/>
      <c r="AUL8" s="352"/>
      <c r="AUM8" s="352"/>
      <c r="AUN8" s="352"/>
      <c r="AUO8" s="352"/>
      <c r="AUP8" s="352"/>
      <c r="AUQ8" s="352"/>
      <c r="AUR8" s="352"/>
      <c r="AUS8" s="352"/>
      <c r="AUT8" s="352"/>
      <c r="AUU8" s="352"/>
      <c r="AUV8" s="352"/>
      <c r="AUW8" s="352"/>
      <c r="AUX8" s="352"/>
      <c r="AUY8" s="352"/>
      <c r="AUZ8" s="352"/>
      <c r="AVA8" s="352"/>
      <c r="AVB8" s="352"/>
      <c r="AVC8" s="352"/>
      <c r="AVD8" s="352"/>
      <c r="AVE8" s="352"/>
      <c r="AVF8" s="352"/>
      <c r="AVG8" s="352"/>
      <c r="AVH8" s="352"/>
      <c r="AVI8" s="352"/>
      <c r="AVJ8" s="352"/>
      <c r="AVK8" s="352"/>
      <c r="AVL8" s="352"/>
      <c r="AVM8" s="8" t="s">
        <v>11</v>
      </c>
      <c r="AVN8" s="352" t="s">
        <v>2694</v>
      </c>
      <c r="AVO8" s="352"/>
      <c r="AVP8" s="352"/>
      <c r="AVQ8" s="352"/>
      <c r="AVR8" s="352"/>
      <c r="AVS8" s="352"/>
      <c r="AVT8" s="352"/>
      <c r="AVU8" s="352"/>
      <c r="AVV8" s="352"/>
      <c r="AVW8" s="352"/>
      <c r="AVX8" s="352"/>
      <c r="AVY8" s="352"/>
      <c r="AVZ8" s="352"/>
      <c r="AWA8" s="352"/>
      <c r="AWB8" s="352"/>
      <c r="AWC8" s="352"/>
      <c r="AWD8" s="352"/>
      <c r="AWE8" s="352"/>
      <c r="AWF8" s="352"/>
      <c r="AWG8" s="352"/>
      <c r="AWH8" s="352"/>
      <c r="AWI8" s="352"/>
      <c r="AWJ8" s="352"/>
      <c r="AWK8" s="352"/>
      <c r="AWL8" s="352"/>
      <c r="AWM8" s="352"/>
      <c r="AWN8" s="345" t="s">
        <v>2698</v>
      </c>
      <c r="AWO8" s="345"/>
      <c r="AWP8" s="352"/>
      <c r="AWQ8" s="352"/>
      <c r="AWR8" s="8" t="s">
        <v>11</v>
      </c>
      <c r="AWS8" s="352" t="s">
        <v>2698</v>
      </c>
      <c r="AWT8" s="352"/>
      <c r="AWU8" s="352"/>
      <c r="AWV8" s="352"/>
      <c r="AWW8" s="352"/>
      <c r="AWX8" s="352"/>
      <c r="AWY8" s="352"/>
      <c r="AWZ8" s="352"/>
      <c r="AXA8" s="352"/>
      <c r="AXB8" s="352"/>
      <c r="AXC8" s="352"/>
      <c r="AXD8" s="352"/>
      <c r="AXE8" s="352"/>
      <c r="AXF8" s="352"/>
      <c r="AXG8" s="352"/>
      <c r="AXH8" s="352"/>
      <c r="AXI8" s="352"/>
      <c r="AXJ8" s="352"/>
      <c r="AXK8" s="352"/>
      <c r="AXL8" s="352"/>
      <c r="AXM8" s="352"/>
      <c r="AXN8" s="352"/>
      <c r="AXO8" s="352"/>
      <c r="AXP8" s="352"/>
      <c r="AXQ8" s="352"/>
      <c r="AXR8" s="352"/>
      <c r="AXS8" s="352"/>
      <c r="AXT8" s="352"/>
      <c r="AXU8" s="352"/>
      <c r="AXV8" s="352"/>
      <c r="AXW8" s="352"/>
      <c r="AXX8" s="8" t="s">
        <v>11</v>
      </c>
    </row>
    <row r="9" spans="1:1327" s="135" customFormat="1" ht="28.5" customHeight="1" thickTop="1" x14ac:dyDescent="0.4">
      <c r="A9" s="711"/>
      <c r="B9" s="9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48"/>
      <c r="AI9" s="132"/>
      <c r="AJ9" s="132"/>
      <c r="AK9" s="132"/>
      <c r="AL9" s="132"/>
      <c r="AM9" s="132"/>
      <c r="AN9" s="132"/>
      <c r="AO9" s="132"/>
      <c r="AP9" s="132"/>
      <c r="AQ9" s="750"/>
      <c r="AR9" s="751"/>
      <c r="AS9" s="751"/>
      <c r="AT9" s="751"/>
      <c r="AU9" s="751"/>
      <c r="AV9" s="751"/>
      <c r="AW9" s="751"/>
      <c r="AX9" s="751"/>
      <c r="AY9" s="751"/>
      <c r="AZ9" s="752"/>
      <c r="BA9" s="132"/>
      <c r="BB9" s="132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9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9"/>
      <c r="CT9" s="130">
        <v>2025</v>
      </c>
      <c r="CU9" s="130">
        <v>2025</v>
      </c>
      <c r="CV9" s="130">
        <v>2025</v>
      </c>
      <c r="CW9" s="130"/>
      <c r="CX9" s="130">
        <v>2025</v>
      </c>
      <c r="CY9" s="130">
        <v>2025</v>
      </c>
      <c r="CZ9" s="130">
        <v>2025</v>
      </c>
      <c r="DA9" s="130">
        <v>2025</v>
      </c>
      <c r="DB9" s="130">
        <v>2025</v>
      </c>
      <c r="DC9" s="130">
        <v>2025</v>
      </c>
      <c r="DD9" s="130"/>
      <c r="DE9" s="130">
        <v>2025</v>
      </c>
      <c r="DF9" s="130">
        <v>2025</v>
      </c>
      <c r="DG9" s="130">
        <v>2025</v>
      </c>
      <c r="DH9" s="130">
        <v>2025</v>
      </c>
      <c r="DI9" s="130">
        <v>2025</v>
      </c>
      <c r="DJ9" s="130">
        <v>2025</v>
      </c>
      <c r="DK9" s="130"/>
      <c r="DL9" s="130">
        <v>2025</v>
      </c>
      <c r="DM9" s="130">
        <v>2025</v>
      </c>
      <c r="DN9" s="130">
        <v>2025</v>
      </c>
      <c r="DO9" s="130">
        <v>2025</v>
      </c>
      <c r="DP9" s="130">
        <v>2025</v>
      </c>
      <c r="DQ9" s="130">
        <v>2025</v>
      </c>
      <c r="DR9" s="130"/>
      <c r="DS9" s="130">
        <v>2025</v>
      </c>
      <c r="DT9" s="130">
        <v>2025</v>
      </c>
      <c r="DU9" s="130">
        <v>2025</v>
      </c>
      <c r="DV9" s="130">
        <v>2025</v>
      </c>
      <c r="DW9" s="130">
        <v>2025</v>
      </c>
      <c r="DX9" s="130">
        <v>2025</v>
      </c>
      <c r="DY9" s="9"/>
      <c r="DZ9" s="130"/>
      <c r="EA9" s="130">
        <v>2025</v>
      </c>
      <c r="EB9" s="130">
        <v>2025</v>
      </c>
      <c r="EC9" s="130">
        <v>2025</v>
      </c>
      <c r="ED9" s="130">
        <v>2025</v>
      </c>
      <c r="EE9" s="130">
        <v>2025</v>
      </c>
      <c r="EF9" s="130">
        <v>2025</v>
      </c>
      <c r="EG9" s="130"/>
      <c r="EH9" s="130">
        <v>2025</v>
      </c>
      <c r="EI9" s="130">
        <v>2025</v>
      </c>
      <c r="EJ9" s="130">
        <v>2025</v>
      </c>
      <c r="EK9" s="130">
        <v>2025</v>
      </c>
      <c r="EL9" s="130">
        <v>2025</v>
      </c>
      <c r="EM9" s="130">
        <v>2025</v>
      </c>
      <c r="EN9" s="130"/>
      <c r="EO9" s="130">
        <v>2025</v>
      </c>
      <c r="EP9" s="130">
        <v>2025</v>
      </c>
      <c r="EQ9" s="130">
        <v>2025</v>
      </c>
      <c r="ER9" s="130">
        <v>2025</v>
      </c>
      <c r="ES9" s="130">
        <v>2025</v>
      </c>
      <c r="ET9" s="130">
        <v>2025</v>
      </c>
      <c r="EU9" s="130"/>
      <c r="EV9" s="130">
        <v>2025</v>
      </c>
      <c r="EW9" s="130">
        <v>2025</v>
      </c>
      <c r="EX9" s="130">
        <v>2025</v>
      </c>
      <c r="EY9" s="130">
        <v>2025</v>
      </c>
      <c r="EZ9" s="130">
        <v>2025</v>
      </c>
      <c r="FA9" s="130">
        <v>2025</v>
      </c>
      <c r="FB9" s="130"/>
      <c r="FC9" s="130">
        <v>2025</v>
      </c>
      <c r="FD9" s="9"/>
      <c r="FE9" s="134">
        <v>1880</v>
      </c>
      <c r="FF9" s="134">
        <v>1880</v>
      </c>
      <c r="FG9" s="134">
        <v>1880</v>
      </c>
      <c r="FH9" s="134">
        <v>1880</v>
      </c>
      <c r="FI9" s="134">
        <v>1880</v>
      </c>
      <c r="FJ9" s="134"/>
      <c r="FK9" s="134">
        <v>1880</v>
      </c>
      <c r="FL9" s="134">
        <v>1880</v>
      </c>
      <c r="FM9" s="134">
        <v>1880</v>
      </c>
      <c r="FN9" s="134">
        <v>1880</v>
      </c>
      <c r="FO9" s="134">
        <v>1880</v>
      </c>
      <c r="FP9" s="134">
        <v>1880</v>
      </c>
      <c r="FQ9" s="134"/>
      <c r="FR9" s="134">
        <v>1145</v>
      </c>
      <c r="FS9" s="134">
        <v>1000</v>
      </c>
      <c r="FU9" s="134">
        <v>1760</v>
      </c>
      <c r="FV9" s="134">
        <v>1760</v>
      </c>
      <c r="FW9" s="134">
        <v>1760</v>
      </c>
      <c r="FY9" s="134">
        <v>1760</v>
      </c>
      <c r="FZ9" s="134">
        <v>1760</v>
      </c>
      <c r="GA9" s="134">
        <v>1760</v>
      </c>
      <c r="GB9" s="134">
        <v>1760</v>
      </c>
      <c r="GC9" s="134">
        <v>1760</v>
      </c>
      <c r="GD9" s="134">
        <v>1760</v>
      </c>
      <c r="GF9" s="134">
        <v>1760</v>
      </c>
      <c r="GG9" s="134">
        <v>1760</v>
      </c>
      <c r="GH9" s="134">
        <v>1760</v>
      </c>
      <c r="GI9" s="134">
        <v>1760</v>
      </c>
      <c r="GJ9" s="9"/>
      <c r="GK9" s="116">
        <v>1760</v>
      </c>
      <c r="GL9" s="116">
        <v>1760</v>
      </c>
      <c r="GM9" s="116"/>
      <c r="GN9" s="116">
        <v>1760</v>
      </c>
      <c r="GO9" s="116">
        <v>1760</v>
      </c>
      <c r="GP9" s="116">
        <v>1760</v>
      </c>
      <c r="GQ9" s="116">
        <v>1760</v>
      </c>
      <c r="GR9" s="116">
        <v>1760</v>
      </c>
      <c r="GS9" s="116">
        <v>1760</v>
      </c>
      <c r="GT9" s="116"/>
      <c r="GU9" s="116">
        <v>1760</v>
      </c>
      <c r="GV9" s="116">
        <v>1760</v>
      </c>
      <c r="GW9" s="116">
        <v>1760</v>
      </c>
      <c r="GX9" s="116">
        <v>1760</v>
      </c>
      <c r="GY9" s="116">
        <v>1760</v>
      </c>
      <c r="GZ9" s="116">
        <v>1760</v>
      </c>
      <c r="HA9" s="116"/>
      <c r="HB9" s="116">
        <v>1760</v>
      </c>
      <c r="HC9" s="116">
        <f>500+200</f>
        <v>700</v>
      </c>
      <c r="HD9" s="116">
        <v>1100</v>
      </c>
      <c r="HE9" s="116">
        <v>1500</v>
      </c>
      <c r="HF9" s="116">
        <v>1840</v>
      </c>
      <c r="HG9" s="116">
        <v>1285</v>
      </c>
      <c r="HH9" s="116"/>
      <c r="HI9" s="116">
        <v>510</v>
      </c>
      <c r="HJ9" s="116">
        <v>1200</v>
      </c>
      <c r="HK9" s="116">
        <v>1500</v>
      </c>
      <c r="HL9" s="116">
        <v>1840</v>
      </c>
      <c r="HM9" s="116">
        <v>1840</v>
      </c>
      <c r="HN9" s="116">
        <v>1840</v>
      </c>
      <c r="HO9" s="116"/>
      <c r="HP9" s="9"/>
      <c r="HQ9" s="136">
        <v>2530</v>
      </c>
      <c r="HR9" s="136">
        <v>2530</v>
      </c>
      <c r="HS9" s="136">
        <v>2530</v>
      </c>
      <c r="HT9" s="136">
        <v>2530</v>
      </c>
      <c r="HU9" s="136">
        <v>2530</v>
      </c>
      <c r="HV9" s="136">
        <v>2530</v>
      </c>
      <c r="HX9" s="136">
        <v>2530</v>
      </c>
      <c r="HY9" s="136">
        <v>2530</v>
      </c>
      <c r="HZ9" s="136">
        <v>2530</v>
      </c>
      <c r="IA9" s="136">
        <v>2530</v>
      </c>
      <c r="IB9" s="137">
        <v>2355</v>
      </c>
      <c r="IC9" s="136">
        <v>2530</v>
      </c>
      <c r="ID9" s="136"/>
      <c r="IE9" s="136">
        <v>2530</v>
      </c>
      <c r="IF9" s="136">
        <v>2530</v>
      </c>
      <c r="IG9" s="136">
        <v>2530</v>
      </c>
      <c r="IH9" s="136">
        <v>2530</v>
      </c>
      <c r="II9" s="136">
        <v>2530</v>
      </c>
      <c r="IJ9" s="136">
        <v>2530</v>
      </c>
      <c r="IK9" s="136"/>
      <c r="IL9" s="136">
        <v>2530</v>
      </c>
      <c r="IM9" s="136">
        <v>2530</v>
      </c>
      <c r="IN9" s="136">
        <v>2530</v>
      </c>
      <c r="IO9" s="136">
        <v>2530</v>
      </c>
      <c r="IP9" s="136">
        <v>2530</v>
      </c>
      <c r="IQ9" s="136">
        <v>2530</v>
      </c>
      <c r="IR9" s="136"/>
      <c r="IS9" s="136">
        <v>2530</v>
      </c>
      <c r="IT9" s="9"/>
      <c r="IU9" s="129">
        <v>2530</v>
      </c>
      <c r="IV9" s="129">
        <v>2530</v>
      </c>
      <c r="IW9" s="129">
        <v>2530</v>
      </c>
      <c r="IX9" s="129">
        <v>2530</v>
      </c>
      <c r="IY9" s="129">
        <v>2530</v>
      </c>
      <c r="IZ9" s="129"/>
      <c r="JA9" s="129">
        <v>2530</v>
      </c>
      <c r="JB9" s="129">
        <v>2530</v>
      </c>
      <c r="JC9" s="129">
        <v>2530</v>
      </c>
      <c r="JD9" s="129">
        <v>2530</v>
      </c>
      <c r="JE9" s="129">
        <v>2530</v>
      </c>
      <c r="JF9" s="129">
        <v>2530</v>
      </c>
      <c r="JG9" s="129"/>
      <c r="JH9" s="129">
        <v>2530</v>
      </c>
      <c r="JI9" s="129">
        <v>2530</v>
      </c>
      <c r="JJ9" s="129">
        <v>2530</v>
      </c>
      <c r="JK9" s="129">
        <v>2530</v>
      </c>
      <c r="JL9" s="129">
        <v>2530</v>
      </c>
      <c r="JM9" s="129">
        <v>2530</v>
      </c>
      <c r="JN9" s="129"/>
      <c r="JO9" s="194">
        <v>2530</v>
      </c>
      <c r="JP9" s="136">
        <v>750</v>
      </c>
      <c r="JQ9" s="136">
        <v>1500</v>
      </c>
      <c r="JR9" s="136">
        <v>2250</v>
      </c>
      <c r="JS9" s="136">
        <v>2970</v>
      </c>
      <c r="JT9" s="136"/>
      <c r="JU9" s="136"/>
      <c r="JV9" s="136">
        <v>2970</v>
      </c>
      <c r="JW9" s="136">
        <v>2970</v>
      </c>
      <c r="JX9" s="136">
        <v>2970</v>
      </c>
      <c r="JY9" s="136">
        <v>2970</v>
      </c>
      <c r="JZ9" s="9"/>
      <c r="KA9" s="136">
        <v>2970</v>
      </c>
      <c r="KB9" s="136">
        <v>2970</v>
      </c>
      <c r="KC9" s="136"/>
      <c r="KD9" s="136">
        <v>2970</v>
      </c>
      <c r="KE9" s="137">
        <v>2970</v>
      </c>
      <c r="KF9" s="136">
        <v>600</v>
      </c>
      <c r="KG9" s="136">
        <v>1200</v>
      </c>
      <c r="KH9" s="136"/>
      <c r="KI9" s="136">
        <v>1800</v>
      </c>
      <c r="KJ9" s="136">
        <v>2530</v>
      </c>
      <c r="KK9" s="136">
        <v>2530</v>
      </c>
      <c r="KL9" s="136">
        <v>2530</v>
      </c>
      <c r="KM9" s="137">
        <v>2530</v>
      </c>
      <c r="KN9" s="136"/>
      <c r="KO9" s="136">
        <v>500</v>
      </c>
      <c r="KP9" s="136">
        <v>1000</v>
      </c>
      <c r="KQ9" s="136">
        <v>1500</v>
      </c>
      <c r="KR9" s="136">
        <v>2200</v>
      </c>
      <c r="KS9" s="136">
        <v>2200</v>
      </c>
      <c r="KT9" s="137">
        <v>1450</v>
      </c>
      <c r="KU9" s="136"/>
      <c r="KV9" s="136"/>
      <c r="KW9" s="136"/>
      <c r="KX9" s="136"/>
      <c r="KY9" s="136"/>
      <c r="KZ9" s="136"/>
      <c r="LA9" s="136"/>
      <c r="LB9" s="136"/>
      <c r="LC9" s="136"/>
      <c r="LD9" s="136"/>
      <c r="LE9" s="9"/>
      <c r="LF9" s="129"/>
      <c r="LG9" s="129"/>
      <c r="LH9" s="129"/>
      <c r="LI9" s="129"/>
      <c r="LJ9" s="129"/>
      <c r="LK9" s="129"/>
      <c r="LL9" s="129"/>
      <c r="LM9" s="129"/>
      <c r="LN9" s="129"/>
      <c r="LO9" s="129"/>
      <c r="LP9" s="129"/>
      <c r="LQ9" s="129"/>
      <c r="LR9" s="129">
        <v>500</v>
      </c>
      <c r="LS9" s="129">
        <v>1000</v>
      </c>
      <c r="LT9" s="129"/>
      <c r="LU9" s="129">
        <v>1500</v>
      </c>
      <c r="LV9" s="129">
        <v>2070</v>
      </c>
      <c r="LW9" s="129">
        <v>2070</v>
      </c>
      <c r="LX9" s="129">
        <v>2070</v>
      </c>
      <c r="LY9" s="129">
        <v>2070</v>
      </c>
      <c r="LZ9" s="756"/>
      <c r="MA9" s="757"/>
      <c r="MB9" s="757"/>
      <c r="MC9" s="757"/>
      <c r="MD9" s="757"/>
      <c r="ME9" s="757"/>
      <c r="MF9" s="757"/>
      <c r="MG9" s="757"/>
      <c r="MH9" s="757"/>
      <c r="MI9" s="758"/>
      <c r="MJ9" s="129">
        <v>2070</v>
      </c>
      <c r="MK9" s="9"/>
      <c r="ML9" s="336">
        <v>2300</v>
      </c>
      <c r="MM9" s="336">
        <v>2300</v>
      </c>
      <c r="MN9" s="336">
        <v>2300</v>
      </c>
      <c r="MO9" s="336">
        <v>2300</v>
      </c>
      <c r="MP9" s="336"/>
      <c r="MQ9" s="336">
        <v>2300</v>
      </c>
      <c r="MR9" s="336">
        <v>2300</v>
      </c>
      <c r="MS9" s="336">
        <v>2300</v>
      </c>
      <c r="MT9" s="336">
        <v>2300</v>
      </c>
      <c r="MU9" s="336">
        <v>2300</v>
      </c>
      <c r="MV9" s="336">
        <v>2300</v>
      </c>
      <c r="MW9" s="336"/>
      <c r="MX9" s="336">
        <v>2300</v>
      </c>
      <c r="MY9" s="336">
        <v>2300</v>
      </c>
      <c r="MZ9" s="336">
        <v>2300</v>
      </c>
      <c r="NA9" s="336">
        <v>2300</v>
      </c>
      <c r="NB9" s="336">
        <v>2300</v>
      </c>
      <c r="NC9" s="336">
        <v>2300</v>
      </c>
      <c r="ND9" s="336"/>
      <c r="NE9" s="336">
        <v>2300</v>
      </c>
      <c r="NF9" s="336">
        <v>2300</v>
      </c>
      <c r="NG9" s="336">
        <v>2300</v>
      </c>
      <c r="NH9" s="336">
        <v>2300</v>
      </c>
      <c r="NI9" s="336">
        <v>2300</v>
      </c>
      <c r="NJ9" s="336">
        <v>2300</v>
      </c>
      <c r="NK9" s="336">
        <v>2300</v>
      </c>
      <c r="NL9" s="340">
        <v>2300</v>
      </c>
      <c r="NM9" s="336">
        <v>2250</v>
      </c>
      <c r="NN9" s="336">
        <v>2250</v>
      </c>
      <c r="NO9" s="336">
        <v>2250</v>
      </c>
      <c r="NP9" s="9"/>
      <c r="NQ9" s="346"/>
      <c r="NR9" s="346"/>
      <c r="NS9" s="346"/>
      <c r="NT9" s="346"/>
      <c r="NU9" s="346"/>
      <c r="NV9" s="346"/>
      <c r="NW9" s="346"/>
      <c r="NX9" s="346"/>
      <c r="NY9" s="346"/>
      <c r="NZ9" s="346"/>
      <c r="OA9" s="346"/>
      <c r="OB9" s="346"/>
      <c r="OC9" s="346"/>
      <c r="OD9" s="346"/>
      <c r="OE9" s="346"/>
      <c r="OF9" s="346"/>
      <c r="OG9" s="346"/>
      <c r="OH9" s="346"/>
      <c r="OI9" s="346"/>
      <c r="OJ9" s="346"/>
      <c r="OK9" s="346"/>
      <c r="OL9" s="346"/>
      <c r="OM9" s="346"/>
      <c r="ON9" s="346"/>
      <c r="OO9" s="346"/>
      <c r="OP9" s="346"/>
      <c r="OQ9" s="346"/>
      <c r="OR9" s="346"/>
      <c r="OS9" s="762"/>
      <c r="OT9" s="763"/>
      <c r="OU9" s="764"/>
      <c r="OV9" s="9"/>
      <c r="OW9" s="770"/>
      <c r="OX9" s="763"/>
      <c r="OY9" s="763"/>
      <c r="OZ9" s="763"/>
      <c r="PA9" s="763"/>
      <c r="PB9" s="763"/>
      <c r="PC9" s="771"/>
      <c r="PD9" s="353"/>
      <c r="PE9" s="353"/>
      <c r="PF9" s="353"/>
      <c r="PG9" s="353"/>
      <c r="PH9" s="353"/>
      <c r="PI9" s="353"/>
      <c r="PJ9" s="353"/>
      <c r="PK9" s="353"/>
      <c r="PL9" s="353"/>
      <c r="PM9" s="353"/>
      <c r="PN9" s="353"/>
      <c r="PO9" s="353"/>
      <c r="PP9" s="353"/>
      <c r="PQ9" s="353"/>
      <c r="PR9" s="353"/>
      <c r="PS9" s="353"/>
      <c r="PT9" s="353"/>
      <c r="PU9" s="353"/>
      <c r="PV9" s="353"/>
      <c r="PW9" s="353"/>
      <c r="PX9" s="353"/>
      <c r="PY9" s="353"/>
      <c r="PZ9" s="353"/>
      <c r="QA9" s="353"/>
      <c r="QB9" s="9"/>
      <c r="QC9" s="359"/>
      <c r="QD9" s="359"/>
      <c r="QE9" s="359"/>
      <c r="QF9" s="359"/>
      <c r="QG9" s="359"/>
      <c r="QH9" s="359"/>
      <c r="QI9" s="359"/>
      <c r="QJ9" s="359"/>
      <c r="QK9" s="359"/>
      <c r="QL9" s="359"/>
      <c r="QM9" s="359"/>
      <c r="QN9" s="359"/>
      <c r="QO9" s="359"/>
      <c r="QP9" s="359"/>
      <c r="QQ9" s="359"/>
      <c r="QR9" s="359"/>
      <c r="QS9" s="359"/>
      <c r="QT9" s="359"/>
      <c r="QU9" s="359"/>
      <c r="QV9" s="359"/>
      <c r="QW9" s="359"/>
      <c r="QX9" s="359"/>
      <c r="QY9" s="359"/>
      <c r="QZ9" s="359"/>
      <c r="RA9" s="359"/>
      <c r="RB9" s="359"/>
      <c r="RC9" s="359"/>
      <c r="RD9" s="359"/>
      <c r="RE9" s="359"/>
      <c r="RF9" s="359"/>
      <c r="RG9" s="9"/>
      <c r="RH9" s="439"/>
      <c r="RI9" s="439"/>
      <c r="RJ9" s="439"/>
      <c r="RK9" s="439"/>
      <c r="RL9" s="439"/>
      <c r="RM9" s="439"/>
      <c r="RN9" s="439"/>
      <c r="RO9" s="439"/>
      <c r="RP9" s="439"/>
      <c r="RQ9" s="439"/>
      <c r="RR9" s="439"/>
      <c r="RS9" s="439"/>
      <c r="RT9" s="439"/>
      <c r="RU9" s="439"/>
      <c r="RV9" s="439"/>
      <c r="RW9" s="439"/>
      <c r="RX9" s="439"/>
      <c r="RY9" s="439"/>
      <c r="RZ9" s="439"/>
      <c r="SA9" s="439"/>
      <c r="SB9" s="439"/>
      <c r="SC9" s="439"/>
      <c r="SD9" s="439"/>
      <c r="SE9" s="439"/>
      <c r="SF9" s="439"/>
      <c r="SG9" s="439"/>
      <c r="SH9" s="439"/>
      <c r="SI9" s="439"/>
      <c r="SJ9" s="439"/>
      <c r="SK9" s="439"/>
      <c r="SL9" s="439"/>
      <c r="SM9" s="9"/>
      <c r="SN9" s="439"/>
      <c r="SO9" s="439"/>
      <c r="SP9" s="439"/>
      <c r="SQ9" s="439"/>
      <c r="SR9" s="439"/>
      <c r="SS9" s="439"/>
      <c r="ST9" s="439"/>
      <c r="SU9" s="439"/>
      <c r="SV9" s="439"/>
      <c r="SW9" s="439"/>
      <c r="SX9" s="451"/>
      <c r="SY9" s="439"/>
      <c r="SZ9" s="439"/>
      <c r="TA9" s="439"/>
      <c r="TB9" s="439"/>
      <c r="TC9" s="439"/>
      <c r="TD9" s="439"/>
      <c r="TE9" s="439"/>
      <c r="TF9" s="439"/>
      <c r="TG9" s="439"/>
      <c r="TH9" s="439"/>
      <c r="TI9" s="439"/>
      <c r="TJ9" s="439"/>
      <c r="TK9" s="439"/>
      <c r="TL9" s="439"/>
      <c r="TM9" s="439"/>
      <c r="TN9" s="439"/>
      <c r="TO9" s="439"/>
      <c r="TP9" s="439"/>
      <c r="TQ9" s="439"/>
      <c r="TR9" s="9"/>
      <c r="TS9" s="439"/>
      <c r="TT9" s="439"/>
      <c r="TU9" s="439"/>
      <c r="TV9" s="439"/>
      <c r="TW9" s="439"/>
      <c r="TX9" s="439"/>
      <c r="TY9" s="439"/>
      <c r="TZ9" s="439"/>
      <c r="UA9" s="439"/>
      <c r="UB9" s="439"/>
      <c r="UC9" s="439"/>
      <c r="UD9" s="439"/>
      <c r="UE9" s="439"/>
      <c r="UF9" s="439"/>
      <c r="UG9" s="439"/>
      <c r="UH9" s="439"/>
      <c r="UI9" s="447"/>
      <c r="UJ9" s="447"/>
      <c r="UK9" s="447"/>
      <c r="UL9" s="447"/>
      <c r="UM9" s="447"/>
      <c r="UN9" s="447"/>
      <c r="UO9" s="447"/>
      <c r="UP9" s="447"/>
      <c r="UQ9" s="447"/>
      <c r="UR9" s="447"/>
      <c r="US9" s="447"/>
      <c r="UT9" s="447"/>
      <c r="UU9" s="447"/>
      <c r="UV9" s="447"/>
      <c r="UW9" s="447"/>
      <c r="UX9" s="9"/>
      <c r="UY9" s="447"/>
      <c r="UZ9" s="447"/>
      <c r="VA9" s="447"/>
      <c r="VB9" s="447"/>
      <c r="VC9" s="447"/>
      <c r="VD9" s="447"/>
      <c r="VE9" s="447"/>
      <c r="VF9" s="447"/>
      <c r="VG9" s="447"/>
      <c r="VH9" s="447"/>
      <c r="VI9" s="447"/>
      <c r="VJ9" s="447"/>
      <c r="VK9" s="447"/>
      <c r="VL9" s="447"/>
      <c r="VM9" s="447"/>
      <c r="VN9" s="447"/>
      <c r="VO9" s="447"/>
      <c r="VP9" s="447"/>
      <c r="VQ9" s="447"/>
      <c r="VR9" s="447"/>
      <c r="VS9" s="447"/>
      <c r="VT9" s="447"/>
      <c r="WD9" s="9"/>
      <c r="XG9" s="9"/>
      <c r="YM9" s="9"/>
      <c r="ZR9" s="9"/>
      <c r="AAX9" s="9"/>
      <c r="ACC9" s="9"/>
      <c r="ACV9" s="704"/>
      <c r="ACW9" s="705"/>
      <c r="ACX9" s="705"/>
      <c r="ACY9" s="705"/>
      <c r="ACZ9" s="705"/>
      <c r="ADA9" s="705"/>
      <c r="ADB9" s="705"/>
      <c r="ADC9" s="705"/>
      <c r="ADD9" s="706"/>
      <c r="ADI9" s="9"/>
      <c r="ADJ9" s="314">
        <v>8</v>
      </c>
      <c r="ADK9" s="314">
        <v>11</v>
      </c>
      <c r="ADL9" s="314">
        <v>11</v>
      </c>
      <c r="ADM9" s="314">
        <v>11</v>
      </c>
      <c r="ADN9" s="314">
        <v>8</v>
      </c>
      <c r="ADO9" s="314"/>
      <c r="ADP9" s="314">
        <v>11</v>
      </c>
      <c r="ADQ9" s="314">
        <v>11</v>
      </c>
      <c r="ADR9" s="314">
        <v>11</v>
      </c>
      <c r="ADS9" s="314">
        <v>11</v>
      </c>
      <c r="ADT9" s="314">
        <v>11</v>
      </c>
      <c r="ADU9" s="314">
        <v>11</v>
      </c>
      <c r="ADV9" s="314"/>
      <c r="ADW9" s="314">
        <v>11</v>
      </c>
      <c r="ADX9" s="314"/>
      <c r="ADY9" s="314">
        <v>11</v>
      </c>
      <c r="ADZ9" s="314">
        <v>11</v>
      </c>
      <c r="AEA9" s="314">
        <v>11</v>
      </c>
      <c r="AEB9" s="314">
        <v>8</v>
      </c>
      <c r="AEC9" s="314"/>
      <c r="AED9" s="314">
        <v>11</v>
      </c>
      <c r="AEE9" s="314">
        <v>11</v>
      </c>
      <c r="AEF9" s="314">
        <v>11</v>
      </c>
      <c r="AEG9" s="314">
        <v>11</v>
      </c>
      <c r="AEH9" s="314">
        <v>11</v>
      </c>
      <c r="AEI9" s="314">
        <v>11</v>
      </c>
      <c r="AEJ9" s="314"/>
      <c r="AEK9" s="314">
        <v>11</v>
      </c>
      <c r="AEL9" s="314">
        <v>11</v>
      </c>
      <c r="AEM9" s="314">
        <v>11</v>
      </c>
      <c r="AEN9" s="314">
        <v>11</v>
      </c>
      <c r="AEO9" s="9"/>
      <c r="AEP9" s="314">
        <v>11</v>
      </c>
      <c r="AEQ9" s="314">
        <v>11</v>
      </c>
      <c r="AER9" s="314"/>
      <c r="AES9" s="314">
        <v>11</v>
      </c>
      <c r="AET9" s="314">
        <v>11</v>
      </c>
      <c r="AEU9" s="314">
        <v>11</v>
      </c>
      <c r="AEV9" s="314">
        <v>11</v>
      </c>
      <c r="AEW9" s="314">
        <v>11</v>
      </c>
      <c r="AEX9" s="314">
        <v>11</v>
      </c>
      <c r="AEY9" s="314"/>
      <c r="AEZ9" s="314">
        <v>10</v>
      </c>
      <c r="AFA9" s="314">
        <v>10</v>
      </c>
      <c r="AFB9" s="314">
        <v>10</v>
      </c>
      <c r="AFC9" s="636">
        <v>10</v>
      </c>
      <c r="AFD9" s="314">
        <f>306+1484</f>
        <v>1790</v>
      </c>
      <c r="AFE9" s="314">
        <v>2300</v>
      </c>
      <c r="AFF9" s="314"/>
      <c r="AFG9" s="314">
        <v>2550</v>
      </c>
      <c r="AFH9" s="314">
        <v>2550</v>
      </c>
      <c r="AFI9" s="314">
        <v>2550</v>
      </c>
      <c r="AFJ9" s="314">
        <v>2250</v>
      </c>
      <c r="AFK9" s="314">
        <v>2250</v>
      </c>
      <c r="AFL9" s="314">
        <v>2250</v>
      </c>
      <c r="AFM9" s="314"/>
      <c r="AFN9" s="314">
        <v>2250</v>
      </c>
      <c r="AFO9" s="314">
        <v>2250</v>
      </c>
      <c r="AFP9" s="314">
        <v>2250</v>
      </c>
      <c r="AFQ9" s="314">
        <v>2250</v>
      </c>
      <c r="AFR9" s="314">
        <v>2250</v>
      </c>
      <c r="AFS9" s="314">
        <v>2250</v>
      </c>
      <c r="AFT9" s="48"/>
      <c r="AFU9" s="314"/>
      <c r="AFV9" s="314">
        <v>2250</v>
      </c>
      <c r="AFW9" s="314">
        <v>2250</v>
      </c>
      <c r="AFX9" s="314">
        <v>2250</v>
      </c>
      <c r="AFY9" s="314">
        <v>2250</v>
      </c>
      <c r="AFZ9" s="314">
        <v>2250</v>
      </c>
      <c r="AGA9" s="314">
        <v>2250</v>
      </c>
      <c r="AGB9" s="314"/>
      <c r="AGC9" s="314">
        <v>2250</v>
      </c>
      <c r="AGD9" s="314">
        <v>2250</v>
      </c>
      <c r="AGE9" s="314">
        <v>2250</v>
      </c>
      <c r="AGF9" s="314">
        <v>2250</v>
      </c>
      <c r="AGG9" s="314">
        <v>2250</v>
      </c>
      <c r="AGH9" s="314">
        <v>2250</v>
      </c>
      <c r="AGI9" s="314"/>
      <c r="AGJ9" s="314">
        <v>2250</v>
      </c>
      <c r="AGK9" s="314">
        <v>2250</v>
      </c>
      <c r="AGL9" s="314">
        <v>2250</v>
      </c>
      <c r="AGM9" s="314">
        <v>2250</v>
      </c>
      <c r="AGN9" s="314">
        <v>2250</v>
      </c>
      <c r="AGO9" s="314">
        <v>2250</v>
      </c>
      <c r="AGP9" s="314"/>
      <c r="AGQ9" s="314">
        <v>2250</v>
      </c>
      <c r="AGR9" s="314">
        <v>2250</v>
      </c>
      <c r="AGS9" s="314">
        <v>2250</v>
      </c>
      <c r="AGT9" s="314">
        <v>2250</v>
      </c>
      <c r="AGU9" s="314">
        <v>2250</v>
      </c>
      <c r="AGV9" s="314">
        <v>2250</v>
      </c>
      <c r="AGW9" s="314"/>
      <c r="AGX9" s="314">
        <v>2250</v>
      </c>
      <c r="AGY9" s="314">
        <v>2250</v>
      </c>
      <c r="AGZ9" s="9"/>
      <c r="AHA9" s="314">
        <v>2500</v>
      </c>
      <c r="AHB9" s="314">
        <v>2500</v>
      </c>
      <c r="AHC9" s="314">
        <v>2500</v>
      </c>
      <c r="AHD9" s="314">
        <v>2500</v>
      </c>
      <c r="AHE9" s="314"/>
      <c r="AHF9" s="314">
        <v>2500</v>
      </c>
      <c r="AHG9" s="314">
        <v>2500</v>
      </c>
      <c r="AHH9" s="314">
        <v>2500</v>
      </c>
      <c r="AHI9" s="314">
        <v>2500</v>
      </c>
      <c r="AHJ9" s="314">
        <v>2500</v>
      </c>
      <c r="AHK9" s="314">
        <v>2500</v>
      </c>
      <c r="AHL9" s="314"/>
      <c r="AHM9" s="314">
        <v>2500</v>
      </c>
      <c r="AHN9" s="314">
        <v>2500</v>
      </c>
      <c r="AHO9" s="314">
        <v>2500</v>
      </c>
      <c r="AHP9" s="314">
        <v>2500</v>
      </c>
      <c r="AHQ9" s="314">
        <v>2500</v>
      </c>
      <c r="AHR9" s="314">
        <v>2500</v>
      </c>
      <c r="AHS9" s="314"/>
      <c r="AHT9" s="314">
        <v>2500</v>
      </c>
      <c r="AHU9" s="314">
        <v>2500</v>
      </c>
      <c r="AHV9" s="314">
        <v>2500</v>
      </c>
      <c r="AHW9" s="314">
        <v>2500</v>
      </c>
      <c r="AHX9" s="314">
        <v>2500</v>
      </c>
      <c r="AHY9" s="314">
        <v>2500</v>
      </c>
      <c r="AHZ9" s="314"/>
      <c r="AIA9" s="314">
        <v>2500</v>
      </c>
      <c r="AIB9" s="314">
        <v>2500</v>
      </c>
      <c r="AIC9" s="314">
        <v>2500</v>
      </c>
      <c r="AID9" s="314">
        <v>2500</v>
      </c>
      <c r="AIE9" s="9"/>
      <c r="AIF9" s="314">
        <v>2500</v>
      </c>
      <c r="AIG9" s="314">
        <v>2500</v>
      </c>
      <c r="AIH9" s="314"/>
      <c r="AII9" s="314">
        <v>2500</v>
      </c>
      <c r="AIJ9" s="124">
        <v>2500</v>
      </c>
      <c r="AIK9" s="314">
        <v>300</v>
      </c>
      <c r="AIL9" s="314">
        <v>600</v>
      </c>
      <c r="AIM9" s="314">
        <v>900</v>
      </c>
      <c r="AIN9" s="314">
        <v>1300</v>
      </c>
      <c r="AIO9" s="314"/>
      <c r="AIP9" s="314">
        <v>1430</v>
      </c>
      <c r="AIQ9" s="314">
        <v>1430</v>
      </c>
      <c r="AIR9" s="314">
        <v>1430</v>
      </c>
      <c r="AIS9" s="314">
        <v>1430</v>
      </c>
      <c r="AIT9" s="314">
        <v>1430</v>
      </c>
      <c r="AIU9" s="314"/>
      <c r="AIV9" s="314"/>
      <c r="AIW9" s="314">
        <v>1430</v>
      </c>
      <c r="AIX9" s="314">
        <v>1430</v>
      </c>
      <c r="AIY9" s="314">
        <v>1430</v>
      </c>
      <c r="AIZ9" s="314">
        <v>1430</v>
      </c>
      <c r="AJA9" s="314">
        <v>1430</v>
      </c>
      <c r="AJB9" s="314">
        <v>1430</v>
      </c>
      <c r="AJC9" s="314"/>
      <c r="AJD9" s="314">
        <v>1430</v>
      </c>
      <c r="AJE9" s="314">
        <v>1430</v>
      </c>
      <c r="AJF9" s="314">
        <v>1430</v>
      </c>
      <c r="AJG9" s="314">
        <v>1430</v>
      </c>
      <c r="AJH9" s="314">
        <v>1430</v>
      </c>
      <c r="AJI9" s="124">
        <v>1430</v>
      </c>
      <c r="AJJ9" s="314"/>
      <c r="AJK9" s="9"/>
      <c r="AJL9" s="314">
        <v>2250</v>
      </c>
      <c r="AJM9" s="314">
        <v>2250</v>
      </c>
      <c r="AJN9" s="314">
        <v>2250</v>
      </c>
      <c r="AJO9" s="314">
        <v>2250</v>
      </c>
      <c r="AJP9" s="314">
        <v>2250</v>
      </c>
      <c r="AJQ9" s="314">
        <v>2250</v>
      </c>
      <c r="AJR9" s="314"/>
      <c r="AJS9" s="314">
        <v>2250</v>
      </c>
      <c r="AJT9" s="314">
        <v>2250</v>
      </c>
      <c r="AJU9" s="314">
        <v>2250</v>
      </c>
      <c r="AJV9" s="314">
        <v>2250</v>
      </c>
      <c r="AJW9" s="314">
        <v>2250</v>
      </c>
      <c r="AJX9" s="314">
        <v>2250</v>
      </c>
      <c r="AJY9" s="314"/>
      <c r="AJZ9" s="314">
        <v>2250</v>
      </c>
      <c r="AKA9" s="314">
        <v>2250</v>
      </c>
      <c r="AKB9" s="314">
        <v>2250</v>
      </c>
      <c r="AKC9" s="314">
        <v>2250</v>
      </c>
      <c r="AKD9" s="314">
        <v>2250</v>
      </c>
      <c r="AKE9" s="314">
        <v>2250</v>
      </c>
      <c r="AKF9" s="314"/>
      <c r="AKG9" s="314">
        <v>2250</v>
      </c>
      <c r="AKH9" s="314">
        <v>2250</v>
      </c>
      <c r="AKI9" s="314">
        <v>2250</v>
      </c>
      <c r="AKJ9" s="314">
        <v>2250</v>
      </c>
      <c r="AKK9" s="314">
        <v>2250</v>
      </c>
      <c r="AKL9" s="314">
        <v>2250</v>
      </c>
      <c r="AKM9" s="314"/>
      <c r="AKN9" s="314">
        <v>2250</v>
      </c>
      <c r="AKO9" s="314">
        <v>2250</v>
      </c>
      <c r="AKP9" s="314">
        <v>2250</v>
      </c>
      <c r="AKQ9" s="9"/>
      <c r="AKR9" s="314">
        <v>2250</v>
      </c>
      <c r="AKS9" s="314">
        <v>2250</v>
      </c>
      <c r="AKT9" s="314">
        <v>2250</v>
      </c>
      <c r="AKU9" s="314"/>
      <c r="AKV9" s="314">
        <v>2250</v>
      </c>
      <c r="AKW9" s="314">
        <v>2250</v>
      </c>
      <c r="AKX9" s="314">
        <v>2250</v>
      </c>
      <c r="AKY9" s="314">
        <v>2250</v>
      </c>
      <c r="AKZ9" s="314">
        <v>2250</v>
      </c>
      <c r="ALA9" s="314">
        <v>2250</v>
      </c>
      <c r="ALB9" s="364"/>
      <c r="ALC9" s="314">
        <v>2250</v>
      </c>
      <c r="ALD9" s="314">
        <v>2250</v>
      </c>
      <c r="ALE9" s="314">
        <v>2250</v>
      </c>
      <c r="ALF9" s="314">
        <v>2250</v>
      </c>
      <c r="ALG9" s="314">
        <v>2250</v>
      </c>
      <c r="ALH9" s="314">
        <v>2250</v>
      </c>
      <c r="ALI9" s="314"/>
      <c r="ALJ9" s="314">
        <v>2250</v>
      </c>
      <c r="ALK9" s="314">
        <v>2250</v>
      </c>
      <c r="ALL9" s="314"/>
      <c r="ALM9" s="314">
        <v>2250</v>
      </c>
      <c r="ALN9" s="314">
        <v>2250</v>
      </c>
      <c r="ALO9" s="314">
        <v>2250</v>
      </c>
      <c r="ALP9" s="314"/>
      <c r="ALQ9" s="314">
        <v>2250</v>
      </c>
      <c r="ALR9" s="314">
        <v>2250</v>
      </c>
      <c r="ALS9" s="124">
        <v>2250</v>
      </c>
      <c r="ALT9" s="9"/>
      <c r="ALU9" s="314">
        <v>2450</v>
      </c>
      <c r="ALV9" s="314">
        <v>2450</v>
      </c>
      <c r="ALW9" s="314">
        <v>2450</v>
      </c>
      <c r="ALX9" s="314"/>
      <c r="ALY9" s="314">
        <v>2450</v>
      </c>
      <c r="ALZ9" s="314">
        <v>2450</v>
      </c>
      <c r="AMA9" s="314">
        <v>2450</v>
      </c>
      <c r="AMB9" s="314">
        <v>2450</v>
      </c>
      <c r="AMC9" s="314">
        <v>2450</v>
      </c>
      <c r="AMD9" s="314">
        <v>2450</v>
      </c>
      <c r="AME9" s="314"/>
      <c r="AMF9" s="314">
        <v>2450</v>
      </c>
      <c r="AMG9" s="314">
        <v>2450</v>
      </c>
      <c r="AMH9" s="314">
        <v>2450</v>
      </c>
      <c r="AMI9" s="314">
        <v>2450</v>
      </c>
      <c r="AMJ9" s="124">
        <v>2450</v>
      </c>
      <c r="AMK9" s="314">
        <v>2300</v>
      </c>
      <c r="AML9" s="314"/>
      <c r="AMM9" s="314">
        <v>2300</v>
      </c>
      <c r="AMN9" s="314">
        <v>2300</v>
      </c>
      <c r="AMO9" s="314">
        <v>2300</v>
      </c>
      <c r="AMP9" s="314">
        <v>2300</v>
      </c>
      <c r="AMQ9" s="314">
        <v>2300</v>
      </c>
      <c r="AMR9" s="314">
        <v>2300</v>
      </c>
      <c r="AMS9" s="314"/>
      <c r="AMT9" s="314"/>
      <c r="AMU9" s="314">
        <v>2300</v>
      </c>
      <c r="AMV9" s="314">
        <v>2300</v>
      </c>
      <c r="AMW9" s="314">
        <v>2300</v>
      </c>
      <c r="AMX9" s="314">
        <v>2300</v>
      </c>
      <c r="AMY9" s="314">
        <v>2300</v>
      </c>
      <c r="AMZ9" s="9"/>
      <c r="ANB9" s="314">
        <v>1840</v>
      </c>
      <c r="ANC9" s="314">
        <v>1840</v>
      </c>
      <c r="AND9" s="314">
        <v>1840</v>
      </c>
      <c r="ANE9" s="314">
        <v>1840</v>
      </c>
      <c r="ANF9" s="314">
        <v>1840</v>
      </c>
      <c r="ANG9" s="314">
        <v>1840</v>
      </c>
      <c r="ANH9" s="314">
        <v>1840</v>
      </c>
      <c r="ANI9" s="314">
        <v>1840</v>
      </c>
      <c r="ANJ9" s="314">
        <v>1840</v>
      </c>
      <c r="ANK9" s="314">
        <v>1840</v>
      </c>
      <c r="ANL9" s="314">
        <v>1840</v>
      </c>
      <c r="ANM9" s="314">
        <v>1840</v>
      </c>
      <c r="ANN9" s="314"/>
      <c r="ANO9" s="314"/>
      <c r="ANP9" s="314">
        <v>1840</v>
      </c>
      <c r="ANQ9" s="314">
        <v>1840</v>
      </c>
      <c r="ANR9" s="124">
        <v>1840</v>
      </c>
      <c r="ANS9" s="314">
        <v>1840</v>
      </c>
      <c r="ANT9" s="314">
        <v>1840</v>
      </c>
      <c r="ANU9" s="314">
        <v>1840</v>
      </c>
      <c r="ANV9" s="314">
        <v>1840</v>
      </c>
      <c r="ANW9" s="314">
        <v>1840</v>
      </c>
      <c r="ANX9" s="314">
        <v>1840</v>
      </c>
      <c r="ANY9" s="314">
        <v>1840</v>
      </c>
      <c r="ANZ9" s="314">
        <v>1840</v>
      </c>
      <c r="AOA9" s="314">
        <v>1840</v>
      </c>
      <c r="AOB9" s="314">
        <v>1840</v>
      </c>
      <c r="AOC9" s="314"/>
      <c r="AOD9" s="314">
        <v>1840</v>
      </c>
      <c r="AOE9" s="9"/>
      <c r="AOF9" s="128"/>
      <c r="AOG9" s="128"/>
      <c r="AOH9" s="128"/>
      <c r="AOI9" s="128"/>
      <c r="AOJ9" s="128"/>
      <c r="AOK9" s="128"/>
      <c r="AOL9" s="128"/>
      <c r="AOM9" s="128"/>
      <c r="AON9" s="128"/>
      <c r="AOO9" s="314">
        <v>2300</v>
      </c>
      <c r="AOP9" s="314">
        <v>2300</v>
      </c>
      <c r="AOQ9" s="314">
        <v>2300</v>
      </c>
      <c r="AOR9" s="314"/>
      <c r="AOS9" s="314">
        <v>2300</v>
      </c>
      <c r="AOT9" s="124">
        <v>2300</v>
      </c>
      <c r="AOU9" s="314">
        <v>2200</v>
      </c>
      <c r="AOV9" s="314">
        <v>2200</v>
      </c>
      <c r="AOW9" s="314">
        <v>2200</v>
      </c>
      <c r="AOX9" s="314">
        <v>2200</v>
      </c>
      <c r="AOZ9" s="314">
        <v>2200</v>
      </c>
      <c r="APA9" s="314">
        <v>2200</v>
      </c>
      <c r="APB9" s="314">
        <v>2200</v>
      </c>
      <c r="APC9" s="314">
        <v>2200</v>
      </c>
      <c r="APD9" s="314">
        <v>2200</v>
      </c>
      <c r="APE9" s="314">
        <v>2200</v>
      </c>
      <c r="APG9" s="314">
        <v>2200</v>
      </c>
      <c r="APH9" s="314">
        <v>2200</v>
      </c>
      <c r="API9" s="314">
        <v>2200</v>
      </c>
      <c r="APJ9" s="314">
        <v>2200</v>
      </c>
      <c r="APK9" s="9"/>
      <c r="APL9" s="314">
        <v>2200</v>
      </c>
      <c r="APM9" s="314">
        <v>2200</v>
      </c>
      <c r="APN9" s="314">
        <v>1760</v>
      </c>
      <c r="APO9" s="314">
        <v>2200</v>
      </c>
      <c r="APP9" s="314">
        <v>2200</v>
      </c>
      <c r="APQ9" s="314">
        <v>2200</v>
      </c>
      <c r="APR9" s="314">
        <v>2200</v>
      </c>
      <c r="APS9" s="314">
        <v>2200</v>
      </c>
      <c r="APT9" s="314">
        <v>2200</v>
      </c>
      <c r="APU9" s="314"/>
      <c r="APV9" s="314">
        <v>2200</v>
      </c>
      <c r="APW9" s="314">
        <v>2200</v>
      </c>
      <c r="APX9" s="124">
        <v>2200</v>
      </c>
      <c r="APY9" s="314">
        <v>2200</v>
      </c>
      <c r="APZ9" s="314">
        <v>2200</v>
      </c>
      <c r="AQA9" s="314">
        <v>2200</v>
      </c>
      <c r="AQB9" s="314"/>
      <c r="AQC9" s="314">
        <v>2200</v>
      </c>
      <c r="AQD9" s="314">
        <v>2200</v>
      </c>
      <c r="AQE9" s="314">
        <v>2200</v>
      </c>
      <c r="AQF9" s="314">
        <v>2200</v>
      </c>
      <c r="AQG9" s="314">
        <v>2200</v>
      </c>
      <c r="AQH9" s="314">
        <v>2200</v>
      </c>
      <c r="AQI9" s="314">
        <v>1760</v>
      </c>
      <c r="AQJ9" s="314">
        <v>2200</v>
      </c>
      <c r="AQK9" s="314">
        <v>2200</v>
      </c>
      <c r="AQL9" s="314">
        <v>2200</v>
      </c>
      <c r="AQM9" s="314">
        <v>2200</v>
      </c>
      <c r="AQN9" s="314">
        <v>2200</v>
      </c>
      <c r="AQO9" s="314">
        <v>2200</v>
      </c>
      <c r="AQP9" s="9"/>
      <c r="AQQ9" s="314"/>
      <c r="AQR9" s="314">
        <v>2200</v>
      </c>
      <c r="AQS9" s="314">
        <v>2200</v>
      </c>
      <c r="AQT9" s="314">
        <v>2200</v>
      </c>
      <c r="AQU9" s="314">
        <v>2200</v>
      </c>
      <c r="AQV9" s="314">
        <v>2200</v>
      </c>
      <c r="AQW9" s="314">
        <v>2200</v>
      </c>
      <c r="AQX9" s="128"/>
      <c r="AQY9" s="128"/>
      <c r="AQZ9" s="128"/>
      <c r="ARA9" s="128"/>
      <c r="ARB9" s="128"/>
      <c r="ARC9" s="128"/>
      <c r="ARD9" s="128"/>
      <c r="ARE9" s="128"/>
      <c r="ARF9" s="128"/>
      <c r="ARG9" s="314">
        <v>2200</v>
      </c>
      <c r="ARH9" s="314">
        <v>2200</v>
      </c>
      <c r="ARI9" s="314">
        <v>2200</v>
      </c>
      <c r="ARJ9" s="314">
        <v>2200</v>
      </c>
      <c r="ARK9" s="314">
        <v>2200</v>
      </c>
      <c r="ARL9" s="314"/>
      <c r="ARM9" s="314">
        <v>2200</v>
      </c>
      <c r="ARN9" s="314">
        <v>2200</v>
      </c>
      <c r="ARO9" s="314">
        <v>2200</v>
      </c>
      <c r="ARP9" s="314">
        <v>2200</v>
      </c>
      <c r="ARQ9" s="314">
        <v>2200</v>
      </c>
      <c r="ARR9" s="314">
        <v>2200</v>
      </c>
      <c r="ARS9" s="314"/>
      <c r="ART9" s="314">
        <v>2200</v>
      </c>
      <c r="ARU9" s="314">
        <v>2200</v>
      </c>
      <c r="ARV9" s="9"/>
      <c r="ARW9" s="314">
        <v>2200</v>
      </c>
      <c r="ARX9" s="314">
        <v>2200</v>
      </c>
      <c r="ARY9" s="314">
        <v>2200</v>
      </c>
      <c r="ARZ9" s="314">
        <v>2200</v>
      </c>
      <c r="ASA9" s="314"/>
      <c r="ASB9" s="314">
        <v>2200</v>
      </c>
      <c r="ASC9" s="314">
        <v>2200</v>
      </c>
      <c r="ASD9" s="314">
        <v>2200</v>
      </c>
      <c r="ASE9" s="314">
        <v>2200</v>
      </c>
      <c r="ASF9" s="314">
        <v>2200</v>
      </c>
      <c r="ASG9" s="314">
        <v>2200</v>
      </c>
      <c r="ASH9" s="314"/>
      <c r="ASI9" s="314">
        <v>2200</v>
      </c>
      <c r="ASJ9" s="314">
        <v>2200</v>
      </c>
      <c r="ASK9" s="314"/>
      <c r="ASL9" s="314">
        <v>2200</v>
      </c>
      <c r="ASM9" s="314">
        <v>2200</v>
      </c>
      <c r="ASN9" s="314">
        <v>2200</v>
      </c>
      <c r="ASO9" s="314"/>
      <c r="ASP9" s="314">
        <v>2200</v>
      </c>
      <c r="ASQ9" s="314">
        <v>2200</v>
      </c>
      <c r="ASR9" s="314">
        <v>2200</v>
      </c>
      <c r="ASS9" s="314">
        <v>2200</v>
      </c>
      <c r="AST9" s="314">
        <v>2200</v>
      </c>
      <c r="ASU9" s="314">
        <v>2200</v>
      </c>
      <c r="ASV9" s="314"/>
      <c r="ASW9" s="314">
        <v>2200</v>
      </c>
      <c r="ASX9" s="314">
        <v>2200</v>
      </c>
      <c r="ASY9" s="314">
        <v>2200</v>
      </c>
      <c r="ASZ9" s="314">
        <v>2200</v>
      </c>
      <c r="ATA9" s="314">
        <v>2200</v>
      </c>
      <c r="ATB9" s="9"/>
      <c r="ATC9" s="314">
        <v>2200</v>
      </c>
      <c r="ATE9" s="314">
        <v>2200</v>
      </c>
      <c r="ATF9" s="314">
        <v>2200</v>
      </c>
      <c r="ATG9" s="124">
        <v>2200</v>
      </c>
      <c r="ATH9" s="314">
        <v>2200</v>
      </c>
      <c r="ATI9" s="314">
        <v>2200</v>
      </c>
      <c r="ATJ9" s="314">
        <v>2200</v>
      </c>
      <c r="ATK9" s="314"/>
      <c r="ATL9" s="314">
        <v>2200</v>
      </c>
      <c r="ATM9" s="314">
        <v>2200</v>
      </c>
      <c r="ATN9" s="314">
        <v>2200</v>
      </c>
      <c r="ATO9" s="314">
        <v>2200</v>
      </c>
      <c r="ATP9" s="314">
        <v>2200</v>
      </c>
      <c r="ATQ9" s="314">
        <v>2200</v>
      </c>
      <c r="ATR9" s="314"/>
      <c r="ATS9" s="314">
        <v>2200</v>
      </c>
      <c r="ATT9" s="314">
        <v>2200</v>
      </c>
      <c r="ATU9" s="314">
        <v>2200</v>
      </c>
      <c r="ATV9" s="314">
        <v>2200</v>
      </c>
      <c r="ATW9" s="314">
        <v>2200</v>
      </c>
      <c r="ATX9" s="314">
        <v>2200</v>
      </c>
      <c r="ATY9" s="314"/>
      <c r="ATZ9" s="314">
        <v>2200</v>
      </c>
      <c r="AUA9" s="314">
        <v>2200</v>
      </c>
      <c r="AUB9" s="314">
        <v>2200</v>
      </c>
      <c r="AUC9" s="314">
        <v>2200</v>
      </c>
      <c r="AUD9" s="314">
        <v>2200</v>
      </c>
      <c r="AUE9" s="314">
        <v>2200</v>
      </c>
      <c r="AUF9" s="314"/>
      <c r="AUG9" s="9"/>
      <c r="AUH9" s="314">
        <v>2200</v>
      </c>
      <c r="AUI9" s="314">
        <v>2200</v>
      </c>
      <c r="AUJ9" s="314">
        <v>2200</v>
      </c>
      <c r="AUK9" s="314">
        <v>2200</v>
      </c>
      <c r="AUL9" s="314"/>
      <c r="AUM9" s="314">
        <v>2200</v>
      </c>
      <c r="AUN9" s="314"/>
      <c r="AUO9" s="314">
        <v>2200</v>
      </c>
      <c r="AUP9" s="314">
        <v>2200</v>
      </c>
      <c r="AUQ9" s="314">
        <v>2200</v>
      </c>
      <c r="AUR9" s="314">
        <v>2200</v>
      </c>
      <c r="AUS9" s="314">
        <v>2200</v>
      </c>
      <c r="AUT9" s="314">
        <v>2200</v>
      </c>
      <c r="AUU9" s="314"/>
      <c r="AUV9" s="314">
        <v>2200</v>
      </c>
      <c r="AUW9" s="314">
        <v>2200</v>
      </c>
      <c r="AUX9" s="314">
        <v>2200</v>
      </c>
      <c r="AUY9" s="314">
        <v>2200</v>
      </c>
      <c r="AUZ9" s="314">
        <v>2200</v>
      </c>
      <c r="AVA9" s="314">
        <v>2200</v>
      </c>
      <c r="AVB9" s="314"/>
      <c r="AVC9" s="314">
        <v>2200</v>
      </c>
      <c r="AVD9" s="314">
        <v>2200</v>
      </c>
      <c r="AVE9" s="314">
        <v>2200</v>
      </c>
      <c r="AVF9" s="314">
        <v>2200</v>
      </c>
      <c r="AVG9" s="314">
        <v>2200</v>
      </c>
      <c r="AVH9" s="314">
        <v>2200</v>
      </c>
      <c r="AVI9" s="314"/>
      <c r="AVJ9" s="314">
        <v>2200</v>
      </c>
      <c r="AVK9" s="314">
        <v>2200</v>
      </c>
      <c r="AVL9" s="314">
        <v>2200</v>
      </c>
      <c r="AVM9" s="9"/>
      <c r="AVN9" s="314">
        <v>2200</v>
      </c>
      <c r="AVO9" s="314">
        <v>2200</v>
      </c>
      <c r="AVP9" s="314">
        <v>2200</v>
      </c>
      <c r="AVQ9" s="314"/>
      <c r="AVR9" s="314">
        <v>2200</v>
      </c>
      <c r="AVS9" s="314">
        <v>2200</v>
      </c>
      <c r="AVT9" s="314">
        <v>2200</v>
      </c>
      <c r="AVU9" s="314">
        <v>2200</v>
      </c>
      <c r="AVV9" s="314">
        <v>2200</v>
      </c>
      <c r="AVW9" s="314">
        <v>2200</v>
      </c>
      <c r="AVX9" s="314"/>
      <c r="AVY9" s="314">
        <v>2200</v>
      </c>
      <c r="AVZ9" s="314">
        <v>2200</v>
      </c>
      <c r="AWA9" s="314">
        <v>2200</v>
      </c>
      <c r="AWB9" s="314">
        <v>2200</v>
      </c>
      <c r="AWC9" s="314">
        <v>2200</v>
      </c>
      <c r="AWD9" s="314">
        <v>2200</v>
      </c>
      <c r="AWE9" s="314"/>
      <c r="AWF9" s="314">
        <v>2200</v>
      </c>
      <c r="AWG9" s="314">
        <v>2200</v>
      </c>
      <c r="AWH9" s="314">
        <v>2200</v>
      </c>
      <c r="AWI9" s="314">
        <v>2200</v>
      </c>
      <c r="AWJ9" s="314">
        <v>2200</v>
      </c>
      <c r="AWK9" s="314">
        <v>2200</v>
      </c>
      <c r="AWL9" s="314"/>
      <c r="AWM9" s="314">
        <v>2200</v>
      </c>
      <c r="AWN9" s="314">
        <v>2200</v>
      </c>
      <c r="AWO9" s="124">
        <v>2200</v>
      </c>
      <c r="AWP9" s="314">
        <v>2200</v>
      </c>
      <c r="AWQ9" s="314">
        <v>2200</v>
      </c>
      <c r="AWR9" s="9"/>
      <c r="AWS9" s="314">
        <v>2200</v>
      </c>
      <c r="AWU9" s="314">
        <v>2200</v>
      </c>
      <c r="AWV9" s="314">
        <v>2200</v>
      </c>
      <c r="AWW9" s="314">
        <v>2200</v>
      </c>
      <c r="AWX9" s="314">
        <v>2200</v>
      </c>
      <c r="AWY9" s="314">
        <v>2200</v>
      </c>
      <c r="AWZ9" s="314">
        <v>2200</v>
      </c>
      <c r="AXB9" s="314">
        <v>2200</v>
      </c>
      <c r="AXC9" s="314">
        <v>2200</v>
      </c>
      <c r="AXD9" s="314">
        <v>2200</v>
      </c>
      <c r="AXE9" s="314">
        <v>2200</v>
      </c>
      <c r="AXF9" s="314">
        <v>2200</v>
      </c>
      <c r="AXG9" s="314">
        <v>2200</v>
      </c>
      <c r="AXI9" s="314">
        <v>2200</v>
      </c>
      <c r="AXJ9" s="314">
        <v>2200</v>
      </c>
      <c r="AXK9" s="314">
        <v>2200</v>
      </c>
      <c r="AXL9" s="314">
        <v>2200</v>
      </c>
      <c r="AXM9" s="314">
        <v>2200</v>
      </c>
      <c r="AXN9" s="314">
        <v>2200</v>
      </c>
      <c r="AXP9" s="314">
        <v>2200</v>
      </c>
      <c r="AXQ9" s="314">
        <v>2200</v>
      </c>
      <c r="AXR9" s="314">
        <v>2200</v>
      </c>
      <c r="AXS9" s="314">
        <v>2200</v>
      </c>
      <c r="AXT9" s="314">
        <v>2200</v>
      </c>
      <c r="AXU9" s="314">
        <v>2200</v>
      </c>
      <c r="AXV9" s="314"/>
      <c r="AXW9" s="314">
        <v>2200</v>
      </c>
      <c r="AXX9" s="9"/>
    </row>
    <row r="10" spans="1:1327" s="130" customFormat="1" ht="28.5" customHeight="1" x14ac:dyDescent="0.4">
      <c r="A10" s="711"/>
      <c r="B10" s="7" t="s">
        <v>12</v>
      </c>
      <c r="C10" s="119" t="s">
        <v>59</v>
      </c>
      <c r="D10" s="138"/>
      <c r="E10" s="121" t="s">
        <v>60</v>
      </c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1" t="s">
        <v>63</v>
      </c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1" t="s">
        <v>60</v>
      </c>
      <c r="AG10" s="122"/>
      <c r="AH10" s="47" t="s">
        <v>12</v>
      </c>
      <c r="AI10" s="123" t="s">
        <v>60</v>
      </c>
      <c r="AJ10" s="123"/>
      <c r="AK10" s="123"/>
      <c r="AL10" s="123"/>
      <c r="AM10" s="123"/>
      <c r="AN10" s="123"/>
      <c r="AO10" s="123"/>
      <c r="AP10" s="123"/>
      <c r="AQ10" s="750"/>
      <c r="AR10" s="751"/>
      <c r="AS10" s="751"/>
      <c r="AT10" s="751"/>
      <c r="AU10" s="751"/>
      <c r="AV10" s="751"/>
      <c r="AW10" s="751"/>
      <c r="AX10" s="751"/>
      <c r="AY10" s="751"/>
      <c r="AZ10" s="752"/>
      <c r="BA10" s="123" t="s">
        <v>60</v>
      </c>
      <c r="BB10" s="123"/>
      <c r="BC10" s="123"/>
      <c r="BD10" s="123"/>
      <c r="BE10" s="123"/>
      <c r="BF10" s="123"/>
      <c r="BG10" s="123"/>
      <c r="BH10" s="123"/>
      <c r="BI10" s="123"/>
      <c r="BJ10" s="123"/>
      <c r="BK10" s="123"/>
      <c r="BL10" s="123"/>
      <c r="BM10" s="123"/>
      <c r="BN10" s="7" t="s">
        <v>12</v>
      </c>
      <c r="BO10" s="123" t="s">
        <v>60</v>
      </c>
      <c r="BP10" s="122"/>
      <c r="BQ10" s="122"/>
      <c r="BR10" s="122"/>
      <c r="BS10" s="122"/>
      <c r="BT10" s="122"/>
      <c r="BU10" s="122"/>
      <c r="BV10" s="122"/>
      <c r="BW10" s="122"/>
      <c r="BX10" s="122"/>
      <c r="BY10" s="122"/>
      <c r="BZ10" s="122"/>
      <c r="CA10" s="122"/>
      <c r="CB10" s="122"/>
      <c r="CC10" s="122"/>
      <c r="CD10" s="122"/>
      <c r="CE10" s="122"/>
      <c r="CF10" s="122"/>
      <c r="CG10" s="122"/>
      <c r="CH10" s="122"/>
      <c r="CI10" s="122"/>
      <c r="CJ10" s="122"/>
      <c r="CK10" s="122"/>
      <c r="CL10" s="122"/>
      <c r="CM10" s="122"/>
      <c r="CN10" s="122"/>
      <c r="CO10" s="122"/>
      <c r="CP10" s="122"/>
      <c r="CQ10" s="121" t="s">
        <v>135</v>
      </c>
      <c r="CR10" s="123"/>
      <c r="CS10" s="7" t="s">
        <v>12</v>
      </c>
      <c r="CT10" s="123" t="s">
        <v>135</v>
      </c>
      <c r="CU10" s="123"/>
      <c r="CV10" s="123"/>
      <c r="CW10" s="123"/>
      <c r="CX10" s="123"/>
      <c r="CY10" s="123"/>
      <c r="CZ10" s="123"/>
      <c r="DA10" s="123"/>
      <c r="DB10" s="123"/>
      <c r="DC10" s="123"/>
      <c r="DD10" s="123"/>
      <c r="DE10" s="123"/>
      <c r="DF10" s="123"/>
      <c r="DG10" s="123"/>
      <c r="DH10" s="123"/>
      <c r="DI10" s="123"/>
      <c r="DJ10" s="123"/>
      <c r="DK10" s="123"/>
      <c r="DL10" s="123"/>
      <c r="DM10" s="123"/>
      <c r="DN10" s="123"/>
      <c r="DO10" s="123"/>
      <c r="DP10" s="123"/>
      <c r="DQ10" s="123"/>
      <c r="DR10" s="123"/>
      <c r="DS10" s="123"/>
      <c r="DT10" s="123"/>
      <c r="DU10" s="123"/>
      <c r="DV10" s="123"/>
      <c r="DW10" s="123"/>
      <c r="DX10" s="123"/>
      <c r="DY10" s="7" t="s">
        <v>12</v>
      </c>
      <c r="DZ10" s="123" t="s">
        <v>135</v>
      </c>
      <c r="EA10" s="123"/>
      <c r="EB10" s="123"/>
      <c r="EC10" s="123"/>
      <c r="ED10" s="123"/>
      <c r="EE10" s="123"/>
      <c r="EF10" s="123"/>
      <c r="EG10" s="123"/>
      <c r="EH10" s="123"/>
      <c r="EI10" s="123"/>
      <c r="EJ10" s="123"/>
      <c r="EK10" s="123"/>
      <c r="EL10" s="123"/>
      <c r="EM10" s="123"/>
      <c r="EN10" s="123"/>
      <c r="EO10" s="123"/>
      <c r="EP10" s="123"/>
      <c r="EQ10" s="123"/>
      <c r="ER10" s="123"/>
      <c r="ES10" s="123"/>
      <c r="ET10" s="123"/>
      <c r="EU10" s="123"/>
      <c r="EV10" s="123"/>
      <c r="EW10" s="123"/>
      <c r="EX10" s="123"/>
      <c r="EY10" s="123"/>
      <c r="EZ10" s="123"/>
      <c r="FA10" s="123"/>
      <c r="FB10" s="123"/>
      <c r="FC10" s="123"/>
      <c r="FD10" s="7" t="s">
        <v>12</v>
      </c>
      <c r="FE10" s="123" t="s">
        <v>328</v>
      </c>
      <c r="FF10" s="123"/>
      <c r="FG10" s="123"/>
      <c r="FH10" s="123"/>
      <c r="FI10" s="123"/>
      <c r="FJ10" s="123"/>
      <c r="FK10" s="123"/>
      <c r="FL10" s="123"/>
      <c r="FM10" s="123"/>
      <c r="FN10" s="123"/>
      <c r="FO10" s="123"/>
      <c r="FP10" s="123"/>
      <c r="FQ10" s="126" t="s">
        <v>329</v>
      </c>
      <c r="FR10" s="128"/>
      <c r="FS10" s="123"/>
      <c r="FT10" s="123"/>
      <c r="FU10" s="123"/>
      <c r="FV10" s="123"/>
      <c r="FW10" s="123"/>
      <c r="FX10" s="123"/>
      <c r="FY10" s="123"/>
      <c r="FZ10" s="123"/>
      <c r="GA10" s="123"/>
      <c r="GB10" s="123"/>
      <c r="GC10" s="123"/>
      <c r="GD10" s="123"/>
      <c r="GE10" s="123"/>
      <c r="GF10" s="123" t="s">
        <v>330</v>
      </c>
      <c r="GG10" s="123"/>
      <c r="GH10" s="123"/>
      <c r="GI10" s="123"/>
      <c r="GJ10" s="7" t="s">
        <v>12</v>
      </c>
      <c r="GK10" s="126" t="s">
        <v>444</v>
      </c>
      <c r="GL10" s="126" t="s">
        <v>445</v>
      </c>
      <c r="GM10" s="119"/>
      <c r="GN10" s="119"/>
      <c r="GO10" s="119"/>
      <c r="GP10" s="126" t="s">
        <v>446</v>
      </c>
      <c r="GQ10" s="126"/>
      <c r="GR10" s="119"/>
      <c r="GS10" s="119"/>
      <c r="GT10" s="119"/>
      <c r="GU10" s="119"/>
      <c r="GV10" s="119"/>
      <c r="GW10" s="119"/>
      <c r="GX10" s="119"/>
      <c r="GY10" s="119"/>
      <c r="GZ10" s="119"/>
      <c r="HA10" s="119"/>
      <c r="HB10" s="126" t="s">
        <v>351</v>
      </c>
      <c r="HC10" s="126"/>
      <c r="HD10" s="123"/>
      <c r="HE10" s="123"/>
      <c r="HF10" s="123"/>
      <c r="HG10" s="126" t="s">
        <v>355</v>
      </c>
      <c r="HH10" s="126"/>
      <c r="HI10" s="123"/>
      <c r="HJ10" s="123"/>
      <c r="HK10" s="123"/>
      <c r="HL10" s="123"/>
      <c r="HM10" s="123"/>
      <c r="HN10" s="123"/>
      <c r="HO10" s="123"/>
      <c r="HP10" s="7" t="s">
        <v>12</v>
      </c>
      <c r="HQ10" s="123" t="s">
        <v>355</v>
      </c>
      <c r="HR10" s="123"/>
      <c r="HS10" s="123"/>
      <c r="HT10" s="123"/>
      <c r="HU10" s="123"/>
      <c r="HV10" s="123"/>
      <c r="HW10" s="123"/>
      <c r="HX10" s="123"/>
      <c r="HY10" s="123"/>
      <c r="HZ10" s="123"/>
      <c r="IA10" s="126" t="s">
        <v>370</v>
      </c>
      <c r="IB10" s="126"/>
      <c r="IC10" s="123"/>
      <c r="ID10" s="123"/>
      <c r="IE10" s="123"/>
      <c r="IF10" s="123"/>
      <c r="IG10" s="123"/>
      <c r="IH10" s="123"/>
      <c r="II10" s="123"/>
      <c r="IJ10" s="123"/>
      <c r="IK10" s="123"/>
      <c r="IL10" s="123"/>
      <c r="IM10" s="123"/>
      <c r="IN10" s="123"/>
      <c r="IO10" s="123"/>
      <c r="IP10" s="123"/>
      <c r="IQ10" s="123"/>
      <c r="IR10" s="123"/>
      <c r="IS10" s="123"/>
      <c r="IT10" s="7" t="s">
        <v>12</v>
      </c>
      <c r="IU10" s="123" t="s">
        <v>370</v>
      </c>
      <c r="IV10" s="123"/>
      <c r="IW10" s="123"/>
      <c r="IX10" s="123"/>
      <c r="IY10" s="123"/>
      <c r="IZ10" s="123"/>
      <c r="JA10" s="123"/>
      <c r="JB10" s="123"/>
      <c r="JC10" s="123"/>
      <c r="JD10" s="123"/>
      <c r="JE10" s="123"/>
      <c r="JF10" s="123"/>
      <c r="JG10" s="123"/>
      <c r="JH10" s="123"/>
      <c r="JI10" s="123"/>
      <c r="JJ10" s="123"/>
      <c r="JK10" s="123"/>
      <c r="JL10" s="123"/>
      <c r="JM10" s="123"/>
      <c r="JN10" s="155" t="s">
        <v>634</v>
      </c>
      <c r="JO10" s="156"/>
      <c r="JP10" s="158"/>
      <c r="JQ10" s="158"/>
      <c r="JR10" s="158"/>
      <c r="JS10" s="158"/>
      <c r="JT10" s="158"/>
      <c r="JU10" s="158"/>
      <c r="JV10" s="158"/>
      <c r="JW10" s="158"/>
      <c r="JX10" s="158"/>
      <c r="JY10" s="158"/>
      <c r="JZ10" s="7" t="s">
        <v>12</v>
      </c>
      <c r="KA10" s="157" t="s">
        <v>539</v>
      </c>
      <c r="KB10" s="158"/>
      <c r="KC10" s="158"/>
      <c r="KD10" s="126" t="s">
        <v>370</v>
      </c>
      <c r="KE10" s="126"/>
      <c r="KF10" s="123"/>
      <c r="KG10" s="123"/>
      <c r="KH10" s="123"/>
      <c r="KI10" s="123"/>
      <c r="KJ10" s="123"/>
      <c r="KK10" s="123"/>
      <c r="KL10" s="155" t="s">
        <v>676</v>
      </c>
      <c r="KM10" s="156"/>
      <c r="KN10" s="157"/>
      <c r="KO10" s="158"/>
      <c r="KP10" s="157"/>
      <c r="KQ10" s="158"/>
      <c r="KR10" s="157"/>
      <c r="LE10" s="7" t="s">
        <v>12</v>
      </c>
      <c r="LF10" s="129"/>
      <c r="LG10" s="129"/>
      <c r="LH10" s="129"/>
      <c r="LI10" s="129"/>
      <c r="LJ10" s="129"/>
      <c r="LK10" s="129"/>
      <c r="LL10" s="129"/>
      <c r="LM10" s="129"/>
      <c r="LN10" s="129"/>
      <c r="LO10" s="129"/>
      <c r="LP10" s="126" t="s">
        <v>370</v>
      </c>
      <c r="LQ10" s="126"/>
      <c r="LR10" s="123"/>
      <c r="LS10" s="123"/>
      <c r="LT10" s="123"/>
      <c r="LU10" s="123"/>
      <c r="LV10" s="123"/>
      <c r="LW10" s="123"/>
      <c r="LX10" s="123"/>
      <c r="LY10" s="123"/>
      <c r="LZ10" s="756"/>
      <c r="MA10" s="757"/>
      <c r="MB10" s="757"/>
      <c r="MC10" s="757"/>
      <c r="MD10" s="757"/>
      <c r="ME10" s="757"/>
      <c r="MF10" s="757"/>
      <c r="MG10" s="757"/>
      <c r="MH10" s="757"/>
      <c r="MI10" s="758"/>
      <c r="MJ10" s="123" t="s">
        <v>370</v>
      </c>
      <c r="MK10" s="7" t="s">
        <v>12</v>
      </c>
      <c r="ML10" s="335" t="s">
        <v>370</v>
      </c>
      <c r="MM10" s="335"/>
      <c r="MN10" s="335"/>
      <c r="MO10" s="335"/>
      <c r="MP10" s="335"/>
      <c r="MQ10" s="335"/>
      <c r="MR10" s="335"/>
      <c r="MS10" s="335"/>
      <c r="MT10" s="335"/>
      <c r="MU10" s="335"/>
      <c r="MV10" s="335"/>
      <c r="MW10" s="335"/>
      <c r="MX10" s="335"/>
      <c r="MY10" s="335"/>
      <c r="MZ10" s="335"/>
      <c r="NA10" s="335"/>
      <c r="NB10" s="335"/>
      <c r="NC10" s="335"/>
      <c r="ND10" s="335"/>
      <c r="NE10" s="335"/>
      <c r="NF10" s="335"/>
      <c r="NG10" s="335"/>
      <c r="NH10" s="335"/>
      <c r="NI10" s="335"/>
      <c r="NJ10" s="335"/>
      <c r="NK10" s="339" t="s">
        <v>544</v>
      </c>
      <c r="NL10" s="339"/>
      <c r="NM10" s="342"/>
      <c r="NN10" s="342"/>
      <c r="NO10" s="342"/>
      <c r="NP10" s="7" t="s">
        <v>12</v>
      </c>
      <c r="NQ10" s="344" t="s">
        <v>370</v>
      </c>
      <c r="NR10" s="350"/>
      <c r="NS10" s="350"/>
      <c r="NT10" s="350" t="s">
        <v>882</v>
      </c>
      <c r="NU10" s="350"/>
      <c r="NV10" s="350"/>
      <c r="NW10" s="350"/>
      <c r="NX10" s="350"/>
      <c r="NY10" s="350"/>
      <c r="NZ10" s="350"/>
      <c r="OA10" s="350"/>
      <c r="OB10" s="350"/>
      <c r="OC10" s="350"/>
      <c r="OD10" s="350"/>
      <c r="OE10" s="350"/>
      <c r="OF10" s="350"/>
      <c r="OG10" s="350"/>
      <c r="OH10" s="350"/>
      <c r="OI10" s="350"/>
      <c r="OJ10" s="350"/>
      <c r="OK10" s="350"/>
      <c r="OL10" s="350"/>
      <c r="OM10" s="350"/>
      <c r="ON10" s="350"/>
      <c r="OO10" s="350"/>
      <c r="OP10" s="350"/>
      <c r="OQ10" s="350"/>
      <c r="OR10" s="350"/>
      <c r="OS10" s="762"/>
      <c r="OT10" s="763"/>
      <c r="OU10" s="764"/>
      <c r="OV10" s="7" t="s">
        <v>12</v>
      </c>
      <c r="OW10" s="770"/>
      <c r="OX10" s="763"/>
      <c r="OY10" s="763"/>
      <c r="OZ10" s="763"/>
      <c r="PA10" s="763"/>
      <c r="PB10" s="763"/>
      <c r="PC10" s="771"/>
      <c r="PD10" s="357" t="s">
        <v>882</v>
      </c>
      <c r="PE10" s="357"/>
      <c r="PF10" s="357"/>
      <c r="PG10" s="357"/>
      <c r="PH10" s="357"/>
      <c r="PI10" s="357"/>
      <c r="PJ10" s="357"/>
      <c r="PK10" s="357"/>
      <c r="PL10" s="357"/>
      <c r="PM10" s="357"/>
      <c r="PN10" s="357"/>
      <c r="PO10" s="357"/>
      <c r="PP10" s="357"/>
      <c r="PQ10" s="357"/>
      <c r="PR10" s="357"/>
      <c r="PS10" s="357"/>
      <c r="PT10" s="357"/>
      <c r="PU10" s="357"/>
      <c r="PV10" s="357"/>
      <c r="PW10" s="357"/>
      <c r="PX10" s="357"/>
      <c r="PY10" s="357"/>
      <c r="PZ10" s="357"/>
      <c r="QA10" s="357"/>
      <c r="QB10" s="7" t="s">
        <v>12</v>
      </c>
      <c r="QC10" s="363" t="s">
        <v>882</v>
      </c>
      <c r="QD10" s="363"/>
      <c r="QE10" s="363"/>
      <c r="QF10" s="363"/>
      <c r="QG10" s="363"/>
      <c r="QH10" s="363"/>
      <c r="QI10" s="363"/>
      <c r="QJ10" s="363"/>
      <c r="QK10" s="363"/>
      <c r="QL10" s="363"/>
      <c r="QM10" s="363"/>
      <c r="QN10" s="363"/>
      <c r="QO10" s="363"/>
      <c r="QP10" s="363"/>
      <c r="QQ10" s="363"/>
      <c r="QR10" s="363"/>
      <c r="QS10" s="363"/>
      <c r="QT10" s="363"/>
      <c r="QU10" s="363"/>
      <c r="QV10" s="363"/>
      <c r="QW10" s="363"/>
      <c r="QX10" s="363"/>
      <c r="QY10" s="363"/>
      <c r="QZ10" s="363"/>
      <c r="RA10" s="363"/>
      <c r="RB10" s="363"/>
      <c r="RC10" s="363"/>
      <c r="RD10" s="363"/>
      <c r="RE10" s="363"/>
      <c r="RF10" s="363"/>
      <c r="RG10" s="7" t="s">
        <v>12</v>
      </c>
      <c r="RH10" s="442" t="s">
        <v>1495</v>
      </c>
      <c r="RI10" s="440"/>
      <c r="RJ10" s="440"/>
      <c r="RK10" s="440"/>
      <c r="RL10" s="442" t="s">
        <v>1496</v>
      </c>
      <c r="RM10" s="440"/>
      <c r="RN10" s="440"/>
      <c r="RO10" s="442" t="s">
        <v>1497</v>
      </c>
      <c r="RP10" s="440"/>
      <c r="RQ10" s="440"/>
      <c r="RR10" s="442" t="s">
        <v>1498</v>
      </c>
      <c r="RS10" s="442" t="s">
        <v>1499</v>
      </c>
      <c r="RT10" s="440"/>
      <c r="RU10" s="440"/>
      <c r="RV10" s="442" t="s">
        <v>1500</v>
      </c>
      <c r="RW10" s="443"/>
      <c r="RX10" s="443"/>
      <c r="RY10" s="443"/>
      <c r="RZ10" s="443"/>
      <c r="SA10" s="443"/>
      <c r="SB10" s="443"/>
      <c r="SC10" s="443"/>
      <c r="SD10" s="443"/>
      <c r="SE10" s="443"/>
      <c r="SF10" s="443"/>
      <c r="SG10" s="443"/>
      <c r="SH10" s="443"/>
      <c r="SI10" s="443"/>
      <c r="SJ10" s="443"/>
      <c r="SK10" s="443"/>
      <c r="SL10" s="443"/>
      <c r="SM10" s="7" t="s">
        <v>12</v>
      </c>
      <c r="SN10" s="449" t="s">
        <v>1500</v>
      </c>
      <c r="SO10" s="443"/>
      <c r="SP10" s="443"/>
      <c r="SQ10" s="443"/>
      <c r="SR10" s="443"/>
      <c r="SS10" s="443"/>
      <c r="ST10" s="443"/>
      <c r="SU10" s="443"/>
      <c r="SV10" s="443"/>
      <c r="SW10" s="443"/>
      <c r="SX10" s="443"/>
      <c r="SY10" s="443"/>
      <c r="SZ10" s="443"/>
      <c r="TA10" s="443"/>
      <c r="TB10" s="442" t="s">
        <v>1526</v>
      </c>
      <c r="TC10" s="443"/>
      <c r="TD10" s="443"/>
      <c r="TE10" s="443"/>
      <c r="TF10" s="443"/>
      <c r="TG10" s="442" t="s">
        <v>1504</v>
      </c>
      <c r="TH10" s="440"/>
      <c r="TI10" s="440"/>
      <c r="TJ10" s="440"/>
      <c r="TK10" s="440"/>
      <c r="TL10" s="440"/>
      <c r="TM10" s="440"/>
      <c r="TN10" s="440"/>
      <c r="TO10" s="440"/>
      <c r="TP10" s="440"/>
      <c r="TQ10" s="442" t="s">
        <v>1501</v>
      </c>
      <c r="TR10" s="7" t="s">
        <v>12</v>
      </c>
      <c r="TS10" s="440" t="s">
        <v>1501</v>
      </c>
      <c r="TT10" s="441"/>
      <c r="TU10" s="441"/>
      <c r="TV10" s="441"/>
      <c r="TW10" s="441"/>
      <c r="TX10" s="441"/>
      <c r="TY10" s="441"/>
      <c r="TZ10" s="441"/>
      <c r="UA10" s="441"/>
      <c r="UB10" s="441"/>
      <c r="UC10" s="441"/>
      <c r="UD10" s="441"/>
      <c r="UE10" s="441"/>
      <c r="UF10" s="442" t="s">
        <v>1504</v>
      </c>
      <c r="UG10" s="440"/>
      <c r="UH10" s="440"/>
      <c r="UI10" s="440"/>
      <c r="UJ10" s="440"/>
      <c r="UK10" s="440"/>
      <c r="UL10" s="440"/>
      <c r="UM10" s="440"/>
      <c r="UN10" s="440"/>
      <c r="UO10" s="440"/>
      <c r="UP10" s="440"/>
      <c r="UQ10" s="440"/>
      <c r="UR10" s="440"/>
      <c r="US10" s="442" t="s">
        <v>1507</v>
      </c>
      <c r="UT10" s="440"/>
      <c r="UU10" s="440"/>
      <c r="UV10" s="440"/>
      <c r="UW10" s="440"/>
      <c r="UX10" s="7" t="s">
        <v>12</v>
      </c>
      <c r="UY10" s="442" t="s">
        <v>1533</v>
      </c>
      <c r="UZ10" s="443"/>
      <c r="VA10" s="443"/>
      <c r="VB10" s="443"/>
      <c r="VC10" s="443"/>
      <c r="VD10" s="442" t="s">
        <v>1500</v>
      </c>
      <c r="VE10" s="443"/>
      <c r="VF10" s="443"/>
      <c r="VG10" s="443"/>
      <c r="VH10" s="443"/>
      <c r="VI10" s="443"/>
      <c r="VJ10" s="443"/>
      <c r="VK10" s="443"/>
      <c r="VL10" s="443"/>
      <c r="VM10" s="447"/>
      <c r="VN10" s="447"/>
      <c r="VO10" s="447"/>
      <c r="VP10" s="447"/>
      <c r="VQ10" s="447"/>
      <c r="VR10" s="447"/>
      <c r="VS10" s="447"/>
      <c r="VT10" s="447"/>
      <c r="WD10" s="7" t="s">
        <v>12</v>
      </c>
      <c r="XG10" s="7" t="s">
        <v>12</v>
      </c>
      <c r="YM10" s="7" t="s">
        <v>12</v>
      </c>
      <c r="ZR10" s="7" t="s">
        <v>12</v>
      </c>
      <c r="AAX10" s="7" t="s">
        <v>12</v>
      </c>
      <c r="ACC10" s="7" t="s">
        <v>12</v>
      </c>
      <c r="ACV10" s="704"/>
      <c r="ACW10" s="705"/>
      <c r="ACX10" s="705"/>
      <c r="ACY10" s="705"/>
      <c r="ACZ10" s="705"/>
      <c r="ADA10" s="705"/>
      <c r="ADB10" s="705"/>
      <c r="ADC10" s="705"/>
      <c r="ADD10" s="706"/>
      <c r="ADI10" s="7" t="s">
        <v>12</v>
      </c>
      <c r="ADJ10" s="352"/>
      <c r="ADK10" s="352"/>
      <c r="ADL10" s="352"/>
      <c r="ADM10" s="352"/>
      <c r="ADN10" s="352"/>
      <c r="ADO10" s="352"/>
      <c r="ADP10" s="352"/>
      <c r="ADQ10" s="352"/>
      <c r="ADR10" s="352"/>
      <c r="ADS10" s="352"/>
      <c r="ADT10" s="352"/>
      <c r="ADU10" s="352"/>
      <c r="ADV10" s="352"/>
      <c r="ADW10" s="352"/>
      <c r="ADX10" s="352"/>
      <c r="ADY10" s="352"/>
      <c r="ADZ10" s="352"/>
      <c r="AEA10" s="352"/>
      <c r="AEB10" s="352"/>
      <c r="AEC10" s="352"/>
      <c r="AED10" s="352"/>
      <c r="AEE10" s="352"/>
      <c r="AEF10" s="352"/>
      <c r="AEG10" s="352"/>
      <c r="AEH10" s="352"/>
      <c r="AEI10" s="352"/>
      <c r="AEJ10" s="352"/>
      <c r="AEK10" s="352"/>
      <c r="AEL10" s="352"/>
      <c r="AEM10" s="352"/>
      <c r="AEN10" s="352"/>
      <c r="AEO10" s="7" t="s">
        <v>12</v>
      </c>
      <c r="AEP10" s="352"/>
      <c r="AEQ10" s="352"/>
      <c r="AER10" s="352"/>
      <c r="AES10" s="352"/>
      <c r="AET10" s="352"/>
      <c r="AEU10" s="352"/>
      <c r="AEV10" s="352"/>
      <c r="AEW10" s="352"/>
      <c r="AEX10" s="352"/>
      <c r="AEY10" s="352"/>
      <c r="AEZ10" s="352"/>
      <c r="AFA10" s="352"/>
      <c r="AFB10" s="345" t="s">
        <v>2462</v>
      </c>
      <c r="AFC10" s="345"/>
      <c r="AFD10" s="352"/>
      <c r="AFE10" s="352"/>
      <c r="AFF10" s="352"/>
      <c r="AFG10" s="352"/>
      <c r="AFH10" s="352"/>
      <c r="AFI10" s="352"/>
      <c r="AFJ10" s="352"/>
      <c r="AFK10" s="352"/>
      <c r="AFL10" s="352"/>
      <c r="AFM10" s="352"/>
      <c r="AFN10" s="352"/>
      <c r="AFO10" s="352"/>
      <c r="AFP10" s="352"/>
      <c r="AFQ10" s="352"/>
      <c r="AFR10" s="352"/>
      <c r="AFS10" s="352"/>
      <c r="AFT10" s="47" t="s">
        <v>12</v>
      </c>
      <c r="AFU10" s="352" t="s">
        <v>2462</v>
      </c>
      <c r="AFV10" s="352"/>
      <c r="AFW10" s="352"/>
      <c r="AFX10" s="352"/>
      <c r="AFY10" s="352"/>
      <c r="AFZ10" s="352"/>
      <c r="AGA10" s="352"/>
      <c r="AGB10" s="352"/>
      <c r="AGC10" s="352"/>
      <c r="AGD10" s="352"/>
      <c r="AGE10" s="352"/>
      <c r="AGF10" s="352"/>
      <c r="AGG10" s="352"/>
      <c r="AGH10" s="352"/>
      <c r="AGI10" s="352"/>
      <c r="AGJ10" s="352"/>
      <c r="AGK10" s="352"/>
      <c r="AGL10" s="352"/>
      <c r="AGM10" s="352"/>
      <c r="AGN10" s="352"/>
      <c r="AGO10" s="352"/>
      <c r="AGP10" s="352"/>
      <c r="AGQ10" s="352"/>
      <c r="AGR10" s="352"/>
      <c r="AGS10" s="352"/>
      <c r="AGT10" s="352"/>
      <c r="AGU10" s="352"/>
      <c r="AGV10" s="352"/>
      <c r="AGW10" s="352"/>
      <c r="AGX10" s="352"/>
      <c r="AGY10" s="352"/>
      <c r="AGZ10" s="7" t="s">
        <v>12</v>
      </c>
      <c r="AHA10" s="352" t="s">
        <v>2462</v>
      </c>
      <c r="AHB10" s="352"/>
      <c r="AHC10" s="352"/>
      <c r="AHD10" s="352"/>
      <c r="AHE10" s="352"/>
      <c r="AHF10" s="352"/>
      <c r="AHG10" s="352"/>
      <c r="AHH10" s="352"/>
      <c r="AHI10" s="352"/>
      <c r="AHJ10" s="352"/>
      <c r="AHK10" s="352"/>
      <c r="AHL10" s="352"/>
      <c r="AHM10" s="352"/>
      <c r="AHN10" s="352"/>
      <c r="AHO10" s="352"/>
      <c r="AHP10" s="352"/>
      <c r="AHQ10" s="352"/>
      <c r="AHR10" s="352"/>
      <c r="AHS10" s="352"/>
      <c r="AHT10" s="352"/>
      <c r="AHU10" s="352"/>
      <c r="AHV10" s="352"/>
      <c r="AHW10" s="352"/>
      <c r="AHX10" s="352"/>
      <c r="AHY10" s="352"/>
      <c r="AHZ10" s="352"/>
      <c r="AIA10" s="352"/>
      <c r="AIB10" s="352"/>
      <c r="AIC10" s="352"/>
      <c r="AID10" s="352"/>
      <c r="AIE10" s="7" t="s">
        <v>12</v>
      </c>
      <c r="AIF10" s="352" t="s">
        <v>2462</v>
      </c>
      <c r="AIG10" s="352"/>
      <c r="AIH10" s="352"/>
      <c r="AII10" s="345" t="s">
        <v>2833</v>
      </c>
      <c r="AIJ10" s="345"/>
      <c r="AIK10" s="700"/>
      <c r="AIL10" s="700"/>
      <c r="AIM10" s="700"/>
      <c r="AIN10" s="700"/>
      <c r="AIO10" s="700"/>
      <c r="AIP10" s="700"/>
      <c r="AIQ10" s="700"/>
      <c r="AIR10" s="700"/>
      <c r="AIS10" s="700"/>
      <c r="AIT10" s="700"/>
      <c r="AIU10" s="700"/>
      <c r="AIV10" s="700"/>
      <c r="AIW10" s="700"/>
      <c r="AIX10" s="700"/>
      <c r="AIY10" s="700"/>
      <c r="AIZ10" s="700"/>
      <c r="AJA10" s="700"/>
      <c r="AJB10" s="700"/>
      <c r="AJC10" s="700"/>
      <c r="AJD10" s="700"/>
      <c r="AJE10" s="700"/>
      <c r="AJF10" s="700"/>
      <c r="AJG10" s="700"/>
      <c r="AJH10" s="345" t="s">
        <v>2684</v>
      </c>
      <c r="AJI10" s="345"/>
      <c r="AJJ10" s="216"/>
      <c r="AJK10" s="7" t="s">
        <v>12</v>
      </c>
      <c r="AJL10" s="352" t="s">
        <v>2684</v>
      </c>
      <c r="AJM10" s="352"/>
      <c r="AJN10" s="352"/>
      <c r="AJO10" s="352"/>
      <c r="AJP10" s="352"/>
      <c r="AJQ10" s="352"/>
      <c r="AJR10" s="352"/>
      <c r="AJS10" s="352"/>
      <c r="AJT10" s="352"/>
      <c r="AJU10" s="352"/>
      <c r="AJV10" s="352"/>
      <c r="AJW10" s="352"/>
      <c r="AJX10" s="352"/>
      <c r="AJY10" s="352"/>
      <c r="AJZ10" s="352"/>
      <c r="AKA10" s="352"/>
      <c r="AKB10" s="352"/>
      <c r="AKC10" s="352"/>
      <c r="AKD10" s="352"/>
      <c r="AKE10" s="352"/>
      <c r="AKF10" s="352"/>
      <c r="AKG10" s="352"/>
      <c r="AKH10" s="352"/>
      <c r="AKI10" s="352"/>
      <c r="AKJ10" s="352"/>
      <c r="AKK10" s="352"/>
      <c r="AKL10" s="352"/>
      <c r="AKM10" s="352"/>
      <c r="AKN10" s="352"/>
      <c r="AKO10" s="352"/>
      <c r="AKP10" s="352"/>
      <c r="AKQ10" s="7" t="s">
        <v>12</v>
      </c>
      <c r="AKR10" s="352" t="s">
        <v>2461</v>
      </c>
      <c r="AKS10" s="352"/>
      <c r="AKT10" s="352"/>
      <c r="AKU10" s="352"/>
      <c r="AKV10" s="352"/>
      <c r="AKW10" s="352"/>
      <c r="AKX10" s="352"/>
      <c r="AKY10" s="352"/>
      <c r="AKZ10" s="352"/>
      <c r="ALA10" s="352"/>
      <c r="ALB10" s="352"/>
      <c r="ALC10" s="352"/>
      <c r="ALD10" s="352"/>
      <c r="ALE10" s="352"/>
      <c r="ALF10" s="352"/>
      <c r="ALG10" s="352"/>
      <c r="ALH10" s="352"/>
      <c r="ALI10" s="352"/>
      <c r="ALJ10" s="352"/>
      <c r="ALK10" s="352"/>
      <c r="ALL10" s="352"/>
      <c r="ALM10" s="352"/>
      <c r="ALN10" s="352"/>
      <c r="ALO10" s="352"/>
      <c r="ALP10" s="352"/>
      <c r="ALQ10" s="352"/>
      <c r="ALR10" s="345" t="s">
        <v>2635</v>
      </c>
      <c r="ALS10" s="345"/>
      <c r="ALT10" s="7" t="s">
        <v>12</v>
      </c>
      <c r="ALU10" s="352"/>
      <c r="ALV10" s="352"/>
      <c r="ALW10" s="352"/>
      <c r="ALX10" s="352"/>
      <c r="ALY10" s="352"/>
      <c r="ALZ10" s="352"/>
      <c r="AMA10" s="352"/>
      <c r="AMB10" s="352"/>
      <c r="AMC10" s="352"/>
      <c r="AMD10" s="352"/>
      <c r="AME10" s="352"/>
      <c r="AMF10" s="352"/>
      <c r="AMG10" s="352"/>
      <c r="AMH10" s="352"/>
      <c r="AMI10" s="345" t="s">
        <v>2636</v>
      </c>
      <c r="AMJ10" s="345"/>
      <c r="AMK10" s="352"/>
      <c r="AML10" s="352"/>
      <c r="AMM10" s="352"/>
      <c r="AMN10" s="352"/>
      <c r="AMO10" s="352"/>
      <c r="AMP10" s="352"/>
      <c r="AMQ10" s="352"/>
      <c r="AMR10" s="352"/>
      <c r="AMS10" s="352"/>
      <c r="AMT10" s="352"/>
      <c r="AMU10" s="352"/>
      <c r="AMV10" s="352"/>
      <c r="AMW10" s="352"/>
      <c r="AMX10" s="352"/>
      <c r="AMY10" s="352"/>
      <c r="AMZ10" s="7" t="s">
        <v>12</v>
      </c>
      <c r="ANA10" s="352" t="s">
        <v>2636</v>
      </c>
      <c r="ANB10" s="352"/>
      <c r="ANC10" s="352"/>
      <c r="AND10" s="352"/>
      <c r="ANE10" s="352"/>
      <c r="ANF10" s="352"/>
      <c r="ANG10" s="352"/>
      <c r="ANH10" s="352"/>
      <c r="ANI10" s="352"/>
      <c r="ANJ10" s="352"/>
      <c r="ANK10" s="352"/>
      <c r="ANL10" s="352"/>
      <c r="ANM10" s="352"/>
      <c r="ANN10" s="352"/>
      <c r="ANO10" s="352"/>
      <c r="ANP10" s="352"/>
      <c r="ANQ10" s="352"/>
      <c r="ANR10" s="352"/>
      <c r="ANS10" s="352"/>
      <c r="ANT10" s="352"/>
      <c r="ANU10" s="352"/>
      <c r="ANV10" s="352"/>
      <c r="ANW10" s="352"/>
      <c r="ANX10" s="352"/>
      <c r="ANY10" s="352"/>
      <c r="ANZ10" s="352"/>
      <c r="AOA10" s="352"/>
      <c r="AOB10" s="352"/>
      <c r="AOC10" s="352"/>
      <c r="AOD10" s="352"/>
      <c r="AOE10" s="7" t="s">
        <v>12</v>
      </c>
      <c r="AOF10" s="128"/>
      <c r="AOG10" s="128"/>
      <c r="AOH10" s="128"/>
      <c r="AOI10" s="128"/>
      <c r="AOJ10" s="128"/>
      <c r="AOK10" s="128"/>
      <c r="AOL10" s="128"/>
      <c r="AOM10" s="128"/>
      <c r="AON10" s="128"/>
      <c r="AOO10" s="352" t="s">
        <v>2636</v>
      </c>
      <c r="AOP10" s="352"/>
      <c r="AOQ10" s="352"/>
      <c r="AOR10" s="352"/>
      <c r="AOS10" s="345" t="s">
        <v>2634</v>
      </c>
      <c r="AOT10" s="345"/>
      <c r="AOU10" s="352"/>
      <c r="AOV10" s="352"/>
      <c r="AOW10" s="352"/>
      <c r="AOX10" s="352"/>
      <c r="AOY10" s="352"/>
      <c r="AOZ10" s="352"/>
      <c r="APA10" s="352"/>
      <c r="APB10" s="352"/>
      <c r="APC10" s="352"/>
      <c r="APD10" s="352"/>
      <c r="APE10" s="352"/>
      <c r="APF10" s="352"/>
      <c r="APG10" s="352"/>
      <c r="APH10" s="352"/>
      <c r="API10" s="352"/>
      <c r="APJ10" s="352"/>
      <c r="APK10" s="7" t="s">
        <v>12</v>
      </c>
      <c r="APL10" s="352" t="s">
        <v>2634</v>
      </c>
      <c r="APM10" s="352"/>
      <c r="APN10" s="352"/>
      <c r="APO10" s="352"/>
      <c r="APP10" s="352"/>
      <c r="APQ10" s="352"/>
      <c r="APR10" s="352"/>
      <c r="APS10" s="352"/>
      <c r="APT10" s="352"/>
      <c r="APU10" s="352"/>
      <c r="APV10" s="352"/>
      <c r="APW10" s="345" t="s">
        <v>2865</v>
      </c>
      <c r="APX10" s="345"/>
      <c r="APY10" s="352"/>
      <c r="APZ10" s="352"/>
      <c r="AQA10" s="352"/>
      <c r="AQB10" s="352"/>
      <c r="AQC10" s="352"/>
      <c r="AQD10" s="352"/>
      <c r="AQE10" s="352"/>
      <c r="AQF10" s="352"/>
      <c r="AQG10" s="352"/>
      <c r="AQH10" s="352"/>
      <c r="AQI10" s="352"/>
      <c r="AQJ10" s="352"/>
      <c r="AQK10" s="352"/>
      <c r="AQL10" s="352"/>
      <c r="AQM10" s="352"/>
      <c r="AQN10" s="352"/>
      <c r="AQO10" s="352"/>
      <c r="AQP10" s="7" t="s">
        <v>12</v>
      </c>
      <c r="AQQ10" s="352" t="s">
        <v>2865</v>
      </c>
      <c r="AQR10" s="352"/>
      <c r="AQS10" s="352"/>
      <c r="AQT10" s="352"/>
      <c r="AQU10" s="352"/>
      <c r="AQV10" s="352"/>
      <c r="AQW10" s="352"/>
      <c r="AQX10" s="128"/>
      <c r="AQY10" s="128"/>
      <c r="AQZ10" s="128"/>
      <c r="ARA10" s="128"/>
      <c r="ARB10" s="128"/>
      <c r="ARC10" s="128"/>
      <c r="ARD10" s="128"/>
      <c r="ARE10" s="128"/>
      <c r="ARF10" s="128"/>
      <c r="ARG10" s="352" t="s">
        <v>2865</v>
      </c>
      <c r="ARH10" s="352"/>
      <c r="ARI10" s="352"/>
      <c r="ARJ10" s="352"/>
      <c r="ARK10" s="352"/>
      <c r="ARL10" s="352"/>
      <c r="ARM10" s="352"/>
      <c r="ARN10" s="352"/>
      <c r="ARO10" s="352"/>
      <c r="ARP10" s="352"/>
      <c r="ARQ10" s="352"/>
      <c r="ARR10" s="352"/>
      <c r="ARS10" s="352"/>
      <c r="ART10" s="352"/>
      <c r="ARU10" s="352"/>
      <c r="ARV10" s="7" t="s">
        <v>12</v>
      </c>
      <c r="ARW10" s="352" t="s">
        <v>2865</v>
      </c>
      <c r="ARX10" s="352"/>
      <c r="ARY10" s="352"/>
      <c r="ARZ10" s="352"/>
      <c r="ASA10" s="352"/>
      <c r="ASB10" s="352"/>
      <c r="ASC10" s="352"/>
      <c r="ASD10" s="352"/>
      <c r="ASE10" s="352"/>
      <c r="ASF10" s="352"/>
      <c r="ASG10" s="352"/>
      <c r="ASH10" s="352"/>
      <c r="ASI10" s="352"/>
      <c r="ASJ10" s="352"/>
      <c r="ASK10" s="352"/>
      <c r="ASL10" s="352"/>
      <c r="ASM10" s="352"/>
      <c r="ASN10" s="352"/>
      <c r="ASO10" s="352"/>
      <c r="ASP10" s="352"/>
      <c r="ASQ10" s="352"/>
      <c r="ASR10" s="352"/>
      <c r="ASS10" s="352"/>
      <c r="AST10" s="352"/>
      <c r="ASU10" s="352"/>
      <c r="ASV10" s="352"/>
      <c r="ASW10" s="352"/>
      <c r="ASX10" s="352"/>
      <c r="ASY10" s="352"/>
      <c r="ASZ10" s="352"/>
      <c r="ATA10" s="352"/>
      <c r="ATB10" s="7" t="s">
        <v>12</v>
      </c>
      <c r="ATC10" s="352" t="s">
        <v>2865</v>
      </c>
      <c r="ATD10" s="352"/>
      <c r="ATE10" s="352"/>
      <c r="ATF10" s="345" t="s">
        <v>2694</v>
      </c>
      <c r="ATG10" s="345"/>
      <c r="ATH10" s="352"/>
      <c r="ATI10" s="352"/>
      <c r="ATJ10" s="352"/>
      <c r="ATK10" s="352"/>
      <c r="ATL10" s="352"/>
      <c r="ATM10" s="352"/>
      <c r="ATN10" s="352"/>
      <c r="ATO10" s="352"/>
      <c r="ATP10" s="352"/>
      <c r="ATQ10" s="352"/>
      <c r="ATR10" s="352"/>
      <c r="ATS10" s="352"/>
      <c r="ATT10" s="352"/>
      <c r="ATU10" s="352"/>
      <c r="ATV10" s="352"/>
      <c r="ATW10" s="352"/>
      <c r="ATX10" s="352"/>
      <c r="ATY10" s="352"/>
      <c r="ATZ10" s="352"/>
      <c r="AUA10" s="352"/>
      <c r="AUB10" s="352"/>
      <c r="AUC10" s="352"/>
      <c r="AUD10" s="352"/>
      <c r="AUE10" s="352"/>
      <c r="AUF10" s="352"/>
      <c r="AUG10" s="7" t="s">
        <v>12</v>
      </c>
      <c r="AUH10" s="352" t="s">
        <v>2694</v>
      </c>
      <c r="AUI10" s="352"/>
      <c r="AUJ10" s="352"/>
      <c r="AUK10" s="352"/>
      <c r="AUL10" s="352"/>
      <c r="AUM10" s="352"/>
      <c r="AUN10" s="352"/>
      <c r="AUO10" s="352"/>
      <c r="AUP10" s="352"/>
      <c r="AUQ10" s="352"/>
      <c r="AUR10" s="352"/>
      <c r="AUS10" s="352"/>
      <c r="AUT10" s="352"/>
      <c r="AUU10" s="352"/>
      <c r="AUV10" s="352"/>
      <c r="AUW10" s="352"/>
      <c r="AUX10" s="352"/>
      <c r="AUY10" s="352"/>
      <c r="AUZ10" s="352"/>
      <c r="AVA10" s="352"/>
      <c r="AVB10" s="352"/>
      <c r="AVC10" s="352"/>
      <c r="AVD10" s="352"/>
      <c r="AVE10" s="352"/>
      <c r="AVF10" s="352"/>
      <c r="AVG10" s="352"/>
      <c r="AVH10" s="352"/>
      <c r="AVI10" s="352"/>
      <c r="AVJ10" s="352"/>
      <c r="AVK10" s="352"/>
      <c r="AVL10" s="352"/>
      <c r="AVM10" s="7" t="s">
        <v>12</v>
      </c>
      <c r="AVN10" s="352" t="s">
        <v>2694</v>
      </c>
      <c r="AVO10" s="352"/>
      <c r="AVP10" s="352"/>
      <c r="AVQ10" s="352"/>
      <c r="AVR10" s="352"/>
      <c r="AVS10" s="352"/>
      <c r="AVT10" s="352"/>
      <c r="AVU10" s="352"/>
      <c r="AVV10" s="352"/>
      <c r="AVW10" s="352"/>
      <c r="AVX10" s="352"/>
      <c r="AVY10" s="352"/>
      <c r="AVZ10" s="352"/>
      <c r="AWA10" s="352"/>
      <c r="AWB10" s="352"/>
      <c r="AWC10" s="352"/>
      <c r="AWD10" s="352"/>
      <c r="AWE10" s="352"/>
      <c r="AWF10" s="352"/>
      <c r="AWG10" s="352"/>
      <c r="AWH10" s="352"/>
      <c r="AWI10" s="352"/>
      <c r="AWJ10" s="352"/>
      <c r="AWK10" s="352"/>
      <c r="AWL10" s="352"/>
      <c r="AWM10" s="352"/>
      <c r="AWN10" s="345" t="s">
        <v>2698</v>
      </c>
      <c r="AWO10" s="345"/>
      <c r="AWP10" s="352"/>
      <c r="AWQ10" s="352"/>
      <c r="AWR10" s="7" t="s">
        <v>12</v>
      </c>
      <c r="AWS10" s="352" t="s">
        <v>2698</v>
      </c>
      <c r="AWT10" s="352"/>
      <c r="AWU10" s="352"/>
      <c r="AWV10" s="352"/>
      <c r="AWW10" s="352"/>
      <c r="AWX10" s="352"/>
      <c r="AWY10" s="352"/>
      <c r="AWZ10" s="352"/>
      <c r="AXA10" s="352"/>
      <c r="AXB10" s="352"/>
      <c r="AXC10" s="352"/>
      <c r="AXD10" s="352"/>
      <c r="AXE10" s="352"/>
      <c r="AXF10" s="352"/>
      <c r="AXG10" s="352"/>
      <c r="AXH10" s="352"/>
      <c r="AXI10" s="352"/>
      <c r="AXJ10" s="352"/>
      <c r="AXK10" s="352"/>
      <c r="AXL10" s="352"/>
      <c r="AXM10" s="352"/>
      <c r="AXN10" s="352"/>
      <c r="AXO10" s="352"/>
      <c r="AXP10" s="352"/>
      <c r="AXQ10" s="352"/>
      <c r="AXR10" s="352"/>
      <c r="AXS10" s="352"/>
      <c r="AXT10" s="352"/>
      <c r="AXU10" s="352"/>
      <c r="AXV10" s="352"/>
      <c r="AXW10" s="352"/>
      <c r="AXX10" s="7" t="s">
        <v>12</v>
      </c>
    </row>
    <row r="11" spans="1:1327" s="135" customFormat="1" ht="28.5" customHeight="1" x14ac:dyDescent="0.4">
      <c r="A11" s="711"/>
      <c r="B11" s="9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48"/>
      <c r="AI11" s="132"/>
      <c r="AJ11" s="132"/>
      <c r="AK11" s="132"/>
      <c r="AL11" s="132"/>
      <c r="AM11" s="132"/>
      <c r="AN11" s="132"/>
      <c r="AO11" s="132"/>
      <c r="AP11" s="132"/>
      <c r="AQ11" s="750"/>
      <c r="AR11" s="751"/>
      <c r="AS11" s="751"/>
      <c r="AT11" s="751"/>
      <c r="AU11" s="751"/>
      <c r="AV11" s="751"/>
      <c r="AW11" s="751"/>
      <c r="AX11" s="751"/>
      <c r="AY11" s="751"/>
      <c r="AZ11" s="75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9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9"/>
      <c r="CT11" s="130">
        <v>2025</v>
      </c>
      <c r="CU11" s="130">
        <v>2025</v>
      </c>
      <c r="CV11" s="130">
        <v>2025</v>
      </c>
      <c r="CW11" s="130"/>
      <c r="CX11" s="130">
        <v>2025</v>
      </c>
      <c r="CY11" s="130">
        <v>2025</v>
      </c>
      <c r="CZ11" s="130">
        <v>2025</v>
      </c>
      <c r="DA11" s="130">
        <v>2025</v>
      </c>
      <c r="DB11" s="130">
        <v>2025</v>
      </c>
      <c r="DC11" s="130">
        <v>2025</v>
      </c>
      <c r="DD11" s="130"/>
      <c r="DE11" s="130">
        <v>2025</v>
      </c>
      <c r="DF11" s="130">
        <v>2025</v>
      </c>
      <c r="DG11" s="130">
        <v>2025</v>
      </c>
      <c r="DH11" s="130">
        <v>2025</v>
      </c>
      <c r="DI11" s="130">
        <v>2025</v>
      </c>
      <c r="DJ11" s="130">
        <v>2025</v>
      </c>
      <c r="DK11" s="130"/>
      <c r="DL11" s="130">
        <v>2025</v>
      </c>
      <c r="DM11" s="130">
        <v>2025</v>
      </c>
      <c r="DN11" s="130">
        <v>2025</v>
      </c>
      <c r="DO11" s="130">
        <v>2025</v>
      </c>
      <c r="DP11" s="130">
        <v>2025</v>
      </c>
      <c r="DQ11" s="130">
        <v>2025</v>
      </c>
      <c r="DR11" s="130"/>
      <c r="DS11" s="130">
        <v>2025</v>
      </c>
      <c r="DT11" s="130">
        <v>2025</v>
      </c>
      <c r="DU11" s="130">
        <v>2025</v>
      </c>
      <c r="DV11" s="130">
        <v>2025</v>
      </c>
      <c r="DW11" s="130">
        <v>2025</v>
      </c>
      <c r="DX11" s="130">
        <v>2025</v>
      </c>
      <c r="DY11" s="9"/>
      <c r="DZ11" s="130"/>
      <c r="EA11" s="130">
        <v>2025</v>
      </c>
      <c r="EB11" s="130">
        <v>2025</v>
      </c>
      <c r="EC11" s="130">
        <v>2025</v>
      </c>
      <c r="ED11" s="130">
        <v>2025</v>
      </c>
      <c r="EE11" s="130">
        <v>2025</v>
      </c>
      <c r="EF11" s="130">
        <v>2025</v>
      </c>
      <c r="EG11" s="130"/>
      <c r="EH11" s="130">
        <v>2025</v>
      </c>
      <c r="EI11" s="130">
        <v>2025</v>
      </c>
      <c r="EJ11" s="130">
        <v>2025</v>
      </c>
      <c r="EK11" s="130">
        <v>2025</v>
      </c>
      <c r="EL11" s="130">
        <v>2025</v>
      </c>
      <c r="EM11" s="130">
        <v>2025</v>
      </c>
      <c r="EN11" s="130"/>
      <c r="EO11" s="130">
        <v>2025</v>
      </c>
      <c r="EP11" s="130">
        <v>2025</v>
      </c>
      <c r="EQ11" s="130">
        <v>2025</v>
      </c>
      <c r="ER11" s="130">
        <v>2025</v>
      </c>
      <c r="ES11" s="130">
        <v>2025</v>
      </c>
      <c r="ET11" s="130">
        <v>2025</v>
      </c>
      <c r="EU11" s="130"/>
      <c r="EV11" s="130">
        <v>2025</v>
      </c>
      <c r="EW11" s="130">
        <v>2025</v>
      </c>
      <c r="EX11" s="130">
        <v>2025</v>
      </c>
      <c r="EY11" s="130">
        <v>2025</v>
      </c>
      <c r="EZ11" s="130">
        <v>2025</v>
      </c>
      <c r="FA11" s="130">
        <v>2025</v>
      </c>
      <c r="FB11" s="130"/>
      <c r="FC11" s="130">
        <v>2025</v>
      </c>
      <c r="FD11" s="9"/>
      <c r="FE11" s="134">
        <v>1760</v>
      </c>
      <c r="FF11" s="134">
        <v>1760</v>
      </c>
      <c r="FG11" s="134">
        <v>1760</v>
      </c>
      <c r="FH11" s="134">
        <v>1760</v>
      </c>
      <c r="FI11" s="134">
        <v>1760</v>
      </c>
      <c r="FJ11" s="134"/>
      <c r="FK11" s="134">
        <v>1760</v>
      </c>
      <c r="FL11" s="134">
        <v>1760</v>
      </c>
      <c r="FM11" s="134">
        <v>1760</v>
      </c>
      <c r="FN11" s="134">
        <v>1760</v>
      </c>
      <c r="FO11" s="134">
        <v>1760</v>
      </c>
      <c r="FP11" s="134">
        <v>1760</v>
      </c>
      <c r="FQ11" s="134"/>
      <c r="FR11" s="134">
        <v>1760</v>
      </c>
      <c r="FS11" s="134">
        <v>1760</v>
      </c>
      <c r="FT11" s="134"/>
      <c r="FU11" s="134">
        <v>1760</v>
      </c>
      <c r="FV11" s="134">
        <v>380</v>
      </c>
      <c r="FW11" s="139">
        <v>1540</v>
      </c>
      <c r="FX11" s="139"/>
      <c r="FY11" s="139">
        <v>1760</v>
      </c>
      <c r="FZ11" s="139">
        <v>1760</v>
      </c>
      <c r="GA11" s="139">
        <v>1760</v>
      </c>
      <c r="GB11" s="139">
        <v>1760</v>
      </c>
      <c r="GC11" s="139">
        <v>1760</v>
      </c>
      <c r="GD11" s="139">
        <v>1760</v>
      </c>
      <c r="GE11" s="139"/>
      <c r="GF11" s="139">
        <v>1760</v>
      </c>
      <c r="GG11" s="139">
        <v>1760</v>
      </c>
      <c r="GH11" s="139">
        <v>1760</v>
      </c>
      <c r="GI11" s="139">
        <v>1760</v>
      </c>
      <c r="GJ11" s="9"/>
      <c r="GK11" s="136">
        <v>1760</v>
      </c>
      <c r="GL11" s="136">
        <v>1760</v>
      </c>
      <c r="GM11" s="136"/>
      <c r="GN11" s="136">
        <v>1760</v>
      </c>
      <c r="GO11" s="136">
        <v>1760</v>
      </c>
      <c r="GP11" s="136">
        <v>1760</v>
      </c>
      <c r="GQ11" s="136">
        <v>1760</v>
      </c>
      <c r="GR11" s="136">
        <v>1760</v>
      </c>
      <c r="GS11" s="136">
        <f>500+200</f>
        <v>700</v>
      </c>
      <c r="GT11" s="136"/>
      <c r="GU11" s="136">
        <v>1760</v>
      </c>
      <c r="GV11" s="136">
        <v>1760</v>
      </c>
      <c r="GW11" s="136">
        <v>1760</v>
      </c>
      <c r="GX11" s="136">
        <v>1760</v>
      </c>
      <c r="GY11" s="136">
        <v>1760</v>
      </c>
      <c r="GZ11" s="136">
        <v>800</v>
      </c>
      <c r="HB11" s="136">
        <v>1200</v>
      </c>
      <c r="HC11" s="136">
        <v>1500</v>
      </c>
      <c r="HD11" s="136">
        <v>1920</v>
      </c>
      <c r="HE11" s="136">
        <v>1920</v>
      </c>
      <c r="HF11" s="136">
        <v>1920</v>
      </c>
      <c r="HG11" s="136">
        <v>1920</v>
      </c>
      <c r="HI11" s="136">
        <v>1920</v>
      </c>
      <c r="HJ11" s="136">
        <v>660</v>
      </c>
      <c r="HK11" s="136">
        <v>1180</v>
      </c>
      <c r="HL11" s="136">
        <v>1500</v>
      </c>
      <c r="HM11" s="136">
        <v>1920</v>
      </c>
      <c r="HN11" s="136">
        <v>1920</v>
      </c>
      <c r="HO11" s="136"/>
      <c r="HP11" s="9"/>
      <c r="HQ11" s="136">
        <v>2640</v>
      </c>
      <c r="HR11" s="136">
        <v>2640</v>
      </c>
      <c r="HS11" s="136">
        <v>2640</v>
      </c>
      <c r="HT11" s="137">
        <v>640</v>
      </c>
      <c r="HU11" s="136">
        <v>2530</v>
      </c>
      <c r="HV11" s="136">
        <v>2530</v>
      </c>
      <c r="HW11" s="136"/>
      <c r="HX11" s="136">
        <v>2530</v>
      </c>
      <c r="HY11" s="136">
        <v>2530</v>
      </c>
      <c r="HZ11" s="136">
        <v>2530</v>
      </c>
      <c r="IA11" s="136">
        <v>2530</v>
      </c>
      <c r="IB11" s="136">
        <v>2530</v>
      </c>
      <c r="IC11" s="136">
        <v>2530</v>
      </c>
      <c r="ID11" s="136"/>
      <c r="IE11" s="136">
        <v>2530</v>
      </c>
      <c r="IF11" s="136">
        <v>2530</v>
      </c>
      <c r="IG11" s="136">
        <v>2530</v>
      </c>
      <c r="IH11" s="136">
        <v>2530</v>
      </c>
      <c r="II11" s="136">
        <v>2530</v>
      </c>
      <c r="IJ11" s="136">
        <v>2530</v>
      </c>
      <c r="IK11" s="136"/>
      <c r="IL11" s="136">
        <v>2530</v>
      </c>
      <c r="IM11" s="136">
        <v>2530</v>
      </c>
      <c r="IN11" s="136">
        <v>2530</v>
      </c>
      <c r="IO11" s="136">
        <v>2530</v>
      </c>
      <c r="IP11" s="136">
        <v>2530</v>
      </c>
      <c r="IQ11" s="136">
        <v>2530</v>
      </c>
      <c r="IR11" s="136">
        <v>2530</v>
      </c>
      <c r="IS11" s="136">
        <v>2530</v>
      </c>
      <c r="IT11" s="9"/>
      <c r="IU11" s="129">
        <v>2530</v>
      </c>
      <c r="IV11" s="129">
        <v>2530</v>
      </c>
      <c r="IW11" s="129">
        <v>2530</v>
      </c>
      <c r="IX11" s="129">
        <v>2530</v>
      </c>
      <c r="IY11" s="129">
        <v>2530</v>
      </c>
      <c r="IZ11" s="129"/>
      <c r="JA11" s="129">
        <v>2530</v>
      </c>
      <c r="JB11" s="129">
        <v>2530</v>
      </c>
      <c r="JC11" s="129">
        <v>2530</v>
      </c>
      <c r="JD11" s="129">
        <v>2530</v>
      </c>
      <c r="JE11" s="129">
        <v>2530</v>
      </c>
      <c r="JF11" s="129">
        <v>2530</v>
      </c>
      <c r="JG11" s="129"/>
      <c r="JH11" s="129">
        <v>2530</v>
      </c>
      <c r="JI11" s="129">
        <v>2530</v>
      </c>
      <c r="JJ11" s="129">
        <v>2530</v>
      </c>
      <c r="JK11" s="129">
        <v>2530</v>
      </c>
      <c r="JL11" s="129">
        <v>2530</v>
      </c>
      <c r="JM11" s="129">
        <v>2530</v>
      </c>
      <c r="JN11" s="129"/>
      <c r="JO11" s="129">
        <v>2530</v>
      </c>
      <c r="JP11" s="129">
        <v>2530</v>
      </c>
      <c r="JQ11" s="129">
        <v>2530</v>
      </c>
      <c r="JR11" s="129">
        <v>2530</v>
      </c>
      <c r="JS11" s="129">
        <v>2530</v>
      </c>
      <c r="JT11" s="129"/>
      <c r="JU11" s="129"/>
      <c r="JV11" s="194">
        <v>2530</v>
      </c>
      <c r="JW11" s="129">
        <v>275</v>
      </c>
      <c r="JX11" s="129">
        <v>495</v>
      </c>
      <c r="JY11" s="129">
        <v>660</v>
      </c>
      <c r="JZ11" s="9"/>
      <c r="KA11" s="129">
        <v>770</v>
      </c>
      <c r="KB11" s="129">
        <v>880</v>
      </c>
      <c r="KC11" s="129">
        <v>1100</v>
      </c>
      <c r="KD11" s="129">
        <v>1100</v>
      </c>
      <c r="KE11" s="129">
        <v>1100</v>
      </c>
      <c r="KF11" s="129">
        <v>1100</v>
      </c>
      <c r="KG11" s="129">
        <v>1100</v>
      </c>
      <c r="KH11" s="129"/>
      <c r="KI11" s="129">
        <v>1100</v>
      </c>
      <c r="KJ11" s="129">
        <v>1100</v>
      </c>
      <c r="KK11" s="129">
        <v>1100</v>
      </c>
      <c r="KL11" s="129">
        <v>1100</v>
      </c>
      <c r="KM11" s="129">
        <v>1100</v>
      </c>
      <c r="KN11" s="129">
        <v>1100</v>
      </c>
      <c r="KO11" s="129">
        <v>1100</v>
      </c>
      <c r="KP11" s="129">
        <v>1100</v>
      </c>
      <c r="KQ11" s="129">
        <v>1100</v>
      </c>
      <c r="KR11" s="194">
        <v>370</v>
      </c>
      <c r="KS11" s="129">
        <v>250</v>
      </c>
      <c r="KT11" s="129">
        <v>500</v>
      </c>
      <c r="KU11" s="129">
        <v>750</v>
      </c>
      <c r="KV11" s="129">
        <v>1000</v>
      </c>
      <c r="KW11" s="129">
        <v>1100</v>
      </c>
      <c r="KX11" s="129"/>
      <c r="KY11" s="129">
        <v>900</v>
      </c>
      <c r="KZ11" s="129">
        <v>900</v>
      </c>
      <c r="LA11" s="129">
        <v>900</v>
      </c>
      <c r="LB11" s="129">
        <v>900</v>
      </c>
      <c r="LC11" s="129">
        <v>900</v>
      </c>
      <c r="LD11" s="129">
        <v>900</v>
      </c>
      <c r="LE11" s="9"/>
      <c r="LF11" s="129"/>
      <c r="LG11" s="129">
        <v>900</v>
      </c>
      <c r="LH11" s="129">
        <v>900</v>
      </c>
      <c r="LI11" s="129">
        <v>900</v>
      </c>
      <c r="LJ11" s="129">
        <v>900</v>
      </c>
      <c r="LK11" s="129">
        <v>900</v>
      </c>
      <c r="LL11" s="129">
        <v>900</v>
      </c>
      <c r="LM11" s="129">
        <v>900</v>
      </c>
      <c r="LN11" s="129">
        <v>900</v>
      </c>
      <c r="LO11" s="129">
        <v>900</v>
      </c>
      <c r="LP11" s="129">
        <v>900</v>
      </c>
      <c r="LQ11" s="194">
        <v>850</v>
      </c>
      <c r="LR11" s="129">
        <v>550</v>
      </c>
      <c r="LS11" s="129">
        <v>1100</v>
      </c>
      <c r="LT11" s="129"/>
      <c r="LU11" s="129">
        <v>1650</v>
      </c>
      <c r="LV11" s="129">
        <v>2205</v>
      </c>
      <c r="LW11" s="129">
        <v>2205</v>
      </c>
      <c r="LX11" s="129">
        <v>2205</v>
      </c>
      <c r="LY11" s="129">
        <v>2205</v>
      </c>
      <c r="LZ11" s="756"/>
      <c r="MA11" s="757"/>
      <c r="MB11" s="757"/>
      <c r="MC11" s="757"/>
      <c r="MD11" s="757"/>
      <c r="ME11" s="757"/>
      <c r="MF11" s="757"/>
      <c r="MG11" s="757"/>
      <c r="MH11" s="757"/>
      <c r="MI11" s="758"/>
      <c r="MJ11" s="129">
        <v>2205</v>
      </c>
      <c r="MK11" s="9"/>
      <c r="ML11" s="336">
        <v>2450</v>
      </c>
      <c r="MM11" s="336">
        <v>2450</v>
      </c>
      <c r="MN11" s="336">
        <v>2450</v>
      </c>
      <c r="MO11" s="336">
        <v>2450</v>
      </c>
      <c r="MP11" s="336"/>
      <c r="MQ11" s="336">
        <v>2450</v>
      </c>
      <c r="MR11" s="336">
        <v>2450</v>
      </c>
      <c r="MS11" s="336">
        <v>2450</v>
      </c>
      <c r="MT11" s="336">
        <v>2450</v>
      </c>
      <c r="MU11" s="336">
        <v>2450</v>
      </c>
      <c r="MV11" s="336">
        <v>2450</v>
      </c>
      <c r="MW11" s="336"/>
      <c r="MX11" s="336">
        <v>2450</v>
      </c>
      <c r="MY11" s="336">
        <v>2450</v>
      </c>
      <c r="MZ11" s="336">
        <v>2450</v>
      </c>
      <c r="NA11" s="336">
        <v>2450</v>
      </c>
      <c r="NB11" s="336">
        <v>2450</v>
      </c>
      <c r="NC11" s="340">
        <v>2450</v>
      </c>
      <c r="ND11" s="336"/>
      <c r="NE11" s="336">
        <v>2250</v>
      </c>
      <c r="NF11" s="336">
        <v>2250</v>
      </c>
      <c r="NG11" s="336">
        <v>2250</v>
      </c>
      <c r="NH11" s="336">
        <v>2250</v>
      </c>
      <c r="NI11" s="336">
        <v>2250</v>
      </c>
      <c r="NJ11" s="336">
        <v>2250</v>
      </c>
      <c r="NK11" s="336">
        <v>2250</v>
      </c>
      <c r="NL11" s="336">
        <v>2250</v>
      </c>
      <c r="NM11" s="336">
        <v>2250</v>
      </c>
      <c r="NN11" s="336">
        <v>2250</v>
      </c>
      <c r="NO11" s="336">
        <v>2250</v>
      </c>
      <c r="NP11" s="9"/>
      <c r="NQ11" s="346"/>
      <c r="NR11" s="346"/>
      <c r="NS11" s="346"/>
      <c r="NT11" s="346"/>
      <c r="NU11" s="346"/>
      <c r="NV11" s="346"/>
      <c r="NW11" s="346"/>
      <c r="NX11" s="346"/>
      <c r="NY11" s="346"/>
      <c r="NZ11" s="346"/>
      <c r="OA11" s="346"/>
      <c r="OB11" s="346"/>
      <c r="OC11" s="346"/>
      <c r="OD11" s="346"/>
      <c r="OE11" s="346"/>
      <c r="OF11" s="346"/>
      <c r="OG11" s="346"/>
      <c r="OH11" s="346"/>
      <c r="OI11" s="346"/>
      <c r="OJ11" s="346"/>
      <c r="OK11" s="346"/>
      <c r="OL11" s="346"/>
      <c r="OM11" s="346"/>
      <c r="ON11" s="346"/>
      <c r="OO11" s="346"/>
      <c r="OP11" s="346"/>
      <c r="OQ11" s="346"/>
      <c r="OR11" s="346"/>
      <c r="OS11" s="762"/>
      <c r="OT11" s="763"/>
      <c r="OU11" s="764"/>
      <c r="OV11" s="9"/>
      <c r="OW11" s="770"/>
      <c r="OX11" s="763"/>
      <c r="OY11" s="763"/>
      <c r="OZ11" s="763"/>
      <c r="PA11" s="763"/>
      <c r="PB11" s="763"/>
      <c r="PC11" s="771"/>
      <c r="PD11" s="353"/>
      <c r="PE11" s="353"/>
      <c r="PF11" s="353"/>
      <c r="PG11" s="353"/>
      <c r="PH11" s="353"/>
      <c r="PI11" s="353"/>
      <c r="PJ11" s="353"/>
      <c r="PK11" s="353"/>
      <c r="PL11" s="353"/>
      <c r="PM11" s="353"/>
      <c r="PN11" s="353"/>
      <c r="PO11" s="353"/>
      <c r="PP11" s="353"/>
      <c r="PQ11" s="353"/>
      <c r="PR11" s="353"/>
      <c r="PS11" s="353"/>
      <c r="PT11" s="353"/>
      <c r="PU11" s="353"/>
      <c r="PV11" s="353"/>
      <c r="PW11" s="353"/>
      <c r="PX11" s="353"/>
      <c r="PY11" s="353"/>
      <c r="PZ11" s="353"/>
      <c r="QA11" s="353"/>
      <c r="QB11" s="9"/>
      <c r="QC11" s="359"/>
      <c r="QD11" s="359"/>
      <c r="QE11" s="359"/>
      <c r="QF11" s="359"/>
      <c r="QG11" s="359"/>
      <c r="QH11" s="359"/>
      <c r="QI11" s="359"/>
      <c r="QJ11" s="359"/>
      <c r="QK11" s="359"/>
      <c r="QL11" s="359"/>
      <c r="QM11" s="359"/>
      <c r="QN11" s="359"/>
      <c r="QO11" s="359"/>
      <c r="QP11" s="359"/>
      <c r="QQ11" s="359"/>
      <c r="QR11" s="359"/>
      <c r="QS11" s="359"/>
      <c r="QT11" s="359"/>
      <c r="QU11" s="359"/>
      <c r="QV11" s="359"/>
      <c r="QW11" s="359"/>
      <c r="QX11" s="359"/>
      <c r="QY11" s="359"/>
      <c r="QZ11" s="359"/>
      <c r="RA11" s="359"/>
      <c r="RB11" s="359"/>
      <c r="RC11" s="359"/>
      <c r="RD11" s="359"/>
      <c r="RE11" s="359"/>
      <c r="RF11" s="359"/>
      <c r="RG11" s="9"/>
      <c r="RH11" s="439"/>
      <c r="RI11" s="439"/>
      <c r="RJ11" s="439"/>
      <c r="RK11" s="439"/>
      <c r="RL11" s="439"/>
      <c r="RM11" s="439"/>
      <c r="RN11" s="439"/>
      <c r="RO11" s="439"/>
      <c r="RP11" s="439"/>
      <c r="RQ11" s="439"/>
      <c r="RR11" s="439"/>
      <c r="RS11" s="439"/>
      <c r="RT11" s="439"/>
      <c r="RU11" s="439"/>
      <c r="RV11" s="439"/>
      <c r="RW11" s="439"/>
      <c r="RX11" s="439"/>
      <c r="RY11" s="439"/>
      <c r="RZ11" s="439"/>
      <c r="SA11" s="439"/>
      <c r="SB11" s="439"/>
      <c r="SC11" s="439"/>
      <c r="SD11" s="439"/>
      <c r="SE11" s="439"/>
      <c r="SF11" s="439"/>
      <c r="SG11" s="439"/>
      <c r="SH11" s="439"/>
      <c r="SI11" s="439"/>
      <c r="SJ11" s="439"/>
      <c r="SK11" s="439"/>
      <c r="SL11" s="439"/>
      <c r="SM11" s="9"/>
      <c r="SN11" s="439"/>
      <c r="SO11" s="439"/>
      <c r="SP11" s="439"/>
      <c r="SQ11" s="439"/>
      <c r="SR11" s="439"/>
      <c r="SS11" s="439"/>
      <c r="ST11" s="439"/>
      <c r="SU11" s="439"/>
      <c r="SV11" s="439"/>
      <c r="SW11" s="439"/>
      <c r="SX11" s="439"/>
      <c r="SY11" s="451"/>
      <c r="SZ11" s="439"/>
      <c r="TA11" s="439"/>
      <c r="TB11" s="439"/>
      <c r="TC11" s="439"/>
      <c r="TD11" s="439"/>
      <c r="TE11" s="439"/>
      <c r="TF11" s="439"/>
      <c r="TG11" s="439"/>
      <c r="TH11" s="439"/>
      <c r="TI11" s="439"/>
      <c r="TJ11" s="439"/>
      <c r="TK11" s="439"/>
      <c r="TL11" s="439"/>
      <c r="TM11" s="439"/>
      <c r="TN11" s="439"/>
      <c r="TO11" s="439"/>
      <c r="TP11" s="439"/>
      <c r="TQ11" s="439"/>
      <c r="TR11" s="9"/>
      <c r="TS11" s="439"/>
      <c r="TT11" s="439"/>
      <c r="TU11" s="439"/>
      <c r="TV11" s="439"/>
      <c r="TW11" s="439"/>
      <c r="TX11" s="439"/>
      <c r="TY11" s="439"/>
      <c r="TZ11" s="439"/>
      <c r="UA11" s="439"/>
      <c r="UB11" s="439"/>
      <c r="UC11" s="439"/>
      <c r="UD11" s="439"/>
      <c r="UE11" s="439"/>
      <c r="UF11" s="439"/>
      <c r="UG11" s="439"/>
      <c r="UH11" s="439"/>
      <c r="UI11" s="447"/>
      <c r="UJ11" s="447"/>
      <c r="UK11" s="447"/>
      <c r="UL11" s="447"/>
      <c r="UM11" s="447"/>
      <c r="UN11" s="447"/>
      <c r="UO11" s="447"/>
      <c r="UP11" s="447"/>
      <c r="UQ11" s="447"/>
      <c r="UR11" s="447"/>
      <c r="US11" s="447"/>
      <c r="UT11" s="447"/>
      <c r="UU11" s="447"/>
      <c r="UV11" s="447"/>
      <c r="UW11" s="447"/>
      <c r="UX11" s="9"/>
      <c r="UY11" s="447"/>
      <c r="UZ11" s="447"/>
      <c r="VA11" s="447"/>
      <c r="VB11" s="447"/>
      <c r="VC11" s="447"/>
      <c r="VD11" s="447"/>
      <c r="VE11" s="447"/>
      <c r="VF11" s="447"/>
      <c r="VG11" s="447"/>
      <c r="VH11" s="447"/>
      <c r="VI11" s="447"/>
      <c r="VJ11" s="447"/>
      <c r="VK11" s="447"/>
      <c r="VL11" s="447"/>
      <c r="VM11" s="447"/>
      <c r="VN11" s="447"/>
      <c r="VO11" s="447"/>
      <c r="VP11" s="447"/>
      <c r="VQ11" s="447"/>
      <c r="VR11" s="447"/>
      <c r="VS11" s="447"/>
      <c r="VT11" s="447"/>
      <c r="WD11" s="9"/>
      <c r="XG11" s="9"/>
      <c r="YM11" s="9"/>
      <c r="ZR11" s="9"/>
      <c r="AAX11" s="9"/>
      <c r="ACC11" s="9"/>
      <c r="ACV11" s="704"/>
      <c r="ACW11" s="705"/>
      <c r="ACX11" s="705"/>
      <c r="ACY11" s="705"/>
      <c r="ACZ11" s="705"/>
      <c r="ADA11" s="705"/>
      <c r="ADB11" s="705"/>
      <c r="ADC11" s="705"/>
      <c r="ADD11" s="706"/>
      <c r="ADI11" s="9"/>
      <c r="ADJ11" s="314">
        <v>8</v>
      </c>
      <c r="ADK11" s="314">
        <v>11</v>
      </c>
      <c r="ADL11" s="314">
        <v>11</v>
      </c>
      <c r="ADM11" s="314">
        <v>11</v>
      </c>
      <c r="ADN11" s="314">
        <v>8</v>
      </c>
      <c r="ADO11" s="314"/>
      <c r="ADP11" s="314">
        <v>11</v>
      </c>
      <c r="ADQ11" s="314">
        <v>11</v>
      </c>
      <c r="ADR11" s="314">
        <v>11</v>
      </c>
      <c r="ADS11" s="314">
        <v>11</v>
      </c>
      <c r="ADT11" s="314">
        <v>11</v>
      </c>
      <c r="ADU11" s="314">
        <v>11</v>
      </c>
      <c r="ADV11" s="314"/>
      <c r="ADW11" s="314">
        <v>11</v>
      </c>
      <c r="ADX11" s="314"/>
      <c r="ADY11" s="314">
        <v>11</v>
      </c>
      <c r="ADZ11" s="314">
        <v>11</v>
      </c>
      <c r="AEA11" s="314">
        <v>11</v>
      </c>
      <c r="AEB11" s="314">
        <v>8</v>
      </c>
      <c r="AEC11" s="314"/>
      <c r="AED11" s="314">
        <v>11</v>
      </c>
      <c r="AEE11" s="314">
        <v>11</v>
      </c>
      <c r="AEF11" s="314">
        <v>11</v>
      </c>
      <c r="AEG11" s="314">
        <v>11</v>
      </c>
      <c r="AEH11" s="314">
        <v>11</v>
      </c>
      <c r="AEI11" s="314">
        <v>11</v>
      </c>
      <c r="AEJ11" s="314"/>
      <c r="AEK11" s="314">
        <v>11</v>
      </c>
      <c r="AEL11" s="314">
        <v>11</v>
      </c>
      <c r="AEM11" s="314">
        <v>11</v>
      </c>
      <c r="AEN11" s="314">
        <v>11</v>
      </c>
      <c r="AEO11" s="9"/>
      <c r="AEP11" s="314">
        <v>11</v>
      </c>
      <c r="AEQ11" s="314">
        <v>11</v>
      </c>
      <c r="AER11" s="314"/>
      <c r="AES11" s="314">
        <v>11</v>
      </c>
      <c r="AET11" s="314">
        <v>11</v>
      </c>
      <c r="AEU11" s="314">
        <v>11</v>
      </c>
      <c r="AEV11" s="314">
        <v>11</v>
      </c>
      <c r="AEW11" s="314">
        <v>11</v>
      </c>
      <c r="AEX11" s="314">
        <v>11</v>
      </c>
      <c r="AEY11" s="314"/>
      <c r="AEZ11" s="314">
        <v>11</v>
      </c>
      <c r="AFA11" s="314">
        <v>2400</v>
      </c>
      <c r="AFB11" s="314">
        <v>2600</v>
      </c>
      <c r="AFC11" s="314">
        <v>2600</v>
      </c>
      <c r="AFD11" s="314">
        <v>2600</v>
      </c>
      <c r="AFE11" s="314">
        <v>2600</v>
      </c>
      <c r="AFF11" s="314"/>
      <c r="AFG11" s="314">
        <v>2600</v>
      </c>
      <c r="AFH11" s="314">
        <v>2600</v>
      </c>
      <c r="AFI11" s="124">
        <v>2600</v>
      </c>
      <c r="AFJ11" s="124">
        <v>2600</v>
      </c>
      <c r="AFK11" s="124">
        <v>2600</v>
      </c>
      <c r="AFL11" s="124">
        <v>2600</v>
      </c>
      <c r="AFM11" s="124"/>
      <c r="AFN11" s="124">
        <v>2600</v>
      </c>
      <c r="AFO11" s="124">
        <v>2600</v>
      </c>
      <c r="AFP11" s="636">
        <v>1800</v>
      </c>
      <c r="AFQ11" s="314">
        <v>2250</v>
      </c>
      <c r="AFR11" s="314">
        <v>2250</v>
      </c>
      <c r="AFS11" s="314">
        <v>2250</v>
      </c>
      <c r="AFT11" s="48"/>
      <c r="AFV11" s="314">
        <v>2250</v>
      </c>
      <c r="AFW11" s="314">
        <v>2250</v>
      </c>
      <c r="AFX11" s="314">
        <v>2250</v>
      </c>
      <c r="AFY11" s="314">
        <v>2250</v>
      </c>
      <c r="AFZ11" s="314">
        <v>2250</v>
      </c>
      <c r="AGA11" s="314">
        <v>2250</v>
      </c>
      <c r="AGB11" s="314"/>
      <c r="AGC11" s="314">
        <v>2250</v>
      </c>
      <c r="AGD11" s="314">
        <v>2250</v>
      </c>
      <c r="AGE11" s="314">
        <v>2250</v>
      </c>
      <c r="AGF11" s="314">
        <v>2250</v>
      </c>
      <c r="AGG11" s="314">
        <v>2250</v>
      </c>
      <c r="AGH11" s="314">
        <v>2250</v>
      </c>
      <c r="AGI11" s="314"/>
      <c r="AGJ11" s="314">
        <v>2250</v>
      </c>
      <c r="AGK11" s="314">
        <v>2250</v>
      </c>
      <c r="AGL11" s="314">
        <v>2250</v>
      </c>
      <c r="AGM11" s="314">
        <v>2250</v>
      </c>
      <c r="AGN11" s="314">
        <v>2250</v>
      </c>
      <c r="AGO11" s="314">
        <v>2250</v>
      </c>
      <c r="AGP11" s="314"/>
      <c r="AGQ11" s="314">
        <v>2250</v>
      </c>
      <c r="AGR11" s="314">
        <v>2250</v>
      </c>
      <c r="AGS11" s="314">
        <v>2250</v>
      </c>
      <c r="AGT11" s="314">
        <v>2250</v>
      </c>
      <c r="AGU11" s="314">
        <v>2250</v>
      </c>
      <c r="AGV11" s="314">
        <v>2250</v>
      </c>
      <c r="AGW11" s="314"/>
      <c r="AGX11" s="314">
        <v>2250</v>
      </c>
      <c r="AGY11" s="314">
        <v>2250</v>
      </c>
      <c r="AGZ11" s="9"/>
      <c r="AHA11" s="314">
        <v>2500</v>
      </c>
      <c r="AHB11" s="314">
        <v>2500</v>
      </c>
      <c r="AHC11" s="314">
        <v>2500</v>
      </c>
      <c r="AHD11" s="314">
        <v>2500</v>
      </c>
      <c r="AHE11" s="314"/>
      <c r="AHF11" s="314">
        <v>2500</v>
      </c>
      <c r="AHG11" s="314">
        <v>2500</v>
      </c>
      <c r="AHH11" s="314">
        <v>2500</v>
      </c>
      <c r="AHI11" s="314">
        <v>2500</v>
      </c>
      <c r="AHJ11" s="314">
        <v>2500</v>
      </c>
      <c r="AHK11" s="314">
        <v>2500</v>
      </c>
      <c r="AHL11" s="314"/>
      <c r="AHM11" s="314">
        <v>2500</v>
      </c>
      <c r="AHN11" s="314">
        <v>2500</v>
      </c>
      <c r="AHO11" s="314">
        <v>2500</v>
      </c>
      <c r="AHP11" s="314">
        <v>2500</v>
      </c>
      <c r="AHQ11" s="314">
        <v>2500</v>
      </c>
      <c r="AHR11" s="314">
        <v>2500</v>
      </c>
      <c r="AHS11" s="314"/>
      <c r="AHT11" s="314">
        <v>2500</v>
      </c>
      <c r="AHU11" s="314">
        <v>2500</v>
      </c>
      <c r="AHV11" s="314">
        <v>2500</v>
      </c>
      <c r="AHW11" s="314">
        <v>2500</v>
      </c>
      <c r="AHX11" s="314">
        <v>2500</v>
      </c>
      <c r="AHY11" s="314">
        <v>2500</v>
      </c>
      <c r="AHZ11" s="314"/>
      <c r="AIA11" s="314">
        <v>2500</v>
      </c>
      <c r="AIB11" s="314">
        <v>2500</v>
      </c>
      <c r="AIC11" s="314">
        <v>2500</v>
      </c>
      <c r="AID11" s="314">
        <v>2500</v>
      </c>
      <c r="AIE11" s="9"/>
      <c r="AIF11" s="314">
        <v>2500</v>
      </c>
      <c r="AIG11" s="314">
        <v>2500</v>
      </c>
      <c r="AIH11" s="314"/>
      <c r="AII11" s="314">
        <v>2500</v>
      </c>
      <c r="AIJ11" s="124">
        <v>2500</v>
      </c>
      <c r="AIK11" s="314">
        <v>300</v>
      </c>
      <c r="AIL11" s="314">
        <v>600</v>
      </c>
      <c r="AIM11" s="314">
        <v>900</v>
      </c>
      <c r="AIN11" s="314">
        <v>1300</v>
      </c>
      <c r="AIP11" s="314">
        <v>1430</v>
      </c>
      <c r="AIQ11" s="314">
        <v>1430</v>
      </c>
      <c r="AIR11" s="314">
        <v>1430</v>
      </c>
      <c r="AIS11" s="314">
        <v>1430</v>
      </c>
      <c r="AIT11" s="314">
        <v>1430</v>
      </c>
      <c r="AIU11" s="314"/>
      <c r="AIV11" s="314"/>
      <c r="AIW11" s="314">
        <v>1430</v>
      </c>
      <c r="AIX11" s="314">
        <v>1430</v>
      </c>
      <c r="AIY11" s="314">
        <v>1430</v>
      </c>
      <c r="AIZ11" s="314">
        <v>1430</v>
      </c>
      <c r="AJA11" s="314">
        <v>1430</v>
      </c>
      <c r="AJB11" s="314">
        <v>1430</v>
      </c>
      <c r="AJC11" s="314"/>
      <c r="AJD11" s="314">
        <v>1430</v>
      </c>
      <c r="AJE11" s="314">
        <v>1430</v>
      </c>
      <c r="AJF11" s="213">
        <v>1430</v>
      </c>
      <c r="AJG11" s="698">
        <v>1430</v>
      </c>
      <c r="AJH11" s="213">
        <v>1000</v>
      </c>
      <c r="AJI11" s="213">
        <v>1500</v>
      </c>
      <c r="AJJ11" s="213"/>
      <c r="AJK11" s="9"/>
      <c r="AJL11" s="314">
        <v>2250</v>
      </c>
      <c r="AJM11" s="314">
        <v>2250</v>
      </c>
      <c r="AJN11" s="314">
        <v>2250</v>
      </c>
      <c r="AJO11" s="314">
        <v>2250</v>
      </c>
      <c r="AJP11" s="314">
        <v>2250</v>
      </c>
      <c r="AJQ11" s="314">
        <v>2250</v>
      </c>
      <c r="AJR11" s="314"/>
      <c r="AJS11" s="314">
        <v>2250</v>
      </c>
      <c r="AJT11" s="314">
        <v>2250</v>
      </c>
      <c r="AJU11" s="314">
        <v>2250</v>
      </c>
      <c r="AJV11" s="314">
        <v>2250</v>
      </c>
      <c r="AJW11" s="314">
        <v>2250</v>
      </c>
      <c r="AJX11" s="314">
        <v>2250</v>
      </c>
      <c r="AJY11" s="314"/>
      <c r="AJZ11" s="314">
        <v>2250</v>
      </c>
      <c r="AKA11" s="314">
        <v>2250</v>
      </c>
      <c r="AKB11" s="314">
        <v>2250</v>
      </c>
      <c r="AKC11" s="314">
        <v>2250</v>
      </c>
      <c r="AKD11" s="314">
        <v>2250</v>
      </c>
      <c r="AKE11" s="314">
        <v>2250</v>
      </c>
      <c r="AKF11" s="314"/>
      <c r="AKG11" s="314">
        <v>2250</v>
      </c>
      <c r="AKH11" s="314">
        <v>2250</v>
      </c>
      <c r="AKI11" s="314">
        <v>2250</v>
      </c>
      <c r="AKJ11" s="314">
        <v>2250</v>
      </c>
      <c r="AKK11" s="314">
        <v>2250</v>
      </c>
      <c r="AKL11" s="314">
        <v>2250</v>
      </c>
      <c r="AKM11" s="314"/>
      <c r="AKN11" s="314">
        <v>2250</v>
      </c>
      <c r="AKO11" s="314">
        <v>2250</v>
      </c>
      <c r="AKP11" s="314">
        <v>2250</v>
      </c>
      <c r="AKQ11" s="9"/>
      <c r="AKR11" s="314">
        <v>2250</v>
      </c>
      <c r="AKS11" s="314">
        <v>2250</v>
      </c>
      <c r="AKT11" s="314">
        <v>2250</v>
      </c>
      <c r="AKU11" s="314"/>
      <c r="AKV11" s="314">
        <v>2250</v>
      </c>
      <c r="AKW11" s="314">
        <v>2250</v>
      </c>
      <c r="AKX11" s="314">
        <v>2250</v>
      </c>
      <c r="AKY11" s="314">
        <v>2250</v>
      </c>
      <c r="AKZ11" s="314">
        <v>2250</v>
      </c>
      <c r="ALA11" s="314">
        <v>2250</v>
      </c>
      <c r="ALB11" s="314"/>
      <c r="ALC11" s="124">
        <v>2250</v>
      </c>
      <c r="ALD11" s="314">
        <v>2450</v>
      </c>
      <c r="ALE11" s="314">
        <v>2450</v>
      </c>
      <c r="ALF11" s="314">
        <v>2450</v>
      </c>
      <c r="ALG11" s="314">
        <v>2450</v>
      </c>
      <c r="ALH11" s="314">
        <v>2450</v>
      </c>
      <c r="ALI11" s="314"/>
      <c r="ALJ11" s="314">
        <v>2450</v>
      </c>
      <c r="ALK11" s="314">
        <v>2450</v>
      </c>
      <c r="ALL11" s="314"/>
      <c r="ALM11" s="314">
        <v>2450</v>
      </c>
      <c r="ALN11" s="314">
        <v>2450</v>
      </c>
      <c r="ALO11" s="314">
        <v>2450</v>
      </c>
      <c r="ALP11" s="314"/>
      <c r="ALQ11" s="314">
        <v>2450</v>
      </c>
      <c r="ALR11" s="314">
        <v>2450</v>
      </c>
      <c r="ALS11" s="314">
        <v>2450</v>
      </c>
      <c r="ALT11" s="9"/>
      <c r="ALU11" s="314">
        <v>2450</v>
      </c>
      <c r="ALV11" s="314">
        <v>2450</v>
      </c>
      <c r="ALW11" s="314">
        <v>2450</v>
      </c>
      <c r="ALX11" s="314"/>
      <c r="ALY11" s="314">
        <v>2450</v>
      </c>
      <c r="ALZ11" s="314">
        <v>2450</v>
      </c>
      <c r="AMA11" s="314">
        <v>2450</v>
      </c>
      <c r="AMB11" s="314">
        <v>2450</v>
      </c>
      <c r="AMC11" s="314">
        <v>2450</v>
      </c>
      <c r="AMD11" s="314">
        <v>2450</v>
      </c>
      <c r="AME11" s="314"/>
      <c r="AMF11" s="314">
        <v>2450</v>
      </c>
      <c r="AMG11" s="314">
        <v>2450</v>
      </c>
      <c r="AMH11" s="124">
        <v>2450</v>
      </c>
      <c r="AMI11" s="314">
        <v>2450</v>
      </c>
      <c r="AMJ11" s="314">
        <v>2450</v>
      </c>
      <c r="AMK11" s="314">
        <v>2450</v>
      </c>
      <c r="AML11" s="314"/>
      <c r="AMM11" s="314">
        <v>2450</v>
      </c>
      <c r="AMN11" s="314">
        <v>2450</v>
      </c>
      <c r="AMO11" s="314">
        <v>2450</v>
      </c>
      <c r="AMP11" s="314">
        <v>2450</v>
      </c>
      <c r="AMQ11" s="314">
        <v>2450</v>
      </c>
      <c r="AMR11" s="314">
        <v>2450</v>
      </c>
      <c r="AMS11" s="314"/>
      <c r="AMT11" s="314"/>
      <c r="AMU11" s="314">
        <v>2450</v>
      </c>
      <c r="AMV11" s="314">
        <v>2450</v>
      </c>
      <c r="AMW11" s="314">
        <v>2450</v>
      </c>
      <c r="AMX11" s="314">
        <v>2450</v>
      </c>
      <c r="AMY11" s="314">
        <v>2450</v>
      </c>
      <c r="AMZ11" s="9"/>
      <c r="ANB11" s="314">
        <v>1960</v>
      </c>
      <c r="ANC11" s="314">
        <v>1960</v>
      </c>
      <c r="AND11" s="314">
        <v>1960</v>
      </c>
      <c r="ANE11" s="314">
        <v>1960</v>
      </c>
      <c r="ANF11" s="314">
        <v>1960</v>
      </c>
      <c r="ANG11" s="314">
        <v>1960</v>
      </c>
      <c r="ANH11" s="314">
        <v>1960</v>
      </c>
      <c r="ANI11" s="314">
        <v>1960</v>
      </c>
      <c r="ANJ11" s="314">
        <v>1960</v>
      </c>
      <c r="ANK11" s="314">
        <v>1960</v>
      </c>
      <c r="ANL11" s="314">
        <v>1960</v>
      </c>
      <c r="ANM11" s="314">
        <v>1960</v>
      </c>
      <c r="ANN11" s="314"/>
      <c r="ANO11" s="314"/>
      <c r="ANP11" s="124">
        <v>1960</v>
      </c>
      <c r="ANQ11" s="314">
        <v>1960</v>
      </c>
      <c r="ANR11" s="314">
        <v>1960</v>
      </c>
      <c r="ANS11" s="314">
        <v>1960</v>
      </c>
      <c r="ANT11" s="314">
        <v>1960</v>
      </c>
      <c r="ANU11" s="314">
        <v>1960</v>
      </c>
      <c r="ANV11" s="314">
        <v>1960</v>
      </c>
      <c r="ANW11" s="314">
        <v>1960</v>
      </c>
      <c r="ANX11" s="314">
        <v>1960</v>
      </c>
      <c r="ANY11" s="314">
        <v>1960</v>
      </c>
      <c r="ANZ11" s="213">
        <v>1960</v>
      </c>
      <c r="AOA11" s="213">
        <v>1960</v>
      </c>
      <c r="AOB11" s="213">
        <v>1960</v>
      </c>
      <c r="AOC11" s="314"/>
      <c r="AOD11" s="314">
        <v>1960</v>
      </c>
      <c r="AOE11" s="9"/>
      <c r="AOF11" s="128"/>
      <c r="AOG11" s="128"/>
      <c r="AOH11" s="128"/>
      <c r="AOI11" s="128"/>
      <c r="AOJ11" s="128"/>
      <c r="AOK11" s="128"/>
      <c r="AOL11" s="128"/>
      <c r="AOM11" s="128"/>
      <c r="AON11" s="128"/>
      <c r="AOO11" s="314">
        <v>2450</v>
      </c>
      <c r="AOP11" s="314">
        <v>2450</v>
      </c>
      <c r="AOQ11" s="314">
        <v>2450</v>
      </c>
      <c r="AOR11" s="314"/>
      <c r="AOS11" s="213">
        <v>2450</v>
      </c>
      <c r="AOT11" s="213">
        <v>2450</v>
      </c>
      <c r="AOU11" s="213">
        <v>2450</v>
      </c>
      <c r="AOV11" s="213">
        <v>2450</v>
      </c>
      <c r="AOW11" s="213">
        <v>2450</v>
      </c>
      <c r="AOX11" s="213">
        <v>2450</v>
      </c>
      <c r="AOY11" s="213"/>
      <c r="AOZ11" s="213">
        <v>2450</v>
      </c>
      <c r="APA11" s="213">
        <v>2450</v>
      </c>
      <c r="APB11" s="213">
        <v>2450</v>
      </c>
      <c r="APC11" s="213">
        <v>2450</v>
      </c>
      <c r="APD11" s="213">
        <v>2450</v>
      </c>
      <c r="APE11" s="213">
        <v>2450</v>
      </c>
      <c r="APF11" s="213"/>
      <c r="APG11" s="314">
        <v>2450</v>
      </c>
      <c r="APH11" s="314">
        <v>2450</v>
      </c>
      <c r="API11" s="314">
        <v>2450</v>
      </c>
      <c r="APJ11" s="314">
        <v>2450</v>
      </c>
      <c r="APK11" s="9"/>
      <c r="APL11" s="314">
        <v>2450</v>
      </c>
      <c r="APM11" s="314">
        <v>2450</v>
      </c>
      <c r="APN11" s="314">
        <v>1960</v>
      </c>
      <c r="APO11" s="314">
        <v>2450</v>
      </c>
      <c r="APP11" s="314">
        <v>2450</v>
      </c>
      <c r="APQ11" s="314">
        <v>2450</v>
      </c>
      <c r="APR11" s="314">
        <v>2450</v>
      </c>
      <c r="APS11" s="314">
        <v>2450</v>
      </c>
      <c r="APT11" s="124">
        <v>2450</v>
      </c>
      <c r="APU11" s="314"/>
      <c r="APV11" s="314">
        <v>2450</v>
      </c>
      <c r="APW11" s="314">
        <v>2450</v>
      </c>
      <c r="APX11" s="314">
        <v>2450</v>
      </c>
      <c r="APY11" s="314">
        <v>2450</v>
      </c>
      <c r="APZ11" s="314">
        <v>2450</v>
      </c>
      <c r="AQA11" s="314">
        <v>2450</v>
      </c>
      <c r="AQB11" s="314"/>
      <c r="AQC11" s="314">
        <v>2450</v>
      </c>
      <c r="AQD11" s="314">
        <v>2450</v>
      </c>
      <c r="AQE11" s="314">
        <v>2450</v>
      </c>
      <c r="AQF11" s="314">
        <v>2450</v>
      </c>
      <c r="AQG11" s="314">
        <v>2450</v>
      </c>
      <c r="AQH11" s="314">
        <v>2450</v>
      </c>
      <c r="AQI11" s="314">
        <v>1960</v>
      </c>
      <c r="AQJ11" s="314">
        <v>2450</v>
      </c>
      <c r="AQK11" s="314">
        <v>2450</v>
      </c>
      <c r="AQL11" s="314">
        <v>2450</v>
      </c>
      <c r="AQM11" s="314">
        <v>2450</v>
      </c>
      <c r="AQN11" s="314">
        <v>2450</v>
      </c>
      <c r="AQO11" s="124">
        <v>2450</v>
      </c>
      <c r="AQP11" s="9"/>
      <c r="AQR11" s="314">
        <v>2450</v>
      </c>
      <c r="AQS11" s="314">
        <v>2450</v>
      </c>
      <c r="AQT11" s="314">
        <v>2450</v>
      </c>
      <c r="AQU11" s="314">
        <v>2450</v>
      </c>
      <c r="AQV11" s="314">
        <v>2450</v>
      </c>
      <c r="AQW11" s="314">
        <v>2450</v>
      </c>
      <c r="AQX11" s="128"/>
      <c r="AQY11" s="128"/>
      <c r="AQZ11" s="128"/>
      <c r="ARA11" s="128"/>
      <c r="ARB11" s="128"/>
      <c r="ARC11" s="128"/>
      <c r="ARD11" s="128"/>
      <c r="ARE11" s="128"/>
      <c r="ARF11" s="128"/>
      <c r="ARG11" s="314">
        <v>2450</v>
      </c>
      <c r="ARH11" s="314">
        <v>2450</v>
      </c>
      <c r="ARI11" s="314">
        <v>2450</v>
      </c>
      <c r="ARJ11" s="314">
        <v>2450</v>
      </c>
      <c r="ARK11" s="314">
        <v>2450</v>
      </c>
      <c r="ARM11" s="314">
        <v>2450</v>
      </c>
      <c r="ARN11" s="314">
        <v>2450</v>
      </c>
      <c r="ARO11" s="314">
        <v>2450</v>
      </c>
      <c r="ARP11" s="314">
        <v>2450</v>
      </c>
      <c r="ARQ11" s="314">
        <v>2450</v>
      </c>
      <c r="ARR11" s="314">
        <v>2450</v>
      </c>
      <c r="ART11" s="314">
        <v>2450</v>
      </c>
      <c r="ARU11" s="314">
        <v>2450</v>
      </c>
      <c r="ARV11" s="9"/>
      <c r="ARW11" s="314">
        <v>2450</v>
      </c>
      <c r="ARX11" s="314">
        <v>2450</v>
      </c>
      <c r="ARY11" s="314">
        <v>2450</v>
      </c>
      <c r="ARZ11" s="314">
        <v>2450</v>
      </c>
      <c r="ASA11" s="314"/>
      <c r="ASB11" s="314">
        <v>2450</v>
      </c>
      <c r="ASC11" s="314">
        <v>2450</v>
      </c>
      <c r="ASD11" s="314">
        <v>2450</v>
      </c>
      <c r="ASE11" s="314">
        <v>2450</v>
      </c>
      <c r="ASF11" s="314">
        <v>2450</v>
      </c>
      <c r="ASG11" s="314">
        <v>2450</v>
      </c>
      <c r="ASH11" s="314"/>
      <c r="ASI11" s="314">
        <v>2450</v>
      </c>
      <c r="ASJ11" s="314">
        <v>2450</v>
      </c>
      <c r="ASK11" s="314"/>
      <c r="ASL11" s="314">
        <v>2450</v>
      </c>
      <c r="ASM11" s="314">
        <v>2450</v>
      </c>
      <c r="ASN11" s="314">
        <v>2450</v>
      </c>
      <c r="ASO11" s="314"/>
      <c r="ASP11" s="314">
        <v>2450</v>
      </c>
      <c r="ASQ11" s="314">
        <v>2450</v>
      </c>
      <c r="ASR11" s="314">
        <v>2450</v>
      </c>
      <c r="ASS11" s="314">
        <v>2450</v>
      </c>
      <c r="AST11" s="314">
        <v>2450</v>
      </c>
      <c r="ASU11" s="314">
        <v>2450</v>
      </c>
      <c r="ASV11" s="314"/>
      <c r="ASW11" s="314">
        <v>2450</v>
      </c>
      <c r="ASX11" s="314">
        <v>2450</v>
      </c>
      <c r="ASY11" s="314">
        <v>2450</v>
      </c>
      <c r="ASZ11" s="314">
        <v>2450</v>
      </c>
      <c r="ATA11" s="314">
        <v>2450</v>
      </c>
      <c r="ATB11" s="9"/>
      <c r="ATC11" s="314">
        <v>2450</v>
      </c>
      <c r="ATE11" s="314">
        <v>2450</v>
      </c>
      <c r="ATF11" s="314">
        <v>2450</v>
      </c>
      <c r="ATG11" s="314">
        <v>2450</v>
      </c>
      <c r="ATH11" s="124">
        <v>2000</v>
      </c>
      <c r="ATI11" s="314">
        <v>2450</v>
      </c>
      <c r="ATJ11" s="314">
        <v>2450</v>
      </c>
      <c r="ATL11" s="314">
        <v>2450</v>
      </c>
      <c r="ATM11" s="314">
        <v>2450</v>
      </c>
      <c r="ATN11" s="314">
        <v>2450</v>
      </c>
      <c r="ATO11" s="314">
        <v>2450</v>
      </c>
      <c r="ATP11" s="314">
        <v>2450</v>
      </c>
      <c r="ATQ11" s="314">
        <v>2450</v>
      </c>
      <c r="ATS11" s="314">
        <v>2450</v>
      </c>
      <c r="ATT11" s="314">
        <v>2450</v>
      </c>
      <c r="ATU11" s="314">
        <v>2450</v>
      </c>
      <c r="ATV11" s="314">
        <v>2450</v>
      </c>
      <c r="ATW11" s="314">
        <v>2450</v>
      </c>
      <c r="ATX11" s="314">
        <v>2450</v>
      </c>
      <c r="ATY11" s="314"/>
      <c r="ATZ11" s="314">
        <v>2450</v>
      </c>
      <c r="AUA11" s="314">
        <v>2450</v>
      </c>
      <c r="AUB11" s="314">
        <v>2450</v>
      </c>
      <c r="AUC11" s="314">
        <v>2450</v>
      </c>
      <c r="AUD11" s="314">
        <v>2450</v>
      </c>
      <c r="AUE11" s="314">
        <v>2450</v>
      </c>
      <c r="AUG11" s="9"/>
      <c r="AUH11" s="314">
        <v>2450</v>
      </c>
      <c r="AUI11" s="314">
        <v>2450</v>
      </c>
      <c r="AUJ11" s="314">
        <v>2450</v>
      </c>
      <c r="AUK11" s="314">
        <v>2450</v>
      </c>
      <c r="AUL11" s="314"/>
      <c r="AUM11" s="314">
        <v>2450</v>
      </c>
      <c r="AUN11" s="314"/>
      <c r="AUO11" s="314">
        <v>2450</v>
      </c>
      <c r="AUP11" s="314">
        <v>2450</v>
      </c>
      <c r="AUQ11" s="314">
        <v>2450</v>
      </c>
      <c r="AUR11" s="314">
        <v>2450</v>
      </c>
      <c r="AUS11" s="314">
        <v>2450</v>
      </c>
      <c r="AUT11" s="314">
        <v>2450</v>
      </c>
      <c r="AUU11" s="314"/>
      <c r="AUV11" s="314">
        <v>2450</v>
      </c>
      <c r="AUW11" s="314">
        <v>2450</v>
      </c>
      <c r="AUX11" s="314">
        <v>2450</v>
      </c>
      <c r="AUY11" s="314">
        <v>2450</v>
      </c>
      <c r="AUZ11" s="314">
        <v>2450</v>
      </c>
      <c r="AVA11" s="314">
        <v>2450</v>
      </c>
      <c r="AVB11" s="314"/>
      <c r="AVC11" s="314">
        <v>2450</v>
      </c>
      <c r="AVD11" s="314">
        <v>2450</v>
      </c>
      <c r="AVE11" s="314">
        <v>2450</v>
      </c>
      <c r="AVF11" s="314">
        <v>2450</v>
      </c>
      <c r="AVG11" s="314">
        <v>2450</v>
      </c>
      <c r="AVH11" s="314">
        <v>2450</v>
      </c>
      <c r="AVI11" s="314"/>
      <c r="AVJ11" s="314">
        <v>2450</v>
      </c>
      <c r="AVK11" s="314">
        <v>2450</v>
      </c>
      <c r="AVL11" s="314">
        <v>2450</v>
      </c>
      <c r="AVM11" s="9"/>
      <c r="AVN11" s="314">
        <v>2450</v>
      </c>
      <c r="AVO11" s="314">
        <v>2450</v>
      </c>
      <c r="AVP11" s="314">
        <v>2450</v>
      </c>
      <c r="AVQ11" s="364"/>
      <c r="AVR11" s="314">
        <v>2450</v>
      </c>
      <c r="AVS11" s="314">
        <v>2450</v>
      </c>
      <c r="AVT11" s="314">
        <v>2450</v>
      </c>
      <c r="AVU11" s="314">
        <v>2450</v>
      </c>
      <c r="AVV11" s="314">
        <v>2450</v>
      </c>
      <c r="AVW11" s="314">
        <v>2450</v>
      </c>
      <c r="AVX11" s="314"/>
      <c r="AVY11" s="314">
        <v>2450</v>
      </c>
      <c r="AVZ11" s="314">
        <v>2450</v>
      </c>
      <c r="AWA11" s="314">
        <v>2450</v>
      </c>
      <c r="AWB11" s="314">
        <v>2450</v>
      </c>
      <c r="AWC11" s="314">
        <v>2450</v>
      </c>
      <c r="AWD11" s="314">
        <v>2450</v>
      </c>
      <c r="AWE11" s="314"/>
      <c r="AWF11" s="314">
        <v>2450</v>
      </c>
      <c r="AWG11" s="314">
        <v>2450</v>
      </c>
      <c r="AWH11" s="314">
        <v>2450</v>
      </c>
      <c r="AWI11" s="314">
        <v>2450</v>
      </c>
      <c r="AWJ11" s="314">
        <v>2450</v>
      </c>
      <c r="AWK11" s="124">
        <v>2450</v>
      </c>
      <c r="AWL11" s="314"/>
      <c r="AWM11" s="314">
        <v>2450</v>
      </c>
      <c r="AWN11" s="314">
        <v>2450</v>
      </c>
      <c r="AWO11" s="314">
        <v>2450</v>
      </c>
      <c r="AWP11" s="314">
        <v>2450</v>
      </c>
      <c r="AWQ11" s="314">
        <v>2450</v>
      </c>
      <c r="AWR11" s="9"/>
      <c r="AWS11" s="314">
        <v>2450</v>
      </c>
      <c r="AWT11" s="364"/>
      <c r="AWU11" s="314">
        <v>2450</v>
      </c>
      <c r="AWV11" s="314">
        <v>2450</v>
      </c>
      <c r="AWW11" s="314">
        <v>2450</v>
      </c>
      <c r="AWX11" s="314">
        <v>2450</v>
      </c>
      <c r="AWY11" s="314">
        <v>2450</v>
      </c>
      <c r="AWZ11" s="314">
        <v>2450</v>
      </c>
      <c r="AXA11" s="364"/>
      <c r="AXB11" s="314">
        <v>2450</v>
      </c>
      <c r="AXC11" s="314">
        <v>2450</v>
      </c>
      <c r="AXD11" s="314">
        <v>2450</v>
      </c>
      <c r="AXE11" s="314">
        <v>2450</v>
      </c>
      <c r="AXF11" s="314">
        <v>2450</v>
      </c>
      <c r="AXG11" s="314">
        <v>2450</v>
      </c>
      <c r="AXH11" s="364"/>
      <c r="AXI11" s="314">
        <v>2450</v>
      </c>
      <c r="AXJ11" s="314">
        <v>2450</v>
      </c>
      <c r="AXK11" s="314">
        <v>2450</v>
      </c>
      <c r="AXL11" s="314">
        <v>2450</v>
      </c>
      <c r="AXM11" s="314">
        <v>2450</v>
      </c>
      <c r="AXN11" s="314">
        <v>2450</v>
      </c>
      <c r="AXO11" s="314"/>
      <c r="AXP11" s="314">
        <v>2450</v>
      </c>
      <c r="AXQ11" s="314">
        <v>2450</v>
      </c>
      <c r="AXR11" s="314">
        <v>2450</v>
      </c>
      <c r="AXS11" s="314">
        <v>2450</v>
      </c>
      <c r="AXT11" s="314">
        <v>2450</v>
      </c>
      <c r="AXU11" s="314">
        <v>2450</v>
      </c>
      <c r="AXV11" s="314"/>
      <c r="AXW11" s="314">
        <v>2450</v>
      </c>
      <c r="AXX11" s="9"/>
    </row>
    <row r="12" spans="1:1327" s="130" customFormat="1" ht="28.5" customHeight="1" x14ac:dyDescent="0.4">
      <c r="A12" s="711"/>
      <c r="B12" s="10" t="s">
        <v>13</v>
      </c>
      <c r="C12" s="121" t="s">
        <v>64</v>
      </c>
      <c r="D12" s="14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1" t="s">
        <v>60</v>
      </c>
      <c r="Y12" s="122"/>
      <c r="Z12" s="122"/>
      <c r="AA12" s="122"/>
      <c r="AB12" s="122"/>
      <c r="AC12" s="122"/>
      <c r="AD12" s="122"/>
      <c r="AE12" s="122"/>
      <c r="AF12" s="122"/>
      <c r="AG12" s="122"/>
      <c r="AH12" s="49" t="s">
        <v>13</v>
      </c>
      <c r="AI12" s="121" t="s">
        <v>60</v>
      </c>
      <c r="AJ12" s="123"/>
      <c r="AK12" s="123"/>
      <c r="AL12" s="123"/>
      <c r="AM12" s="123"/>
      <c r="AN12" s="123"/>
      <c r="AO12" s="123"/>
      <c r="AP12" s="123"/>
      <c r="AQ12" s="750"/>
      <c r="AR12" s="751"/>
      <c r="AS12" s="751"/>
      <c r="AT12" s="751"/>
      <c r="AU12" s="751"/>
      <c r="AV12" s="751"/>
      <c r="AW12" s="751"/>
      <c r="AX12" s="751"/>
      <c r="AY12" s="751"/>
      <c r="AZ12" s="752"/>
      <c r="BA12" s="123" t="s">
        <v>60</v>
      </c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0" t="s">
        <v>13</v>
      </c>
      <c r="BO12" s="123" t="s">
        <v>60</v>
      </c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H12" s="122"/>
      <c r="CI12" s="122"/>
      <c r="CJ12" s="122"/>
      <c r="CK12" s="122"/>
      <c r="CL12" s="122"/>
      <c r="CM12" s="122"/>
      <c r="CN12" s="122"/>
      <c r="CO12" s="121" t="s">
        <v>135</v>
      </c>
      <c r="CP12" s="123"/>
      <c r="CQ12" s="123"/>
      <c r="CR12" s="123"/>
      <c r="CS12" s="10" t="s">
        <v>13</v>
      </c>
      <c r="CT12" s="123" t="s">
        <v>135</v>
      </c>
      <c r="CU12" s="123"/>
      <c r="CV12" s="123"/>
      <c r="CW12" s="123"/>
      <c r="CX12" s="123"/>
      <c r="CY12" s="123"/>
      <c r="CZ12" s="123"/>
      <c r="DA12" s="123"/>
      <c r="DB12" s="123"/>
      <c r="DC12" s="123"/>
      <c r="DD12" s="123"/>
      <c r="DE12" s="123"/>
      <c r="DF12" s="123"/>
      <c r="DG12" s="123"/>
      <c r="DH12" s="123"/>
      <c r="DI12" s="123"/>
      <c r="DJ12" s="123"/>
      <c r="DK12" s="123"/>
      <c r="DL12" s="123"/>
      <c r="DM12" s="123"/>
      <c r="DN12" s="123"/>
      <c r="DO12" s="123"/>
      <c r="DP12" s="123"/>
      <c r="DQ12" s="123"/>
      <c r="DR12" s="123"/>
      <c r="DS12" s="123"/>
      <c r="DT12" s="123"/>
      <c r="DU12" s="123"/>
      <c r="DV12" s="123"/>
      <c r="DW12" s="123"/>
      <c r="DX12" s="123"/>
      <c r="DY12" s="10" t="s">
        <v>13</v>
      </c>
      <c r="DZ12" s="123" t="s">
        <v>135</v>
      </c>
      <c r="EA12" s="123"/>
      <c r="EB12" s="123"/>
      <c r="EC12" s="123"/>
      <c r="ED12" s="123"/>
      <c r="EE12" s="123"/>
      <c r="EF12" s="123"/>
      <c r="EG12" s="123"/>
      <c r="EH12" s="123"/>
      <c r="EI12" s="123"/>
      <c r="EJ12" s="123"/>
      <c r="EK12" s="123"/>
      <c r="EL12" s="123"/>
      <c r="EM12" s="123"/>
      <c r="EN12" s="123"/>
      <c r="EO12" s="123"/>
      <c r="EP12" s="123"/>
      <c r="EQ12" s="123"/>
      <c r="ER12" s="123"/>
      <c r="ES12" s="123"/>
      <c r="ET12" s="123"/>
      <c r="EU12" s="123"/>
      <c r="EV12" s="123"/>
      <c r="EW12" s="123"/>
      <c r="EX12" s="123"/>
      <c r="EY12" s="123"/>
      <c r="EZ12" s="123"/>
      <c r="FA12" s="123"/>
      <c r="FB12" s="123"/>
      <c r="FC12" s="123"/>
      <c r="FD12" s="10" t="s">
        <v>13</v>
      </c>
      <c r="FE12" s="124" t="s">
        <v>331</v>
      </c>
      <c r="FF12" s="119"/>
      <c r="FG12" s="119"/>
      <c r="FH12" s="119"/>
      <c r="FI12" s="119"/>
      <c r="FJ12" s="119"/>
      <c r="FK12" s="119"/>
      <c r="FL12" s="119"/>
      <c r="FM12" s="119"/>
      <c r="FN12" s="119"/>
      <c r="FO12" s="119"/>
      <c r="FP12" s="119"/>
      <c r="FQ12" s="119"/>
      <c r="FR12" s="119"/>
      <c r="FS12" s="119"/>
      <c r="FT12" s="119"/>
      <c r="FU12" s="119" t="s">
        <v>330</v>
      </c>
      <c r="FV12" s="119" t="s">
        <v>332</v>
      </c>
      <c r="FW12" s="119"/>
      <c r="FX12" s="119"/>
      <c r="FY12" s="119"/>
      <c r="FZ12" s="119"/>
      <c r="GA12" s="119"/>
      <c r="GB12" s="119"/>
      <c r="GC12" s="119"/>
      <c r="GD12" s="119"/>
      <c r="GE12" s="119"/>
      <c r="GF12" s="119"/>
      <c r="GG12" s="119"/>
      <c r="GH12" s="119"/>
      <c r="GI12" s="119"/>
      <c r="GJ12" s="10" t="s">
        <v>13</v>
      </c>
      <c r="GK12" s="119" t="s">
        <v>447</v>
      </c>
      <c r="GL12" s="119"/>
      <c r="GM12" s="119"/>
      <c r="GN12" s="119"/>
      <c r="GO12" s="119"/>
      <c r="GP12" s="119"/>
      <c r="GQ12" s="119"/>
      <c r="GR12" s="119"/>
      <c r="GS12" s="119"/>
      <c r="GT12" s="119"/>
      <c r="GU12" s="119"/>
      <c r="GV12" s="119"/>
      <c r="GW12" s="119"/>
      <c r="GX12" s="126" t="s">
        <v>356</v>
      </c>
      <c r="GY12" s="126"/>
      <c r="GZ12" s="123"/>
      <c r="HA12" s="123"/>
      <c r="HB12" s="123"/>
      <c r="HC12" s="123"/>
      <c r="HD12" s="123"/>
      <c r="HE12" s="123"/>
      <c r="HF12" s="123"/>
      <c r="HG12" s="123"/>
      <c r="HH12" s="123"/>
      <c r="HI12" s="126" t="s">
        <v>357</v>
      </c>
      <c r="HJ12" s="126"/>
      <c r="HK12" s="123"/>
      <c r="HL12" s="123"/>
      <c r="HM12" s="123"/>
      <c r="HN12" s="123"/>
      <c r="HO12" s="123"/>
      <c r="HP12" s="10" t="s">
        <v>13</v>
      </c>
      <c r="HQ12" s="123" t="s">
        <v>356</v>
      </c>
      <c r="HR12" s="123"/>
      <c r="HS12" s="126" t="s">
        <v>370</v>
      </c>
      <c r="HT12" s="126"/>
      <c r="HU12" s="123"/>
      <c r="HV12" s="123"/>
      <c r="HW12" s="123"/>
      <c r="HX12" s="123"/>
      <c r="HY12" s="123"/>
      <c r="HZ12" s="123"/>
      <c r="IA12" s="123"/>
      <c r="IB12" s="123"/>
      <c r="IC12" s="123"/>
      <c r="ID12" s="123"/>
      <c r="IE12" s="123"/>
      <c r="IF12" s="123"/>
      <c r="IG12" s="123"/>
      <c r="IH12" s="123"/>
      <c r="II12" s="123"/>
      <c r="IJ12" s="123"/>
      <c r="IK12" s="123"/>
      <c r="IL12" s="123"/>
      <c r="IM12" s="123"/>
      <c r="IN12" s="123"/>
      <c r="IO12" s="123"/>
      <c r="IP12" s="123"/>
      <c r="IQ12" s="123"/>
      <c r="IR12" s="123"/>
      <c r="IS12" s="123"/>
      <c r="IT12" s="10" t="s">
        <v>13</v>
      </c>
      <c r="IU12" s="123" t="s">
        <v>370</v>
      </c>
      <c r="IV12" s="123"/>
      <c r="IW12" s="123"/>
      <c r="IX12" s="123"/>
      <c r="IY12" s="123"/>
      <c r="IZ12" s="123"/>
      <c r="JA12" s="123"/>
      <c r="JB12" s="123"/>
      <c r="JC12" s="123"/>
      <c r="JD12" s="123"/>
      <c r="JE12" s="123"/>
      <c r="JF12" s="123"/>
      <c r="JG12" s="123"/>
      <c r="JH12" s="123"/>
      <c r="JI12" s="123"/>
      <c r="JJ12" s="123"/>
      <c r="JK12" s="123"/>
      <c r="JL12" s="123"/>
      <c r="JM12" s="123"/>
      <c r="JN12" s="123"/>
      <c r="JO12" s="123"/>
      <c r="JP12" s="123"/>
      <c r="JQ12" s="123"/>
      <c r="JR12" s="123"/>
      <c r="JS12" s="123"/>
      <c r="JT12" s="123"/>
      <c r="JU12" s="126" t="s">
        <v>436</v>
      </c>
      <c r="JV12" s="126"/>
      <c r="JW12" s="123"/>
      <c r="JX12" s="123"/>
      <c r="JY12" s="123"/>
      <c r="JZ12" s="10" t="s">
        <v>13</v>
      </c>
      <c r="KA12" s="123" t="s">
        <v>436</v>
      </c>
      <c r="KB12" s="123"/>
      <c r="KC12" s="123"/>
      <c r="KD12" s="123"/>
      <c r="KE12" s="123"/>
      <c r="KF12" s="123"/>
      <c r="KG12" s="123"/>
      <c r="KH12" s="123"/>
      <c r="KI12" s="123"/>
      <c r="KJ12" s="123"/>
      <c r="KK12" s="123"/>
      <c r="KL12" s="123"/>
      <c r="KM12" s="123"/>
      <c r="KN12" s="123"/>
      <c r="KO12" s="123"/>
      <c r="KP12" s="123"/>
      <c r="KQ12" s="126" t="s">
        <v>501</v>
      </c>
      <c r="KR12" s="126"/>
      <c r="KS12" s="123"/>
      <c r="KT12" s="123"/>
      <c r="KU12" s="123"/>
      <c r="KV12" s="123"/>
      <c r="KW12" s="123"/>
      <c r="KX12" s="123"/>
      <c r="KY12" s="123"/>
      <c r="KZ12" s="123"/>
      <c r="LA12" s="123"/>
      <c r="LB12" s="123"/>
      <c r="LC12" s="123"/>
      <c r="LD12" s="123"/>
      <c r="LE12" s="10" t="s">
        <v>13</v>
      </c>
      <c r="LF12" s="123" t="s">
        <v>501</v>
      </c>
      <c r="LG12" s="123"/>
      <c r="LH12" s="123"/>
      <c r="LI12" s="123"/>
      <c r="LJ12" s="123"/>
      <c r="LK12" s="123"/>
      <c r="LL12" s="123"/>
      <c r="LM12" s="123"/>
      <c r="LN12" s="123"/>
      <c r="LO12" s="123"/>
      <c r="LP12" s="126" t="s">
        <v>433</v>
      </c>
      <c r="LQ12" s="126"/>
      <c r="LR12" s="123"/>
      <c r="LS12" s="123"/>
      <c r="LT12" s="123"/>
      <c r="LU12" s="123"/>
      <c r="LV12" s="123"/>
      <c r="LW12" s="123"/>
      <c r="LX12" s="123"/>
      <c r="LY12" s="123"/>
      <c r="LZ12" s="756"/>
      <c r="MA12" s="757"/>
      <c r="MB12" s="757"/>
      <c r="MC12" s="757"/>
      <c r="MD12" s="757"/>
      <c r="ME12" s="757"/>
      <c r="MF12" s="757"/>
      <c r="MG12" s="757"/>
      <c r="MH12" s="757"/>
      <c r="MI12" s="758"/>
      <c r="MJ12" s="123" t="s">
        <v>433</v>
      </c>
      <c r="MK12" s="10" t="s">
        <v>13</v>
      </c>
      <c r="ML12" s="335" t="s">
        <v>433</v>
      </c>
      <c r="MM12" s="335"/>
      <c r="MN12" s="335"/>
      <c r="MO12" s="335"/>
      <c r="MP12" s="335"/>
      <c r="MQ12" s="335"/>
      <c r="MR12" s="335"/>
      <c r="MS12" s="335"/>
      <c r="MT12" s="335"/>
      <c r="MU12" s="335"/>
      <c r="MV12" s="335"/>
      <c r="MW12" s="335"/>
      <c r="MX12" s="335"/>
      <c r="MY12" s="335"/>
      <c r="MZ12" s="335"/>
      <c r="NA12" s="335"/>
      <c r="NB12" s="339" t="s">
        <v>544</v>
      </c>
      <c r="NC12" s="339"/>
      <c r="ND12" s="342"/>
      <c r="NE12" s="342"/>
      <c r="NF12" s="342"/>
      <c r="NG12" s="342"/>
      <c r="NH12" s="342"/>
      <c r="NI12" s="342"/>
      <c r="NJ12" s="342"/>
      <c r="NK12" s="342"/>
      <c r="NL12" s="342"/>
      <c r="NM12" s="342"/>
      <c r="NN12" s="342"/>
      <c r="NO12" s="342"/>
      <c r="NP12" s="10" t="s">
        <v>13</v>
      </c>
      <c r="NQ12" s="344" t="s">
        <v>433</v>
      </c>
      <c r="NR12" s="350"/>
      <c r="NS12" s="350"/>
      <c r="NT12" s="350"/>
      <c r="NU12" s="350"/>
      <c r="NV12" s="350"/>
      <c r="NW12" s="350"/>
      <c r="NX12" s="350"/>
      <c r="NY12" s="350"/>
      <c r="NZ12" s="350"/>
      <c r="OA12" s="348" t="s">
        <v>883</v>
      </c>
      <c r="OB12" s="350"/>
      <c r="OC12" s="350"/>
      <c r="OD12" s="350"/>
      <c r="OE12" s="345" t="s">
        <v>371</v>
      </c>
      <c r="OF12" s="350"/>
      <c r="OG12" s="350"/>
      <c r="OH12" s="350"/>
      <c r="OI12" s="350"/>
      <c r="OJ12" s="350"/>
      <c r="OK12" s="350"/>
      <c r="OL12" s="350"/>
      <c r="OM12" s="350"/>
      <c r="ON12" s="350"/>
      <c r="OO12" s="350"/>
      <c r="OP12" s="350"/>
      <c r="OQ12" s="350"/>
      <c r="OR12" s="350"/>
      <c r="OS12" s="762"/>
      <c r="OT12" s="763"/>
      <c r="OU12" s="764"/>
      <c r="OV12" s="10" t="s">
        <v>13</v>
      </c>
      <c r="OW12" s="770"/>
      <c r="OX12" s="763"/>
      <c r="OY12" s="763"/>
      <c r="OZ12" s="763"/>
      <c r="PA12" s="763"/>
      <c r="PB12" s="763"/>
      <c r="PC12" s="771"/>
      <c r="PD12" s="352" t="s">
        <v>371</v>
      </c>
      <c r="PE12" s="357"/>
      <c r="PF12" s="357"/>
      <c r="PG12" s="357"/>
      <c r="PH12" s="357"/>
      <c r="PI12" s="357" t="s">
        <v>890</v>
      </c>
      <c r="PJ12" s="357"/>
      <c r="PK12" s="357"/>
      <c r="PL12" s="357"/>
      <c r="PM12" s="357"/>
      <c r="PN12" s="357"/>
      <c r="PO12" s="357"/>
      <c r="PP12" s="357"/>
      <c r="PQ12" s="357"/>
      <c r="PR12" s="357"/>
      <c r="PS12" s="357"/>
      <c r="PT12" s="357"/>
      <c r="PU12" s="357"/>
      <c r="PV12" s="357"/>
      <c r="PW12" s="357"/>
      <c r="PX12" s="357"/>
      <c r="PY12" s="357"/>
      <c r="PZ12" s="357"/>
      <c r="QA12" s="357"/>
      <c r="QB12" s="10" t="s">
        <v>13</v>
      </c>
      <c r="QC12" s="363" t="s">
        <v>890</v>
      </c>
      <c r="QD12" s="363"/>
      <c r="QE12" s="363"/>
      <c r="QF12" s="363"/>
      <c r="QG12" s="363"/>
      <c r="QH12" s="363"/>
      <c r="QI12" s="363"/>
      <c r="QJ12" s="363"/>
      <c r="QK12" s="363"/>
      <c r="QL12" s="363"/>
      <c r="QM12" s="363"/>
      <c r="QN12" s="363"/>
      <c r="QO12" s="363"/>
      <c r="QP12" s="363"/>
      <c r="QQ12" s="363"/>
      <c r="QR12" s="363"/>
      <c r="QS12" s="363"/>
      <c r="QT12" s="363"/>
      <c r="QU12" s="363"/>
      <c r="QV12" s="363"/>
      <c r="QW12" s="363"/>
      <c r="QX12" s="363"/>
      <c r="QY12" s="363"/>
      <c r="QZ12" s="363"/>
      <c r="RA12" s="363"/>
      <c r="RB12" s="363"/>
      <c r="RC12" s="363"/>
      <c r="RD12" s="363"/>
      <c r="RE12" s="363"/>
      <c r="RF12" s="363"/>
      <c r="RG12" s="10" t="s">
        <v>13</v>
      </c>
      <c r="RH12" s="442" t="s">
        <v>1501</v>
      </c>
      <c r="RI12" s="440"/>
      <c r="RJ12" s="440"/>
      <c r="RK12" s="440"/>
      <c r="RL12" s="440"/>
      <c r="RM12" s="440"/>
      <c r="RN12" s="440"/>
      <c r="RO12" s="440"/>
      <c r="RP12" s="440"/>
      <c r="RQ12" s="440"/>
      <c r="RR12" s="440"/>
      <c r="RS12" s="440"/>
      <c r="RT12" s="440"/>
      <c r="RU12" s="440"/>
      <c r="RV12" s="440"/>
      <c r="RW12" s="440"/>
      <c r="RX12" s="440"/>
      <c r="RY12" s="440"/>
      <c r="RZ12" s="440"/>
      <c r="SA12" s="440"/>
      <c r="SB12" s="442" t="s">
        <v>1502</v>
      </c>
      <c r="SC12" s="440"/>
      <c r="SD12" s="440"/>
      <c r="SE12" s="440"/>
      <c r="SF12" s="440"/>
      <c r="SG12" s="440"/>
      <c r="SH12" s="440"/>
      <c r="SI12" s="440"/>
      <c r="SJ12" s="440"/>
      <c r="SK12" s="440"/>
      <c r="SL12" s="440"/>
      <c r="SM12" s="10" t="s">
        <v>13</v>
      </c>
      <c r="SN12" s="442" t="s">
        <v>1527</v>
      </c>
      <c r="SO12" s="440"/>
      <c r="SP12" s="440"/>
      <c r="SQ12" s="440"/>
      <c r="SR12" s="440"/>
      <c r="SS12" s="440"/>
      <c r="ST12" s="440"/>
      <c r="SU12" s="440"/>
      <c r="SV12" s="440"/>
      <c r="SW12" s="442" t="s">
        <v>1502</v>
      </c>
      <c r="SX12" s="440"/>
      <c r="SY12" s="440"/>
      <c r="SZ12" s="440"/>
      <c r="TA12" s="440"/>
      <c r="TB12" s="440"/>
      <c r="TC12" s="440"/>
      <c r="TD12" s="440"/>
      <c r="TE12" s="440"/>
      <c r="TF12" s="440"/>
      <c r="TG12" s="442" t="s">
        <v>1528</v>
      </c>
      <c r="TH12" s="444"/>
      <c r="TI12" s="444"/>
      <c r="TJ12" s="444"/>
      <c r="TK12" s="444"/>
      <c r="TL12" s="444"/>
      <c r="TM12" s="444"/>
      <c r="TN12" s="444"/>
      <c r="TO12" s="444"/>
      <c r="TP12" s="444"/>
      <c r="TQ12" s="444"/>
      <c r="TR12" s="10" t="s">
        <v>13</v>
      </c>
      <c r="TS12" s="448" t="s">
        <v>1528</v>
      </c>
      <c r="TT12" s="444"/>
      <c r="TU12" s="444"/>
      <c r="TV12" s="444"/>
      <c r="TW12" s="444"/>
      <c r="TX12" s="444"/>
      <c r="TY12" s="444"/>
      <c r="TZ12" s="444"/>
      <c r="UA12" s="444"/>
      <c r="UB12" s="444"/>
      <c r="UC12" s="444"/>
      <c r="UD12" s="444"/>
      <c r="UE12" s="444"/>
      <c r="UF12" s="444"/>
      <c r="UG12" s="444"/>
      <c r="UH12" s="444"/>
      <c r="UI12" s="444"/>
      <c r="UJ12" s="442" t="s">
        <v>1527</v>
      </c>
      <c r="UK12" s="440"/>
      <c r="UL12" s="440"/>
      <c r="UM12" s="440"/>
      <c r="UN12" s="440"/>
      <c r="UO12" s="440"/>
      <c r="UP12" s="440"/>
      <c r="UQ12" s="440"/>
      <c r="UR12" s="442" t="s">
        <v>1502</v>
      </c>
      <c r="US12" s="440"/>
      <c r="UT12" s="440"/>
      <c r="UU12" s="440"/>
      <c r="UV12" s="440"/>
      <c r="UW12" s="440"/>
      <c r="UX12" s="10" t="s">
        <v>13</v>
      </c>
      <c r="UY12" s="440" t="s">
        <v>1502</v>
      </c>
      <c r="UZ12" s="440"/>
      <c r="VA12" s="440"/>
      <c r="VB12" s="442" t="s">
        <v>1528</v>
      </c>
      <c r="VC12" s="444"/>
      <c r="VD12" s="444"/>
      <c r="VE12" s="444"/>
      <c r="VF12" s="444"/>
      <c r="VG12" s="444"/>
      <c r="VH12" s="444"/>
      <c r="VI12" s="444"/>
      <c r="VJ12" s="444"/>
      <c r="VK12" s="444"/>
      <c r="VL12" s="444"/>
      <c r="VM12" s="444"/>
      <c r="VN12" s="444"/>
      <c r="VO12" s="444"/>
      <c r="VP12" s="447"/>
      <c r="VQ12" s="447"/>
      <c r="VR12" s="447"/>
      <c r="VS12" s="447"/>
      <c r="VT12" s="447"/>
      <c r="WD12" s="10" t="s">
        <v>13</v>
      </c>
      <c r="XG12" s="10" t="s">
        <v>13</v>
      </c>
      <c r="YM12" s="10" t="s">
        <v>13</v>
      </c>
      <c r="ZR12" s="10" t="s">
        <v>13</v>
      </c>
      <c r="AAX12" s="10" t="s">
        <v>13</v>
      </c>
      <c r="ACC12" s="10" t="s">
        <v>13</v>
      </c>
      <c r="ACL12" s="364" t="s">
        <v>2433</v>
      </c>
      <c r="ACM12" s="609">
        <v>76091</v>
      </c>
      <c r="ACN12" s="610">
        <v>399.3</v>
      </c>
      <c r="ACO12" s="610">
        <v>190.5609817180065</v>
      </c>
      <c r="ACV12" s="704"/>
      <c r="ACW12" s="705"/>
      <c r="ACX12" s="705"/>
      <c r="ACY12" s="705"/>
      <c r="ACZ12" s="705"/>
      <c r="ADA12" s="705"/>
      <c r="ADB12" s="705"/>
      <c r="ADC12" s="705"/>
      <c r="ADD12" s="706"/>
      <c r="ADI12" s="10" t="s">
        <v>13</v>
      </c>
      <c r="ADJ12" s="352"/>
      <c r="ADK12" s="352"/>
      <c r="ADL12" s="352"/>
      <c r="ADM12" s="352"/>
      <c r="ADN12" s="352"/>
      <c r="ADO12" s="352"/>
      <c r="ADP12" s="352"/>
      <c r="ADQ12" s="352"/>
      <c r="ADR12" s="352"/>
      <c r="ADS12" s="352"/>
      <c r="ADT12" s="352"/>
      <c r="ADU12" s="352"/>
      <c r="ADV12" s="352"/>
      <c r="ADW12" s="352"/>
      <c r="ADX12" s="352"/>
      <c r="ADY12" s="352"/>
      <c r="ADZ12" s="352"/>
      <c r="AEA12" s="352"/>
      <c r="AEB12" s="352"/>
      <c r="AEC12" s="352"/>
      <c r="AED12" s="352"/>
      <c r="AEE12" s="352"/>
      <c r="AEF12" s="352"/>
      <c r="AEG12" s="352"/>
      <c r="AEH12" s="352"/>
      <c r="AEI12" s="352"/>
      <c r="AEJ12" s="352"/>
      <c r="AEK12" s="352"/>
      <c r="AEL12" s="352"/>
      <c r="AEM12" s="352"/>
      <c r="AEN12" s="352"/>
      <c r="AEO12" s="10" t="s">
        <v>13</v>
      </c>
      <c r="AEP12" s="352"/>
      <c r="AEQ12" s="352"/>
      <c r="AER12" s="352"/>
      <c r="AES12" s="352"/>
      <c r="AET12" s="352"/>
      <c r="AEU12" s="352"/>
      <c r="AEV12" s="352"/>
      <c r="AEW12" s="352"/>
      <c r="AEX12" s="352"/>
      <c r="AEY12" s="352"/>
      <c r="AEZ12" s="352"/>
      <c r="AFA12" s="352"/>
      <c r="AFB12" s="352"/>
      <c r="AFC12" s="352"/>
      <c r="AFD12" s="352"/>
      <c r="AFE12" s="352"/>
      <c r="AFF12" s="352"/>
      <c r="AFG12" s="352"/>
      <c r="AFH12" s="352"/>
      <c r="AFI12" s="352"/>
      <c r="AFJ12" s="352"/>
      <c r="AFK12" s="352"/>
      <c r="AFL12" s="352"/>
      <c r="AFM12" s="352"/>
      <c r="AFN12" s="352"/>
      <c r="AFO12" s="345" t="s">
        <v>2462</v>
      </c>
      <c r="AFP12" s="345"/>
      <c r="AFQ12" s="352"/>
      <c r="AFR12" s="352"/>
      <c r="AFS12" s="352"/>
      <c r="AFT12" s="49" t="s">
        <v>13</v>
      </c>
      <c r="AFU12" s="352" t="s">
        <v>2462</v>
      </c>
      <c r="AFV12" s="352"/>
      <c r="AFW12" s="352"/>
      <c r="AFX12" s="352"/>
      <c r="AFY12" s="352"/>
      <c r="AFZ12" s="352"/>
      <c r="AGA12" s="352"/>
      <c r="AGB12" s="352"/>
      <c r="AGC12" s="352"/>
      <c r="AGD12" s="352"/>
      <c r="AGE12" s="352"/>
      <c r="AGF12" s="352"/>
      <c r="AGG12" s="352"/>
      <c r="AGH12" s="352"/>
      <c r="AGI12" s="352"/>
      <c r="AGJ12" s="352"/>
      <c r="AGK12" s="352"/>
      <c r="AGL12" s="352"/>
      <c r="AGM12" s="352"/>
      <c r="AGN12" s="352"/>
      <c r="AGO12" s="352"/>
      <c r="AGP12" s="352"/>
      <c r="AGQ12" s="352"/>
      <c r="AGR12" s="352"/>
      <c r="AGS12" s="352"/>
      <c r="AGT12" s="352"/>
      <c r="AGU12" s="352"/>
      <c r="AGV12" s="352"/>
      <c r="AGW12" s="352"/>
      <c r="AGX12" s="352"/>
      <c r="AGY12" s="352"/>
      <c r="AGZ12" s="10" t="s">
        <v>13</v>
      </c>
      <c r="AHA12" s="352" t="s">
        <v>2462</v>
      </c>
      <c r="AHB12" s="352"/>
      <c r="AHC12" s="352"/>
      <c r="AHD12" s="352"/>
      <c r="AHE12" s="352"/>
      <c r="AHF12" s="352"/>
      <c r="AHG12" s="352"/>
      <c r="AHH12" s="352"/>
      <c r="AHI12" s="352"/>
      <c r="AHJ12" s="352"/>
      <c r="AHK12" s="352"/>
      <c r="AHL12" s="352"/>
      <c r="AHM12" s="352"/>
      <c r="AHN12" s="352"/>
      <c r="AHO12" s="352"/>
      <c r="AHP12" s="352"/>
      <c r="AHQ12" s="352"/>
      <c r="AHR12" s="352"/>
      <c r="AHS12" s="352"/>
      <c r="AHT12" s="352"/>
      <c r="AHU12" s="352"/>
      <c r="AHV12" s="352"/>
      <c r="AHW12" s="352"/>
      <c r="AHX12" s="352"/>
      <c r="AHY12" s="352"/>
      <c r="AHZ12" s="352"/>
      <c r="AIA12" s="352"/>
      <c r="AIB12" s="352"/>
      <c r="AIC12" s="352"/>
      <c r="AID12" s="352"/>
      <c r="AIE12" s="10" t="s">
        <v>13</v>
      </c>
      <c r="AIF12" s="352" t="s">
        <v>2462</v>
      </c>
      <c r="AIG12" s="352"/>
      <c r="AIH12" s="352"/>
      <c r="AII12" s="345" t="s">
        <v>2833</v>
      </c>
      <c r="AIJ12" s="345"/>
      <c r="AIK12" s="700"/>
      <c r="AIL12" s="700"/>
      <c r="AIM12" s="700"/>
      <c r="AIN12" s="700"/>
      <c r="AIO12" s="700"/>
      <c r="AIP12" s="700"/>
      <c r="AIQ12" s="700"/>
      <c r="AIR12" s="700"/>
      <c r="AIS12" s="700"/>
      <c r="AIT12" s="700"/>
      <c r="AIU12" s="700"/>
      <c r="AIV12" s="700"/>
      <c r="AIW12" s="700"/>
      <c r="AIX12" s="700"/>
      <c r="AIY12" s="700"/>
      <c r="AIZ12" s="700"/>
      <c r="AJA12" s="700"/>
      <c r="AJB12" s="700"/>
      <c r="AJC12" s="700"/>
      <c r="AJD12" s="700"/>
      <c r="AJE12" s="700"/>
      <c r="AJF12" s="345" t="s">
        <v>2684</v>
      </c>
      <c r="AJG12" s="345"/>
      <c r="AJH12" s="352"/>
      <c r="AJI12" s="352"/>
      <c r="AJJ12" s="216"/>
      <c r="AJK12" s="10" t="s">
        <v>13</v>
      </c>
      <c r="AJL12" s="352" t="s">
        <v>2684</v>
      </c>
      <c r="AJM12" s="352"/>
      <c r="AJN12" s="352"/>
      <c r="AJO12" s="352"/>
      <c r="AJP12" s="352"/>
      <c r="AJQ12" s="352"/>
      <c r="AJR12" s="352"/>
      <c r="AJS12" s="352"/>
      <c r="AJT12" s="352"/>
      <c r="AJU12" s="352"/>
      <c r="AJV12" s="352"/>
      <c r="AJW12" s="352"/>
      <c r="AJX12" s="352"/>
      <c r="AJY12" s="352"/>
      <c r="AJZ12" s="352"/>
      <c r="AKA12" s="352"/>
      <c r="AKB12" s="352"/>
      <c r="AKC12" s="352"/>
      <c r="AKD12" s="352"/>
      <c r="AKE12" s="352"/>
      <c r="AKF12" s="352"/>
      <c r="AKG12" s="352"/>
      <c r="AKH12" s="352"/>
      <c r="AKI12" s="352"/>
      <c r="AKJ12" s="352"/>
      <c r="AKK12" s="352"/>
      <c r="AKL12" s="352"/>
      <c r="AKM12" s="352"/>
      <c r="AKN12" s="352"/>
      <c r="AKO12" s="352"/>
      <c r="AKP12" s="352"/>
      <c r="AKQ12" s="10" t="s">
        <v>13</v>
      </c>
      <c r="AKR12" s="352" t="s">
        <v>2461</v>
      </c>
      <c r="AKS12" s="352"/>
      <c r="AKT12" s="352"/>
      <c r="AKU12" s="352"/>
      <c r="AKV12" s="352"/>
      <c r="AKW12" s="352"/>
      <c r="AKX12" s="352"/>
      <c r="AKY12" s="352"/>
      <c r="AKZ12" s="352"/>
      <c r="ALA12" s="352"/>
      <c r="ALB12" s="345" t="s">
        <v>2635</v>
      </c>
      <c r="ALC12" s="345"/>
      <c r="ALD12" s="352"/>
      <c r="ALE12" s="352"/>
      <c r="ALF12" s="352"/>
      <c r="ALG12" s="352"/>
      <c r="ALH12" s="352"/>
      <c r="ALI12" s="352"/>
      <c r="ALJ12" s="352"/>
      <c r="ALK12" s="352"/>
      <c r="ALL12" s="352"/>
      <c r="ALM12" s="352"/>
      <c r="ALN12" s="352"/>
      <c r="ALO12" s="352"/>
      <c r="ALP12" s="352"/>
      <c r="ALQ12" s="352"/>
      <c r="ALR12" s="352"/>
      <c r="ALS12" s="352"/>
      <c r="ALT12" s="10" t="s">
        <v>13</v>
      </c>
      <c r="ALU12" s="352" t="s">
        <v>2635</v>
      </c>
      <c r="ALV12" s="352"/>
      <c r="ALW12" s="352"/>
      <c r="ALX12" s="352"/>
      <c r="ALY12" s="352"/>
      <c r="ALZ12" s="352"/>
      <c r="AMA12" s="352"/>
      <c r="AMB12" s="352"/>
      <c r="AMC12" s="352"/>
      <c r="AMD12" s="352"/>
      <c r="AME12" s="352"/>
      <c r="AMF12" s="352"/>
      <c r="AMG12" s="352"/>
      <c r="AMH12" s="352"/>
      <c r="AMI12" s="352"/>
      <c r="AMJ12" s="352"/>
      <c r="AMK12" s="352"/>
      <c r="AML12" s="352"/>
      <c r="AMM12" s="352"/>
      <c r="AMN12" s="352"/>
      <c r="AMO12" s="352"/>
      <c r="AMP12" s="352"/>
      <c r="AMQ12" s="352"/>
      <c r="AMR12" s="352"/>
      <c r="AMS12" s="352"/>
      <c r="AMT12" s="352"/>
      <c r="AMU12" s="352"/>
      <c r="AMV12" s="352"/>
      <c r="AMW12" s="352"/>
      <c r="AMX12" s="352"/>
      <c r="AMY12" s="352"/>
      <c r="AMZ12" s="10" t="s">
        <v>13</v>
      </c>
      <c r="ANA12" s="352" t="s">
        <v>2635</v>
      </c>
      <c r="ANB12" s="352"/>
      <c r="ANC12" s="352"/>
      <c r="AND12" s="352"/>
      <c r="ANE12" s="352"/>
      <c r="ANF12" s="352"/>
      <c r="ANG12" s="352"/>
      <c r="ANH12" s="352"/>
      <c r="ANI12" s="352"/>
      <c r="ANJ12" s="352"/>
      <c r="ANK12" s="352"/>
      <c r="ANL12" s="352"/>
      <c r="ANM12" s="352"/>
      <c r="ANN12" s="352"/>
      <c r="ANO12" s="352"/>
      <c r="ANP12" s="352"/>
      <c r="ANQ12" s="352"/>
      <c r="ANR12" s="352"/>
      <c r="ANS12" s="352"/>
      <c r="ANT12" s="352"/>
      <c r="ANU12" s="352"/>
      <c r="ANV12" s="352"/>
      <c r="ANW12" s="352"/>
      <c r="ANX12" s="352"/>
      <c r="ANY12" s="352"/>
      <c r="ANZ12" s="352"/>
      <c r="AOA12" s="352"/>
      <c r="AOB12" s="352"/>
      <c r="AOC12" s="352"/>
      <c r="AOD12" s="352"/>
      <c r="AOE12" s="10" t="s">
        <v>13</v>
      </c>
      <c r="AOF12" s="128"/>
      <c r="AOG12" s="128"/>
      <c r="AOH12" s="128"/>
      <c r="AOI12" s="128"/>
      <c r="AOJ12" s="128"/>
      <c r="AOK12" s="128"/>
      <c r="AOL12" s="128"/>
      <c r="AOM12" s="128"/>
      <c r="AON12" s="128"/>
      <c r="AOO12" s="352" t="s">
        <v>2635</v>
      </c>
      <c r="AOP12" s="352"/>
      <c r="AOQ12" s="352"/>
      <c r="AOR12" s="352"/>
      <c r="AOS12" s="352"/>
      <c r="AOT12" s="352"/>
      <c r="AOU12" s="352"/>
      <c r="AOV12" s="352"/>
      <c r="AOW12" s="352"/>
      <c r="AOX12" s="352"/>
      <c r="AOY12" s="352"/>
      <c r="AOZ12" s="352"/>
      <c r="APA12" s="352"/>
      <c r="APB12" s="352"/>
      <c r="APC12" s="352"/>
      <c r="APD12" s="352"/>
      <c r="APE12" s="352"/>
      <c r="APF12" s="352"/>
      <c r="APG12" s="352"/>
      <c r="APH12" s="352"/>
      <c r="API12" s="352"/>
      <c r="APJ12" s="352"/>
      <c r="APK12" s="10" t="s">
        <v>13</v>
      </c>
      <c r="APL12" s="352" t="s">
        <v>2635</v>
      </c>
      <c r="APM12" s="352"/>
      <c r="APN12" s="352"/>
      <c r="APO12" s="352"/>
      <c r="APP12" s="352"/>
      <c r="APQ12" s="352"/>
      <c r="APR12" s="352"/>
      <c r="APS12" s="345" t="s">
        <v>2866</v>
      </c>
      <c r="APT12" s="345"/>
      <c r="APU12" s="352"/>
      <c r="APV12" s="352"/>
      <c r="APW12" s="352"/>
      <c r="APX12" s="352"/>
      <c r="APY12" s="352"/>
      <c r="APZ12" s="352"/>
      <c r="AQA12" s="352"/>
      <c r="AQB12" s="352"/>
      <c r="AQC12" s="352"/>
      <c r="AQD12" s="352"/>
      <c r="AQE12" s="352"/>
      <c r="AQF12" s="352"/>
      <c r="AQG12" s="352"/>
      <c r="AQH12" s="352"/>
      <c r="AQI12" s="352"/>
      <c r="AQJ12" s="352"/>
      <c r="AQK12" s="352"/>
      <c r="AQL12" s="352"/>
      <c r="AQM12" s="352"/>
      <c r="AQN12" s="352"/>
      <c r="AQO12" s="352"/>
      <c r="AQP12" s="10" t="s">
        <v>13</v>
      </c>
      <c r="AQQ12" s="352" t="s">
        <v>2866</v>
      </c>
      <c r="AQR12" s="352"/>
      <c r="AQS12" s="352"/>
      <c r="AQT12" s="352"/>
      <c r="AQU12" s="352"/>
      <c r="AQV12" s="352"/>
      <c r="AQW12" s="352"/>
      <c r="AQX12" s="128"/>
      <c r="AQY12" s="128"/>
      <c r="AQZ12" s="128"/>
      <c r="ARA12" s="128"/>
      <c r="ARB12" s="128"/>
      <c r="ARC12" s="128"/>
      <c r="ARD12" s="128"/>
      <c r="ARE12" s="128"/>
      <c r="ARF12" s="128"/>
      <c r="ARG12" s="352" t="s">
        <v>2866</v>
      </c>
      <c r="ARH12" s="352"/>
      <c r="ARI12" s="352"/>
      <c r="ARJ12" s="352"/>
      <c r="ARK12" s="352"/>
      <c r="ARL12" s="352"/>
      <c r="ARM12" s="352"/>
      <c r="ARN12" s="352"/>
      <c r="ARO12" s="352"/>
      <c r="ARP12" s="352"/>
      <c r="ARQ12" s="352"/>
      <c r="ARR12" s="352"/>
      <c r="ARS12" s="352"/>
      <c r="ART12" s="352"/>
      <c r="ARU12" s="352"/>
      <c r="ARV12" s="10" t="s">
        <v>13</v>
      </c>
      <c r="ARW12" s="352" t="s">
        <v>2866</v>
      </c>
      <c r="ARX12" s="352"/>
      <c r="ARY12" s="352"/>
      <c r="ARZ12" s="352"/>
      <c r="ASA12" s="352"/>
      <c r="ASB12" s="352"/>
      <c r="ASC12" s="352"/>
      <c r="ASD12" s="352"/>
      <c r="ASE12" s="352"/>
      <c r="ASF12" s="352"/>
      <c r="ASG12" s="352"/>
      <c r="ASH12" s="352"/>
      <c r="ASI12" s="352"/>
      <c r="ASJ12" s="352"/>
      <c r="ASK12" s="352"/>
      <c r="ASL12" s="352"/>
      <c r="ASM12" s="352"/>
      <c r="ASN12" s="352"/>
      <c r="ASO12" s="352"/>
      <c r="ASP12" s="352"/>
      <c r="ASQ12" s="352"/>
      <c r="ASR12" s="352"/>
      <c r="ASS12" s="352"/>
      <c r="AST12" s="352"/>
      <c r="ASU12" s="352"/>
      <c r="ASV12" s="352"/>
      <c r="ASW12" s="352"/>
      <c r="ASX12" s="352"/>
      <c r="ASY12" s="352"/>
      <c r="ASZ12" s="352"/>
      <c r="ATA12" s="352"/>
      <c r="ATB12" s="10" t="s">
        <v>13</v>
      </c>
      <c r="ATC12" s="352" t="s">
        <v>2866</v>
      </c>
      <c r="ATD12" s="352"/>
      <c r="ATE12" s="352"/>
      <c r="ATF12" s="352"/>
      <c r="ATG12" s="345" t="s">
        <v>2673</v>
      </c>
      <c r="ATH12" s="345"/>
      <c r="ATI12" s="352"/>
      <c r="ATJ12" s="352"/>
      <c r="ATK12" s="352"/>
      <c r="ATL12" s="352"/>
      <c r="ATM12" s="352"/>
      <c r="ATN12" s="352"/>
      <c r="ATO12" s="352"/>
      <c r="ATP12" s="352"/>
      <c r="ATQ12" s="352"/>
      <c r="ATR12" s="352"/>
      <c r="ATS12" s="352"/>
      <c r="ATT12" s="352"/>
      <c r="ATU12" s="352"/>
      <c r="ATV12" s="352"/>
      <c r="ATW12" s="352"/>
      <c r="ATX12" s="352"/>
      <c r="ATY12" s="352"/>
      <c r="ATZ12" s="352"/>
      <c r="AUA12" s="352"/>
      <c r="AUB12" s="352"/>
      <c r="AUC12" s="352"/>
      <c r="AUD12" s="352"/>
      <c r="AUE12" s="352"/>
      <c r="AUF12" s="352"/>
      <c r="AUG12" s="10" t="s">
        <v>13</v>
      </c>
      <c r="AUH12" s="352" t="s">
        <v>2673</v>
      </c>
      <c r="AUI12" s="352"/>
      <c r="AUJ12" s="352"/>
      <c r="AUK12" s="352"/>
      <c r="AUL12" s="352"/>
      <c r="AUM12" s="352"/>
      <c r="AUN12" s="352"/>
      <c r="AUO12" s="352"/>
      <c r="AUP12" s="352"/>
      <c r="AUQ12" s="352"/>
      <c r="AUR12" s="352"/>
      <c r="AUS12" s="352"/>
      <c r="AUT12" s="352"/>
      <c r="AUU12" s="352"/>
      <c r="AUV12" s="352"/>
      <c r="AUW12" s="352"/>
      <c r="AUX12" s="352"/>
      <c r="AUY12" s="352"/>
      <c r="AUZ12" s="352"/>
      <c r="AVA12" s="352"/>
      <c r="AVB12" s="352"/>
      <c r="AVC12" s="352"/>
      <c r="AVD12" s="352"/>
      <c r="AVE12" s="352"/>
      <c r="AVF12" s="352"/>
      <c r="AVG12" s="352"/>
      <c r="AVH12" s="352"/>
      <c r="AVI12" s="352"/>
      <c r="AVJ12" s="352"/>
      <c r="AVK12" s="352"/>
      <c r="AVL12" s="352"/>
      <c r="AVM12" s="10" t="s">
        <v>13</v>
      </c>
      <c r="AVN12" s="352" t="s">
        <v>2673</v>
      </c>
      <c r="AVO12" s="352"/>
      <c r="AVP12" s="352"/>
      <c r="AVQ12" s="352"/>
      <c r="AVR12" s="352"/>
      <c r="AVS12" s="352"/>
      <c r="AVT12" s="352"/>
      <c r="AVU12" s="352"/>
      <c r="AVV12" s="352"/>
      <c r="AVW12" s="352"/>
      <c r="AVX12" s="352"/>
      <c r="AVY12" s="352"/>
      <c r="AVZ12" s="352"/>
      <c r="AWA12" s="352"/>
      <c r="AWB12" s="352"/>
      <c r="AWC12" s="352"/>
      <c r="AWD12" s="352"/>
      <c r="AWE12" s="352"/>
      <c r="AWF12" s="352"/>
      <c r="AWG12" s="352"/>
      <c r="AWH12" s="352"/>
      <c r="AWI12" s="352"/>
      <c r="AWJ12" s="345" t="s">
        <v>2674</v>
      </c>
      <c r="AWK12" s="345"/>
      <c r="AWL12" s="352"/>
      <c r="AWM12" s="352"/>
      <c r="AWN12" s="352"/>
      <c r="AWO12" s="352"/>
      <c r="AWP12" s="352"/>
      <c r="AWQ12" s="352"/>
      <c r="AWR12" s="10" t="s">
        <v>13</v>
      </c>
      <c r="AWS12" s="352" t="s">
        <v>2674</v>
      </c>
      <c r="AWT12" s="352"/>
      <c r="AWU12" s="352"/>
      <c r="AWV12" s="352"/>
      <c r="AWW12" s="352"/>
      <c r="AWX12" s="352"/>
      <c r="AWY12" s="352"/>
      <c r="AWZ12" s="352"/>
      <c r="AXA12" s="352"/>
      <c r="AXB12" s="352"/>
      <c r="AXC12" s="352"/>
      <c r="AXD12" s="352"/>
      <c r="AXE12" s="352"/>
      <c r="AXF12" s="352"/>
      <c r="AXG12" s="352"/>
      <c r="AXH12" s="352"/>
      <c r="AXI12" s="352"/>
      <c r="AXJ12" s="352"/>
      <c r="AXK12" s="352"/>
      <c r="AXL12" s="352"/>
      <c r="AXM12" s="352"/>
      <c r="AXN12" s="352"/>
      <c r="AXO12" s="352"/>
      <c r="AXP12" s="352"/>
      <c r="AXQ12" s="352"/>
      <c r="AXR12" s="352"/>
      <c r="AXS12" s="352"/>
      <c r="AXT12" s="352"/>
      <c r="AXU12" s="352"/>
      <c r="AXV12" s="352"/>
      <c r="AXW12" s="352"/>
      <c r="AXX12" s="10" t="s">
        <v>13</v>
      </c>
    </row>
    <row r="13" spans="1:1327" s="135" customFormat="1" ht="28.5" customHeight="1" x14ac:dyDescent="0.4">
      <c r="A13" s="711"/>
      <c r="B13" s="9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48"/>
      <c r="AI13" s="132"/>
      <c r="AJ13" s="132"/>
      <c r="AK13" s="132"/>
      <c r="AL13" s="132"/>
      <c r="AM13" s="132"/>
      <c r="AN13" s="132"/>
      <c r="AO13" s="132"/>
      <c r="AP13" s="132"/>
      <c r="AQ13" s="750"/>
      <c r="AR13" s="751"/>
      <c r="AS13" s="751"/>
      <c r="AT13" s="751"/>
      <c r="AU13" s="751"/>
      <c r="AV13" s="751"/>
      <c r="AW13" s="751"/>
      <c r="AX13" s="751"/>
      <c r="AY13" s="751"/>
      <c r="AZ13" s="75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32"/>
      <c r="BL13" s="132"/>
      <c r="BM13" s="132"/>
      <c r="BN13" s="9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9"/>
      <c r="CT13" s="135">
        <v>1845</v>
      </c>
      <c r="CU13" s="135">
        <v>1845</v>
      </c>
      <c r="CV13" s="135">
        <v>1845</v>
      </c>
      <c r="CX13" s="135">
        <v>1845</v>
      </c>
      <c r="CY13" s="135">
        <v>1845</v>
      </c>
      <c r="CZ13" s="135">
        <v>1845</v>
      </c>
      <c r="DA13" s="135">
        <v>1845</v>
      </c>
      <c r="DB13" s="135">
        <v>1845</v>
      </c>
      <c r="DC13" s="135">
        <v>1845</v>
      </c>
      <c r="DE13" s="135">
        <v>1845</v>
      </c>
      <c r="DF13" s="135">
        <v>1845</v>
      </c>
      <c r="DG13" s="135">
        <v>1845</v>
      </c>
      <c r="DH13" s="135">
        <v>1845</v>
      </c>
      <c r="DI13" s="135">
        <v>1845</v>
      </c>
      <c r="DJ13" s="135">
        <v>1845</v>
      </c>
      <c r="DL13" s="135">
        <v>1845</v>
      </c>
      <c r="DM13" s="135">
        <v>1845</v>
      </c>
      <c r="DN13" s="135">
        <v>1845</v>
      </c>
      <c r="DO13" s="135">
        <v>1845</v>
      </c>
      <c r="DP13" s="135">
        <v>1845</v>
      </c>
      <c r="DQ13" s="135">
        <v>1845</v>
      </c>
      <c r="DS13" s="135">
        <v>1845</v>
      </c>
      <c r="DT13" s="135">
        <v>1845</v>
      </c>
      <c r="DU13" s="135">
        <v>1845</v>
      </c>
      <c r="DV13" s="135">
        <v>1845</v>
      </c>
      <c r="DW13" s="135">
        <v>1845</v>
      </c>
      <c r="DX13" s="135">
        <v>1845</v>
      </c>
      <c r="DY13" s="9"/>
      <c r="EA13" s="135">
        <v>1845</v>
      </c>
      <c r="EB13" s="135">
        <v>1845</v>
      </c>
      <c r="EC13" s="135">
        <v>1845</v>
      </c>
      <c r="ED13" s="135">
        <v>1845</v>
      </c>
      <c r="EE13" s="135">
        <v>1845</v>
      </c>
      <c r="EF13" s="135">
        <v>1845</v>
      </c>
      <c r="EH13" s="135">
        <v>1845</v>
      </c>
      <c r="EI13" s="135">
        <v>1845</v>
      </c>
      <c r="EJ13" s="135">
        <v>1845</v>
      </c>
      <c r="EK13" s="135">
        <v>1845</v>
      </c>
      <c r="EL13" s="135">
        <v>1845</v>
      </c>
      <c r="EM13" s="135">
        <v>1845</v>
      </c>
      <c r="EO13" s="135">
        <v>1845</v>
      </c>
      <c r="EP13" s="135">
        <v>1845</v>
      </c>
      <c r="EQ13" s="135">
        <v>1845</v>
      </c>
      <c r="ER13" s="135">
        <v>1845</v>
      </c>
      <c r="ES13" s="135">
        <v>1845</v>
      </c>
      <c r="ET13" s="135">
        <v>1845</v>
      </c>
      <c r="EV13" s="135">
        <v>1845</v>
      </c>
      <c r="EW13" s="135">
        <v>1845</v>
      </c>
      <c r="EX13" s="135">
        <v>1845</v>
      </c>
      <c r="EY13" s="135">
        <v>1845</v>
      </c>
      <c r="EZ13" s="135">
        <v>1845</v>
      </c>
      <c r="FA13" s="135">
        <v>1845</v>
      </c>
      <c r="FC13" s="135">
        <v>1845</v>
      </c>
      <c r="FD13" s="9"/>
      <c r="FE13" s="134">
        <v>500</v>
      </c>
      <c r="FF13" s="134">
        <v>1000</v>
      </c>
      <c r="FG13" s="134">
        <v>1500</v>
      </c>
      <c r="FH13" s="134">
        <v>1760</v>
      </c>
      <c r="FI13" s="134">
        <v>1760</v>
      </c>
      <c r="FJ13" s="134"/>
      <c r="FK13" s="134">
        <v>1760</v>
      </c>
      <c r="FL13" s="134">
        <v>1760</v>
      </c>
      <c r="FM13" s="134">
        <v>1760</v>
      </c>
      <c r="FN13" s="134">
        <v>1760</v>
      </c>
      <c r="FO13" s="134">
        <v>1760</v>
      </c>
      <c r="FP13" s="134">
        <v>1760</v>
      </c>
      <c r="FQ13" s="134"/>
      <c r="FR13" s="134">
        <v>1760</v>
      </c>
      <c r="FS13" s="134">
        <v>1760</v>
      </c>
      <c r="FT13" s="134"/>
      <c r="FU13" s="134">
        <v>1760</v>
      </c>
      <c r="FV13" s="134">
        <v>1760</v>
      </c>
      <c r="FW13" s="134">
        <v>1760</v>
      </c>
      <c r="FX13" s="134"/>
      <c r="FY13" s="134">
        <v>1760</v>
      </c>
      <c r="FZ13" s="134">
        <v>1760</v>
      </c>
      <c r="GA13" s="134">
        <v>1000</v>
      </c>
      <c r="GB13" s="134">
        <v>1920</v>
      </c>
      <c r="GC13" s="134">
        <v>1920</v>
      </c>
      <c r="GD13" s="134">
        <v>1920</v>
      </c>
      <c r="GE13" s="134"/>
      <c r="GF13" s="134">
        <v>1920</v>
      </c>
      <c r="GG13" s="134">
        <v>1920</v>
      </c>
      <c r="GH13" s="134">
        <v>1920</v>
      </c>
      <c r="GI13" s="134">
        <v>1920</v>
      </c>
      <c r="GJ13" s="9"/>
      <c r="GK13" s="136">
        <v>1920</v>
      </c>
      <c r="GL13" s="136">
        <v>1920</v>
      </c>
      <c r="GM13" s="136"/>
      <c r="GN13" s="136">
        <v>1920</v>
      </c>
      <c r="GO13" s="136">
        <v>1920</v>
      </c>
      <c r="GP13" s="136">
        <v>1920</v>
      </c>
      <c r="GQ13" s="136">
        <v>1920</v>
      </c>
      <c r="GR13" s="136">
        <v>1920</v>
      </c>
      <c r="GS13" s="136">
        <v>1920</v>
      </c>
      <c r="GT13" s="136"/>
      <c r="GU13" s="136">
        <v>1920</v>
      </c>
      <c r="GV13" s="136">
        <v>1920</v>
      </c>
      <c r="GW13" s="136">
        <v>1000</v>
      </c>
      <c r="GX13" s="136">
        <v>1400</v>
      </c>
      <c r="GY13" s="136">
        <v>1600</v>
      </c>
      <c r="GZ13" s="136">
        <v>1920</v>
      </c>
      <c r="HB13" s="136">
        <v>1920</v>
      </c>
      <c r="HC13" s="136">
        <v>1420</v>
      </c>
      <c r="HD13" s="136">
        <v>1200</v>
      </c>
      <c r="HE13" s="136">
        <v>1500</v>
      </c>
      <c r="HF13" s="136">
        <v>1600</v>
      </c>
      <c r="HG13" s="136">
        <v>1920</v>
      </c>
      <c r="HI13" s="136">
        <v>1920</v>
      </c>
      <c r="HJ13" s="136">
        <v>1920</v>
      </c>
      <c r="HK13" s="136">
        <v>1920</v>
      </c>
      <c r="HL13" s="136">
        <v>1920</v>
      </c>
      <c r="HM13" s="136">
        <v>1920</v>
      </c>
      <c r="HN13" s="136">
        <v>1920</v>
      </c>
      <c r="HP13" s="9"/>
      <c r="HQ13" s="136">
        <v>2640</v>
      </c>
      <c r="HR13" s="136">
        <v>2640</v>
      </c>
      <c r="HS13" s="136">
        <v>2640</v>
      </c>
      <c r="HT13" s="136">
        <v>2640</v>
      </c>
      <c r="HU13" s="136">
        <v>2640</v>
      </c>
      <c r="HV13" s="136">
        <v>2640</v>
      </c>
      <c r="HX13" s="137">
        <v>1435</v>
      </c>
      <c r="HY13" s="136">
        <v>2530</v>
      </c>
      <c r="HZ13" s="136">
        <v>2530</v>
      </c>
      <c r="IA13" s="136">
        <v>2530</v>
      </c>
      <c r="IB13" s="136">
        <v>2530</v>
      </c>
      <c r="IC13" s="136">
        <v>2530</v>
      </c>
      <c r="ID13" s="136"/>
      <c r="IE13" s="136">
        <v>2530</v>
      </c>
      <c r="IF13" s="136">
        <v>2530</v>
      </c>
      <c r="IG13" s="136">
        <v>2530</v>
      </c>
      <c r="IH13" s="136">
        <v>2530</v>
      </c>
      <c r="II13" s="136">
        <v>2530</v>
      </c>
      <c r="IJ13" s="136">
        <v>2530</v>
      </c>
      <c r="IK13" s="136"/>
      <c r="IL13" s="137">
        <v>2530</v>
      </c>
      <c r="IM13" s="136">
        <v>700</v>
      </c>
      <c r="IN13" s="136">
        <v>1400</v>
      </c>
      <c r="IO13" s="136">
        <v>2100</v>
      </c>
      <c r="IP13" s="136">
        <v>2695</v>
      </c>
      <c r="IQ13" s="136">
        <v>2695</v>
      </c>
      <c r="IR13" s="136"/>
      <c r="IS13" s="136">
        <v>2695</v>
      </c>
      <c r="IT13" s="9"/>
      <c r="IU13" s="129">
        <v>2695</v>
      </c>
      <c r="IV13" s="129">
        <v>2695</v>
      </c>
      <c r="IW13" s="129">
        <v>2695</v>
      </c>
      <c r="IX13" s="129">
        <v>2695</v>
      </c>
      <c r="IY13" s="129">
        <v>2695</v>
      </c>
      <c r="IZ13" s="129"/>
      <c r="JA13" s="129">
        <v>2695</v>
      </c>
      <c r="JB13" s="129">
        <v>2695</v>
      </c>
      <c r="JC13" s="129">
        <v>2695</v>
      </c>
      <c r="JD13" s="129">
        <v>2695</v>
      </c>
      <c r="JE13" s="129">
        <v>2695</v>
      </c>
      <c r="JF13" s="129">
        <v>2695</v>
      </c>
      <c r="JG13" s="129"/>
      <c r="JH13" s="129">
        <v>2695</v>
      </c>
      <c r="JI13" s="129">
        <v>2695</v>
      </c>
      <c r="JJ13" s="129">
        <v>2695</v>
      </c>
      <c r="JK13" s="129">
        <v>2695</v>
      </c>
      <c r="JL13" s="129">
        <v>2695</v>
      </c>
      <c r="JM13" s="129">
        <v>2695</v>
      </c>
      <c r="JN13" s="129"/>
      <c r="JO13" s="129">
        <v>2695</v>
      </c>
      <c r="JP13" s="129">
        <v>2695</v>
      </c>
      <c r="JQ13" s="129">
        <v>2695</v>
      </c>
      <c r="JR13" s="129">
        <v>2695</v>
      </c>
      <c r="JS13" s="129">
        <v>2695</v>
      </c>
      <c r="JT13" s="129"/>
      <c r="JU13" s="129"/>
      <c r="JV13" s="129">
        <v>2695</v>
      </c>
      <c r="JW13" s="129">
        <v>2695</v>
      </c>
      <c r="JX13" s="129">
        <v>2695</v>
      </c>
      <c r="JY13" s="129">
        <v>2695</v>
      </c>
      <c r="JZ13" s="9"/>
      <c r="KA13" s="129">
        <v>2695</v>
      </c>
      <c r="KB13" s="129">
        <v>2695</v>
      </c>
      <c r="KC13" s="129"/>
      <c r="KD13" s="129">
        <v>2695</v>
      </c>
      <c r="KE13" s="129">
        <v>2695</v>
      </c>
      <c r="KF13" s="129">
        <v>2695</v>
      </c>
      <c r="KG13" s="129">
        <v>2695</v>
      </c>
      <c r="KH13" s="129"/>
      <c r="KI13" s="129">
        <v>2695</v>
      </c>
      <c r="KJ13" s="129">
        <v>2695</v>
      </c>
      <c r="KK13" s="129">
        <v>2695</v>
      </c>
      <c r="KL13" s="129">
        <v>2695</v>
      </c>
      <c r="KM13" s="129">
        <v>2695</v>
      </c>
      <c r="KN13" s="129"/>
      <c r="KO13" s="129">
        <v>2695</v>
      </c>
      <c r="KP13" s="129">
        <v>2695</v>
      </c>
      <c r="KQ13" s="129">
        <v>2695</v>
      </c>
      <c r="KR13" s="129">
        <v>2695</v>
      </c>
      <c r="KS13" s="129">
        <v>2695</v>
      </c>
      <c r="KT13" s="129">
        <v>2695</v>
      </c>
      <c r="KU13" s="129">
        <v>2695</v>
      </c>
      <c r="KV13" s="129">
        <v>2695</v>
      </c>
      <c r="KW13" s="129">
        <v>2695</v>
      </c>
      <c r="KX13" s="129"/>
      <c r="KY13" s="129">
        <v>2205</v>
      </c>
      <c r="KZ13" s="129">
        <v>2205</v>
      </c>
      <c r="LA13" s="129">
        <v>2205</v>
      </c>
      <c r="LB13" s="129">
        <v>2205</v>
      </c>
      <c r="LC13" s="129">
        <v>2205</v>
      </c>
      <c r="LD13" s="129">
        <v>2205</v>
      </c>
      <c r="LE13" s="9"/>
      <c r="LF13" s="129"/>
      <c r="LG13" s="129">
        <v>2205</v>
      </c>
      <c r="LH13" s="129">
        <v>2205</v>
      </c>
      <c r="LI13" s="129">
        <v>2205</v>
      </c>
      <c r="LJ13" s="129">
        <v>2205</v>
      </c>
      <c r="LK13" s="129">
        <v>2205</v>
      </c>
      <c r="LL13" s="129">
        <v>2205</v>
      </c>
      <c r="LM13" s="129">
        <v>2205</v>
      </c>
      <c r="LN13" s="129">
        <v>2205</v>
      </c>
      <c r="LO13" s="129">
        <v>2205</v>
      </c>
      <c r="LP13" s="129">
        <v>2205</v>
      </c>
      <c r="LQ13" s="129">
        <v>2205</v>
      </c>
      <c r="LR13" s="129">
        <v>2205</v>
      </c>
      <c r="LS13" s="129">
        <v>2205</v>
      </c>
      <c r="LT13" s="129"/>
      <c r="LU13" s="129">
        <v>2205</v>
      </c>
      <c r="LV13" s="129">
        <v>2205</v>
      </c>
      <c r="LW13" s="129">
        <v>2205</v>
      </c>
      <c r="LX13" s="129">
        <v>2205</v>
      </c>
      <c r="LY13" s="129">
        <v>2205</v>
      </c>
      <c r="LZ13" s="756"/>
      <c r="MA13" s="757"/>
      <c r="MB13" s="757"/>
      <c r="MC13" s="757"/>
      <c r="MD13" s="757"/>
      <c r="ME13" s="757"/>
      <c r="MF13" s="757"/>
      <c r="MG13" s="757"/>
      <c r="MH13" s="757"/>
      <c r="MI13" s="758"/>
      <c r="MJ13" s="129">
        <v>2205</v>
      </c>
      <c r="MK13" s="9"/>
      <c r="ML13" s="336">
        <v>2450</v>
      </c>
      <c r="MM13" s="336">
        <v>2450</v>
      </c>
      <c r="MN13" s="336">
        <v>2450</v>
      </c>
      <c r="MO13" s="336">
        <v>2450</v>
      </c>
      <c r="MP13" s="336"/>
      <c r="MQ13" s="336">
        <v>2450</v>
      </c>
      <c r="MR13" s="336">
        <v>2450</v>
      </c>
      <c r="MS13" s="336">
        <v>2450</v>
      </c>
      <c r="MT13" s="336">
        <v>2450</v>
      </c>
      <c r="MU13" s="336">
        <v>2450</v>
      </c>
      <c r="MV13" s="336">
        <v>2450</v>
      </c>
      <c r="MW13" s="336"/>
      <c r="MX13" s="336">
        <v>2450</v>
      </c>
      <c r="MY13" s="336">
        <v>2450</v>
      </c>
      <c r="MZ13" s="336">
        <v>2450</v>
      </c>
      <c r="NA13" s="336">
        <v>2450</v>
      </c>
      <c r="NB13" s="336">
        <v>2450</v>
      </c>
      <c r="NC13" s="336">
        <v>2450</v>
      </c>
      <c r="ND13" s="336"/>
      <c r="NE13" s="340">
        <v>2450</v>
      </c>
      <c r="NF13" s="336">
        <v>2250</v>
      </c>
      <c r="NG13" s="336">
        <v>2250</v>
      </c>
      <c r="NH13" s="336">
        <v>2250</v>
      </c>
      <c r="NI13" s="336">
        <v>2250</v>
      </c>
      <c r="NJ13" s="336">
        <v>2250</v>
      </c>
      <c r="NK13" s="336">
        <v>2250</v>
      </c>
      <c r="NL13" s="336">
        <v>2250</v>
      </c>
      <c r="NM13" s="336">
        <v>2250</v>
      </c>
      <c r="NN13" s="336">
        <v>2250</v>
      </c>
      <c r="NO13" s="336">
        <v>2250</v>
      </c>
      <c r="NP13" s="9"/>
      <c r="NQ13" s="346"/>
      <c r="NR13" s="346"/>
      <c r="NS13" s="346"/>
      <c r="NT13" s="346"/>
      <c r="NU13" s="346"/>
      <c r="NV13" s="346"/>
      <c r="NW13" s="346"/>
      <c r="NX13" s="346"/>
      <c r="NY13" s="346"/>
      <c r="NZ13" s="346"/>
      <c r="OA13" s="346"/>
      <c r="OB13" s="346"/>
      <c r="OC13" s="346"/>
      <c r="OD13" s="346"/>
      <c r="OE13" s="346"/>
      <c r="OF13" s="346"/>
      <c r="OG13" s="346"/>
      <c r="OH13" s="346"/>
      <c r="OI13" s="346"/>
      <c r="OJ13" s="346"/>
      <c r="OK13" s="346"/>
      <c r="OL13" s="346"/>
      <c r="OM13" s="346"/>
      <c r="ON13" s="346"/>
      <c r="OO13" s="346"/>
      <c r="OP13" s="346"/>
      <c r="OQ13" s="346"/>
      <c r="OR13" s="346"/>
      <c r="OS13" s="762"/>
      <c r="OT13" s="763"/>
      <c r="OU13" s="764"/>
      <c r="OV13" s="9"/>
      <c r="OW13" s="770"/>
      <c r="OX13" s="763"/>
      <c r="OY13" s="763"/>
      <c r="OZ13" s="763"/>
      <c r="PA13" s="763"/>
      <c r="PB13" s="763"/>
      <c r="PC13" s="771"/>
      <c r="PD13" s="353"/>
      <c r="PE13" s="353"/>
      <c r="PF13" s="353"/>
      <c r="PG13" s="353"/>
      <c r="PH13" s="353"/>
      <c r="PI13" s="353"/>
      <c r="PJ13" s="353"/>
      <c r="PK13" s="353"/>
      <c r="PL13" s="353"/>
      <c r="PM13" s="353"/>
      <c r="PN13" s="353"/>
      <c r="PO13" s="353"/>
      <c r="PP13" s="353"/>
      <c r="PQ13" s="353"/>
      <c r="PR13" s="353"/>
      <c r="PS13" s="353"/>
      <c r="PT13" s="353"/>
      <c r="PU13" s="353"/>
      <c r="PV13" s="353"/>
      <c r="PW13" s="353"/>
      <c r="PX13" s="353"/>
      <c r="PY13" s="353"/>
      <c r="PZ13" s="353"/>
      <c r="QA13" s="353"/>
      <c r="QB13" s="9"/>
      <c r="QC13" s="359"/>
      <c r="QD13" s="359"/>
      <c r="QE13" s="359"/>
      <c r="QF13" s="359"/>
      <c r="QG13" s="359"/>
      <c r="QH13" s="359"/>
      <c r="QI13" s="359"/>
      <c r="QJ13" s="359"/>
      <c r="QK13" s="359"/>
      <c r="QL13" s="359"/>
      <c r="QM13" s="359"/>
      <c r="QN13" s="359"/>
      <c r="QO13" s="359"/>
      <c r="QP13" s="359"/>
      <c r="QQ13" s="359"/>
      <c r="QR13" s="359"/>
      <c r="QS13" s="359"/>
      <c r="QT13" s="359"/>
      <c r="QU13" s="359"/>
      <c r="QV13" s="359"/>
      <c r="QW13" s="359"/>
      <c r="QX13" s="359"/>
      <c r="QY13" s="359"/>
      <c r="QZ13" s="359"/>
      <c r="RA13" s="359"/>
      <c r="RB13" s="359"/>
      <c r="RC13" s="359"/>
      <c r="RD13" s="359"/>
      <c r="RE13" s="359"/>
      <c r="RF13" s="359"/>
      <c r="RG13" s="9"/>
      <c r="RH13" s="439"/>
      <c r="RI13" s="439"/>
      <c r="RJ13" s="439"/>
      <c r="RK13" s="439"/>
      <c r="RL13" s="439"/>
      <c r="RM13" s="439"/>
      <c r="RN13" s="439"/>
      <c r="RO13" s="439"/>
      <c r="RP13" s="439"/>
      <c r="RQ13" s="439"/>
      <c r="RR13" s="439"/>
      <c r="RS13" s="439"/>
      <c r="RT13" s="439"/>
      <c r="RU13" s="439"/>
      <c r="RV13" s="439"/>
      <c r="RW13" s="439"/>
      <c r="RX13" s="439"/>
      <c r="RY13" s="439"/>
      <c r="RZ13" s="439"/>
      <c r="SA13" s="439"/>
      <c r="SB13" s="439"/>
      <c r="SC13" s="439"/>
      <c r="SD13" s="439"/>
      <c r="SE13" s="439"/>
      <c r="SF13" s="439"/>
      <c r="SG13" s="439"/>
      <c r="SH13" s="439"/>
      <c r="SI13" s="439"/>
      <c r="SJ13" s="439"/>
      <c r="SK13" s="439"/>
      <c r="SL13" s="439"/>
      <c r="SM13" s="9"/>
      <c r="SN13" s="439"/>
      <c r="SO13" s="439"/>
      <c r="SP13" s="439"/>
      <c r="SQ13" s="439"/>
      <c r="SR13" s="439"/>
      <c r="SS13" s="439"/>
      <c r="ST13" s="439"/>
      <c r="SU13" s="439"/>
      <c r="SV13" s="439"/>
      <c r="SW13" s="439"/>
      <c r="SX13" s="439"/>
      <c r="SY13" s="439"/>
      <c r="SZ13" s="439"/>
      <c r="TA13" s="439"/>
      <c r="TB13" s="439"/>
      <c r="TC13" s="439"/>
      <c r="TD13" s="439"/>
      <c r="TE13" s="439"/>
      <c r="TF13" s="439"/>
      <c r="TG13" s="439"/>
      <c r="TH13" s="439"/>
      <c r="TI13" s="439"/>
      <c r="TJ13" s="439"/>
      <c r="TK13" s="439"/>
      <c r="TL13" s="439"/>
      <c r="TM13" s="439"/>
      <c r="TN13" s="439"/>
      <c r="TO13" s="439"/>
      <c r="TP13" s="439"/>
      <c r="TQ13" s="439"/>
      <c r="TR13" s="9"/>
      <c r="TS13" s="439"/>
      <c r="TT13" s="439"/>
      <c r="TU13" s="439"/>
      <c r="TV13" s="439"/>
      <c r="TW13" s="439"/>
      <c r="TX13" s="439"/>
      <c r="TY13" s="439"/>
      <c r="TZ13" s="439"/>
      <c r="UA13" s="439"/>
      <c r="UB13" s="439"/>
      <c r="UC13" s="439"/>
      <c r="UD13" s="439"/>
      <c r="UE13" s="439"/>
      <c r="UF13" s="439"/>
      <c r="UG13" s="439"/>
      <c r="UH13" s="439"/>
      <c r="UI13" s="447"/>
      <c r="UJ13" s="447"/>
      <c r="UK13" s="447"/>
      <c r="UL13" s="447"/>
      <c r="UM13" s="447"/>
      <c r="UN13" s="447"/>
      <c r="UO13" s="447"/>
      <c r="UP13" s="447"/>
      <c r="UQ13" s="447"/>
      <c r="UR13" s="447"/>
      <c r="US13" s="447"/>
      <c r="UT13" s="447"/>
      <c r="UU13" s="447"/>
      <c r="UV13" s="447"/>
      <c r="UW13" s="447"/>
      <c r="UX13" s="9"/>
      <c r="UY13" s="447"/>
      <c r="UZ13" s="447"/>
      <c r="VA13" s="447"/>
      <c r="VB13" s="447"/>
      <c r="VC13" s="447"/>
      <c r="VD13" s="447"/>
      <c r="VE13" s="447"/>
      <c r="VF13" s="447"/>
      <c r="VG13" s="447"/>
      <c r="VH13" s="447"/>
      <c r="VI13" s="447"/>
      <c r="VJ13" s="447"/>
      <c r="VK13" s="447"/>
      <c r="VL13" s="447"/>
      <c r="VM13" s="447"/>
      <c r="VN13" s="447"/>
      <c r="VO13" s="447"/>
      <c r="VP13" s="447"/>
      <c r="VQ13" s="447"/>
      <c r="VR13" s="447"/>
      <c r="VS13" s="447"/>
      <c r="VT13" s="447"/>
      <c r="WD13" s="9"/>
      <c r="XG13" s="9"/>
      <c r="YM13" s="9"/>
      <c r="ZR13" s="9"/>
      <c r="AAX13" s="9"/>
      <c r="ACC13" s="9"/>
      <c r="ACL13" s="337" t="s">
        <v>2434</v>
      </c>
      <c r="ACM13" s="609">
        <v>1364628</v>
      </c>
      <c r="ACN13" s="610">
        <v>5777.8</v>
      </c>
      <c r="ACO13" s="610">
        <v>236.18470698189623</v>
      </c>
      <c r="ACV13" s="704"/>
      <c r="ACW13" s="705"/>
      <c r="ACX13" s="705"/>
      <c r="ACY13" s="705"/>
      <c r="ACZ13" s="705"/>
      <c r="ADA13" s="705"/>
      <c r="ADB13" s="705"/>
      <c r="ADC13" s="705"/>
      <c r="ADD13" s="706"/>
      <c r="ADI13" s="9"/>
      <c r="ADJ13" s="314">
        <v>8</v>
      </c>
      <c r="ADK13" s="314">
        <v>11</v>
      </c>
      <c r="ADL13" s="314">
        <v>11</v>
      </c>
      <c r="ADM13" s="314">
        <v>11</v>
      </c>
      <c r="ADN13" s="314">
        <v>8</v>
      </c>
      <c r="ADO13" s="314"/>
      <c r="ADP13" s="314">
        <v>11</v>
      </c>
      <c r="ADQ13" s="314">
        <v>11</v>
      </c>
      <c r="ADR13" s="314">
        <v>11</v>
      </c>
      <c r="ADS13" s="314">
        <v>11</v>
      </c>
      <c r="ADT13" s="314">
        <v>11</v>
      </c>
      <c r="ADU13" s="314">
        <v>11</v>
      </c>
      <c r="ADV13" s="314"/>
      <c r="ADW13" s="314">
        <v>11</v>
      </c>
      <c r="ADX13" s="314"/>
      <c r="ADY13" s="314">
        <v>11</v>
      </c>
      <c r="ADZ13" s="314">
        <v>11</v>
      </c>
      <c r="AEA13" s="314">
        <v>11</v>
      </c>
      <c r="AEB13" s="314">
        <v>8</v>
      </c>
      <c r="AEC13" s="314"/>
      <c r="AED13" s="314">
        <v>11</v>
      </c>
      <c r="AEE13" s="314">
        <v>11</v>
      </c>
      <c r="AEF13" s="314">
        <v>11</v>
      </c>
      <c r="AEG13" s="314">
        <v>11</v>
      </c>
      <c r="AEH13" s="314">
        <v>11</v>
      </c>
      <c r="AEI13" s="314">
        <v>11</v>
      </c>
      <c r="AEJ13" s="314"/>
      <c r="AEK13" s="314">
        <v>11</v>
      </c>
      <c r="AEL13" s="314">
        <v>11</v>
      </c>
      <c r="AEM13" s="314">
        <v>11</v>
      </c>
      <c r="AEN13" s="314">
        <v>11</v>
      </c>
      <c r="AEO13" s="9"/>
      <c r="AEP13" s="314">
        <v>11</v>
      </c>
      <c r="AEQ13" s="314">
        <v>11</v>
      </c>
      <c r="AER13" s="314"/>
      <c r="AES13" s="314">
        <v>11</v>
      </c>
      <c r="AET13" s="314">
        <v>11</v>
      </c>
      <c r="AEU13" s="314">
        <v>11</v>
      </c>
      <c r="AEV13" s="314">
        <v>11</v>
      </c>
      <c r="AEW13" s="314">
        <v>11</v>
      </c>
      <c r="AEX13" s="314">
        <v>11</v>
      </c>
      <c r="AEY13" s="314"/>
      <c r="AEZ13" s="314">
        <v>11</v>
      </c>
      <c r="AFA13" s="314">
        <v>11</v>
      </c>
      <c r="AFB13" s="314">
        <v>11</v>
      </c>
      <c r="AFC13" s="314">
        <v>11</v>
      </c>
      <c r="AFD13" s="314">
        <v>11</v>
      </c>
      <c r="AFE13" s="314">
        <v>11</v>
      </c>
      <c r="AFF13" s="314"/>
      <c r="AFG13" s="314">
        <v>11</v>
      </c>
      <c r="AFH13" s="636">
        <v>11</v>
      </c>
      <c r="AFI13" s="314">
        <v>1057</v>
      </c>
      <c r="AFJ13" s="314">
        <v>2250</v>
      </c>
      <c r="AFK13" s="314">
        <v>2250</v>
      </c>
      <c r="AFL13" s="314">
        <v>2250</v>
      </c>
      <c r="AFM13" s="314"/>
      <c r="AFN13" s="314">
        <v>2250</v>
      </c>
      <c r="AFO13" s="314">
        <v>2250</v>
      </c>
      <c r="AFP13" s="314">
        <v>2250</v>
      </c>
      <c r="AFQ13" s="314">
        <v>2250</v>
      </c>
      <c r="AFR13" s="314">
        <v>2250</v>
      </c>
      <c r="AFS13" s="314">
        <v>2250</v>
      </c>
      <c r="AFT13" s="48"/>
      <c r="AFU13" s="314"/>
      <c r="AFV13" s="314">
        <v>2250</v>
      </c>
      <c r="AFW13" s="314">
        <v>2250</v>
      </c>
      <c r="AFX13" s="314">
        <v>2250</v>
      </c>
      <c r="AFY13" s="314">
        <v>2250</v>
      </c>
      <c r="AFZ13" s="314">
        <v>2250</v>
      </c>
      <c r="AGA13" s="314">
        <v>2250</v>
      </c>
      <c r="AGC13" s="314">
        <v>2250</v>
      </c>
      <c r="AGD13" s="314">
        <v>2250</v>
      </c>
      <c r="AGE13" s="314">
        <v>2250</v>
      </c>
      <c r="AGF13" s="314">
        <v>2250</v>
      </c>
      <c r="AGG13" s="314">
        <v>2250</v>
      </c>
      <c r="AGH13" s="314">
        <v>2250</v>
      </c>
      <c r="AGI13" s="314"/>
      <c r="AGJ13" s="314">
        <v>2250</v>
      </c>
      <c r="AGK13" s="314">
        <v>2250</v>
      </c>
      <c r="AGL13" s="314">
        <v>2250</v>
      </c>
      <c r="AGM13" s="314">
        <v>2250</v>
      </c>
      <c r="AGN13" s="314">
        <v>2250</v>
      </c>
      <c r="AGO13" s="314">
        <v>2250</v>
      </c>
      <c r="AGP13" s="314"/>
      <c r="AGQ13" s="314">
        <v>2250</v>
      </c>
      <c r="AGR13" s="314">
        <v>2250</v>
      </c>
      <c r="AGS13" s="314">
        <v>2250</v>
      </c>
      <c r="AGT13" s="314">
        <v>2250</v>
      </c>
      <c r="AGU13" s="314">
        <v>2250</v>
      </c>
      <c r="AGV13" s="314">
        <v>2250</v>
      </c>
      <c r="AGW13" s="314"/>
      <c r="AGX13" s="314">
        <v>2250</v>
      </c>
      <c r="AGY13" s="314">
        <v>2250</v>
      </c>
      <c r="AGZ13" s="11"/>
      <c r="AHA13" s="314">
        <v>2500</v>
      </c>
      <c r="AHB13" s="314">
        <v>2500</v>
      </c>
      <c r="AHC13" s="314">
        <v>2500</v>
      </c>
      <c r="AHD13" s="314">
        <v>2500</v>
      </c>
      <c r="AHE13" s="314"/>
      <c r="AHF13" s="314">
        <v>2500</v>
      </c>
      <c r="AHG13" s="314">
        <v>2500</v>
      </c>
      <c r="AHH13" s="314">
        <v>2500</v>
      </c>
      <c r="AHI13" s="314">
        <v>2500</v>
      </c>
      <c r="AHJ13" s="314">
        <v>2500</v>
      </c>
      <c r="AHK13" s="314">
        <v>2500</v>
      </c>
      <c r="AHL13" s="314"/>
      <c r="AHM13" s="314">
        <v>2500</v>
      </c>
      <c r="AHN13" s="314">
        <v>2500</v>
      </c>
      <c r="AHO13" s="314">
        <v>2500</v>
      </c>
      <c r="AHP13" s="314">
        <v>2500</v>
      </c>
      <c r="AHQ13" s="314">
        <v>2500</v>
      </c>
      <c r="AHR13" s="314">
        <v>2500</v>
      </c>
      <c r="AHS13" s="314"/>
      <c r="AHT13" s="314">
        <v>2500</v>
      </c>
      <c r="AHU13" s="314">
        <v>2500</v>
      </c>
      <c r="AHV13" s="124">
        <v>2500</v>
      </c>
      <c r="AHW13" s="314">
        <v>350</v>
      </c>
      <c r="AHX13" s="314">
        <v>700</v>
      </c>
      <c r="AHY13" s="314">
        <v>1050</v>
      </c>
      <c r="AHZ13" s="314">
        <v>1500</v>
      </c>
      <c r="AIA13" s="314">
        <v>1500</v>
      </c>
      <c r="AIB13" s="314">
        <v>1500</v>
      </c>
      <c r="AIC13" s="314">
        <v>1500</v>
      </c>
      <c r="AID13" s="314">
        <v>1500</v>
      </c>
      <c r="AIE13" s="9"/>
      <c r="AIF13" s="314"/>
      <c r="AIG13" s="124">
        <v>800</v>
      </c>
      <c r="AII13" s="314">
        <v>400</v>
      </c>
      <c r="AIJ13" s="314">
        <v>800</v>
      </c>
      <c r="AIK13" s="314">
        <v>1200</v>
      </c>
      <c r="AIL13" s="314">
        <v>1600</v>
      </c>
      <c r="AIM13" s="314">
        <v>1925</v>
      </c>
      <c r="AIN13" s="314">
        <v>1925</v>
      </c>
      <c r="AIP13" s="314">
        <v>1925</v>
      </c>
      <c r="AIQ13" s="314">
        <v>1925</v>
      </c>
      <c r="AIR13" s="314">
        <v>1925</v>
      </c>
      <c r="AIS13" s="314">
        <v>1925</v>
      </c>
      <c r="AIT13" s="314">
        <v>1925</v>
      </c>
      <c r="AIU13" s="314"/>
      <c r="AIV13" s="314"/>
      <c r="AIW13" s="314">
        <v>1925</v>
      </c>
      <c r="AIX13" s="314">
        <v>1925</v>
      </c>
      <c r="AIY13" s="314">
        <v>1925</v>
      </c>
      <c r="AIZ13" s="314">
        <v>1925</v>
      </c>
      <c r="AJA13" s="314">
        <v>1925</v>
      </c>
      <c r="AJB13" s="314">
        <v>1925</v>
      </c>
      <c r="AJD13" s="213">
        <v>1925</v>
      </c>
      <c r="AJE13" s="213">
        <v>1925</v>
      </c>
      <c r="AJF13" s="213">
        <v>1925</v>
      </c>
      <c r="AJG13" s="213">
        <v>1925</v>
      </c>
      <c r="AJH13" s="213">
        <v>1925</v>
      </c>
      <c r="AJI13" s="698">
        <v>1925</v>
      </c>
      <c r="AJJ13" s="191"/>
      <c r="AJK13" s="9"/>
      <c r="AJL13" s="314">
        <v>2250</v>
      </c>
      <c r="AJM13" s="314">
        <v>2250</v>
      </c>
      <c r="AJN13" s="314">
        <v>2250</v>
      </c>
      <c r="AJO13" s="314">
        <v>2250</v>
      </c>
      <c r="AJP13" s="314">
        <v>2250</v>
      </c>
      <c r="AJQ13" s="314">
        <v>2250</v>
      </c>
      <c r="AJR13" s="314"/>
      <c r="AJS13" s="314">
        <v>2250</v>
      </c>
      <c r="AJT13" s="314">
        <v>2250</v>
      </c>
      <c r="AJU13" s="314">
        <v>2250</v>
      </c>
      <c r="AJV13" s="314">
        <v>2250</v>
      </c>
      <c r="AJW13" s="314">
        <v>2250</v>
      </c>
      <c r="AJX13" s="314">
        <v>2250</v>
      </c>
      <c r="AJY13" s="314"/>
      <c r="AJZ13" s="314">
        <v>2250</v>
      </c>
      <c r="AKA13" s="314">
        <v>2250</v>
      </c>
      <c r="AKB13" s="314">
        <v>2250</v>
      </c>
      <c r="AKC13" s="314">
        <v>2250</v>
      </c>
      <c r="AKD13" s="314">
        <v>2250</v>
      </c>
      <c r="AKE13" s="314">
        <v>2250</v>
      </c>
      <c r="AKF13" s="314"/>
      <c r="AKG13" s="314">
        <v>2250</v>
      </c>
      <c r="AKH13" s="314">
        <v>2250</v>
      </c>
      <c r="AKI13" s="314">
        <v>2250</v>
      </c>
      <c r="AKJ13" s="314">
        <v>2250</v>
      </c>
      <c r="AKK13" s="314">
        <v>2250</v>
      </c>
      <c r="AKL13" s="314">
        <v>2250</v>
      </c>
      <c r="AKM13" s="314"/>
      <c r="AKN13" s="314">
        <v>2250</v>
      </c>
      <c r="AKO13" s="314">
        <v>2250</v>
      </c>
      <c r="AKP13" s="314">
        <v>2250</v>
      </c>
      <c r="AKQ13" s="314"/>
      <c r="AKR13" s="314">
        <v>2250</v>
      </c>
      <c r="AKS13" s="314">
        <v>2250</v>
      </c>
      <c r="AKT13" s="314">
        <v>2250</v>
      </c>
      <c r="AKU13" s="314"/>
      <c r="AKV13" s="314">
        <v>2250</v>
      </c>
      <c r="AKW13" s="314">
        <v>2250</v>
      </c>
      <c r="AKX13" s="314">
        <v>2250</v>
      </c>
      <c r="AKY13" s="314">
        <v>2250</v>
      </c>
      <c r="AKZ13" s="314">
        <v>2250</v>
      </c>
      <c r="ALA13" s="314">
        <v>2250</v>
      </c>
      <c r="ALC13" s="124">
        <v>2250</v>
      </c>
      <c r="ALD13" s="314">
        <v>2450</v>
      </c>
      <c r="ALE13" s="314">
        <v>2450</v>
      </c>
      <c r="ALF13" s="314">
        <v>2450</v>
      </c>
      <c r="ALG13" s="314">
        <v>2450</v>
      </c>
      <c r="ALH13" s="314">
        <v>2450</v>
      </c>
      <c r="ALI13" s="314"/>
      <c r="ALJ13" s="314">
        <v>2450</v>
      </c>
      <c r="ALK13" s="314">
        <v>2450</v>
      </c>
      <c r="ALL13" s="314"/>
      <c r="ALM13" s="314">
        <v>2450</v>
      </c>
      <c r="ALN13" s="314">
        <v>2450</v>
      </c>
      <c r="ALO13" s="314">
        <v>2450</v>
      </c>
      <c r="ALP13" s="314"/>
      <c r="ALQ13" s="314">
        <v>2450</v>
      </c>
      <c r="ALR13" s="314">
        <v>2450</v>
      </c>
      <c r="ALS13" s="314">
        <v>2450</v>
      </c>
      <c r="ALT13" s="9"/>
      <c r="ALU13" s="314">
        <v>2450</v>
      </c>
      <c r="ALV13" s="314">
        <v>2450</v>
      </c>
      <c r="ALW13" s="314">
        <v>2450</v>
      </c>
      <c r="ALX13" s="314"/>
      <c r="ALY13" s="314">
        <v>2450</v>
      </c>
      <c r="ALZ13" s="314">
        <v>2450</v>
      </c>
      <c r="AMA13" s="314">
        <v>2450</v>
      </c>
      <c r="AMB13" s="314">
        <v>2450</v>
      </c>
      <c r="AMC13" s="314">
        <v>2450</v>
      </c>
      <c r="AMD13" s="314">
        <v>2450</v>
      </c>
      <c r="AME13" s="314"/>
      <c r="AMF13" s="314">
        <v>2450</v>
      </c>
      <c r="AMG13" s="314">
        <v>2450</v>
      </c>
      <c r="AMH13" s="124">
        <v>2450</v>
      </c>
      <c r="AMI13" s="314">
        <v>2450</v>
      </c>
      <c r="AMJ13" s="314">
        <v>2450</v>
      </c>
      <c r="AMK13" s="314">
        <v>2450</v>
      </c>
      <c r="AML13" s="314"/>
      <c r="AMM13" s="314">
        <v>2450</v>
      </c>
      <c r="AMN13" s="314">
        <v>2450</v>
      </c>
      <c r="AMO13" s="314">
        <v>2450</v>
      </c>
      <c r="AMP13" s="314">
        <v>2450</v>
      </c>
      <c r="AMQ13" s="314">
        <v>2450</v>
      </c>
      <c r="AMR13" s="314">
        <v>2450</v>
      </c>
      <c r="AMS13" s="314"/>
      <c r="AMT13" s="314"/>
      <c r="AMU13" s="314">
        <v>2450</v>
      </c>
      <c r="AMV13" s="314">
        <v>2450</v>
      </c>
      <c r="AMW13" s="314">
        <v>2450</v>
      </c>
      <c r="AMX13" s="314">
        <v>2450</v>
      </c>
      <c r="AMY13" s="314">
        <v>2450</v>
      </c>
      <c r="AMZ13" s="9"/>
      <c r="ANA13" s="364"/>
      <c r="ANB13" s="314">
        <v>1960</v>
      </c>
      <c r="ANC13" s="314">
        <v>1960</v>
      </c>
      <c r="AND13" s="314">
        <v>1960</v>
      </c>
      <c r="ANE13" s="314">
        <v>1960</v>
      </c>
      <c r="ANF13" s="314">
        <v>1960</v>
      </c>
      <c r="ANG13" s="314">
        <v>1960</v>
      </c>
      <c r="ANH13" s="314">
        <v>1960</v>
      </c>
      <c r="ANI13" s="314">
        <v>1960</v>
      </c>
      <c r="ANJ13" s="314">
        <v>1960</v>
      </c>
      <c r="ANK13" s="314">
        <v>1960</v>
      </c>
      <c r="ANL13" s="314">
        <v>1960</v>
      </c>
      <c r="ANM13" s="314">
        <v>1960</v>
      </c>
      <c r="ANN13" s="314"/>
      <c r="ANO13" s="314"/>
      <c r="ANP13" s="124">
        <v>1960</v>
      </c>
      <c r="ANQ13" s="314">
        <v>1960</v>
      </c>
      <c r="ANR13" s="314">
        <v>1960</v>
      </c>
      <c r="ANS13" s="314">
        <v>1960</v>
      </c>
      <c r="ANT13" s="314">
        <v>1960</v>
      </c>
      <c r="ANU13" s="314">
        <v>1960</v>
      </c>
      <c r="ANV13" s="314">
        <v>1960</v>
      </c>
      <c r="ANW13" s="314">
        <v>1960</v>
      </c>
      <c r="ANX13" s="314">
        <v>1960</v>
      </c>
      <c r="ANY13" s="314">
        <v>1960</v>
      </c>
      <c r="ANZ13" s="314">
        <v>1960</v>
      </c>
      <c r="AOA13" s="314">
        <v>1960</v>
      </c>
      <c r="AOB13" s="314">
        <v>1960</v>
      </c>
      <c r="AOC13" s="314"/>
      <c r="AOD13" s="314">
        <v>1960</v>
      </c>
      <c r="AOE13" s="9"/>
      <c r="AOF13" s="128"/>
      <c r="AOG13" s="128"/>
      <c r="AOH13" s="128"/>
      <c r="AOI13" s="128"/>
      <c r="AOJ13" s="128"/>
      <c r="AOK13" s="128"/>
      <c r="AOL13" s="128"/>
      <c r="AOM13" s="128"/>
      <c r="AON13" s="128"/>
      <c r="AOO13" s="314">
        <v>2450</v>
      </c>
      <c r="AOP13" s="314">
        <v>2450</v>
      </c>
      <c r="AOQ13" s="314">
        <v>2450</v>
      </c>
      <c r="AOR13" s="314"/>
      <c r="AOS13" s="314">
        <v>2450</v>
      </c>
      <c r="AOT13" s="314">
        <v>2450</v>
      </c>
      <c r="AOU13" s="314">
        <v>2450</v>
      </c>
      <c r="AOV13" s="314">
        <v>2450</v>
      </c>
      <c r="AOW13" s="314">
        <v>2450</v>
      </c>
      <c r="AOX13" s="314">
        <v>2450</v>
      </c>
      <c r="AOY13" s="314"/>
      <c r="AOZ13" s="314">
        <v>2450</v>
      </c>
      <c r="APA13" s="314">
        <v>2450</v>
      </c>
      <c r="APB13" s="314">
        <v>2450</v>
      </c>
      <c r="APC13" s="314">
        <v>2450</v>
      </c>
      <c r="APD13" s="314">
        <v>2450</v>
      </c>
      <c r="APE13" s="314">
        <v>2450</v>
      </c>
      <c r="APF13" s="314"/>
      <c r="APG13" s="314">
        <v>2450</v>
      </c>
      <c r="APH13" s="314">
        <v>2450</v>
      </c>
      <c r="API13" s="314">
        <v>2450</v>
      </c>
      <c r="APJ13" s="314">
        <v>2450</v>
      </c>
      <c r="APK13" s="9"/>
      <c r="APL13" s="314">
        <v>2450</v>
      </c>
      <c r="APM13" s="314">
        <v>2450</v>
      </c>
      <c r="APN13" s="314">
        <v>1960</v>
      </c>
      <c r="APO13" s="314">
        <v>2450</v>
      </c>
      <c r="APP13" s="314">
        <v>2450</v>
      </c>
      <c r="APQ13" s="314">
        <v>2450</v>
      </c>
      <c r="APR13" s="314">
        <v>2450</v>
      </c>
      <c r="APS13" s="314">
        <v>2450</v>
      </c>
      <c r="APT13" s="124">
        <v>2450</v>
      </c>
      <c r="APU13" s="314"/>
      <c r="APV13" s="314">
        <v>2450</v>
      </c>
      <c r="APW13" s="314">
        <v>2450</v>
      </c>
      <c r="APX13" s="314">
        <v>2450</v>
      </c>
      <c r="APY13" s="314">
        <v>2450</v>
      </c>
      <c r="APZ13" s="314">
        <v>2450</v>
      </c>
      <c r="AQA13" s="314">
        <v>2450</v>
      </c>
      <c r="AQB13" s="314"/>
      <c r="AQC13" s="314">
        <v>2450</v>
      </c>
      <c r="AQD13" s="314">
        <v>2450</v>
      </c>
      <c r="AQE13" s="314">
        <v>2450</v>
      </c>
      <c r="AQF13" s="314">
        <v>2450</v>
      </c>
      <c r="AQG13" s="314">
        <v>2450</v>
      </c>
      <c r="AQH13" s="314">
        <v>2450</v>
      </c>
      <c r="AQI13" s="314">
        <v>1960</v>
      </c>
      <c r="AQJ13" s="314">
        <v>2450</v>
      </c>
      <c r="AQK13" s="314">
        <v>2450</v>
      </c>
      <c r="AQL13" s="314">
        <v>2450</v>
      </c>
      <c r="AQM13" s="314">
        <v>2450</v>
      </c>
      <c r="AQN13" s="314">
        <v>2450</v>
      </c>
      <c r="AQO13" s="124">
        <v>2450</v>
      </c>
      <c r="AQP13" s="9"/>
      <c r="AQR13" s="314">
        <v>2450</v>
      </c>
      <c r="AQS13" s="314">
        <v>2450</v>
      </c>
      <c r="AQT13" s="314">
        <v>2450</v>
      </c>
      <c r="AQU13" s="314">
        <v>2450</v>
      </c>
      <c r="AQV13" s="314">
        <v>2450</v>
      </c>
      <c r="AQW13" s="314">
        <v>2450</v>
      </c>
      <c r="AQX13" s="128"/>
      <c r="AQY13" s="128"/>
      <c r="AQZ13" s="128"/>
      <c r="ARA13" s="128"/>
      <c r="ARB13" s="128"/>
      <c r="ARC13" s="128"/>
      <c r="ARD13" s="128"/>
      <c r="ARE13" s="128"/>
      <c r="ARF13" s="128"/>
      <c r="ARG13" s="314">
        <v>2450</v>
      </c>
      <c r="ARH13" s="314">
        <v>2450</v>
      </c>
      <c r="ARI13" s="314">
        <v>2450</v>
      </c>
      <c r="ARJ13" s="314">
        <v>2450</v>
      </c>
      <c r="ARK13" s="314">
        <v>2450</v>
      </c>
      <c r="ARL13" s="364"/>
      <c r="ARM13" s="314">
        <v>2450</v>
      </c>
      <c r="ARN13" s="314">
        <v>2450</v>
      </c>
      <c r="ARO13" s="314">
        <v>2450</v>
      </c>
      <c r="ARP13" s="314">
        <v>2450</v>
      </c>
      <c r="ARQ13" s="314">
        <v>2450</v>
      </c>
      <c r="ARR13" s="314">
        <v>2450</v>
      </c>
      <c r="ARS13" s="364"/>
      <c r="ART13" s="314">
        <v>2450</v>
      </c>
      <c r="ARU13" s="314">
        <v>2450</v>
      </c>
      <c r="ARV13" s="9"/>
      <c r="ARW13" s="314">
        <v>2450</v>
      </c>
      <c r="ARX13" s="314">
        <v>2450</v>
      </c>
      <c r="ARY13" s="314">
        <v>2450</v>
      </c>
      <c r="ARZ13" s="314">
        <v>2450</v>
      </c>
      <c r="ASA13" s="314"/>
      <c r="ASB13" s="314">
        <v>2450</v>
      </c>
      <c r="ASC13" s="314">
        <v>2450</v>
      </c>
      <c r="ASD13" s="314">
        <v>2450</v>
      </c>
      <c r="ASE13" s="314">
        <v>2450</v>
      </c>
      <c r="ASF13" s="314">
        <v>2450</v>
      </c>
      <c r="ASG13" s="314">
        <v>2450</v>
      </c>
      <c r="ASH13" s="314"/>
      <c r="ASI13" s="314">
        <v>2450</v>
      </c>
      <c r="ASJ13" s="314">
        <v>2450</v>
      </c>
      <c r="ASK13" s="314"/>
      <c r="ASL13" s="314">
        <v>2450</v>
      </c>
      <c r="ASM13" s="314">
        <v>2450</v>
      </c>
      <c r="ASN13" s="314">
        <v>2450</v>
      </c>
      <c r="ASO13" s="314"/>
      <c r="ASP13" s="314">
        <v>2450</v>
      </c>
      <c r="ASQ13" s="314">
        <v>2450</v>
      </c>
      <c r="ASR13" s="314">
        <v>2450</v>
      </c>
      <c r="ASS13" s="314">
        <v>2450</v>
      </c>
      <c r="AST13" s="314">
        <v>2450</v>
      </c>
      <c r="ASU13" s="314">
        <v>2450</v>
      </c>
      <c r="ASV13" s="314"/>
      <c r="ASW13" s="314">
        <v>2450</v>
      </c>
      <c r="ASX13" s="314">
        <v>2450</v>
      </c>
      <c r="ASY13" s="314">
        <v>2450</v>
      </c>
      <c r="ASZ13" s="314">
        <v>2450</v>
      </c>
      <c r="ATA13" s="314">
        <v>2450</v>
      </c>
      <c r="ATB13" s="9"/>
      <c r="ATC13" s="314">
        <v>2450</v>
      </c>
      <c r="ATD13" s="364"/>
      <c r="ATE13" s="314">
        <v>2450</v>
      </c>
      <c r="ATF13" s="314">
        <v>2450</v>
      </c>
      <c r="ATG13" s="314">
        <v>2450</v>
      </c>
      <c r="ATH13" s="124">
        <v>2000</v>
      </c>
      <c r="ATI13" s="314">
        <v>2450</v>
      </c>
      <c r="ATJ13" s="314">
        <v>2450</v>
      </c>
      <c r="ATK13" s="364"/>
      <c r="ATL13" s="314">
        <v>2450</v>
      </c>
      <c r="ATM13" s="314">
        <v>2450</v>
      </c>
      <c r="ATN13" s="314">
        <v>2450</v>
      </c>
      <c r="ATO13" s="314">
        <v>2450</v>
      </c>
      <c r="ATP13" s="314">
        <v>2450</v>
      </c>
      <c r="ATQ13" s="314">
        <v>2450</v>
      </c>
      <c r="ATR13" s="364"/>
      <c r="ATS13" s="314">
        <v>2450</v>
      </c>
      <c r="ATT13" s="314">
        <v>2450</v>
      </c>
      <c r="ATU13" s="314">
        <v>2450</v>
      </c>
      <c r="ATV13" s="314">
        <v>2450</v>
      </c>
      <c r="ATW13" s="314">
        <v>2450</v>
      </c>
      <c r="ATX13" s="314">
        <v>2450</v>
      </c>
      <c r="ATY13" s="314"/>
      <c r="ATZ13" s="314">
        <v>2450</v>
      </c>
      <c r="AUA13" s="314">
        <v>2450</v>
      </c>
      <c r="AUB13" s="314">
        <v>2450</v>
      </c>
      <c r="AUC13" s="314">
        <v>2450</v>
      </c>
      <c r="AUD13" s="314">
        <v>2450</v>
      </c>
      <c r="AUE13" s="314">
        <v>2450</v>
      </c>
      <c r="AUF13" s="364"/>
      <c r="AUG13" s="9"/>
      <c r="AUH13" s="314">
        <v>2450</v>
      </c>
      <c r="AUI13" s="314">
        <v>2450</v>
      </c>
      <c r="AUJ13" s="314">
        <v>2450</v>
      </c>
      <c r="AUK13" s="314">
        <v>2450</v>
      </c>
      <c r="AUL13" s="314"/>
      <c r="AUM13" s="314">
        <v>2450</v>
      </c>
      <c r="AUN13" s="314"/>
      <c r="AUO13" s="314">
        <v>2450</v>
      </c>
      <c r="AUP13" s="314">
        <v>2450</v>
      </c>
      <c r="AUQ13" s="314">
        <v>2450</v>
      </c>
      <c r="AUR13" s="314">
        <v>2450</v>
      </c>
      <c r="AUS13" s="314">
        <v>2450</v>
      </c>
      <c r="AUT13" s="314">
        <v>2450</v>
      </c>
      <c r="AUU13" s="314"/>
      <c r="AUV13" s="314">
        <v>2450</v>
      </c>
      <c r="AUW13" s="314">
        <v>2450</v>
      </c>
      <c r="AUX13" s="314">
        <v>2450</v>
      </c>
      <c r="AUY13" s="314">
        <v>2450</v>
      </c>
      <c r="AUZ13" s="314">
        <v>2450</v>
      </c>
      <c r="AVA13" s="314">
        <v>2450</v>
      </c>
      <c r="AVB13" s="314"/>
      <c r="AVC13" s="314">
        <v>2450</v>
      </c>
      <c r="AVD13" s="314">
        <v>2450</v>
      </c>
      <c r="AVE13" s="314">
        <v>2450</v>
      </c>
      <c r="AVF13" s="314">
        <v>2450</v>
      </c>
      <c r="AVG13" s="314">
        <v>2450</v>
      </c>
      <c r="AVH13" s="314">
        <v>2450</v>
      </c>
      <c r="AVI13" s="314"/>
      <c r="AVJ13" s="314">
        <v>2450</v>
      </c>
      <c r="AVK13" s="314">
        <v>2450</v>
      </c>
      <c r="AVL13" s="314">
        <v>2450</v>
      </c>
      <c r="AVM13" s="9"/>
      <c r="AVN13" s="314">
        <v>2450</v>
      </c>
      <c r="AVO13" s="314">
        <v>2450</v>
      </c>
      <c r="AVP13" s="314">
        <v>2450</v>
      </c>
      <c r="AVQ13" s="364"/>
      <c r="AVR13" s="314">
        <v>2450</v>
      </c>
      <c r="AVS13" s="314">
        <v>2450</v>
      </c>
      <c r="AVT13" s="314">
        <v>2450</v>
      </c>
      <c r="AVU13" s="314">
        <v>2450</v>
      </c>
      <c r="AVV13" s="314">
        <v>2450</v>
      </c>
      <c r="AVW13" s="314">
        <v>2450</v>
      </c>
      <c r="AVX13" s="314"/>
      <c r="AVY13" s="314">
        <v>2450</v>
      </c>
      <c r="AVZ13" s="314">
        <v>2450</v>
      </c>
      <c r="AWA13" s="314">
        <v>2450</v>
      </c>
      <c r="AWB13" s="314">
        <v>2450</v>
      </c>
      <c r="AWC13" s="314">
        <v>2450</v>
      </c>
      <c r="AWD13" s="314">
        <v>2450</v>
      </c>
      <c r="AWE13" s="314"/>
      <c r="AWF13" s="314">
        <v>2450</v>
      </c>
      <c r="AWG13" s="314">
        <v>2450</v>
      </c>
      <c r="AWH13" s="314">
        <v>2450</v>
      </c>
      <c r="AWI13" s="314">
        <v>2450</v>
      </c>
      <c r="AWJ13" s="314">
        <v>2450</v>
      </c>
      <c r="AWK13" s="124">
        <v>2450</v>
      </c>
      <c r="AWL13" s="314"/>
      <c r="AWM13" s="314">
        <v>2450</v>
      </c>
      <c r="AWN13" s="314">
        <v>2450</v>
      </c>
      <c r="AWO13" s="314">
        <v>2450</v>
      </c>
      <c r="AWP13" s="314">
        <v>2450</v>
      </c>
      <c r="AWQ13" s="314">
        <v>2450</v>
      </c>
      <c r="AWR13" s="9"/>
      <c r="AWS13" s="314">
        <v>2450</v>
      </c>
      <c r="AWT13" s="364"/>
      <c r="AWU13" s="314">
        <v>2450</v>
      </c>
      <c r="AWV13" s="314">
        <v>2450</v>
      </c>
      <c r="AWW13" s="314">
        <v>2450</v>
      </c>
      <c r="AWX13" s="314">
        <v>2450</v>
      </c>
      <c r="AWY13" s="314">
        <v>2450</v>
      </c>
      <c r="AWZ13" s="314">
        <v>2450</v>
      </c>
      <c r="AXA13" s="314"/>
      <c r="AXB13" s="314">
        <v>2450</v>
      </c>
      <c r="AXC13" s="314">
        <v>2450</v>
      </c>
      <c r="AXD13" s="314">
        <v>2450</v>
      </c>
      <c r="AXE13" s="314">
        <v>2450</v>
      </c>
      <c r="AXF13" s="314">
        <v>2450</v>
      </c>
      <c r="AXG13" s="314">
        <v>2450</v>
      </c>
      <c r="AXH13" s="364"/>
      <c r="AXI13" s="314">
        <v>2450</v>
      </c>
      <c r="AXJ13" s="314">
        <v>2450</v>
      </c>
      <c r="AXK13" s="314">
        <v>2450</v>
      </c>
      <c r="AXL13" s="314">
        <v>2450</v>
      </c>
      <c r="AXM13" s="314">
        <v>2450</v>
      </c>
      <c r="AXN13" s="314">
        <v>2450</v>
      </c>
      <c r="AXO13" s="314"/>
      <c r="AXP13" s="314">
        <v>2450</v>
      </c>
      <c r="AXQ13" s="314">
        <v>2450</v>
      </c>
      <c r="AXR13" s="314">
        <v>2450</v>
      </c>
      <c r="AXS13" s="314">
        <v>2450</v>
      </c>
      <c r="AXT13" s="314">
        <v>2450</v>
      </c>
      <c r="AXU13" s="314">
        <v>2450</v>
      </c>
      <c r="AXV13" s="314"/>
      <c r="AXW13" s="314">
        <v>2450</v>
      </c>
      <c r="AXX13" s="9"/>
    </row>
    <row r="14" spans="1:1327" s="130" customFormat="1" ht="28.5" customHeight="1" x14ac:dyDescent="0.4">
      <c r="A14" s="711"/>
      <c r="B14" s="8" t="s">
        <v>14</v>
      </c>
      <c r="C14" s="121" t="s">
        <v>62</v>
      </c>
      <c r="D14" s="14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1" t="s">
        <v>63</v>
      </c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28" t="s">
        <v>14</v>
      </c>
      <c r="AI14" s="121" t="s">
        <v>63</v>
      </c>
      <c r="AJ14" s="123"/>
      <c r="AK14" s="123"/>
      <c r="AL14" s="123"/>
      <c r="AM14" s="123"/>
      <c r="AN14" s="123"/>
      <c r="AO14" s="123"/>
      <c r="AP14" s="123"/>
      <c r="AQ14" s="750"/>
      <c r="AR14" s="751"/>
      <c r="AS14" s="751"/>
      <c r="AT14" s="751"/>
      <c r="AU14" s="751"/>
      <c r="AV14" s="751"/>
      <c r="AW14" s="751"/>
      <c r="AX14" s="751"/>
      <c r="AY14" s="751"/>
      <c r="AZ14" s="752"/>
      <c r="BA14" s="123" t="s">
        <v>63</v>
      </c>
      <c r="BB14" s="123"/>
      <c r="BC14" s="123"/>
      <c r="BD14" s="123"/>
      <c r="BE14" s="123"/>
      <c r="BF14" s="123"/>
      <c r="BG14" s="123"/>
      <c r="BH14" s="123"/>
      <c r="BI14" s="123"/>
      <c r="BJ14" s="123"/>
      <c r="BK14" s="121" t="s">
        <v>60</v>
      </c>
      <c r="BL14" s="123"/>
      <c r="BM14" s="123"/>
      <c r="BN14" s="8" t="s">
        <v>14</v>
      </c>
      <c r="BO14" s="123" t="s">
        <v>60</v>
      </c>
      <c r="BP14" s="122"/>
      <c r="BQ14" s="122"/>
      <c r="BR14" s="122"/>
      <c r="BS14" s="122"/>
      <c r="BT14" s="122"/>
      <c r="BU14" s="122"/>
      <c r="BV14" s="122"/>
      <c r="BW14" s="122"/>
      <c r="BX14" s="122"/>
      <c r="BY14" s="122"/>
      <c r="BZ14" s="122"/>
      <c r="CA14" s="122"/>
      <c r="CB14" s="122"/>
      <c r="CC14" s="122"/>
      <c r="CD14" s="122"/>
      <c r="CE14" s="122"/>
      <c r="CF14" s="122"/>
      <c r="CG14" s="122"/>
      <c r="CH14" s="122"/>
      <c r="CI14" s="122"/>
      <c r="CJ14" s="122"/>
      <c r="CK14" s="122"/>
      <c r="CL14" s="122"/>
      <c r="CM14" s="122"/>
      <c r="CN14" s="122"/>
      <c r="CO14" s="122"/>
      <c r="CP14" s="122"/>
      <c r="CQ14" s="122"/>
      <c r="CR14" s="122"/>
      <c r="CS14" s="8" t="s">
        <v>14</v>
      </c>
      <c r="CT14" s="121" t="s">
        <v>138</v>
      </c>
      <c r="CU14" s="122"/>
      <c r="CV14" s="122"/>
      <c r="CW14" s="122"/>
      <c r="CX14" s="122"/>
      <c r="CY14" s="122"/>
      <c r="CZ14" s="122"/>
      <c r="DA14" s="122"/>
      <c r="DB14" s="122"/>
      <c r="DC14" s="122"/>
      <c r="DD14" s="122"/>
      <c r="DE14" s="122"/>
      <c r="DF14" s="122"/>
      <c r="DG14" s="122"/>
      <c r="DH14" s="122"/>
      <c r="DI14" s="122"/>
      <c r="DJ14" s="122"/>
      <c r="DK14" s="122"/>
      <c r="DL14" s="122"/>
      <c r="DM14" s="122"/>
      <c r="DN14" s="122"/>
      <c r="DO14" s="122"/>
      <c r="DP14" s="122"/>
      <c r="DQ14" s="122"/>
      <c r="DR14" s="122"/>
      <c r="DS14" s="122"/>
      <c r="DT14" s="122"/>
      <c r="DU14" s="122"/>
      <c r="DV14" s="122"/>
      <c r="DW14" s="122"/>
      <c r="DX14" s="122"/>
      <c r="DY14" s="8" t="s">
        <v>14</v>
      </c>
      <c r="DZ14" s="123" t="s">
        <v>138</v>
      </c>
      <c r="EA14" s="122"/>
      <c r="EB14" s="122"/>
      <c r="EC14" s="122"/>
      <c r="ED14" s="122"/>
      <c r="EE14" s="122"/>
      <c r="EF14" s="122"/>
      <c r="EG14" s="122"/>
      <c r="EH14" s="122"/>
      <c r="EI14" s="122"/>
      <c r="EJ14" s="122"/>
      <c r="EK14" s="122"/>
      <c r="EL14" s="122"/>
      <c r="EM14" s="122"/>
      <c r="EN14" s="122"/>
      <c r="EO14" s="122"/>
      <c r="EP14" s="122"/>
      <c r="EQ14" s="122"/>
      <c r="ER14" s="122"/>
      <c r="ES14" s="122"/>
      <c r="ET14" s="122"/>
      <c r="EU14" s="122"/>
      <c r="EV14" s="122"/>
      <c r="EW14" s="122"/>
      <c r="EX14" s="122"/>
      <c r="EY14" s="122"/>
      <c r="EZ14" s="122"/>
      <c r="FA14" s="122"/>
      <c r="FB14" s="122"/>
      <c r="FC14" s="122"/>
      <c r="FD14" s="8" t="s">
        <v>14</v>
      </c>
      <c r="FE14" s="124" t="s">
        <v>333</v>
      </c>
      <c r="FF14" s="119"/>
      <c r="FG14" s="119"/>
      <c r="FH14" s="119"/>
      <c r="FI14" s="119"/>
      <c r="FJ14" s="119"/>
      <c r="FK14" s="119"/>
      <c r="FL14" s="119"/>
      <c r="FM14" s="119"/>
      <c r="FN14" s="119"/>
      <c r="FO14" s="119"/>
      <c r="FP14" s="119"/>
      <c r="FQ14" s="119"/>
      <c r="FR14" s="119"/>
      <c r="FS14" s="119"/>
      <c r="FT14" s="119"/>
      <c r="FU14" s="119"/>
      <c r="FV14" s="119"/>
      <c r="FW14" s="119"/>
      <c r="FX14" s="119"/>
      <c r="FY14" s="126" t="s">
        <v>334</v>
      </c>
      <c r="FZ14" s="128"/>
      <c r="GA14" s="123"/>
      <c r="GB14" s="123"/>
      <c r="GC14" s="123"/>
      <c r="GD14" s="123"/>
      <c r="GE14" s="123"/>
      <c r="GF14" s="123"/>
      <c r="GG14" s="123"/>
      <c r="GH14" s="123"/>
      <c r="GI14" s="123"/>
      <c r="GJ14" s="8" t="s">
        <v>14</v>
      </c>
      <c r="GK14" s="123" t="s">
        <v>340</v>
      </c>
      <c r="GL14" s="123"/>
      <c r="GM14" s="126" t="s">
        <v>350</v>
      </c>
      <c r="GN14" s="123"/>
      <c r="GO14" s="123"/>
      <c r="GP14" s="123"/>
      <c r="GQ14" s="123"/>
      <c r="GR14" s="123"/>
      <c r="GS14" s="123"/>
      <c r="GT14" s="123"/>
      <c r="GU14" s="126" t="s">
        <v>352</v>
      </c>
      <c r="GV14" s="126"/>
      <c r="GW14" s="123" t="s">
        <v>353</v>
      </c>
      <c r="GX14" s="123"/>
      <c r="GY14" s="123"/>
      <c r="GZ14" s="123"/>
      <c r="HA14" s="123"/>
      <c r="HB14" s="126" t="s">
        <v>358</v>
      </c>
      <c r="HC14" s="126"/>
      <c r="HD14" s="123"/>
      <c r="HE14" s="123"/>
      <c r="HF14" s="123"/>
      <c r="HG14" s="123"/>
      <c r="HH14" s="123"/>
      <c r="HI14" s="123"/>
      <c r="HJ14" s="123"/>
      <c r="HK14" s="123"/>
      <c r="HL14" s="123"/>
      <c r="HM14" s="123"/>
      <c r="HN14" s="123"/>
      <c r="HO14" s="123"/>
      <c r="HP14" s="8" t="s">
        <v>14</v>
      </c>
      <c r="HQ14" s="123" t="s">
        <v>357</v>
      </c>
      <c r="HR14" s="123"/>
      <c r="HS14" s="123"/>
      <c r="HT14" s="123"/>
      <c r="HU14" s="123"/>
      <c r="HV14" s="123"/>
      <c r="HW14" s="126" t="s">
        <v>370</v>
      </c>
      <c r="HX14" s="126"/>
      <c r="HY14" s="123"/>
      <c r="HZ14" s="123"/>
      <c r="IA14" s="123"/>
      <c r="IB14" s="123"/>
      <c r="IC14" s="123"/>
      <c r="ID14" s="123"/>
      <c r="IE14" s="123"/>
      <c r="IF14" s="123"/>
      <c r="IG14" s="123"/>
      <c r="IH14" s="123"/>
      <c r="II14" s="123"/>
      <c r="IJ14" s="123"/>
      <c r="IK14" s="126" t="s">
        <v>433</v>
      </c>
      <c r="IL14" s="126"/>
      <c r="IM14" s="123"/>
      <c r="IN14" s="123"/>
      <c r="IO14" s="123"/>
      <c r="IP14" s="123"/>
      <c r="IQ14" s="123"/>
      <c r="IR14" s="123"/>
      <c r="IS14" s="123"/>
      <c r="IT14" s="8" t="s">
        <v>14</v>
      </c>
      <c r="IU14" s="212" t="s">
        <v>433</v>
      </c>
      <c r="IV14" s="123"/>
      <c r="IW14" s="123"/>
      <c r="IX14" s="123"/>
      <c r="IY14" s="123"/>
      <c r="IZ14" s="123"/>
      <c r="JA14" s="123"/>
      <c r="JB14" s="123"/>
      <c r="JC14" s="123"/>
      <c r="JD14" s="123"/>
      <c r="JE14" s="123"/>
      <c r="JF14" s="123"/>
      <c r="JG14" s="123"/>
      <c r="JH14" s="123"/>
      <c r="JI14" s="123"/>
      <c r="JJ14" s="123"/>
      <c r="JK14" s="123"/>
      <c r="JL14" s="123"/>
      <c r="JM14" s="123"/>
      <c r="JN14" s="123"/>
      <c r="JO14" s="123"/>
      <c r="JP14" s="123"/>
      <c r="JQ14" s="123"/>
      <c r="JR14" s="123"/>
      <c r="JS14" s="123"/>
      <c r="JT14" s="123"/>
      <c r="JU14" s="123"/>
      <c r="JV14" s="123"/>
      <c r="JW14" s="123"/>
      <c r="JX14" s="123"/>
      <c r="JY14" s="216"/>
      <c r="JZ14" s="8" t="s">
        <v>14</v>
      </c>
      <c r="KA14" s="123" t="s">
        <v>433</v>
      </c>
      <c r="KB14" s="123"/>
      <c r="KC14" s="123"/>
      <c r="KD14" s="123"/>
      <c r="KE14" s="123"/>
      <c r="KF14" s="123"/>
      <c r="KG14" s="123"/>
      <c r="KH14" s="123"/>
      <c r="KI14" s="123"/>
      <c r="KJ14" s="123"/>
      <c r="KK14" s="123"/>
      <c r="KL14" s="123"/>
      <c r="KM14" s="123"/>
      <c r="KN14" s="123"/>
      <c r="KO14" s="123"/>
      <c r="KP14" s="123"/>
      <c r="KQ14" s="123"/>
      <c r="KR14" s="123"/>
      <c r="KS14" s="123"/>
      <c r="KT14" s="123"/>
      <c r="KU14" s="123"/>
      <c r="KV14" s="123"/>
      <c r="KW14" s="123"/>
      <c r="KX14" s="123"/>
      <c r="KY14" s="123"/>
      <c r="KZ14" s="123"/>
      <c r="LA14" s="123"/>
      <c r="LB14" s="123"/>
      <c r="LC14" s="123"/>
      <c r="LD14" s="123"/>
      <c r="LE14" s="8" t="s">
        <v>14</v>
      </c>
      <c r="LF14" s="123" t="s">
        <v>433</v>
      </c>
      <c r="LG14" s="123"/>
      <c r="LH14" s="123"/>
      <c r="LI14" s="123"/>
      <c r="LJ14" s="123"/>
      <c r="LK14" s="123"/>
      <c r="LL14" s="123"/>
      <c r="LM14" s="123"/>
      <c r="LN14" s="123"/>
      <c r="LO14" s="123"/>
      <c r="LP14" s="123"/>
      <c r="LQ14" s="123"/>
      <c r="LR14" s="123"/>
      <c r="LS14" s="123"/>
      <c r="LT14" s="123"/>
      <c r="LU14" s="123"/>
      <c r="LV14" s="123"/>
      <c r="LW14" s="123"/>
      <c r="LX14" s="123"/>
      <c r="LY14" s="123"/>
      <c r="LZ14" s="756"/>
      <c r="MA14" s="757"/>
      <c r="MB14" s="757"/>
      <c r="MC14" s="757"/>
      <c r="MD14" s="757"/>
      <c r="ME14" s="757"/>
      <c r="MF14" s="757"/>
      <c r="MG14" s="757"/>
      <c r="MH14" s="757"/>
      <c r="MI14" s="758"/>
      <c r="MJ14" s="123" t="s">
        <v>433</v>
      </c>
      <c r="MK14" s="8" t="s">
        <v>14</v>
      </c>
      <c r="ML14" s="335" t="s">
        <v>433</v>
      </c>
      <c r="MM14" s="335"/>
      <c r="MN14" s="335"/>
      <c r="MO14" s="335"/>
      <c r="MP14" s="335"/>
      <c r="MQ14" s="335"/>
      <c r="MR14" s="335"/>
      <c r="MS14" s="335"/>
      <c r="MT14" s="335"/>
      <c r="MU14" s="335"/>
      <c r="MV14" s="335"/>
      <c r="MW14" s="335"/>
      <c r="MX14" s="335"/>
      <c r="MY14" s="335"/>
      <c r="MZ14" s="335"/>
      <c r="NA14" s="335"/>
      <c r="NB14" s="335"/>
      <c r="NC14" s="335"/>
      <c r="ND14" s="339" t="s">
        <v>544</v>
      </c>
      <c r="NE14" s="339"/>
      <c r="NF14" s="342"/>
      <c r="NG14" s="342"/>
      <c r="NH14" s="342"/>
      <c r="NI14" s="342"/>
      <c r="NJ14" s="342"/>
      <c r="NK14" s="342"/>
      <c r="NL14" s="342"/>
      <c r="NM14" s="342"/>
      <c r="NN14" s="342"/>
      <c r="NO14" s="342"/>
      <c r="NP14" s="8" t="s">
        <v>14</v>
      </c>
      <c r="NQ14" s="344" t="s">
        <v>884</v>
      </c>
      <c r="NR14" s="350"/>
      <c r="NS14" s="350"/>
      <c r="NT14" s="350"/>
      <c r="NU14" s="350"/>
      <c r="NV14" s="350"/>
      <c r="NW14" s="350"/>
      <c r="NX14" s="350"/>
      <c r="NY14" s="350"/>
      <c r="NZ14" s="350"/>
      <c r="OA14" s="350" t="s">
        <v>882</v>
      </c>
      <c r="OB14" s="350"/>
      <c r="OC14" s="350"/>
      <c r="OD14" s="350"/>
      <c r="OE14" s="350"/>
      <c r="OF14" s="350"/>
      <c r="OG14" s="350"/>
      <c r="OH14" s="350"/>
      <c r="OI14" s="350"/>
      <c r="OJ14" s="350"/>
      <c r="OK14" s="350"/>
      <c r="OL14" s="350"/>
      <c r="OM14" s="350"/>
      <c r="ON14" s="350"/>
      <c r="OO14" s="350"/>
      <c r="OP14" s="350"/>
      <c r="OQ14" s="350"/>
      <c r="OR14" s="350"/>
      <c r="OS14" s="762"/>
      <c r="OT14" s="763"/>
      <c r="OU14" s="764"/>
      <c r="OV14" s="8" t="s">
        <v>14</v>
      </c>
      <c r="OW14" s="770"/>
      <c r="OX14" s="763"/>
      <c r="OY14" s="763"/>
      <c r="OZ14" s="763"/>
      <c r="PA14" s="763"/>
      <c r="PB14" s="763"/>
      <c r="PC14" s="771"/>
      <c r="PD14" s="357" t="s">
        <v>885</v>
      </c>
      <c r="PE14" s="357"/>
      <c r="PF14" s="357"/>
      <c r="PG14" s="357"/>
      <c r="PH14" s="357"/>
      <c r="PI14" s="357"/>
      <c r="PJ14" s="357"/>
      <c r="PK14" s="357"/>
      <c r="PL14" s="357"/>
      <c r="PM14" s="357"/>
      <c r="PN14" s="357"/>
      <c r="PO14" s="357"/>
      <c r="PP14" s="357"/>
      <c r="PQ14" s="357"/>
      <c r="PR14" s="357"/>
      <c r="PS14" s="357"/>
      <c r="PT14" s="357"/>
      <c r="PU14" s="357"/>
      <c r="PV14" s="357"/>
      <c r="PW14" s="357"/>
      <c r="PX14" s="357"/>
      <c r="PY14" s="357"/>
      <c r="PZ14" s="357"/>
      <c r="QA14" s="357"/>
      <c r="QB14" s="8" t="s">
        <v>14</v>
      </c>
      <c r="QC14" s="363" t="s">
        <v>885</v>
      </c>
      <c r="QD14" s="363"/>
      <c r="QE14" s="363"/>
      <c r="QF14" s="363"/>
      <c r="QG14" s="363"/>
      <c r="QH14" s="363"/>
      <c r="QI14" s="363"/>
      <c r="QJ14" s="363"/>
      <c r="QK14" s="363"/>
      <c r="QL14" s="363"/>
      <c r="QM14" s="363"/>
      <c r="QN14" s="363"/>
      <c r="QO14" s="363"/>
      <c r="QP14" s="363"/>
      <c r="QQ14" s="363"/>
      <c r="QR14" s="363"/>
      <c r="QS14" s="363"/>
      <c r="QT14" s="363"/>
      <c r="QU14" s="363"/>
      <c r="QV14" s="363"/>
      <c r="QW14" s="363"/>
      <c r="QX14" s="363"/>
      <c r="QY14" s="363" t="s">
        <v>882</v>
      </c>
      <c r="QZ14" s="363"/>
      <c r="RA14" s="363"/>
      <c r="RB14" s="363"/>
      <c r="RC14" s="363"/>
      <c r="RD14" s="363"/>
      <c r="RE14" s="363"/>
      <c r="RF14" s="363"/>
      <c r="RG14" s="8" t="s">
        <v>14</v>
      </c>
      <c r="RH14" s="442" t="s">
        <v>1503</v>
      </c>
      <c r="RI14" s="440"/>
      <c r="RJ14" s="440"/>
      <c r="RK14" s="440"/>
      <c r="RL14" s="442" t="s">
        <v>1504</v>
      </c>
      <c r="RM14" s="440"/>
      <c r="RN14" s="440"/>
      <c r="RO14" s="440"/>
      <c r="RP14" s="440"/>
      <c r="RQ14" s="440"/>
      <c r="RR14" s="440"/>
      <c r="RS14" s="440"/>
      <c r="RT14" s="440"/>
      <c r="RU14" s="440"/>
      <c r="RV14" s="440"/>
      <c r="RW14" s="440"/>
      <c r="RX14" s="440"/>
      <c r="RY14" s="440"/>
      <c r="RZ14" s="440"/>
      <c r="SA14" s="440"/>
      <c r="SB14" s="442" t="s">
        <v>1505</v>
      </c>
      <c r="SC14" s="443"/>
      <c r="SD14" s="443"/>
      <c r="SE14" s="443"/>
      <c r="SF14" s="443"/>
      <c r="SG14" s="443"/>
      <c r="SH14" s="443"/>
      <c r="SI14" s="443"/>
      <c r="SJ14" s="443"/>
      <c r="SK14" s="443"/>
      <c r="SL14" s="443"/>
      <c r="SM14" s="8" t="s">
        <v>14</v>
      </c>
      <c r="SN14" s="449" t="s">
        <v>1505</v>
      </c>
      <c r="SO14" s="443"/>
      <c r="SP14" s="443"/>
      <c r="SQ14" s="443"/>
      <c r="SR14" s="443"/>
      <c r="SS14" s="443"/>
      <c r="ST14" s="443"/>
      <c r="SU14" s="443"/>
      <c r="SV14" s="443"/>
      <c r="SW14" s="443"/>
      <c r="SX14" s="443"/>
      <c r="SY14" s="443"/>
      <c r="SZ14" s="443"/>
      <c r="TA14" s="443"/>
      <c r="TB14" s="442" t="s">
        <v>1529</v>
      </c>
      <c r="TC14" s="443"/>
      <c r="TD14" s="443"/>
      <c r="TE14" s="443"/>
      <c r="TF14" s="443"/>
      <c r="TG14" s="443"/>
      <c r="TH14" s="442" t="s">
        <v>1496</v>
      </c>
      <c r="TI14" s="440"/>
      <c r="TJ14" s="440"/>
      <c r="TK14" s="442" t="s">
        <v>1497</v>
      </c>
      <c r="TL14" s="440"/>
      <c r="TM14" s="440"/>
      <c r="TN14" s="440"/>
      <c r="TO14" s="442" t="s">
        <v>1495</v>
      </c>
      <c r="TP14" s="440"/>
      <c r="TQ14" s="440"/>
      <c r="TR14" s="8" t="s">
        <v>14</v>
      </c>
      <c r="TS14" s="442" t="s">
        <v>1530</v>
      </c>
      <c r="TT14" s="443"/>
      <c r="TU14" s="443"/>
      <c r="TV14" s="443"/>
      <c r="TW14" s="443"/>
      <c r="TX14" s="443"/>
      <c r="TY14" s="442" t="s">
        <v>1526</v>
      </c>
      <c r="TZ14" s="443"/>
      <c r="UA14" s="443"/>
      <c r="UB14" s="443"/>
      <c r="UC14" s="443"/>
      <c r="UD14" s="443"/>
      <c r="UE14" s="443"/>
      <c r="UF14" s="443"/>
      <c r="UG14" s="443"/>
      <c r="UH14" s="443"/>
      <c r="UI14" s="443"/>
      <c r="UJ14" s="443"/>
      <c r="UK14" s="442" t="s">
        <v>1520</v>
      </c>
      <c r="UL14" s="443"/>
      <c r="UM14" s="443"/>
      <c r="UN14" s="443"/>
      <c r="UO14" s="442" t="s">
        <v>1543</v>
      </c>
      <c r="UP14" s="443"/>
      <c r="UQ14" s="443"/>
      <c r="UR14" s="443"/>
      <c r="US14" s="443"/>
      <c r="UT14" s="443"/>
      <c r="UU14" s="443"/>
      <c r="UV14" s="443"/>
      <c r="UW14" s="443"/>
      <c r="UX14" s="8" t="s">
        <v>14</v>
      </c>
      <c r="UY14" s="447"/>
      <c r="UZ14" s="447"/>
      <c r="VA14" s="447"/>
      <c r="VB14" s="447"/>
      <c r="VC14" s="447"/>
      <c r="VD14" s="447"/>
      <c r="VE14" s="447"/>
      <c r="VF14" s="447"/>
      <c r="VG14" s="447"/>
      <c r="VH14" s="447"/>
      <c r="VI14" s="447"/>
      <c r="VJ14" s="447"/>
      <c r="VK14" s="447"/>
      <c r="VL14" s="447"/>
      <c r="VM14" s="447"/>
      <c r="VN14" s="447"/>
      <c r="VO14" s="447"/>
      <c r="VP14" s="447"/>
      <c r="VQ14" s="447"/>
      <c r="VR14" s="447"/>
      <c r="VS14" s="447"/>
      <c r="VT14" s="447"/>
      <c r="WD14" s="8" t="s">
        <v>14</v>
      </c>
      <c r="XG14" s="8" t="s">
        <v>14</v>
      </c>
      <c r="YM14" s="8" t="s">
        <v>14</v>
      </c>
      <c r="ZR14" s="8" t="s">
        <v>14</v>
      </c>
      <c r="AAX14" s="8" t="s">
        <v>14</v>
      </c>
      <c r="ACC14" s="8" t="s">
        <v>14</v>
      </c>
      <c r="ACL14" s="364" t="s">
        <v>383</v>
      </c>
      <c r="ACM14" s="609">
        <v>882071</v>
      </c>
      <c r="ACN14" s="610">
        <v>4047.4999999999995</v>
      </c>
      <c r="ACO14" s="610">
        <v>217.92983323038916</v>
      </c>
      <c r="ACV14" s="704"/>
      <c r="ACW14" s="705"/>
      <c r="ACX14" s="705"/>
      <c r="ACY14" s="705"/>
      <c r="ACZ14" s="705"/>
      <c r="ADA14" s="705"/>
      <c r="ADB14" s="705"/>
      <c r="ADC14" s="705"/>
      <c r="ADD14" s="706"/>
      <c r="ADI14" s="8" t="s">
        <v>14</v>
      </c>
      <c r="ADJ14" s="352"/>
      <c r="ADK14" s="352"/>
      <c r="ADL14" s="352"/>
      <c r="ADM14" s="352"/>
      <c r="ADN14" s="352"/>
      <c r="ADO14" s="352"/>
      <c r="ADP14" s="352"/>
      <c r="ADQ14" s="352"/>
      <c r="ADR14" s="352"/>
      <c r="ADS14" s="352"/>
      <c r="ADT14" s="352"/>
      <c r="ADU14" s="352"/>
      <c r="ADV14" s="352"/>
      <c r="ADW14" s="352"/>
      <c r="ADX14" s="352"/>
      <c r="ADY14" s="352"/>
      <c r="ADZ14" s="352"/>
      <c r="AEA14" s="352"/>
      <c r="AEB14" s="352"/>
      <c r="AEC14" s="352"/>
      <c r="AED14" s="352"/>
      <c r="AEE14" s="352"/>
      <c r="AEF14" s="352"/>
      <c r="AEG14" s="352"/>
      <c r="AEH14" s="352"/>
      <c r="AEI14" s="352"/>
      <c r="AEJ14" s="352"/>
      <c r="AEK14" s="352"/>
      <c r="AEL14" s="352"/>
      <c r="AEM14" s="352"/>
      <c r="AEN14" s="352"/>
      <c r="AEO14" s="8" t="s">
        <v>14</v>
      </c>
      <c r="AEP14" s="352"/>
      <c r="AEQ14" s="352"/>
      <c r="AER14" s="352"/>
      <c r="AES14" s="352"/>
      <c r="AET14" s="352"/>
      <c r="AEU14" s="352"/>
      <c r="AEV14" s="352"/>
      <c r="AEW14" s="352"/>
      <c r="AEX14" s="352"/>
      <c r="AEY14" s="352"/>
      <c r="AEZ14" s="352"/>
      <c r="AFA14" s="352"/>
      <c r="AFB14" s="352"/>
      <c r="AFC14" s="352"/>
      <c r="AFD14" s="352"/>
      <c r="AFE14" s="352"/>
      <c r="AFF14" s="352"/>
      <c r="AFG14" s="345" t="s">
        <v>2462</v>
      </c>
      <c r="AFH14" s="345"/>
      <c r="AFI14" s="352"/>
      <c r="AFJ14" s="352"/>
      <c r="AFK14" s="352"/>
      <c r="AFL14" s="352"/>
      <c r="AFM14" s="352"/>
      <c r="AFN14" s="352"/>
      <c r="AFO14" s="352"/>
      <c r="AFP14" s="352"/>
      <c r="AFQ14" s="352"/>
      <c r="AFR14" s="352"/>
      <c r="AFS14" s="352"/>
      <c r="AFT14" s="28" t="s">
        <v>14</v>
      </c>
      <c r="AFU14" s="352" t="s">
        <v>2462</v>
      </c>
      <c r="AFV14" s="352"/>
      <c r="AFW14" s="352"/>
      <c r="AFX14" s="352"/>
      <c r="AFY14" s="352"/>
      <c r="AFZ14" s="352"/>
      <c r="AGA14" s="352"/>
      <c r="AGB14" s="352"/>
      <c r="AGC14" s="352"/>
      <c r="AGD14" s="352"/>
      <c r="AGE14" s="352"/>
      <c r="AGF14" s="352"/>
      <c r="AGG14" s="352"/>
      <c r="AGH14" s="352"/>
      <c r="AGI14" s="352"/>
      <c r="AGJ14" s="352"/>
      <c r="AGK14" s="352"/>
      <c r="AGL14" s="352"/>
      <c r="AGM14" s="352"/>
      <c r="AGN14" s="352"/>
      <c r="AGO14" s="352"/>
      <c r="AGP14" s="352"/>
      <c r="AGQ14" s="352"/>
      <c r="AGR14" s="352"/>
      <c r="AGS14" s="352"/>
      <c r="AGT14" s="352"/>
      <c r="AGU14" s="352"/>
      <c r="AGV14" s="352"/>
      <c r="AGW14" s="352"/>
      <c r="AGX14" s="352"/>
      <c r="AGY14" s="352"/>
      <c r="AGZ14" s="8" t="s">
        <v>14</v>
      </c>
      <c r="AHA14" s="352" t="s">
        <v>2462</v>
      </c>
      <c r="AHB14" s="352"/>
      <c r="AHC14" s="352"/>
      <c r="AHD14" s="352"/>
      <c r="AHE14" s="352"/>
      <c r="AHF14" s="352"/>
      <c r="AHG14" s="352"/>
      <c r="AHH14" s="352"/>
      <c r="AHI14" s="352"/>
      <c r="AHJ14" s="352"/>
      <c r="AHK14" s="352"/>
      <c r="AHL14" s="352"/>
      <c r="AHM14" s="352"/>
      <c r="AHN14" s="352"/>
      <c r="AHO14" s="352"/>
      <c r="AHP14" s="352"/>
      <c r="AHQ14" s="352"/>
      <c r="AHR14" s="352"/>
      <c r="AHS14" s="352"/>
      <c r="AHT14" s="352"/>
      <c r="AHU14" s="361" t="s">
        <v>2437</v>
      </c>
      <c r="AHV14" s="318"/>
      <c r="AHW14" s="375"/>
      <c r="AHX14" s="375"/>
      <c r="AHY14" s="375"/>
      <c r="AHZ14" s="375"/>
      <c r="AIA14" s="375"/>
      <c r="AIB14" s="375"/>
      <c r="AIC14" s="375"/>
      <c r="AID14" s="375"/>
      <c r="AIE14" s="8" t="s">
        <v>14</v>
      </c>
      <c r="AIF14" s="376" t="s">
        <v>2505</v>
      </c>
      <c r="AIG14" s="524"/>
      <c r="AIH14" s="375"/>
      <c r="AII14" s="375"/>
      <c r="AIJ14" s="375"/>
      <c r="AIK14" s="375"/>
      <c r="AIL14" s="375"/>
      <c r="AIM14" s="375"/>
      <c r="AIN14" s="375"/>
      <c r="AIO14" s="375"/>
      <c r="AIP14" s="375"/>
      <c r="AIQ14" s="375"/>
      <c r="AIR14" s="375"/>
      <c r="AIS14" s="375"/>
      <c r="AIT14" s="375"/>
      <c r="AIU14" s="375"/>
      <c r="AIV14" s="375"/>
      <c r="AIW14" s="375"/>
      <c r="AIX14" s="375"/>
      <c r="AIY14" s="375"/>
      <c r="AIZ14" s="375"/>
      <c r="AJA14" s="376" t="s">
        <v>2506</v>
      </c>
      <c r="AJB14" s="524"/>
      <c r="AJC14" s="375"/>
      <c r="AJD14" s="375"/>
      <c r="AJE14" s="375"/>
      <c r="AJF14" s="375"/>
      <c r="AJG14" s="375"/>
      <c r="AJH14" s="345" t="s">
        <v>2684</v>
      </c>
      <c r="AJI14" s="345"/>
      <c r="AJJ14" s="352"/>
      <c r="AJK14" s="8" t="s">
        <v>14</v>
      </c>
      <c r="AJL14" s="352" t="s">
        <v>2684</v>
      </c>
      <c r="AJM14" s="352"/>
      <c r="AJN14" s="352"/>
      <c r="AJO14" s="352"/>
      <c r="AJP14" s="352"/>
      <c r="AJQ14" s="352"/>
      <c r="AJR14" s="352"/>
      <c r="AJS14" s="352"/>
      <c r="AJT14" s="352"/>
      <c r="AJU14" s="352"/>
      <c r="AJV14" s="352"/>
      <c r="AJW14" s="352"/>
      <c r="AJX14" s="352"/>
      <c r="AJY14" s="352"/>
      <c r="AJZ14" s="352"/>
      <c r="AKA14" s="352"/>
      <c r="AKB14" s="352"/>
      <c r="AKC14" s="352"/>
      <c r="AKD14" s="352"/>
      <c r="AKE14" s="352"/>
      <c r="AKF14" s="352"/>
      <c r="AKG14" s="352"/>
      <c r="AKH14" s="352"/>
      <c r="AKI14" s="352"/>
      <c r="AKJ14" s="352"/>
      <c r="AKK14" s="352"/>
      <c r="AKL14" s="352"/>
      <c r="AKM14" s="352"/>
      <c r="AKN14" s="352"/>
      <c r="AKO14" s="352"/>
      <c r="AKP14" s="352"/>
      <c r="AKQ14" s="8" t="s">
        <v>14</v>
      </c>
      <c r="AKR14" s="352" t="s">
        <v>2461</v>
      </c>
      <c r="AKS14" s="352"/>
      <c r="AKT14" s="352"/>
      <c r="AKU14" s="352"/>
      <c r="AKV14" s="352"/>
      <c r="AKW14" s="352"/>
      <c r="AKX14" s="352"/>
      <c r="AKY14" s="352"/>
      <c r="AKZ14" s="352"/>
      <c r="ALA14" s="352"/>
      <c r="ALB14" s="345" t="s">
        <v>2635</v>
      </c>
      <c r="ALC14" s="345"/>
      <c r="ALD14" s="352"/>
      <c r="ALE14" s="352"/>
      <c r="ALF14" s="352"/>
      <c r="ALG14" s="352"/>
      <c r="ALH14" s="352"/>
      <c r="ALI14" s="352"/>
      <c r="ALJ14" s="352"/>
      <c r="ALK14" s="352"/>
      <c r="ALL14" s="352"/>
      <c r="ALM14" s="352"/>
      <c r="ALN14" s="352"/>
      <c r="ALO14" s="352"/>
      <c r="ALP14" s="352"/>
      <c r="ALQ14" s="352"/>
      <c r="ALR14" s="352"/>
      <c r="ALS14" s="352"/>
      <c r="ALT14" s="8" t="s">
        <v>14</v>
      </c>
      <c r="ALU14" s="352" t="s">
        <v>2635</v>
      </c>
      <c r="ALV14" s="352"/>
      <c r="ALW14" s="352"/>
      <c r="ALX14" s="352"/>
      <c r="ALY14" s="352"/>
      <c r="ALZ14" s="352"/>
      <c r="AMA14" s="352"/>
      <c r="AMB14" s="352"/>
      <c r="AMC14" s="352"/>
      <c r="AMD14" s="352"/>
      <c r="AME14" s="352"/>
      <c r="AMF14" s="352"/>
      <c r="AMG14" s="352"/>
      <c r="AMH14" s="352"/>
      <c r="AMI14" s="352"/>
      <c r="AMJ14" s="352"/>
      <c r="AMK14" s="352"/>
      <c r="AML14" s="352"/>
      <c r="AMM14" s="352"/>
      <c r="AMN14" s="352"/>
      <c r="AMO14" s="352"/>
      <c r="AMP14" s="352"/>
      <c r="AMQ14" s="352"/>
      <c r="AMR14" s="352"/>
      <c r="AMS14" s="352"/>
      <c r="AMT14" s="352"/>
      <c r="AMU14" s="352"/>
      <c r="AMV14" s="352"/>
      <c r="AMW14" s="352"/>
      <c r="AMX14" s="352"/>
      <c r="AMY14" s="352"/>
      <c r="AMZ14" s="8" t="s">
        <v>14</v>
      </c>
      <c r="ANA14" s="352" t="s">
        <v>2635</v>
      </c>
      <c r="ANB14" s="352"/>
      <c r="ANC14" s="352"/>
      <c r="AND14" s="352"/>
      <c r="ANE14" s="352"/>
      <c r="ANF14" s="352"/>
      <c r="ANG14" s="352"/>
      <c r="ANH14" s="352"/>
      <c r="ANI14" s="352"/>
      <c r="ANJ14" s="352"/>
      <c r="ANK14" s="352"/>
      <c r="ANL14" s="352"/>
      <c r="ANM14" s="352"/>
      <c r="ANN14" s="352"/>
      <c r="ANO14" s="352"/>
      <c r="ANP14" s="352"/>
      <c r="ANQ14" s="352"/>
      <c r="ANR14" s="352"/>
      <c r="ANS14" s="352"/>
      <c r="ANT14" s="352"/>
      <c r="ANU14" s="352"/>
      <c r="ANV14" s="352"/>
      <c r="ANW14" s="352"/>
      <c r="ANX14" s="352"/>
      <c r="ANY14" s="352"/>
      <c r="ANZ14" s="352"/>
      <c r="AOA14" s="352"/>
      <c r="AOB14" s="352"/>
      <c r="AOC14" s="352"/>
      <c r="AOD14" s="352"/>
      <c r="AOE14" s="8" t="s">
        <v>14</v>
      </c>
      <c r="AOF14" s="128"/>
      <c r="AOG14" s="128"/>
      <c r="AOH14" s="128"/>
      <c r="AOI14" s="128"/>
      <c r="AOJ14" s="128"/>
      <c r="AOK14" s="128"/>
      <c r="AOL14" s="128"/>
      <c r="AOM14" s="128"/>
      <c r="AON14" s="128"/>
      <c r="AOO14" s="352" t="s">
        <v>2635</v>
      </c>
      <c r="AOP14" s="352"/>
      <c r="AOQ14" s="352"/>
      <c r="AOR14" s="352"/>
      <c r="AOS14" s="352"/>
      <c r="AOT14" s="352"/>
      <c r="AOU14" s="352"/>
      <c r="AOV14" s="352"/>
      <c r="AOW14" s="352"/>
      <c r="AOX14" s="352"/>
      <c r="AOY14" s="352"/>
      <c r="AOZ14" s="352"/>
      <c r="APA14" s="352"/>
      <c r="APB14" s="352"/>
      <c r="APC14" s="352"/>
      <c r="APD14" s="352"/>
      <c r="APE14" s="352"/>
      <c r="APF14" s="352"/>
      <c r="APG14" s="352"/>
      <c r="APH14" s="352"/>
      <c r="API14" s="352"/>
      <c r="APJ14" s="352"/>
      <c r="APK14" s="8" t="s">
        <v>14</v>
      </c>
      <c r="APL14" s="352" t="s">
        <v>2635</v>
      </c>
      <c r="APM14" s="352"/>
      <c r="APN14" s="352"/>
      <c r="APO14" s="352"/>
      <c r="APP14" s="352"/>
      <c r="APQ14" s="352"/>
      <c r="APR14" s="352"/>
      <c r="APS14" s="345" t="s">
        <v>2866</v>
      </c>
      <c r="APT14" s="345"/>
      <c r="APU14" s="352"/>
      <c r="APV14" s="352"/>
      <c r="APW14" s="352"/>
      <c r="APX14" s="352"/>
      <c r="APY14" s="352"/>
      <c r="APZ14" s="352"/>
      <c r="AQA14" s="352"/>
      <c r="AQB14" s="352"/>
      <c r="AQC14" s="352"/>
      <c r="AQD14" s="352"/>
      <c r="AQE14" s="352"/>
      <c r="AQF14" s="352"/>
      <c r="AQG14" s="352"/>
      <c r="AQH14" s="352"/>
      <c r="AQI14" s="352"/>
      <c r="AQJ14" s="352"/>
      <c r="AQK14" s="352"/>
      <c r="AQL14" s="352"/>
      <c r="AQM14" s="352"/>
      <c r="AQN14" s="352"/>
      <c r="AQO14" s="352"/>
      <c r="AQP14" s="8" t="s">
        <v>14</v>
      </c>
      <c r="AQQ14" s="352" t="s">
        <v>2866</v>
      </c>
      <c r="AQR14" s="352"/>
      <c r="AQS14" s="352"/>
      <c r="AQT14" s="352"/>
      <c r="AQU14" s="352"/>
      <c r="AQV14" s="352"/>
      <c r="AQW14" s="352"/>
      <c r="AQX14" s="128"/>
      <c r="AQY14" s="128"/>
      <c r="AQZ14" s="128"/>
      <c r="ARA14" s="128"/>
      <c r="ARB14" s="128"/>
      <c r="ARC14" s="128"/>
      <c r="ARD14" s="128"/>
      <c r="ARE14" s="128"/>
      <c r="ARF14" s="128"/>
      <c r="ARG14" s="352" t="s">
        <v>2866</v>
      </c>
      <c r="ARH14" s="352"/>
      <c r="ARI14" s="352"/>
      <c r="ARJ14" s="352"/>
      <c r="ARK14" s="352"/>
      <c r="ARL14" s="352"/>
      <c r="ARM14" s="352"/>
      <c r="ARN14" s="352"/>
      <c r="ARO14" s="352"/>
      <c r="ARP14" s="352"/>
      <c r="ARQ14" s="352"/>
      <c r="ARR14" s="352"/>
      <c r="ARS14" s="352"/>
      <c r="ART14" s="352"/>
      <c r="ARU14" s="352"/>
      <c r="ARV14" s="8" t="s">
        <v>14</v>
      </c>
      <c r="ARW14" s="352" t="s">
        <v>2866</v>
      </c>
      <c r="ARX14" s="352"/>
      <c r="ARY14" s="352"/>
      <c r="ARZ14" s="352"/>
      <c r="ASA14" s="352"/>
      <c r="ASB14" s="352"/>
      <c r="ASC14" s="352"/>
      <c r="ASD14" s="352"/>
      <c r="ASE14" s="352"/>
      <c r="ASF14" s="352"/>
      <c r="ASG14" s="352"/>
      <c r="ASH14" s="352"/>
      <c r="ASI14" s="352"/>
      <c r="ASJ14" s="352"/>
      <c r="ASK14" s="352"/>
      <c r="ASL14" s="352"/>
      <c r="ASM14" s="352"/>
      <c r="ASN14" s="352"/>
      <c r="ASO14" s="352"/>
      <c r="ASP14" s="352"/>
      <c r="ASQ14" s="352"/>
      <c r="ASR14" s="352"/>
      <c r="ASS14" s="352"/>
      <c r="AST14" s="352"/>
      <c r="ASU14" s="352"/>
      <c r="ASV14" s="352"/>
      <c r="ASW14" s="352"/>
      <c r="ASX14" s="352"/>
      <c r="ASY14" s="352"/>
      <c r="ASZ14" s="352"/>
      <c r="ATA14" s="352"/>
      <c r="ATB14" s="8" t="s">
        <v>14</v>
      </c>
      <c r="ATC14" s="352" t="s">
        <v>2866</v>
      </c>
      <c r="ATD14" s="352"/>
      <c r="ATE14" s="352"/>
      <c r="ATF14" s="352"/>
      <c r="ATG14" s="345" t="s">
        <v>2673</v>
      </c>
      <c r="ATH14" s="345"/>
      <c r="ATI14" s="352"/>
      <c r="ATJ14" s="352"/>
      <c r="ATK14" s="352"/>
      <c r="ATL14" s="352"/>
      <c r="ATM14" s="352"/>
      <c r="ATN14" s="352"/>
      <c r="ATO14" s="352"/>
      <c r="ATP14" s="352"/>
      <c r="ATQ14" s="352"/>
      <c r="ATR14" s="352"/>
      <c r="ATS14" s="352"/>
      <c r="ATT14" s="352"/>
      <c r="ATU14" s="352"/>
      <c r="ATV14" s="352"/>
      <c r="ATW14" s="352"/>
      <c r="ATX14" s="352"/>
      <c r="ATY14" s="352"/>
      <c r="ATZ14" s="352"/>
      <c r="AUA14" s="352"/>
      <c r="AUB14" s="352"/>
      <c r="AUC14" s="352"/>
      <c r="AUD14" s="352"/>
      <c r="AUE14" s="352"/>
      <c r="AUF14" s="352"/>
      <c r="AUG14" s="8" t="s">
        <v>14</v>
      </c>
      <c r="AUH14" s="352" t="s">
        <v>2673</v>
      </c>
      <c r="AUI14" s="352"/>
      <c r="AUJ14" s="352"/>
      <c r="AUK14" s="352"/>
      <c r="AUL14" s="352"/>
      <c r="AUM14" s="352"/>
      <c r="AUN14" s="352"/>
      <c r="AUO14" s="352"/>
      <c r="AUP14" s="352"/>
      <c r="AUQ14" s="352"/>
      <c r="AUR14" s="352"/>
      <c r="AUS14" s="352"/>
      <c r="AUT14" s="352"/>
      <c r="AUU14" s="352"/>
      <c r="AUV14" s="352"/>
      <c r="AUW14" s="352"/>
      <c r="AUX14" s="352"/>
      <c r="AUY14" s="352"/>
      <c r="AUZ14" s="352"/>
      <c r="AVA14" s="352"/>
      <c r="AVB14" s="352"/>
      <c r="AVC14" s="352"/>
      <c r="AVD14" s="352"/>
      <c r="AVE14" s="352"/>
      <c r="AVF14" s="352"/>
      <c r="AVG14" s="352"/>
      <c r="AVH14" s="352"/>
      <c r="AVI14" s="352"/>
      <c r="AVJ14" s="352"/>
      <c r="AVK14" s="352"/>
      <c r="AVL14" s="352"/>
      <c r="AVM14" s="8" t="s">
        <v>14</v>
      </c>
      <c r="AVN14" s="352" t="s">
        <v>2673</v>
      </c>
      <c r="AVO14" s="352"/>
      <c r="AVP14" s="352"/>
      <c r="AVQ14" s="352"/>
      <c r="AVR14" s="352"/>
      <c r="AVS14" s="352"/>
      <c r="AVT14" s="352"/>
      <c r="AVU14" s="352"/>
      <c r="AVV14" s="352"/>
      <c r="AVW14" s="352"/>
      <c r="AVX14" s="352"/>
      <c r="AVY14" s="352"/>
      <c r="AVZ14" s="352"/>
      <c r="AWA14" s="352"/>
      <c r="AWB14" s="352"/>
      <c r="AWC14" s="352"/>
      <c r="AWD14" s="352"/>
      <c r="AWE14" s="352"/>
      <c r="AWF14" s="352"/>
      <c r="AWG14" s="352"/>
      <c r="AWH14" s="352"/>
      <c r="AWI14" s="352"/>
      <c r="AWJ14" s="345" t="s">
        <v>2674</v>
      </c>
      <c r="AWK14" s="345"/>
      <c r="AWL14" s="352"/>
      <c r="AWM14" s="352"/>
      <c r="AWN14" s="352"/>
      <c r="AWO14" s="352"/>
      <c r="AWP14" s="352"/>
      <c r="AWQ14" s="352"/>
      <c r="AWR14" s="8" t="s">
        <v>14</v>
      </c>
      <c r="AWS14" s="352" t="s">
        <v>2674</v>
      </c>
      <c r="AWT14" s="352"/>
      <c r="AWU14" s="352"/>
      <c r="AWV14" s="352"/>
      <c r="AWW14" s="352"/>
      <c r="AWX14" s="352"/>
      <c r="AWY14" s="352"/>
      <c r="AWZ14" s="352"/>
      <c r="AXA14" s="352"/>
      <c r="AXB14" s="352"/>
      <c r="AXC14" s="352"/>
      <c r="AXD14" s="352"/>
      <c r="AXE14" s="352"/>
      <c r="AXF14" s="352"/>
      <c r="AXG14" s="352"/>
      <c r="AXH14" s="352"/>
      <c r="AXI14" s="352"/>
      <c r="AXJ14" s="352"/>
      <c r="AXK14" s="352"/>
      <c r="AXL14" s="352"/>
      <c r="AXM14" s="352"/>
      <c r="AXN14" s="352"/>
      <c r="AXO14" s="352"/>
      <c r="AXP14" s="352"/>
      <c r="AXQ14" s="352"/>
      <c r="AXR14" s="352"/>
      <c r="AXS14" s="352"/>
      <c r="AXT14" s="352"/>
      <c r="AXU14" s="352"/>
      <c r="AXV14" s="352"/>
      <c r="AXW14" s="352"/>
      <c r="AXX14" s="8" t="s">
        <v>14</v>
      </c>
    </row>
    <row r="15" spans="1:1327" s="135" customFormat="1" ht="28.5" customHeight="1" x14ac:dyDescent="0.4">
      <c r="A15" s="711"/>
      <c r="B15" s="1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50"/>
      <c r="AI15" s="132"/>
      <c r="AJ15" s="132"/>
      <c r="AK15" s="132"/>
      <c r="AL15" s="132"/>
      <c r="AM15" s="132"/>
      <c r="AN15" s="132"/>
      <c r="AO15" s="132"/>
      <c r="AP15" s="132"/>
      <c r="AQ15" s="750"/>
      <c r="AR15" s="751"/>
      <c r="AS15" s="751"/>
      <c r="AT15" s="751"/>
      <c r="AU15" s="751"/>
      <c r="AV15" s="751"/>
      <c r="AW15" s="751"/>
      <c r="AX15" s="751"/>
      <c r="AY15" s="751"/>
      <c r="AZ15" s="75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  <c r="BN15" s="11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1"/>
      <c r="CT15" s="135">
        <v>1845</v>
      </c>
      <c r="CU15" s="135">
        <v>1845</v>
      </c>
      <c r="CV15" s="135">
        <v>1845</v>
      </c>
      <c r="CX15" s="135">
        <v>1845</v>
      </c>
      <c r="CY15" s="135">
        <v>1845</v>
      </c>
      <c r="CZ15" s="135">
        <v>1845</v>
      </c>
      <c r="DA15" s="135">
        <v>1845</v>
      </c>
      <c r="DB15" s="135">
        <v>1845</v>
      </c>
      <c r="DC15" s="135">
        <v>1845</v>
      </c>
      <c r="DE15" s="135">
        <v>1845</v>
      </c>
      <c r="DF15" s="135">
        <v>1845</v>
      </c>
      <c r="DG15" s="135">
        <v>1845</v>
      </c>
      <c r="DH15" s="135">
        <v>1845</v>
      </c>
      <c r="DI15" s="135">
        <v>1845</v>
      </c>
      <c r="DJ15" s="135">
        <v>1845</v>
      </c>
      <c r="DL15" s="135">
        <v>1845</v>
      </c>
      <c r="DM15" s="135">
        <v>1845</v>
      </c>
      <c r="DN15" s="135">
        <v>1845</v>
      </c>
      <c r="DO15" s="135">
        <v>1845</v>
      </c>
      <c r="DP15" s="135">
        <v>1845</v>
      </c>
      <c r="DQ15" s="135">
        <v>1845</v>
      </c>
      <c r="DS15" s="135">
        <v>1845</v>
      </c>
      <c r="DT15" s="135">
        <v>1845</v>
      </c>
      <c r="DU15" s="135">
        <v>1845</v>
      </c>
      <c r="DV15" s="135">
        <v>1845</v>
      </c>
      <c r="DW15" s="135">
        <v>1845</v>
      </c>
      <c r="DX15" s="135">
        <v>1845</v>
      </c>
      <c r="DY15" s="11"/>
      <c r="EA15" s="135">
        <v>1845</v>
      </c>
      <c r="EB15" s="135">
        <v>1845</v>
      </c>
      <c r="EC15" s="135">
        <v>1845</v>
      </c>
      <c r="ED15" s="135">
        <v>1845</v>
      </c>
      <c r="EE15" s="135">
        <v>1845</v>
      </c>
      <c r="EF15" s="135">
        <v>1845</v>
      </c>
      <c r="EH15" s="135">
        <v>1845</v>
      </c>
      <c r="EI15" s="135">
        <v>1845</v>
      </c>
      <c r="EJ15" s="135">
        <v>1845</v>
      </c>
      <c r="EK15" s="135">
        <v>1845</v>
      </c>
      <c r="EL15" s="135">
        <v>1845</v>
      </c>
      <c r="EM15" s="135">
        <v>1845</v>
      </c>
      <c r="EO15" s="135">
        <v>1845</v>
      </c>
      <c r="EP15" s="135">
        <v>1845</v>
      </c>
      <c r="EQ15" s="135">
        <v>1845</v>
      </c>
      <c r="ER15" s="135">
        <v>1845</v>
      </c>
      <c r="ES15" s="135">
        <v>1845</v>
      </c>
      <c r="ET15" s="135">
        <v>1845</v>
      </c>
      <c r="EV15" s="135">
        <v>1845</v>
      </c>
      <c r="EW15" s="135">
        <v>1845</v>
      </c>
      <c r="EX15" s="135">
        <v>1845</v>
      </c>
      <c r="EY15" s="135">
        <v>1845</v>
      </c>
      <c r="EZ15" s="135">
        <v>1845</v>
      </c>
      <c r="FA15" s="135">
        <v>1845</v>
      </c>
      <c r="FC15" s="135">
        <v>1845</v>
      </c>
      <c r="FD15" s="11"/>
      <c r="FE15" s="134">
        <v>1760</v>
      </c>
      <c r="FF15" s="134">
        <v>1760</v>
      </c>
      <c r="FG15" s="134">
        <v>1760</v>
      </c>
      <c r="FH15" s="134">
        <v>1760</v>
      </c>
      <c r="FI15" s="134">
        <v>1760</v>
      </c>
      <c r="FJ15" s="134"/>
      <c r="FK15" s="134">
        <v>1760</v>
      </c>
      <c r="FL15" s="134">
        <v>1760</v>
      </c>
      <c r="FM15" s="134">
        <v>1760</v>
      </c>
      <c r="FN15" s="134">
        <v>1760</v>
      </c>
      <c r="FO15" s="134">
        <v>1760</v>
      </c>
      <c r="FP15" s="134">
        <v>1760</v>
      </c>
      <c r="FQ15" s="134"/>
      <c r="FR15" s="134">
        <v>1760</v>
      </c>
      <c r="FS15" s="134">
        <v>1760</v>
      </c>
      <c r="FT15" s="134"/>
      <c r="FU15" s="134">
        <v>1760</v>
      </c>
      <c r="FV15" s="134">
        <v>1760</v>
      </c>
      <c r="FW15" s="134">
        <v>1760</v>
      </c>
      <c r="FX15" s="134"/>
      <c r="FY15" s="134">
        <v>1760</v>
      </c>
      <c r="FZ15" s="134">
        <v>1760</v>
      </c>
      <c r="GA15" s="134">
        <v>1760</v>
      </c>
      <c r="GB15" s="134">
        <v>1760</v>
      </c>
      <c r="GC15" s="134">
        <v>1760</v>
      </c>
      <c r="GD15" s="134">
        <v>1760</v>
      </c>
      <c r="GE15" s="134"/>
      <c r="GF15" s="134">
        <v>1760</v>
      </c>
      <c r="GG15" s="134">
        <v>1760</v>
      </c>
      <c r="GH15" s="134">
        <v>1760</v>
      </c>
      <c r="GI15" s="134">
        <v>1760</v>
      </c>
      <c r="GJ15" s="11"/>
      <c r="GK15" s="136">
        <v>1840</v>
      </c>
      <c r="GL15" s="136">
        <v>1840</v>
      </c>
      <c r="GM15" s="136"/>
      <c r="GN15" s="136">
        <v>1840</v>
      </c>
      <c r="GO15" s="136">
        <v>1840</v>
      </c>
      <c r="GP15" s="136">
        <v>1840</v>
      </c>
      <c r="GQ15" s="136">
        <v>1840</v>
      </c>
      <c r="GR15" s="136">
        <v>1840</v>
      </c>
      <c r="GS15" s="136">
        <v>1840</v>
      </c>
      <c r="GT15" s="136"/>
      <c r="GU15" s="136">
        <v>1840</v>
      </c>
      <c r="GV15" s="136">
        <v>1840</v>
      </c>
      <c r="GW15" s="136">
        <v>1840</v>
      </c>
      <c r="GX15" s="136">
        <v>1840</v>
      </c>
      <c r="GY15" s="136">
        <v>1840</v>
      </c>
      <c r="GZ15" s="136">
        <v>1840</v>
      </c>
      <c r="HA15" s="136"/>
      <c r="HB15" s="136">
        <v>1840</v>
      </c>
      <c r="HC15" s="136">
        <v>1840</v>
      </c>
      <c r="HD15" s="136">
        <v>1840</v>
      </c>
      <c r="HE15" s="136">
        <v>1840</v>
      </c>
      <c r="HF15" s="136">
        <v>1840</v>
      </c>
      <c r="HG15" s="136">
        <v>1840</v>
      </c>
      <c r="HH15" s="136"/>
      <c r="HI15" s="136">
        <v>1840</v>
      </c>
      <c r="HJ15" s="136">
        <v>1840</v>
      </c>
      <c r="HK15" s="136">
        <v>1840</v>
      </c>
      <c r="HL15" s="136">
        <v>1840</v>
      </c>
      <c r="HM15" s="136">
        <v>1840</v>
      </c>
      <c r="HN15" s="136">
        <v>1840</v>
      </c>
      <c r="HP15" s="11"/>
      <c r="HQ15" s="136">
        <v>2585</v>
      </c>
      <c r="HR15" s="136">
        <v>2585</v>
      </c>
      <c r="HS15" s="137">
        <v>1130</v>
      </c>
      <c r="HT15" s="136">
        <v>2530</v>
      </c>
      <c r="HU15" s="136">
        <v>2530</v>
      </c>
      <c r="HV15" s="136">
        <v>2530</v>
      </c>
      <c r="HW15" s="136"/>
      <c r="HX15" s="136">
        <v>2530</v>
      </c>
      <c r="HY15" s="136">
        <v>2530</v>
      </c>
      <c r="HZ15" s="136">
        <v>2530</v>
      </c>
      <c r="IA15" s="136">
        <v>2530</v>
      </c>
      <c r="IB15" s="136">
        <v>2530</v>
      </c>
      <c r="IC15" s="136">
        <v>2530</v>
      </c>
      <c r="ID15" s="136"/>
      <c r="IE15" s="136">
        <v>2530</v>
      </c>
      <c r="IF15" s="136">
        <v>2530</v>
      </c>
      <c r="IG15" s="136">
        <v>2530</v>
      </c>
      <c r="IH15" s="136">
        <v>2530</v>
      </c>
      <c r="II15" s="136">
        <v>2530</v>
      </c>
      <c r="IJ15" s="136">
        <v>2530</v>
      </c>
      <c r="IK15" s="136"/>
      <c r="IL15" s="136">
        <v>2530</v>
      </c>
      <c r="IM15" s="136">
        <v>2530</v>
      </c>
      <c r="IN15" s="136">
        <v>2530</v>
      </c>
      <c r="IO15" s="136">
        <v>2530</v>
      </c>
      <c r="IP15" s="136">
        <v>2530</v>
      </c>
      <c r="IQ15" s="136">
        <v>2530</v>
      </c>
      <c r="IR15" s="136"/>
      <c r="IS15" s="136">
        <v>2530</v>
      </c>
      <c r="IT15" s="11"/>
      <c r="IU15" s="215">
        <v>2530</v>
      </c>
      <c r="IV15" s="215">
        <v>2530</v>
      </c>
      <c r="IW15" s="215">
        <v>2530</v>
      </c>
      <c r="IX15" s="215">
        <v>2530</v>
      </c>
      <c r="IY15" s="215">
        <v>2530</v>
      </c>
      <c r="IZ15" s="215"/>
      <c r="JA15" s="215">
        <v>2530</v>
      </c>
      <c r="JB15" s="215">
        <v>2530</v>
      </c>
      <c r="JC15" s="215">
        <v>2530</v>
      </c>
      <c r="JD15" s="215">
        <v>2530</v>
      </c>
      <c r="JE15" s="215">
        <v>2530</v>
      </c>
      <c r="JF15" s="215">
        <v>2530</v>
      </c>
      <c r="JG15" s="215"/>
      <c r="JH15" s="215">
        <v>2530</v>
      </c>
      <c r="JI15" s="215">
        <v>2530</v>
      </c>
      <c r="JJ15" s="215">
        <v>2530</v>
      </c>
      <c r="JK15" s="215">
        <v>2530</v>
      </c>
      <c r="JL15" s="215">
        <v>2530</v>
      </c>
      <c r="JM15" s="215">
        <v>2530</v>
      </c>
      <c r="JN15" s="215"/>
      <c r="JO15" s="215">
        <v>2530</v>
      </c>
      <c r="JP15" s="215">
        <v>2530</v>
      </c>
      <c r="JQ15" s="215">
        <v>2530</v>
      </c>
      <c r="JR15" s="215">
        <v>2530</v>
      </c>
      <c r="JS15" s="215">
        <v>2530</v>
      </c>
      <c r="JT15" s="215"/>
      <c r="JU15" s="215"/>
      <c r="JV15" s="215">
        <v>2530</v>
      </c>
      <c r="JW15" s="215">
        <v>2530</v>
      </c>
      <c r="JX15" s="215">
        <v>2530</v>
      </c>
      <c r="JY15" s="215">
        <v>2530</v>
      </c>
      <c r="JZ15" s="11"/>
      <c r="KA15" s="129">
        <v>2530</v>
      </c>
      <c r="KB15" s="129">
        <v>2530</v>
      </c>
      <c r="KC15" s="129"/>
      <c r="KD15" s="129">
        <v>2530</v>
      </c>
      <c r="KE15" s="129">
        <v>2530</v>
      </c>
      <c r="KF15" s="129">
        <v>2530</v>
      </c>
      <c r="KG15" s="129">
        <v>2530</v>
      </c>
      <c r="KH15" s="129">
        <v>2530</v>
      </c>
      <c r="KI15" s="129">
        <v>2530</v>
      </c>
      <c r="KJ15" s="129">
        <v>2530</v>
      </c>
      <c r="KK15" s="129">
        <v>2530</v>
      </c>
      <c r="KL15" s="129">
        <v>2530</v>
      </c>
      <c r="KM15" s="129">
        <v>2530</v>
      </c>
      <c r="KN15" s="129">
        <v>2530</v>
      </c>
      <c r="KO15" s="129">
        <v>2530</v>
      </c>
      <c r="KP15" s="129">
        <v>2530</v>
      </c>
      <c r="KQ15" s="129">
        <v>2530</v>
      </c>
      <c r="KR15" s="129">
        <v>2530</v>
      </c>
      <c r="KS15" s="129">
        <v>2530</v>
      </c>
      <c r="KT15" s="129">
        <v>2530</v>
      </c>
      <c r="KU15" s="129">
        <v>2530</v>
      </c>
      <c r="KV15" s="129">
        <v>2530</v>
      </c>
      <c r="KW15" s="129">
        <v>2530</v>
      </c>
      <c r="KX15" s="129"/>
      <c r="KY15" s="129">
        <v>2070</v>
      </c>
      <c r="KZ15" s="129">
        <v>2070</v>
      </c>
      <c r="LA15" s="129">
        <v>2070</v>
      </c>
      <c r="LB15" s="129">
        <v>2070</v>
      </c>
      <c r="LC15" s="129">
        <v>2070</v>
      </c>
      <c r="LD15" s="129">
        <v>2070</v>
      </c>
      <c r="LE15" s="11"/>
      <c r="LF15" s="129"/>
      <c r="LG15" s="129">
        <v>2070</v>
      </c>
      <c r="LH15" s="129">
        <v>2070</v>
      </c>
      <c r="LI15" s="129">
        <v>2070</v>
      </c>
      <c r="LJ15" s="129">
        <v>2070</v>
      </c>
      <c r="LK15" s="129">
        <v>2070</v>
      </c>
      <c r="LL15" s="129">
        <v>2070</v>
      </c>
      <c r="LM15" s="129">
        <v>2070</v>
      </c>
      <c r="LN15" s="129">
        <v>2070</v>
      </c>
      <c r="LO15" s="129">
        <v>2070</v>
      </c>
      <c r="LP15" s="129">
        <v>2070</v>
      </c>
      <c r="LQ15" s="129">
        <v>2070</v>
      </c>
      <c r="LR15" s="129">
        <v>2070</v>
      </c>
      <c r="LS15" s="129">
        <v>2070</v>
      </c>
      <c r="LT15" s="129"/>
      <c r="LU15" s="129">
        <v>2070</v>
      </c>
      <c r="LV15" s="129">
        <v>2070</v>
      </c>
      <c r="LW15" s="129">
        <v>2070</v>
      </c>
      <c r="LX15" s="129">
        <v>2070</v>
      </c>
      <c r="LY15" s="129">
        <v>2070</v>
      </c>
      <c r="LZ15" s="756"/>
      <c r="MA15" s="757"/>
      <c r="MB15" s="757"/>
      <c r="MC15" s="757"/>
      <c r="MD15" s="757"/>
      <c r="ME15" s="757"/>
      <c r="MF15" s="757"/>
      <c r="MG15" s="757"/>
      <c r="MH15" s="757"/>
      <c r="MI15" s="758"/>
      <c r="MJ15" s="129">
        <v>2070</v>
      </c>
      <c r="MK15" s="11"/>
      <c r="ML15" s="336">
        <v>2300</v>
      </c>
      <c r="MM15" s="336">
        <v>2300</v>
      </c>
      <c r="MN15" s="336">
        <v>2300</v>
      </c>
      <c r="MO15" s="336">
        <v>2300</v>
      </c>
      <c r="MP15" s="336"/>
      <c r="MQ15" s="336">
        <v>2300</v>
      </c>
      <c r="MR15" s="336">
        <v>2300</v>
      </c>
      <c r="MS15" s="336">
        <v>2300</v>
      </c>
      <c r="MT15" s="336">
        <v>2300</v>
      </c>
      <c r="MU15" s="336">
        <v>2300</v>
      </c>
      <c r="MV15" s="336">
        <v>2300</v>
      </c>
      <c r="MW15" s="336"/>
      <c r="MX15" s="336">
        <v>2300</v>
      </c>
      <c r="MY15" s="336">
        <v>2300</v>
      </c>
      <c r="MZ15" s="336">
        <v>2300</v>
      </c>
      <c r="NA15" s="336">
        <v>2300</v>
      </c>
      <c r="NB15" s="336">
        <v>2300</v>
      </c>
      <c r="NC15" s="336">
        <v>2300</v>
      </c>
      <c r="ND15" s="336"/>
      <c r="NE15" s="336">
        <v>2300</v>
      </c>
      <c r="NF15" s="336">
        <v>2300</v>
      </c>
      <c r="NG15" s="336">
        <v>2300</v>
      </c>
      <c r="NH15" s="336">
        <v>2300</v>
      </c>
      <c r="NI15" s="336">
        <v>2300</v>
      </c>
      <c r="NJ15" s="336">
        <v>2300</v>
      </c>
      <c r="NK15" s="336">
        <v>2300</v>
      </c>
      <c r="NL15" s="336">
        <v>2300</v>
      </c>
      <c r="NM15" s="340">
        <v>2300</v>
      </c>
      <c r="NN15" s="336">
        <v>2250</v>
      </c>
      <c r="NO15" s="336">
        <v>2250</v>
      </c>
      <c r="NP15" s="11"/>
      <c r="NQ15" s="346"/>
      <c r="NR15" s="346"/>
      <c r="NS15" s="346"/>
      <c r="NT15" s="346"/>
      <c r="NU15" s="346"/>
      <c r="NV15" s="346"/>
      <c r="NW15" s="346"/>
      <c r="NX15" s="346"/>
      <c r="NY15" s="346"/>
      <c r="NZ15" s="346"/>
      <c r="OA15" s="346"/>
      <c r="OB15" s="346"/>
      <c r="OC15" s="346"/>
      <c r="OD15" s="346"/>
      <c r="OE15" s="346"/>
      <c r="OF15" s="346"/>
      <c r="OG15" s="346"/>
      <c r="OH15" s="346"/>
      <c r="OI15" s="346"/>
      <c r="OJ15" s="346"/>
      <c r="OK15" s="346"/>
      <c r="OL15" s="346"/>
      <c r="OM15" s="346"/>
      <c r="ON15" s="346"/>
      <c r="OO15" s="346"/>
      <c r="OP15" s="346"/>
      <c r="OQ15" s="346"/>
      <c r="OR15" s="346"/>
      <c r="OS15" s="762"/>
      <c r="OT15" s="763"/>
      <c r="OU15" s="764"/>
      <c r="OV15" s="11"/>
      <c r="OW15" s="770"/>
      <c r="OX15" s="763"/>
      <c r="OY15" s="763"/>
      <c r="OZ15" s="763"/>
      <c r="PA15" s="763"/>
      <c r="PB15" s="763"/>
      <c r="PC15" s="771"/>
      <c r="PD15" s="353"/>
      <c r="PE15" s="353"/>
      <c r="PF15" s="353"/>
      <c r="PG15" s="353"/>
      <c r="PH15" s="353"/>
      <c r="PI15" s="353"/>
      <c r="PJ15" s="353"/>
      <c r="PK15" s="353"/>
      <c r="PL15" s="353"/>
      <c r="PM15" s="353"/>
      <c r="PN15" s="353"/>
      <c r="PO15" s="353"/>
      <c r="PP15" s="353"/>
      <c r="PQ15" s="353"/>
      <c r="PR15" s="353"/>
      <c r="PS15" s="353"/>
      <c r="PT15" s="353"/>
      <c r="PU15" s="353"/>
      <c r="PV15" s="353"/>
      <c r="PW15" s="353"/>
      <c r="PX15" s="353"/>
      <c r="PY15" s="353"/>
      <c r="PZ15" s="353"/>
      <c r="QA15" s="353"/>
      <c r="QB15" s="11"/>
      <c r="QC15" s="359"/>
      <c r="QD15" s="359"/>
      <c r="QE15" s="359"/>
      <c r="QF15" s="359"/>
      <c r="QG15" s="359"/>
      <c r="QH15" s="359"/>
      <c r="QI15" s="359"/>
      <c r="QJ15" s="359"/>
      <c r="QK15" s="359"/>
      <c r="QL15" s="359"/>
      <c r="QM15" s="359"/>
      <c r="QN15" s="359"/>
      <c r="QO15" s="359"/>
      <c r="QP15" s="359"/>
      <c r="QQ15" s="359"/>
      <c r="QR15" s="359"/>
      <c r="QS15" s="359"/>
      <c r="QT15" s="359"/>
      <c r="QU15" s="359"/>
      <c r="QV15" s="359"/>
      <c r="QW15" s="359"/>
      <c r="QX15" s="359"/>
      <c r="QY15" s="359"/>
      <c r="QZ15" s="359"/>
      <c r="RA15" s="359"/>
      <c r="RB15" s="359"/>
      <c r="RC15" s="359"/>
      <c r="RD15" s="359"/>
      <c r="RE15" s="359"/>
      <c r="RF15" s="359"/>
      <c r="RG15" s="11"/>
      <c r="RH15" s="439"/>
      <c r="RI15" s="439"/>
      <c r="RJ15" s="439"/>
      <c r="RK15" s="439"/>
      <c r="RL15" s="439"/>
      <c r="RM15" s="439"/>
      <c r="RN15" s="439"/>
      <c r="RO15" s="439"/>
      <c r="RP15" s="439"/>
      <c r="RQ15" s="439"/>
      <c r="RR15" s="439"/>
      <c r="RS15" s="439"/>
      <c r="RT15" s="439"/>
      <c r="RU15" s="439"/>
      <c r="RV15" s="439"/>
      <c r="RW15" s="439"/>
      <c r="RX15" s="439"/>
      <c r="RY15" s="439"/>
      <c r="RZ15" s="439"/>
      <c r="SA15" s="439"/>
      <c r="SB15" s="439"/>
      <c r="SC15" s="439"/>
      <c r="SD15" s="439"/>
      <c r="SE15" s="439"/>
      <c r="SF15" s="439"/>
      <c r="SG15" s="439"/>
      <c r="SH15" s="439"/>
      <c r="SI15" s="439"/>
      <c r="SJ15" s="439"/>
      <c r="SK15" s="439"/>
      <c r="SL15" s="439"/>
      <c r="SM15" s="11"/>
      <c r="SN15" s="439"/>
      <c r="SO15" s="439"/>
      <c r="SP15" s="439"/>
      <c r="SQ15" s="439"/>
      <c r="SR15" s="439"/>
      <c r="SS15" s="439"/>
      <c r="ST15" s="439"/>
      <c r="SU15" s="439"/>
      <c r="SV15" s="439"/>
      <c r="SW15" s="439"/>
      <c r="SX15" s="439"/>
      <c r="SY15" s="439"/>
      <c r="SZ15" s="439"/>
      <c r="TA15" s="439"/>
      <c r="TB15" s="439"/>
      <c r="TC15" s="439"/>
      <c r="TD15" s="439"/>
      <c r="TE15" s="439"/>
      <c r="TF15" s="439"/>
      <c r="TG15" s="439"/>
      <c r="TH15" s="439"/>
      <c r="TI15" s="439"/>
      <c r="TJ15" s="439"/>
      <c r="TK15" s="439"/>
      <c r="TL15" s="439"/>
      <c r="TM15" s="439"/>
      <c r="TN15" s="439"/>
      <c r="TO15" s="439"/>
      <c r="TP15" s="439"/>
      <c r="TQ15" s="439"/>
      <c r="TR15" s="11"/>
      <c r="TS15" s="439"/>
      <c r="TT15" s="439"/>
      <c r="TU15" s="439"/>
      <c r="TV15" s="439"/>
      <c r="TW15" s="439"/>
      <c r="TX15" s="439"/>
      <c r="TY15" s="439"/>
      <c r="TZ15" s="439"/>
      <c r="UA15" s="439"/>
      <c r="UB15" s="439"/>
      <c r="UC15" s="439"/>
      <c r="UD15" s="439"/>
      <c r="UE15" s="439"/>
      <c r="UF15" s="439"/>
      <c r="UG15" s="439"/>
      <c r="UH15" s="439"/>
      <c r="UI15" s="447"/>
      <c r="UJ15" s="447"/>
      <c r="UK15" s="447"/>
      <c r="UL15" s="447"/>
      <c r="UM15" s="447"/>
      <c r="UN15" s="447"/>
      <c r="UO15" s="447"/>
      <c r="UP15" s="447"/>
      <c r="UQ15" s="447"/>
      <c r="UR15" s="447"/>
      <c r="US15" s="447"/>
      <c r="UT15" s="447"/>
      <c r="UU15" s="447"/>
      <c r="UV15" s="447"/>
      <c r="UW15" s="447"/>
      <c r="UX15" s="11"/>
      <c r="UY15" s="447"/>
      <c r="UZ15" s="447"/>
      <c r="VA15" s="447"/>
      <c r="VB15" s="447"/>
      <c r="VC15" s="447"/>
      <c r="VD15" s="447"/>
      <c r="VE15" s="447"/>
      <c r="VF15" s="447"/>
      <c r="VG15" s="447"/>
      <c r="VH15" s="447"/>
      <c r="VI15" s="447"/>
      <c r="VJ15" s="447"/>
      <c r="VK15" s="447"/>
      <c r="VL15" s="447"/>
      <c r="VM15" s="447"/>
      <c r="VN15" s="447"/>
      <c r="VO15" s="447"/>
      <c r="VP15" s="447"/>
      <c r="VQ15" s="447"/>
      <c r="VR15" s="447"/>
      <c r="VS15" s="447"/>
      <c r="VT15" s="447"/>
      <c r="WD15" s="11"/>
      <c r="XG15" s="11"/>
      <c r="YM15" s="11"/>
      <c r="ZR15" s="11"/>
      <c r="AAX15" s="11"/>
      <c r="ACC15" s="11"/>
      <c r="ACL15" s="337" t="s">
        <v>434</v>
      </c>
      <c r="ACM15" s="609">
        <v>121965</v>
      </c>
      <c r="ACN15" s="610">
        <v>592.1</v>
      </c>
      <c r="ACO15" s="610">
        <v>205.9871643303496</v>
      </c>
      <c r="ACV15" s="704"/>
      <c r="ACW15" s="705"/>
      <c r="ACX15" s="705"/>
      <c r="ACY15" s="705"/>
      <c r="ACZ15" s="705"/>
      <c r="ADA15" s="705"/>
      <c r="ADB15" s="705"/>
      <c r="ADC15" s="705"/>
      <c r="ADD15" s="706"/>
      <c r="ADI15" s="11"/>
      <c r="ADJ15" s="314">
        <v>8</v>
      </c>
      <c r="ADK15" s="314">
        <v>11</v>
      </c>
      <c r="ADL15" s="314">
        <v>11</v>
      </c>
      <c r="ADM15" s="314">
        <v>11</v>
      </c>
      <c r="ADN15" s="314">
        <v>8</v>
      </c>
      <c r="ADO15" s="314"/>
      <c r="ADP15" s="314">
        <v>11</v>
      </c>
      <c r="ADQ15" s="314">
        <v>11</v>
      </c>
      <c r="ADR15" s="314">
        <v>11</v>
      </c>
      <c r="ADS15" s="314">
        <v>11</v>
      </c>
      <c r="ADT15" s="314">
        <v>11</v>
      </c>
      <c r="ADU15" s="314">
        <v>11</v>
      </c>
      <c r="ADV15" s="314"/>
      <c r="ADW15" s="314">
        <v>11</v>
      </c>
      <c r="ADX15" s="314"/>
      <c r="ADY15" s="314">
        <v>11</v>
      </c>
      <c r="ADZ15" s="314">
        <v>11</v>
      </c>
      <c r="AEA15" s="314">
        <v>11</v>
      </c>
      <c r="AEB15" s="314">
        <v>8</v>
      </c>
      <c r="AEC15" s="314"/>
      <c r="AED15" s="314">
        <v>11</v>
      </c>
      <c r="AEE15" s="314">
        <v>11</v>
      </c>
      <c r="AEF15" s="314">
        <v>11</v>
      </c>
      <c r="AEG15" s="314">
        <v>11</v>
      </c>
      <c r="AEH15" s="314">
        <v>11</v>
      </c>
      <c r="AEI15" s="314">
        <v>11</v>
      </c>
      <c r="AEJ15" s="314"/>
      <c r="AEK15" s="314">
        <v>11</v>
      </c>
      <c r="AEL15" s="314">
        <v>11</v>
      </c>
      <c r="AEM15" s="314">
        <v>11</v>
      </c>
      <c r="AEN15" s="314">
        <v>11</v>
      </c>
      <c r="AEO15" s="11"/>
      <c r="AEP15" s="314">
        <v>11</v>
      </c>
      <c r="AEQ15" s="314">
        <v>11</v>
      </c>
      <c r="AER15" s="314"/>
      <c r="AES15" s="314">
        <v>11</v>
      </c>
      <c r="AET15" s="314">
        <v>11</v>
      </c>
      <c r="AEU15" s="314">
        <v>11</v>
      </c>
      <c r="AEV15" s="314">
        <v>11</v>
      </c>
      <c r="AEW15" s="314">
        <v>11</v>
      </c>
      <c r="AEX15" s="314">
        <v>11</v>
      </c>
      <c r="AEY15" s="314"/>
      <c r="AEZ15" s="314">
        <v>11</v>
      </c>
      <c r="AFA15" s="314">
        <v>11</v>
      </c>
      <c r="AFB15" s="314">
        <v>11</v>
      </c>
      <c r="AFC15" s="314">
        <v>11</v>
      </c>
      <c r="AFD15" s="314">
        <v>11</v>
      </c>
      <c r="AFE15" s="636">
        <v>11</v>
      </c>
      <c r="AFF15" s="314"/>
      <c r="AFG15" s="314">
        <v>759</v>
      </c>
      <c r="AFH15" s="314">
        <v>1397</v>
      </c>
      <c r="AFI15" s="314">
        <v>2350</v>
      </c>
      <c r="AFJ15" s="314">
        <v>2250</v>
      </c>
      <c r="AFK15" s="314">
        <v>2250</v>
      </c>
      <c r="AFL15" s="314">
        <v>2250</v>
      </c>
      <c r="AFM15" s="314"/>
      <c r="AFN15" s="314">
        <v>2250</v>
      </c>
      <c r="AFO15" s="314">
        <v>2250</v>
      </c>
      <c r="AFP15" s="314">
        <v>2250</v>
      </c>
      <c r="AFQ15" s="314">
        <v>2250</v>
      </c>
      <c r="AFR15" s="314">
        <v>2250</v>
      </c>
      <c r="AFS15" s="314">
        <v>2250</v>
      </c>
      <c r="AFT15" s="50"/>
      <c r="AFV15" s="314">
        <v>2250</v>
      </c>
      <c r="AFW15" s="314">
        <v>2250</v>
      </c>
      <c r="AFX15" s="314">
        <v>2250</v>
      </c>
      <c r="AFY15" s="314">
        <v>2250</v>
      </c>
      <c r="AFZ15" s="314">
        <v>2250</v>
      </c>
      <c r="AGA15" s="314">
        <v>2250</v>
      </c>
      <c r="AGB15" s="314"/>
      <c r="AGC15" s="314">
        <v>2250</v>
      </c>
      <c r="AGD15" s="314">
        <v>2250</v>
      </c>
      <c r="AGE15" s="314">
        <v>2250</v>
      </c>
      <c r="AGF15" s="314">
        <v>2250</v>
      </c>
      <c r="AGG15" s="314">
        <v>2250</v>
      </c>
      <c r="AGH15" s="314">
        <v>2250</v>
      </c>
      <c r="AGI15" s="314"/>
      <c r="AGJ15" s="314">
        <v>2250</v>
      </c>
      <c r="AGK15" s="314">
        <v>2250</v>
      </c>
      <c r="AGL15" s="314">
        <v>2250</v>
      </c>
      <c r="AGM15" s="314">
        <v>2250</v>
      </c>
      <c r="AGN15" s="314">
        <v>2250</v>
      </c>
      <c r="AGO15" s="314">
        <v>2250</v>
      </c>
      <c r="AGP15" s="314"/>
      <c r="AGQ15" s="314">
        <v>2250</v>
      </c>
      <c r="AGR15" s="314">
        <v>2250</v>
      </c>
      <c r="AGS15" s="314">
        <v>2250</v>
      </c>
      <c r="AGT15" s="124">
        <v>2250</v>
      </c>
      <c r="AGU15" s="314">
        <v>700</v>
      </c>
      <c r="AGV15" s="314">
        <v>1400</v>
      </c>
      <c r="AGX15" s="314">
        <v>2100</v>
      </c>
      <c r="AGY15" s="314">
        <v>2100</v>
      </c>
      <c r="AGZ15" s="11"/>
      <c r="AHA15" s="314">
        <v>2100</v>
      </c>
      <c r="AHB15" s="124">
        <v>2000</v>
      </c>
      <c r="AHC15" s="314">
        <v>700</v>
      </c>
      <c r="AHD15" s="314">
        <v>1400</v>
      </c>
      <c r="AHF15" s="314">
        <v>2100</v>
      </c>
      <c r="AHG15" s="314">
        <v>2200</v>
      </c>
      <c r="AHH15" s="314">
        <v>2200</v>
      </c>
      <c r="AHI15" s="314">
        <v>2200</v>
      </c>
      <c r="AHJ15" s="314">
        <v>2400</v>
      </c>
      <c r="AHK15" s="314">
        <v>2400</v>
      </c>
      <c r="AHL15" s="314"/>
      <c r="AHM15" s="314">
        <v>2400</v>
      </c>
      <c r="AHN15" s="314">
        <v>2400</v>
      </c>
      <c r="AHO15" s="314">
        <v>2400</v>
      </c>
      <c r="AHP15" s="314">
        <v>2400</v>
      </c>
      <c r="AHQ15" s="314">
        <v>2400</v>
      </c>
      <c r="AHR15" s="314">
        <v>2400</v>
      </c>
      <c r="AHT15" s="124">
        <v>2100</v>
      </c>
      <c r="AHU15" s="314">
        <v>400</v>
      </c>
      <c r="AHV15" s="314">
        <v>800</v>
      </c>
      <c r="AHW15" s="314">
        <v>1200</v>
      </c>
      <c r="AHX15" s="314">
        <v>1600</v>
      </c>
      <c r="AHY15" s="314">
        <v>2100</v>
      </c>
      <c r="AIA15" s="314">
        <v>2100</v>
      </c>
      <c r="AIB15" s="314">
        <v>2100</v>
      </c>
      <c r="AIC15" s="314">
        <v>2100</v>
      </c>
      <c r="AID15" s="314">
        <v>2100</v>
      </c>
      <c r="AIE15" s="11"/>
      <c r="AIF15" s="314">
        <v>2100</v>
      </c>
      <c r="AIG15" s="314">
        <v>2100</v>
      </c>
      <c r="AII15" s="314">
        <v>2100</v>
      </c>
      <c r="AIJ15" s="314">
        <v>2100</v>
      </c>
      <c r="AIK15" s="314">
        <v>2100</v>
      </c>
      <c r="AIL15" s="124">
        <v>2000</v>
      </c>
      <c r="AIM15" s="314">
        <v>400</v>
      </c>
      <c r="AIN15" s="314">
        <v>800</v>
      </c>
      <c r="AIP15" s="314">
        <v>1200</v>
      </c>
      <c r="AIQ15" s="314">
        <v>1925</v>
      </c>
      <c r="AIR15" s="314">
        <v>1925</v>
      </c>
      <c r="AIS15" s="314">
        <v>1925</v>
      </c>
      <c r="AIT15" s="314">
        <v>1925</v>
      </c>
      <c r="AIU15" s="314"/>
      <c r="AIW15" s="314">
        <v>1925</v>
      </c>
      <c r="AIX15" s="314">
        <v>1925</v>
      </c>
      <c r="AIY15" s="314">
        <v>1925</v>
      </c>
      <c r="AIZ15" s="314">
        <v>1925</v>
      </c>
      <c r="AJA15" s="314">
        <v>1925</v>
      </c>
      <c r="AJB15" s="314">
        <v>1925</v>
      </c>
      <c r="AJD15" s="314">
        <v>1925</v>
      </c>
      <c r="AJE15" s="124">
        <v>1600</v>
      </c>
      <c r="AJF15" s="314">
        <v>1000</v>
      </c>
      <c r="AJG15" s="314">
        <v>1500</v>
      </c>
      <c r="AJH15" s="314">
        <v>2500</v>
      </c>
      <c r="AJI15" s="314">
        <v>2500</v>
      </c>
      <c r="AJJ15" s="364"/>
      <c r="AJK15" s="11"/>
      <c r="AJL15" s="314">
        <v>2250</v>
      </c>
      <c r="AJM15" s="314">
        <v>2250</v>
      </c>
      <c r="AJN15" s="314">
        <v>2250</v>
      </c>
      <c r="AJO15" s="314">
        <v>2250</v>
      </c>
      <c r="AJP15" s="314">
        <v>2250</v>
      </c>
      <c r="AJQ15" s="314">
        <v>2250</v>
      </c>
      <c r="AJR15" s="314"/>
      <c r="AJS15" s="314">
        <v>2250</v>
      </c>
      <c r="AJT15" s="314">
        <v>2250</v>
      </c>
      <c r="AJU15" s="314">
        <v>2250</v>
      </c>
      <c r="AJV15" s="314">
        <v>2250</v>
      </c>
      <c r="AJW15" s="314">
        <v>2250</v>
      </c>
      <c r="AJX15" s="314">
        <v>2250</v>
      </c>
      <c r="AJY15" s="314"/>
      <c r="AJZ15" s="314">
        <v>2250</v>
      </c>
      <c r="AKA15" s="314">
        <v>2250</v>
      </c>
      <c r="AKB15" s="314">
        <v>2250</v>
      </c>
      <c r="AKC15" s="314">
        <v>2250</v>
      </c>
      <c r="AKD15" s="314">
        <v>2250</v>
      </c>
      <c r="AKE15" s="314">
        <v>2250</v>
      </c>
      <c r="AKG15" s="314">
        <v>2250</v>
      </c>
      <c r="AKH15" s="314">
        <v>2250</v>
      </c>
      <c r="AKI15" s="314">
        <v>2250</v>
      </c>
      <c r="AKJ15" s="314">
        <v>2250</v>
      </c>
      <c r="AKK15" s="314">
        <v>2250</v>
      </c>
      <c r="AKL15" s="314">
        <v>2250</v>
      </c>
      <c r="AKN15" s="314">
        <v>2250</v>
      </c>
      <c r="AKO15" s="314">
        <v>2250</v>
      </c>
      <c r="AKP15" s="314">
        <v>2250</v>
      </c>
      <c r="AKQ15" s="11"/>
      <c r="AKR15" s="314">
        <v>2250</v>
      </c>
      <c r="AKS15" s="314">
        <v>2250</v>
      </c>
      <c r="AKT15" s="314">
        <v>2250</v>
      </c>
      <c r="AKU15" s="314"/>
      <c r="AKV15" s="314">
        <v>2250</v>
      </c>
      <c r="AKW15" s="314">
        <v>2250</v>
      </c>
      <c r="AKX15" s="314">
        <v>2250</v>
      </c>
      <c r="AKY15" s="314">
        <v>2250</v>
      </c>
      <c r="AKZ15" s="314">
        <v>2250</v>
      </c>
      <c r="ALA15" s="314">
        <v>2250</v>
      </c>
      <c r="ALC15" s="124">
        <v>2250</v>
      </c>
      <c r="ALD15" s="314">
        <v>2200</v>
      </c>
      <c r="ALE15" s="314">
        <v>2200</v>
      </c>
      <c r="ALF15" s="314">
        <v>2200</v>
      </c>
      <c r="ALG15" s="314">
        <v>2200</v>
      </c>
      <c r="ALH15" s="314">
        <v>2200</v>
      </c>
      <c r="ALI15" s="314"/>
      <c r="ALJ15" s="314">
        <v>2200</v>
      </c>
      <c r="ALK15" s="314">
        <v>2200</v>
      </c>
      <c r="ALL15" s="314"/>
      <c r="ALM15" s="314">
        <v>2200</v>
      </c>
      <c r="ALN15" s="314">
        <v>2200</v>
      </c>
      <c r="ALO15" s="314">
        <v>2200</v>
      </c>
      <c r="ALP15" s="314"/>
      <c r="ALQ15" s="314">
        <v>2200</v>
      </c>
      <c r="ALR15" s="314">
        <v>2200</v>
      </c>
      <c r="ALS15" s="314">
        <v>2200</v>
      </c>
      <c r="ALT15" s="11"/>
      <c r="ALU15" s="314">
        <v>2200</v>
      </c>
      <c r="ALV15" s="314">
        <v>2200</v>
      </c>
      <c r="ALW15" s="314">
        <v>2200</v>
      </c>
      <c r="ALX15" s="314"/>
      <c r="ALY15" s="314">
        <v>2200</v>
      </c>
      <c r="ALZ15" s="314">
        <v>2200</v>
      </c>
      <c r="AMA15" s="314">
        <v>2200</v>
      </c>
      <c r="AMB15" s="314">
        <v>2200</v>
      </c>
      <c r="AMC15" s="314">
        <v>2200</v>
      </c>
      <c r="AMD15" s="314">
        <v>2200</v>
      </c>
      <c r="AME15" s="314"/>
      <c r="AMF15" s="314">
        <v>2200</v>
      </c>
      <c r="AMG15" s="314">
        <v>2200</v>
      </c>
      <c r="AMH15" s="314">
        <v>2200</v>
      </c>
      <c r="AMI15" s="314">
        <v>2200</v>
      </c>
      <c r="AMJ15" s="314">
        <v>2200</v>
      </c>
      <c r="AMK15" s="124">
        <v>2200</v>
      </c>
      <c r="AML15" s="314"/>
      <c r="AMM15" s="314">
        <v>2200</v>
      </c>
      <c r="AMN15" s="314">
        <v>2200</v>
      </c>
      <c r="AMO15" s="314">
        <v>2200</v>
      </c>
      <c r="AMP15" s="314">
        <v>2200</v>
      </c>
      <c r="AMQ15" s="314">
        <v>2200</v>
      </c>
      <c r="AMR15" s="314">
        <v>2200</v>
      </c>
      <c r="AMS15" s="314"/>
      <c r="AMT15" s="314"/>
      <c r="AMU15" s="314">
        <v>2200</v>
      </c>
      <c r="AMV15" s="314">
        <v>2200</v>
      </c>
      <c r="AMW15" s="314">
        <v>2200</v>
      </c>
      <c r="AMX15" s="314">
        <v>2200</v>
      </c>
      <c r="AMY15" s="124">
        <v>2200</v>
      </c>
      <c r="AMZ15" s="11"/>
      <c r="ANB15" s="314">
        <v>1760</v>
      </c>
      <c r="ANC15" s="314">
        <v>1760</v>
      </c>
      <c r="AND15" s="314">
        <v>1760</v>
      </c>
      <c r="ANE15" s="314">
        <v>1760</v>
      </c>
      <c r="ANF15" s="314">
        <v>1760</v>
      </c>
      <c r="ANG15" s="314">
        <v>1760</v>
      </c>
      <c r="ANH15" s="314">
        <v>1760</v>
      </c>
      <c r="ANI15" s="314">
        <v>1760</v>
      </c>
      <c r="ANJ15" s="314">
        <v>1760</v>
      </c>
      <c r="ANK15" s="314">
        <v>1760</v>
      </c>
      <c r="ANL15" s="314">
        <v>1760</v>
      </c>
      <c r="ANM15" s="124">
        <v>1760</v>
      </c>
      <c r="ANN15" s="314"/>
      <c r="ANO15" s="314"/>
      <c r="ANP15" s="314">
        <v>1760</v>
      </c>
      <c r="ANQ15" s="314">
        <v>1760</v>
      </c>
      <c r="ANR15" s="314">
        <v>1760</v>
      </c>
      <c r="ANS15" s="314">
        <v>1760</v>
      </c>
      <c r="ANT15" s="314">
        <v>1760</v>
      </c>
      <c r="ANU15" s="314">
        <v>1760</v>
      </c>
      <c r="ANV15" s="124">
        <v>1760</v>
      </c>
      <c r="ANW15" s="314">
        <v>1760</v>
      </c>
      <c r="ANX15" s="314">
        <v>1760</v>
      </c>
      <c r="ANY15" s="314">
        <v>1760</v>
      </c>
      <c r="ANZ15" s="314">
        <v>1760</v>
      </c>
      <c r="AOA15" s="314">
        <v>1760</v>
      </c>
      <c r="AOB15" s="314">
        <v>1760</v>
      </c>
      <c r="AOC15" s="314"/>
      <c r="AOD15" s="314">
        <v>1760</v>
      </c>
      <c r="AOE15" s="11"/>
      <c r="AOF15" s="128"/>
      <c r="AOG15" s="128"/>
      <c r="AOH15" s="128"/>
      <c r="AOI15" s="128"/>
      <c r="AOJ15" s="128"/>
      <c r="AOK15" s="128"/>
      <c r="AOL15" s="128"/>
      <c r="AOM15" s="128"/>
      <c r="AON15" s="128"/>
      <c r="AOO15" s="314">
        <v>2200</v>
      </c>
      <c r="AOP15" s="314">
        <v>2200</v>
      </c>
      <c r="AOQ15" s="314">
        <v>2200</v>
      </c>
      <c r="AOR15" s="314"/>
      <c r="AOS15" s="314">
        <v>2200</v>
      </c>
      <c r="AOT15" s="314">
        <v>2200</v>
      </c>
      <c r="AOU15" s="314">
        <v>2200</v>
      </c>
      <c r="AOV15" s="314">
        <v>2200</v>
      </c>
      <c r="AOW15" s="314">
        <v>2200</v>
      </c>
      <c r="AOX15" s="314">
        <v>2200</v>
      </c>
      <c r="AOY15" s="314"/>
      <c r="AOZ15" s="314">
        <v>2200</v>
      </c>
      <c r="APA15" s="314">
        <v>2200</v>
      </c>
      <c r="APB15" s="314">
        <v>2200</v>
      </c>
      <c r="APC15" s="314">
        <v>2200</v>
      </c>
      <c r="APD15" s="314">
        <v>2200</v>
      </c>
      <c r="APE15" s="314">
        <v>2200</v>
      </c>
      <c r="APF15" s="314"/>
      <c r="APG15" s="314">
        <v>2200</v>
      </c>
      <c r="APH15" s="314">
        <v>2200</v>
      </c>
      <c r="API15" s="314">
        <v>2200</v>
      </c>
      <c r="APJ15" s="314">
        <v>2200</v>
      </c>
      <c r="APK15" s="11"/>
      <c r="APL15" s="314">
        <v>2200</v>
      </c>
      <c r="APM15" s="314">
        <v>2200</v>
      </c>
      <c r="APN15" s="314">
        <v>1760</v>
      </c>
      <c r="APO15" s="314">
        <v>2200</v>
      </c>
      <c r="APP15" s="314">
        <v>2200</v>
      </c>
      <c r="APQ15" s="314">
        <v>2200</v>
      </c>
      <c r="APR15" s="314">
        <v>2200</v>
      </c>
      <c r="APS15" s="314">
        <v>2200</v>
      </c>
      <c r="APT15" s="314">
        <v>2200</v>
      </c>
      <c r="APU15" s="314"/>
      <c r="APV15" s="314">
        <v>2200</v>
      </c>
      <c r="APW15" s="314">
        <v>2200</v>
      </c>
      <c r="APX15" s="124">
        <v>2200</v>
      </c>
      <c r="APY15" s="314">
        <v>2200</v>
      </c>
      <c r="APZ15" s="314">
        <v>2200</v>
      </c>
      <c r="AQA15" s="314">
        <v>2200</v>
      </c>
      <c r="AQB15" s="314"/>
      <c r="AQC15" s="314">
        <v>2200</v>
      </c>
      <c r="AQD15" s="314">
        <v>2200</v>
      </c>
      <c r="AQE15" s="314">
        <v>2200</v>
      </c>
      <c r="AQF15" s="314">
        <v>2200</v>
      </c>
      <c r="AQG15" s="314">
        <v>2200</v>
      </c>
      <c r="AQH15" s="314">
        <v>2200</v>
      </c>
      <c r="AQI15" s="314">
        <v>1760</v>
      </c>
      <c r="AQJ15" s="314">
        <v>2200</v>
      </c>
      <c r="AQK15" s="314">
        <v>2200</v>
      </c>
      <c r="AQL15" s="314">
        <v>2200</v>
      </c>
      <c r="AQM15" s="314">
        <v>2200</v>
      </c>
      <c r="AQN15" s="314">
        <v>2200</v>
      </c>
      <c r="AQO15" s="314">
        <v>2200</v>
      </c>
      <c r="AQP15" s="11"/>
      <c r="AQR15" s="314">
        <v>2200</v>
      </c>
      <c r="AQS15" s="314">
        <v>2200</v>
      </c>
      <c r="AQT15" s="314">
        <v>2200</v>
      </c>
      <c r="AQU15" s="314">
        <v>2200</v>
      </c>
      <c r="AQV15" s="314">
        <v>2200</v>
      </c>
      <c r="AQW15" s="314">
        <v>2200</v>
      </c>
      <c r="AQX15" s="128"/>
      <c r="AQY15" s="128"/>
      <c r="AQZ15" s="128"/>
      <c r="ARA15" s="128"/>
      <c r="ARB15" s="128"/>
      <c r="ARC15" s="128"/>
      <c r="ARD15" s="128"/>
      <c r="ARE15" s="128"/>
      <c r="ARF15" s="128"/>
      <c r="ARG15" s="314">
        <v>2200</v>
      </c>
      <c r="ARH15" s="314">
        <v>2200</v>
      </c>
      <c r="ARI15" s="314">
        <v>2200</v>
      </c>
      <c r="ARJ15" s="314">
        <v>2200</v>
      </c>
      <c r="ARK15" s="314">
        <v>2200</v>
      </c>
      <c r="ARL15" s="364"/>
      <c r="ARM15" s="314">
        <v>2200</v>
      </c>
      <c r="ARN15" s="124">
        <v>2200</v>
      </c>
      <c r="ARO15" s="314"/>
      <c r="ARP15" s="314"/>
      <c r="ARQ15" s="314"/>
      <c r="ARR15" s="314"/>
      <c r="ARS15" s="364"/>
      <c r="ART15" s="314"/>
      <c r="ARU15" s="314"/>
      <c r="ARV15" s="11"/>
      <c r="ARW15" s="314"/>
      <c r="ARX15" s="314"/>
      <c r="ARY15" s="314"/>
      <c r="ARZ15" s="314"/>
      <c r="ASB15" s="314"/>
      <c r="ASC15" s="314"/>
      <c r="ASD15" s="314"/>
      <c r="ASE15" s="314"/>
      <c r="ASF15" s="314"/>
      <c r="ASG15" s="314"/>
      <c r="ASI15" s="314"/>
      <c r="ASJ15" s="314"/>
      <c r="ASK15" s="314"/>
      <c r="ASL15" s="314"/>
      <c r="ASM15" s="314"/>
      <c r="ASN15" s="314"/>
      <c r="ASO15" s="314"/>
      <c r="ASP15" s="314"/>
      <c r="ASQ15" s="314"/>
      <c r="ASR15" s="314"/>
      <c r="ASS15" s="314"/>
      <c r="AST15" s="314"/>
      <c r="ASU15" s="314"/>
      <c r="ASV15" s="314"/>
      <c r="ATB15" s="11"/>
      <c r="AUG15" s="11"/>
      <c r="AVM15" s="11"/>
      <c r="AWR15" s="11"/>
      <c r="AXX15" s="11"/>
    </row>
    <row r="16" spans="1:1327" s="130" customFormat="1" ht="28.5" customHeight="1" x14ac:dyDescent="0.4">
      <c r="A16" s="711"/>
      <c r="B16" s="8" t="s">
        <v>15</v>
      </c>
      <c r="C16" s="119" t="s">
        <v>61</v>
      </c>
      <c r="D16" s="120"/>
      <c r="E16" s="120"/>
      <c r="F16" s="120"/>
      <c r="G16" s="120"/>
      <c r="H16" s="120"/>
      <c r="I16" s="121" t="s">
        <v>64</v>
      </c>
      <c r="J16" s="120"/>
      <c r="K16" s="120"/>
      <c r="L16" s="120"/>
      <c r="M16" s="120">
        <f>SUM(M6)</f>
        <v>10</v>
      </c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1" t="s">
        <v>60</v>
      </c>
      <c r="AC16" s="122"/>
      <c r="AD16" s="122"/>
      <c r="AE16" s="122"/>
      <c r="AF16" s="122"/>
      <c r="AG16" s="122"/>
      <c r="AH16" s="28" t="s">
        <v>15</v>
      </c>
      <c r="AI16" s="121" t="s">
        <v>63</v>
      </c>
      <c r="AJ16" s="123"/>
      <c r="AK16" s="123"/>
      <c r="AL16" s="123"/>
      <c r="AM16" s="123"/>
      <c r="AN16" s="123"/>
      <c r="AO16" s="123"/>
      <c r="AP16" s="123"/>
      <c r="AQ16" s="750"/>
      <c r="AR16" s="751"/>
      <c r="AS16" s="751"/>
      <c r="AT16" s="751"/>
      <c r="AU16" s="751"/>
      <c r="AV16" s="751"/>
      <c r="AW16" s="751"/>
      <c r="AX16" s="751"/>
      <c r="AY16" s="751"/>
      <c r="AZ16" s="752"/>
      <c r="BA16" s="123" t="s">
        <v>63</v>
      </c>
      <c r="BB16" s="123"/>
      <c r="BC16" s="123"/>
      <c r="BD16" s="123"/>
      <c r="BE16" s="123"/>
      <c r="BF16" s="123"/>
      <c r="BG16" s="123"/>
      <c r="BH16" s="123"/>
      <c r="BI16" s="123"/>
      <c r="BJ16" s="123"/>
      <c r="BK16" s="121" t="s">
        <v>60</v>
      </c>
      <c r="BL16" s="123"/>
      <c r="BM16" s="123"/>
      <c r="BN16" s="8" t="s">
        <v>15</v>
      </c>
      <c r="BO16" s="123" t="s">
        <v>60</v>
      </c>
      <c r="BP16" s="122"/>
      <c r="BQ16" s="122"/>
      <c r="BR16" s="122"/>
      <c r="BS16" s="122"/>
      <c r="BT16" s="122"/>
      <c r="BU16" s="122"/>
      <c r="BV16" s="122"/>
      <c r="BW16" s="122"/>
      <c r="BX16" s="122"/>
      <c r="BY16" s="122"/>
      <c r="BZ16" s="122"/>
      <c r="CA16" s="122"/>
      <c r="CB16" s="122"/>
      <c r="CC16" s="122"/>
      <c r="CD16" s="122"/>
      <c r="CE16" s="122"/>
      <c r="CF16" s="122"/>
      <c r="CG16" s="122"/>
      <c r="CH16" s="122"/>
      <c r="CI16" s="122"/>
      <c r="CJ16" s="122"/>
      <c r="CK16" s="122"/>
      <c r="CL16" s="122"/>
      <c r="CM16" s="122"/>
      <c r="CN16" s="122"/>
      <c r="CO16" s="122"/>
      <c r="CP16" s="122"/>
      <c r="CQ16" s="122"/>
      <c r="CR16" s="122"/>
      <c r="CS16" s="8" t="s">
        <v>15</v>
      </c>
      <c r="CT16" s="121" t="s">
        <v>138</v>
      </c>
      <c r="CU16" s="122"/>
      <c r="CV16" s="122"/>
      <c r="CW16" s="122"/>
      <c r="CX16" s="122"/>
      <c r="CY16" s="122"/>
      <c r="CZ16" s="122"/>
      <c r="DA16" s="122"/>
      <c r="DB16" s="122"/>
      <c r="DC16" s="122"/>
      <c r="DD16" s="122"/>
      <c r="DE16" s="122"/>
      <c r="DF16" s="122"/>
      <c r="DG16" s="122"/>
      <c r="DH16" s="122"/>
      <c r="DI16" s="122"/>
      <c r="DJ16" s="122"/>
      <c r="DK16" s="122"/>
      <c r="DL16" s="122"/>
      <c r="DM16" s="122"/>
      <c r="DN16" s="122"/>
      <c r="DO16" s="122"/>
      <c r="DP16" s="122"/>
      <c r="DQ16" s="122"/>
      <c r="DR16" s="122"/>
      <c r="DS16" s="122"/>
      <c r="DT16" s="122"/>
      <c r="DU16" s="122"/>
      <c r="DV16" s="122"/>
      <c r="DW16" s="122"/>
      <c r="DX16" s="122"/>
      <c r="DY16" s="8" t="s">
        <v>15</v>
      </c>
      <c r="DZ16" s="123" t="s">
        <v>138</v>
      </c>
      <c r="EA16" s="122"/>
      <c r="EB16" s="122"/>
      <c r="EC16" s="122"/>
      <c r="ED16" s="122"/>
      <c r="EE16" s="122"/>
      <c r="EF16" s="122"/>
      <c r="EG16" s="122"/>
      <c r="EH16" s="122"/>
      <c r="EI16" s="122"/>
      <c r="EJ16" s="122"/>
      <c r="EK16" s="122"/>
      <c r="EL16" s="122"/>
      <c r="EM16" s="122"/>
      <c r="EN16" s="122"/>
      <c r="EO16" s="122"/>
      <c r="EP16" s="122"/>
      <c r="EQ16" s="122"/>
      <c r="ER16" s="122"/>
      <c r="ES16" s="122"/>
      <c r="ET16" s="122"/>
      <c r="EU16" s="122"/>
      <c r="EV16" s="122"/>
      <c r="EW16" s="122"/>
      <c r="EX16" s="122"/>
      <c r="EY16" s="122"/>
      <c r="EZ16" s="122"/>
      <c r="FA16" s="122"/>
      <c r="FB16" s="122"/>
      <c r="FC16" s="122"/>
      <c r="FD16" s="8" t="s">
        <v>15</v>
      </c>
      <c r="FE16" s="124" t="s">
        <v>335</v>
      </c>
      <c r="FF16" s="119"/>
      <c r="FG16" s="119"/>
      <c r="FH16" s="119"/>
      <c r="FI16" s="119"/>
      <c r="FJ16" s="119"/>
      <c r="FK16" s="119"/>
      <c r="FL16" s="119"/>
      <c r="FM16" s="119"/>
      <c r="FN16" s="119"/>
      <c r="FO16" s="119"/>
      <c r="FP16" s="119"/>
      <c r="FQ16" s="119"/>
      <c r="FR16" s="119"/>
      <c r="FS16" s="119"/>
      <c r="FT16" s="119"/>
      <c r="FU16" s="119"/>
      <c r="FV16" s="119"/>
      <c r="FW16" s="119"/>
      <c r="FX16" s="119"/>
      <c r="FY16" s="119"/>
      <c r="FZ16" s="119"/>
      <c r="GA16" s="119"/>
      <c r="GB16" s="119"/>
      <c r="GC16" s="119"/>
      <c r="GD16" s="119"/>
      <c r="GE16" s="119"/>
      <c r="GF16" s="119"/>
      <c r="GG16" s="119"/>
      <c r="GH16" s="119"/>
      <c r="GI16" s="119"/>
      <c r="GJ16" s="8" t="s">
        <v>15</v>
      </c>
      <c r="GK16" s="126" t="s">
        <v>334</v>
      </c>
      <c r="GL16" s="126" t="s">
        <v>341</v>
      </c>
      <c r="GM16" s="123"/>
      <c r="GN16" s="123"/>
      <c r="GO16" s="123"/>
      <c r="GP16" s="123"/>
      <c r="GQ16" s="126" t="s">
        <v>360</v>
      </c>
      <c r="GR16" s="123"/>
      <c r="GS16" s="126" t="s">
        <v>361</v>
      </c>
      <c r="GT16" s="123"/>
      <c r="GU16" s="123"/>
      <c r="GV16" s="123"/>
      <c r="GW16" s="123"/>
      <c r="GX16" s="123"/>
      <c r="GY16" s="123"/>
      <c r="GZ16" s="123"/>
      <c r="HA16" s="123"/>
      <c r="HB16" s="123"/>
      <c r="HC16" s="126" t="s">
        <v>349</v>
      </c>
      <c r="HD16" s="123"/>
      <c r="HE16" s="123"/>
      <c r="HF16" s="123"/>
      <c r="HG16" s="123"/>
      <c r="HH16" s="123"/>
      <c r="HI16" s="123"/>
      <c r="HJ16" s="123"/>
      <c r="HK16" s="123"/>
      <c r="HL16" s="123"/>
      <c r="HM16" s="123"/>
      <c r="HN16" s="123"/>
      <c r="HO16" s="123"/>
      <c r="HP16" s="8" t="s">
        <v>15</v>
      </c>
      <c r="HQ16" s="123" t="s">
        <v>361</v>
      </c>
      <c r="HR16" s="126" t="s">
        <v>370</v>
      </c>
      <c r="HS16" s="126"/>
      <c r="HT16" s="123"/>
      <c r="HU16" s="123"/>
      <c r="HV16" s="123"/>
      <c r="HW16" s="123"/>
      <c r="HX16" s="123"/>
      <c r="HY16" s="123"/>
      <c r="HZ16" s="123"/>
      <c r="IA16" s="123"/>
      <c r="IB16" s="123"/>
      <c r="IC16" s="123"/>
      <c r="ID16" s="123"/>
      <c r="IE16" s="123"/>
      <c r="IF16" s="123"/>
      <c r="IG16" s="123"/>
      <c r="IH16" s="123"/>
      <c r="II16" s="123"/>
      <c r="IJ16" s="123"/>
      <c r="IK16" s="123"/>
      <c r="IL16" s="123"/>
      <c r="IM16" s="123"/>
      <c r="IN16" s="123"/>
      <c r="IO16" s="123"/>
      <c r="IP16" s="123"/>
      <c r="IQ16" s="123"/>
      <c r="IR16" s="123"/>
      <c r="IS16" s="123"/>
      <c r="IT16" s="8" t="s">
        <v>15</v>
      </c>
      <c r="IU16" s="123" t="s">
        <v>370</v>
      </c>
      <c r="IV16" s="123"/>
      <c r="IW16" s="123"/>
      <c r="IX16" s="123"/>
      <c r="IY16" s="123"/>
      <c r="IZ16" s="123"/>
      <c r="JA16" s="123"/>
      <c r="JB16" s="123"/>
      <c r="JC16" s="123"/>
      <c r="JD16" s="123"/>
      <c r="JE16" s="123"/>
      <c r="JF16" s="123"/>
      <c r="JG16" s="123"/>
      <c r="JH16" s="123"/>
      <c r="JI16" s="123"/>
      <c r="JJ16" s="123"/>
      <c r="JK16" s="123"/>
      <c r="JL16" s="123"/>
      <c r="JM16" s="123"/>
      <c r="JN16" s="123"/>
      <c r="JO16" s="123"/>
      <c r="JP16" s="123"/>
      <c r="JQ16" s="123"/>
      <c r="JR16" s="123"/>
      <c r="JS16" s="123"/>
      <c r="JT16" s="123"/>
      <c r="JU16" s="123"/>
      <c r="JV16" s="123"/>
      <c r="JW16" s="123"/>
      <c r="JX16" s="123"/>
      <c r="JY16" s="123"/>
      <c r="JZ16" s="8" t="s">
        <v>15</v>
      </c>
      <c r="KA16" s="123" t="s">
        <v>370</v>
      </c>
      <c r="KB16" s="123"/>
      <c r="KC16" s="123"/>
      <c r="KD16" s="123"/>
      <c r="KE16" s="123"/>
      <c r="KF16" s="123"/>
      <c r="KG16" s="123"/>
      <c r="KH16" s="123"/>
      <c r="KI16" s="123"/>
      <c r="KJ16" s="123"/>
      <c r="KK16" s="123"/>
      <c r="KL16" s="123"/>
      <c r="KM16" s="123"/>
      <c r="KN16" s="123"/>
      <c r="KO16" s="123"/>
      <c r="KP16" s="123"/>
      <c r="KQ16" s="123"/>
      <c r="KR16" s="123"/>
      <c r="KS16" s="123"/>
      <c r="KT16" s="123"/>
      <c r="KU16" s="123"/>
      <c r="KV16" s="123"/>
      <c r="KW16" s="123"/>
      <c r="KX16" s="123"/>
      <c r="KY16" s="123"/>
      <c r="KZ16" s="123"/>
      <c r="LA16" s="123"/>
      <c r="LB16" s="123"/>
      <c r="LC16" s="123"/>
      <c r="LD16" s="123"/>
      <c r="LE16" s="8" t="s">
        <v>15</v>
      </c>
      <c r="LF16" s="123" t="s">
        <v>370</v>
      </c>
      <c r="LG16" s="123"/>
      <c r="LH16" s="123"/>
      <c r="LI16" s="123"/>
      <c r="LJ16" s="123"/>
      <c r="LK16" s="123"/>
      <c r="LL16" s="123"/>
      <c r="LM16" s="123"/>
      <c r="LN16" s="123"/>
      <c r="LO16" s="123"/>
      <c r="LP16" s="123"/>
      <c r="LQ16" s="123"/>
      <c r="LR16" s="123"/>
      <c r="LS16" s="123"/>
      <c r="LT16" s="123"/>
      <c r="LU16" s="123"/>
      <c r="LV16" s="123"/>
      <c r="LW16" s="123"/>
      <c r="LX16" s="123"/>
      <c r="LY16" s="217"/>
      <c r="LZ16" s="756"/>
      <c r="MA16" s="757"/>
      <c r="MB16" s="757"/>
      <c r="MC16" s="757"/>
      <c r="MD16" s="757"/>
      <c r="ME16" s="757"/>
      <c r="MF16" s="757"/>
      <c r="MG16" s="757"/>
      <c r="MH16" s="757"/>
      <c r="MI16" s="758"/>
      <c r="MJ16" s="123" t="s">
        <v>370</v>
      </c>
      <c r="MK16" s="8" t="s">
        <v>15</v>
      </c>
      <c r="ML16" s="335" t="s">
        <v>370</v>
      </c>
      <c r="MM16" s="335"/>
      <c r="MN16" s="335"/>
      <c r="MO16" s="335"/>
      <c r="MP16" s="335"/>
      <c r="MQ16" s="335"/>
      <c r="MR16" s="335"/>
      <c r="MS16" s="335"/>
      <c r="MT16" s="335"/>
      <c r="MU16" s="335"/>
      <c r="MV16" s="335"/>
      <c r="MW16" s="335"/>
      <c r="MX16" s="335"/>
      <c r="MY16" s="335"/>
      <c r="MZ16" s="335"/>
      <c r="NA16" s="335"/>
      <c r="NB16" s="335"/>
      <c r="NC16" s="335"/>
      <c r="ND16" s="335"/>
      <c r="NE16" s="335"/>
      <c r="NF16" s="335"/>
      <c r="NG16" s="335"/>
      <c r="NH16" s="335"/>
      <c r="NI16" s="335"/>
      <c r="NJ16" s="335"/>
      <c r="NK16" s="335"/>
      <c r="NL16" s="339" t="s">
        <v>544</v>
      </c>
      <c r="NM16" s="339"/>
      <c r="NN16" s="342"/>
      <c r="NO16" s="342"/>
      <c r="NP16" s="8" t="s">
        <v>15</v>
      </c>
      <c r="NQ16" s="350" t="s">
        <v>885</v>
      </c>
      <c r="NR16" s="350"/>
      <c r="NS16" s="350"/>
      <c r="NT16" s="350"/>
      <c r="NU16" s="350"/>
      <c r="NV16" s="350"/>
      <c r="NW16" s="350"/>
      <c r="NX16" s="350"/>
      <c r="NY16" s="350"/>
      <c r="NZ16" s="350"/>
      <c r="OA16" s="350"/>
      <c r="OB16" s="350"/>
      <c r="OC16" s="350" t="s">
        <v>882</v>
      </c>
      <c r="OD16" s="350"/>
      <c r="OE16" s="350"/>
      <c r="OF16" s="350"/>
      <c r="OG16" s="350"/>
      <c r="OH16" s="350"/>
      <c r="OI16" s="350"/>
      <c r="OJ16" s="350"/>
      <c r="OK16" s="350"/>
      <c r="OL16" s="350"/>
      <c r="OM16" s="350"/>
      <c r="ON16" s="350"/>
      <c r="OO16" s="350"/>
      <c r="OP16" s="350"/>
      <c r="OQ16" s="350"/>
      <c r="OR16" s="350"/>
      <c r="OS16" s="762"/>
      <c r="OT16" s="763"/>
      <c r="OU16" s="764"/>
      <c r="OV16" s="8" t="s">
        <v>15</v>
      </c>
      <c r="OW16" s="770"/>
      <c r="OX16" s="763"/>
      <c r="OY16" s="763"/>
      <c r="OZ16" s="763"/>
      <c r="PA16" s="763"/>
      <c r="PB16" s="763"/>
      <c r="PC16" s="771"/>
      <c r="PD16" s="357" t="s">
        <v>882</v>
      </c>
      <c r="PE16" s="357"/>
      <c r="PF16" s="357" t="s">
        <v>885</v>
      </c>
      <c r="PG16" s="357"/>
      <c r="PH16" s="357"/>
      <c r="PI16" s="357"/>
      <c r="PJ16" s="357"/>
      <c r="PK16" s="357"/>
      <c r="PL16" s="357"/>
      <c r="PM16" s="357"/>
      <c r="PN16" s="357"/>
      <c r="PO16" s="357"/>
      <c r="PP16" s="357"/>
      <c r="PQ16" s="357"/>
      <c r="PR16" s="357"/>
      <c r="PS16" s="357"/>
      <c r="PT16" s="357"/>
      <c r="PU16" s="357"/>
      <c r="PV16" s="357"/>
      <c r="PW16" s="357"/>
      <c r="PX16" s="357"/>
      <c r="PY16" s="357"/>
      <c r="PZ16" s="357"/>
      <c r="QA16" s="357"/>
      <c r="QB16" s="8" t="s">
        <v>15</v>
      </c>
      <c r="QC16" s="363" t="s">
        <v>885</v>
      </c>
      <c r="QD16" s="363"/>
      <c r="QE16" s="363"/>
      <c r="QF16" s="363"/>
      <c r="QG16" s="363"/>
      <c r="QH16" s="363"/>
      <c r="QI16" s="363"/>
      <c r="QJ16" s="363"/>
      <c r="QK16" s="363"/>
      <c r="QL16" s="363"/>
      <c r="QM16" s="363"/>
      <c r="QN16" s="363"/>
      <c r="QO16" s="363"/>
      <c r="QP16" s="363"/>
      <c r="QQ16" s="363"/>
      <c r="QR16" s="363"/>
      <c r="QS16" s="363"/>
      <c r="QT16" s="363"/>
      <c r="QU16" s="363"/>
      <c r="QV16" s="363"/>
      <c r="QW16" s="363"/>
      <c r="QX16" s="363"/>
      <c r="QY16" s="363"/>
      <c r="QZ16" s="363" t="s">
        <v>882</v>
      </c>
      <c r="RA16" s="363"/>
      <c r="RB16" s="363"/>
      <c r="RC16" s="363"/>
      <c r="RD16" s="363"/>
      <c r="RE16" s="363"/>
      <c r="RF16" s="363"/>
      <c r="RG16" s="8" t="s">
        <v>15</v>
      </c>
      <c r="RH16" s="442" t="s">
        <v>1506</v>
      </c>
      <c r="RI16" s="440"/>
      <c r="RJ16" s="440"/>
      <c r="RK16" s="442" t="s">
        <v>1507</v>
      </c>
      <c r="RL16" s="440"/>
      <c r="RM16" s="440"/>
      <c r="RN16" s="440"/>
      <c r="RO16" s="440"/>
      <c r="RP16" s="440"/>
      <c r="RQ16" s="440"/>
      <c r="RR16" s="440"/>
      <c r="RS16" s="440"/>
      <c r="RT16" s="440"/>
      <c r="RU16" s="440"/>
      <c r="RV16" s="440"/>
      <c r="RW16" s="442" t="s">
        <v>1508</v>
      </c>
      <c r="RX16" s="440"/>
      <c r="RY16" s="440"/>
      <c r="RZ16" s="440"/>
      <c r="SA16" s="440"/>
      <c r="SB16" s="440"/>
      <c r="SC16" s="440"/>
      <c r="SD16" s="440"/>
      <c r="SE16" s="440"/>
      <c r="SF16" s="440"/>
      <c r="SG16" s="440"/>
      <c r="SH16" s="440"/>
      <c r="SI16" s="440"/>
      <c r="SJ16" s="440"/>
      <c r="SK16" s="440"/>
      <c r="SL16" s="440"/>
      <c r="SM16" s="8" t="s">
        <v>15</v>
      </c>
      <c r="SN16" s="442" t="s">
        <v>1530</v>
      </c>
      <c r="SO16" s="443"/>
      <c r="SP16" s="443"/>
      <c r="SQ16" s="443"/>
      <c r="SR16" s="442" t="s">
        <v>1531</v>
      </c>
      <c r="SS16" s="442" t="s">
        <v>1532</v>
      </c>
      <c r="ST16" s="443"/>
      <c r="SU16" s="442" t="s">
        <v>1533</v>
      </c>
      <c r="SV16" s="443"/>
      <c r="SW16" s="442" t="s">
        <v>1534</v>
      </c>
      <c r="SX16" s="443"/>
      <c r="SY16" s="443"/>
      <c r="SZ16" s="443"/>
      <c r="TA16" s="442" t="s">
        <v>1535</v>
      </c>
      <c r="TB16" s="443"/>
      <c r="TC16" s="442" t="s">
        <v>1536</v>
      </c>
      <c r="TD16" s="443"/>
      <c r="TE16" s="442" t="s">
        <v>1537</v>
      </c>
      <c r="TF16" s="443"/>
      <c r="TG16" s="443"/>
      <c r="TH16" s="443"/>
      <c r="TI16" s="443"/>
      <c r="TJ16" s="443"/>
      <c r="TK16" s="443"/>
      <c r="TL16" s="443"/>
      <c r="TM16" s="443"/>
      <c r="TN16" s="442" t="s">
        <v>1538</v>
      </c>
      <c r="TO16" s="443"/>
      <c r="TP16" s="443"/>
      <c r="TQ16" s="443"/>
      <c r="TR16" s="8" t="s">
        <v>15</v>
      </c>
      <c r="TS16" s="449" t="s">
        <v>1538</v>
      </c>
      <c r="TT16" s="443"/>
      <c r="TU16" s="443"/>
      <c r="TV16" s="443"/>
      <c r="TW16" s="443"/>
      <c r="TX16" s="443"/>
      <c r="TY16" s="442" t="s">
        <v>1537</v>
      </c>
      <c r="TZ16" s="443"/>
      <c r="UA16" s="443"/>
      <c r="UB16" s="443"/>
      <c r="UC16" s="443"/>
      <c r="UD16" s="442" t="s">
        <v>1534</v>
      </c>
      <c r="UE16" s="443"/>
      <c r="UF16" s="443"/>
      <c r="UG16" s="443"/>
      <c r="UH16" s="443"/>
      <c r="UI16" s="443"/>
      <c r="UJ16" s="443"/>
      <c r="UK16" s="443"/>
      <c r="UL16" s="442" t="s">
        <v>1505</v>
      </c>
      <c r="UM16" s="443"/>
      <c r="UN16" s="443"/>
      <c r="UO16" s="443"/>
      <c r="UP16" s="443"/>
      <c r="UQ16" s="443"/>
      <c r="UR16" s="443"/>
      <c r="US16" s="442" t="s">
        <v>1544</v>
      </c>
      <c r="UT16" s="443"/>
      <c r="UU16" s="443"/>
      <c r="UV16" s="443"/>
      <c r="UW16" s="443"/>
      <c r="UX16" s="8" t="s">
        <v>15</v>
      </c>
      <c r="UY16" s="442" t="s">
        <v>1529</v>
      </c>
      <c r="UZ16" s="443"/>
      <c r="VA16" s="443"/>
      <c r="VB16" s="443"/>
      <c r="VC16" s="443"/>
      <c r="VD16" s="443"/>
      <c r="VE16" s="443"/>
      <c r="VF16" s="443"/>
      <c r="VG16" s="443"/>
      <c r="VH16" s="443"/>
      <c r="VI16" s="443"/>
      <c r="VJ16" s="443"/>
      <c r="VK16" s="447"/>
      <c r="VL16" s="447"/>
      <c r="VM16" s="447"/>
      <c r="VN16" s="447"/>
      <c r="VO16" s="447"/>
      <c r="VP16" s="447"/>
      <c r="VQ16" s="447"/>
      <c r="VR16" s="447"/>
      <c r="VS16" s="447"/>
      <c r="VT16" s="447"/>
      <c r="WD16" s="8" t="s">
        <v>15</v>
      </c>
      <c r="XG16" s="8" t="s">
        <v>15</v>
      </c>
      <c r="YM16" s="8" t="s">
        <v>15</v>
      </c>
      <c r="ZR16" s="8" t="s">
        <v>15</v>
      </c>
      <c r="AAX16" s="8" t="s">
        <v>15</v>
      </c>
      <c r="ACC16" s="8" t="s">
        <v>15</v>
      </c>
      <c r="ACL16" s="364" t="s">
        <v>382</v>
      </c>
      <c r="ACM16" s="609">
        <v>527066</v>
      </c>
      <c r="ACN16" s="610">
        <v>2184.4000000000005</v>
      </c>
      <c r="ACO16" s="610">
        <v>241.28639443325392</v>
      </c>
      <c r="ACV16" s="704"/>
      <c r="ACW16" s="705"/>
      <c r="ACX16" s="705"/>
      <c r="ACY16" s="705"/>
      <c r="ACZ16" s="705"/>
      <c r="ADA16" s="705"/>
      <c r="ADB16" s="705"/>
      <c r="ADC16" s="705"/>
      <c r="ADD16" s="706"/>
      <c r="ADI16" s="8" t="s">
        <v>15</v>
      </c>
      <c r="ADJ16" s="352"/>
      <c r="ADK16" s="352"/>
      <c r="ADL16" s="352"/>
      <c r="ADM16" s="352"/>
      <c r="ADN16" s="352"/>
      <c r="ADO16" s="352"/>
      <c r="ADP16" s="352"/>
      <c r="ADQ16" s="352"/>
      <c r="ADR16" s="352"/>
      <c r="ADS16" s="352"/>
      <c r="ADT16" s="352"/>
      <c r="ADU16" s="352"/>
      <c r="ADV16" s="352"/>
      <c r="ADW16" s="352"/>
      <c r="ADX16" s="352"/>
      <c r="ADY16" s="352"/>
      <c r="ADZ16" s="352"/>
      <c r="AEA16" s="352"/>
      <c r="AEB16" s="352"/>
      <c r="AEC16" s="352"/>
      <c r="AED16" s="352"/>
      <c r="AEE16" s="352"/>
      <c r="AEF16" s="352"/>
      <c r="AEG16" s="352"/>
      <c r="AEH16" s="352"/>
      <c r="AEI16" s="352"/>
      <c r="AEJ16" s="352"/>
      <c r="AEK16" s="352"/>
      <c r="AEL16" s="352"/>
      <c r="AEM16" s="352"/>
      <c r="AEN16" s="352"/>
      <c r="AEO16" s="8" t="s">
        <v>15</v>
      </c>
      <c r="AEP16" s="352"/>
      <c r="AEQ16" s="352"/>
      <c r="AER16" s="352"/>
      <c r="AES16" s="352"/>
      <c r="AET16" s="352"/>
      <c r="AEU16" s="352"/>
      <c r="AEV16" s="352"/>
      <c r="AEW16" s="352"/>
      <c r="AEX16" s="352"/>
      <c r="AEY16" s="352"/>
      <c r="AEZ16" s="352"/>
      <c r="AFA16" s="352"/>
      <c r="AFB16" s="352"/>
      <c r="AFC16" s="352"/>
      <c r="AFD16" s="345" t="s">
        <v>2462</v>
      </c>
      <c r="AFE16" s="345"/>
      <c r="AFF16" s="352"/>
      <c r="AFG16" s="352"/>
      <c r="AFH16" s="352"/>
      <c r="AFI16" s="352"/>
      <c r="AFJ16" s="352"/>
      <c r="AFK16" s="352"/>
      <c r="AFL16" s="352"/>
      <c r="AFM16" s="352"/>
      <c r="AFN16" s="352"/>
      <c r="AFO16" s="352"/>
      <c r="AFP16" s="352"/>
      <c r="AFQ16" s="352"/>
      <c r="AFR16" s="352"/>
      <c r="AFS16" s="352"/>
      <c r="AFT16" s="28" t="s">
        <v>15</v>
      </c>
      <c r="AFU16" s="352" t="s">
        <v>2462</v>
      </c>
      <c r="AFV16" s="352"/>
      <c r="AFW16" s="352"/>
      <c r="AFX16" s="352"/>
      <c r="AFY16" s="352"/>
      <c r="AFZ16" s="352"/>
      <c r="AGA16" s="352"/>
      <c r="AGB16" s="352"/>
      <c r="AGC16" s="352"/>
      <c r="AGD16" s="352"/>
      <c r="AGE16" s="352"/>
      <c r="AGF16" s="352"/>
      <c r="AGG16" s="352"/>
      <c r="AGH16" s="352"/>
      <c r="AGI16" s="352"/>
      <c r="AGJ16" s="352"/>
      <c r="AGK16" s="352"/>
      <c r="AGL16" s="352"/>
      <c r="AGM16" s="352"/>
      <c r="AGN16" s="352"/>
      <c r="AGO16" s="352"/>
      <c r="AGP16" s="352"/>
      <c r="AGQ16" s="352"/>
      <c r="AGR16" s="352"/>
      <c r="AGS16" s="376" t="s">
        <v>2602</v>
      </c>
      <c r="AGT16" s="524"/>
      <c r="AGU16" s="375"/>
      <c r="AGV16" s="375"/>
      <c r="AGW16" s="375"/>
      <c r="AGX16" s="375"/>
      <c r="AGY16" s="375"/>
      <c r="AGZ16" s="8" t="s">
        <v>15</v>
      </c>
      <c r="AHA16" s="376" t="s">
        <v>2438</v>
      </c>
      <c r="AHB16" s="524"/>
      <c r="AHC16" s="375"/>
      <c r="AHD16" s="375"/>
      <c r="AHE16" s="375"/>
      <c r="AHF16" s="375"/>
      <c r="AHG16" s="375"/>
      <c r="AHH16" s="375"/>
      <c r="AHI16" s="375"/>
      <c r="AHJ16" s="375"/>
      <c r="AHK16" s="375"/>
      <c r="AHL16" s="375"/>
      <c r="AHM16" s="375"/>
      <c r="AHN16" s="375"/>
      <c r="AHO16" s="375"/>
      <c r="AHP16" s="375"/>
      <c r="AHQ16" s="375"/>
      <c r="AHR16" s="375"/>
      <c r="AHS16" s="376" t="s">
        <v>2612</v>
      </c>
      <c r="AHT16" s="524"/>
      <c r="AHU16" s="375"/>
      <c r="AHV16" s="375"/>
      <c r="AHW16" s="375"/>
      <c r="AHX16" s="375"/>
      <c r="AHY16" s="375"/>
      <c r="AHZ16" s="375"/>
      <c r="AIA16" s="375"/>
      <c r="AIB16" s="375"/>
      <c r="AIC16" s="375"/>
      <c r="AID16" s="375"/>
      <c r="AIE16" s="8" t="s">
        <v>15</v>
      </c>
      <c r="AIF16" s="319" t="s">
        <v>2439</v>
      </c>
      <c r="AIG16" s="319"/>
      <c r="AIH16" s="319"/>
      <c r="AII16" s="319"/>
      <c r="AIJ16" s="319"/>
      <c r="AIK16" s="376" t="s">
        <v>2504</v>
      </c>
      <c r="AIL16" s="524"/>
      <c r="AIM16" s="375"/>
      <c r="AIN16" s="375"/>
      <c r="AIO16" s="375"/>
      <c r="AIP16" s="375"/>
      <c r="AIQ16" s="375"/>
      <c r="AIR16" s="375"/>
      <c r="AIS16" s="375"/>
      <c r="AIT16" s="375"/>
      <c r="AIU16" s="375"/>
      <c r="AIV16" s="375"/>
      <c r="AIW16" s="375"/>
      <c r="AIX16" s="375"/>
      <c r="AIY16" s="376" t="s">
        <v>2613</v>
      </c>
      <c r="AIZ16" s="524"/>
      <c r="AJA16" s="375"/>
      <c r="AJB16" s="375"/>
      <c r="AJC16" s="375"/>
      <c r="AJD16" s="345" t="s">
        <v>2684</v>
      </c>
      <c r="AJE16" s="345"/>
      <c r="AJF16" s="352"/>
      <c r="AJG16" s="352"/>
      <c r="AJH16" s="352"/>
      <c r="AJI16" s="352"/>
      <c r="AJJ16" s="352"/>
      <c r="AJK16" s="8" t="s">
        <v>15</v>
      </c>
      <c r="AJL16" s="352" t="s">
        <v>2684</v>
      </c>
      <c r="AJM16" s="352"/>
      <c r="AJN16" s="352"/>
      <c r="AJO16" s="352"/>
      <c r="AJP16" s="352"/>
      <c r="AJQ16" s="352"/>
      <c r="AJR16" s="352"/>
      <c r="AJS16" s="352"/>
      <c r="AJT16" s="352"/>
      <c r="AJU16" s="352"/>
      <c r="AJV16" s="352"/>
      <c r="AJW16" s="352"/>
      <c r="AJX16" s="352"/>
      <c r="AJY16" s="352"/>
      <c r="AJZ16" s="352"/>
      <c r="AKA16" s="352"/>
      <c r="AKB16" s="352"/>
      <c r="AKC16" s="352"/>
      <c r="AKD16" s="352"/>
      <c r="AKE16" s="352"/>
      <c r="AKF16" s="352"/>
      <c r="AKG16" s="352"/>
      <c r="AKH16" s="352"/>
      <c r="AKI16" s="352"/>
      <c r="AKJ16" s="352"/>
      <c r="AKK16" s="352"/>
      <c r="AKL16" s="352"/>
      <c r="AKM16" s="352"/>
      <c r="AKN16" s="352"/>
      <c r="AKO16" s="352"/>
      <c r="AKP16" s="352"/>
      <c r="AKQ16" s="8" t="s">
        <v>15</v>
      </c>
      <c r="AKR16" s="352" t="s">
        <v>2461</v>
      </c>
      <c r="AKS16" s="352"/>
      <c r="AKT16" s="352"/>
      <c r="AKU16" s="352"/>
      <c r="AKV16" s="352"/>
      <c r="AKW16" s="352"/>
      <c r="AKX16" s="352"/>
      <c r="AKY16" s="352"/>
      <c r="AKZ16" s="352"/>
      <c r="ALA16" s="352"/>
      <c r="ALB16" s="345" t="s">
        <v>2634</v>
      </c>
      <c r="ALC16" s="345"/>
      <c r="ALD16" s="352"/>
      <c r="ALE16" s="352"/>
      <c r="ALF16" s="352"/>
      <c r="ALG16" s="352"/>
      <c r="ALH16" s="352"/>
      <c r="ALI16" s="352"/>
      <c r="ALJ16" s="352"/>
      <c r="ALK16" s="352"/>
      <c r="ALL16" s="352"/>
      <c r="ALM16" s="352"/>
      <c r="ALN16" s="352"/>
      <c r="ALO16" s="352"/>
      <c r="ALP16" s="352"/>
      <c r="ALQ16" s="352"/>
      <c r="ALR16" s="352"/>
      <c r="ALS16" s="352"/>
      <c r="ALT16" s="8" t="s">
        <v>15</v>
      </c>
      <c r="ALU16" s="352" t="s">
        <v>2634</v>
      </c>
      <c r="ALV16" s="352"/>
      <c r="ALW16" s="352"/>
      <c r="ALX16" s="352"/>
      <c r="ALY16" s="352"/>
      <c r="ALZ16" s="352"/>
      <c r="AMA16" s="352"/>
      <c r="AMB16" s="352"/>
      <c r="AMC16" s="352"/>
      <c r="AMD16" s="352"/>
      <c r="AME16" s="352"/>
      <c r="AMF16" s="352"/>
      <c r="AMG16" s="352"/>
      <c r="AMH16" s="352"/>
      <c r="AMI16" s="352"/>
      <c r="AMJ16" s="352"/>
      <c r="AMK16" s="352"/>
      <c r="AML16" s="352"/>
      <c r="AMM16" s="352"/>
      <c r="AMN16" s="352"/>
      <c r="AMO16" s="352"/>
      <c r="AMP16" s="352"/>
      <c r="AMQ16" s="352"/>
      <c r="AMR16" s="352"/>
      <c r="AMS16" s="352"/>
      <c r="AMT16" s="352"/>
      <c r="AMU16" s="352"/>
      <c r="AMV16" s="352"/>
      <c r="AMW16" s="352"/>
      <c r="AMX16" s="352"/>
      <c r="AMY16" s="352"/>
      <c r="AMZ16" s="8" t="s">
        <v>15</v>
      </c>
      <c r="ANA16" s="352" t="s">
        <v>2634</v>
      </c>
      <c r="ANB16" s="352"/>
      <c r="ANC16" s="352"/>
      <c r="AND16" s="352"/>
      <c r="ANE16" s="352"/>
      <c r="ANF16" s="352"/>
      <c r="ANG16" s="352"/>
      <c r="ANH16" s="352"/>
      <c r="ANI16" s="352"/>
      <c r="ANJ16" s="352"/>
      <c r="ANK16" s="352"/>
      <c r="ANL16" s="352"/>
      <c r="ANM16" s="352"/>
      <c r="ANN16" s="352"/>
      <c r="ANO16" s="352"/>
      <c r="ANP16" s="352"/>
      <c r="ANQ16" s="352"/>
      <c r="ANR16" s="352"/>
      <c r="ANS16" s="352"/>
      <c r="ANT16" s="352"/>
      <c r="ANU16" s="352"/>
      <c r="ANV16" s="352"/>
      <c r="ANW16" s="352"/>
      <c r="ANX16" s="352"/>
      <c r="ANY16" s="352"/>
      <c r="ANZ16" s="352"/>
      <c r="AOA16" s="352"/>
      <c r="AOB16" s="352"/>
      <c r="AOC16" s="352"/>
      <c r="AOD16" s="352"/>
      <c r="AOE16" s="8" t="s">
        <v>15</v>
      </c>
      <c r="AOF16" s="128"/>
      <c r="AOG16" s="128"/>
      <c r="AOH16" s="128"/>
      <c r="AOI16" s="128"/>
      <c r="AOJ16" s="128"/>
      <c r="AOK16" s="128"/>
      <c r="AOL16" s="128"/>
      <c r="AOM16" s="128"/>
      <c r="AON16" s="128"/>
      <c r="AOO16" s="352" t="s">
        <v>2634</v>
      </c>
      <c r="AOP16" s="352"/>
      <c r="AOQ16" s="352"/>
      <c r="AOR16" s="352"/>
      <c r="AOS16" s="352"/>
      <c r="AOT16" s="352"/>
      <c r="AOU16" s="352"/>
      <c r="AOV16" s="352"/>
      <c r="AOW16" s="352"/>
      <c r="AOX16" s="352"/>
      <c r="AOY16" s="352"/>
      <c r="AOZ16" s="352"/>
      <c r="APA16" s="352"/>
      <c r="APB16" s="352"/>
      <c r="APC16" s="352"/>
      <c r="APD16" s="352"/>
      <c r="APE16" s="352"/>
      <c r="APF16" s="352"/>
      <c r="APG16" s="352"/>
      <c r="APH16" s="352"/>
      <c r="API16" s="352"/>
      <c r="APJ16" s="352"/>
      <c r="APK16" s="8" t="s">
        <v>15</v>
      </c>
      <c r="APL16" s="352" t="s">
        <v>2634</v>
      </c>
      <c r="APM16" s="352"/>
      <c r="APN16" s="352"/>
      <c r="APO16" s="352"/>
      <c r="APP16" s="352"/>
      <c r="APQ16" s="352"/>
      <c r="APR16" s="352"/>
      <c r="APS16" s="352"/>
      <c r="APT16" s="352"/>
      <c r="APU16" s="352"/>
      <c r="APV16" s="352"/>
      <c r="APW16" s="345" t="s">
        <v>2865</v>
      </c>
      <c r="APX16" s="345"/>
      <c r="APY16" s="352"/>
      <c r="APZ16" s="352"/>
      <c r="AQA16" s="352"/>
      <c r="AQB16" s="352"/>
      <c r="AQC16" s="352"/>
      <c r="AQD16" s="352"/>
      <c r="AQE16" s="352"/>
      <c r="AQF16" s="352"/>
      <c r="AQG16" s="352"/>
      <c r="AQH16" s="352"/>
      <c r="AQI16" s="352"/>
      <c r="AQJ16" s="352"/>
      <c r="AQK16" s="352"/>
      <c r="AQL16" s="352"/>
      <c r="AQM16" s="352"/>
      <c r="AQN16" s="352"/>
      <c r="AQO16" s="352"/>
      <c r="AQP16" s="8" t="s">
        <v>15</v>
      </c>
      <c r="AQQ16" s="352" t="s">
        <v>2865</v>
      </c>
      <c r="AQR16" s="352"/>
      <c r="AQS16" s="352"/>
      <c r="AQT16" s="352"/>
      <c r="AQU16" s="352"/>
      <c r="AQV16" s="352"/>
      <c r="AQW16" s="352"/>
      <c r="AQX16" s="128"/>
      <c r="AQY16" s="128"/>
      <c r="AQZ16" s="128"/>
      <c r="ARA16" s="128"/>
      <c r="ARB16" s="128"/>
      <c r="ARC16" s="128"/>
      <c r="ARD16" s="128"/>
      <c r="ARE16" s="128"/>
      <c r="ARF16" s="128"/>
      <c r="ARG16" s="352" t="s">
        <v>2865</v>
      </c>
      <c r="ARH16" s="352"/>
      <c r="ARI16" s="352"/>
      <c r="ARJ16" s="352"/>
      <c r="ARK16" s="352"/>
      <c r="ARL16" s="352"/>
      <c r="ARM16" s="352"/>
      <c r="ARN16" s="352"/>
      <c r="ARO16" s="314"/>
      <c r="ARP16" s="314"/>
      <c r="ARQ16" s="314"/>
      <c r="ARR16" s="314"/>
      <c r="ARS16" s="364"/>
      <c r="ART16" s="314"/>
      <c r="ARU16" s="314"/>
      <c r="ARV16" s="8" t="s">
        <v>15</v>
      </c>
      <c r="ARW16" s="314"/>
      <c r="ARX16" s="314"/>
      <c r="ARY16" s="314"/>
      <c r="ARZ16" s="314"/>
      <c r="ASA16" s="364"/>
      <c r="ASB16" s="314"/>
      <c r="ASC16" s="314"/>
      <c r="ASD16" s="314"/>
      <c r="ASE16" s="314"/>
      <c r="ASF16" s="314"/>
      <c r="ASG16" s="314"/>
      <c r="ASH16" s="364"/>
      <c r="ASI16" s="314"/>
      <c r="ASJ16" s="314"/>
      <c r="ASK16" s="314"/>
      <c r="ASL16" s="314"/>
      <c r="ASM16" s="314"/>
      <c r="ASN16" s="314"/>
      <c r="ASO16" s="314"/>
      <c r="ASP16" s="314"/>
      <c r="ASQ16" s="314"/>
      <c r="ASR16" s="314"/>
      <c r="ASY16" s="337"/>
      <c r="ASZ16" s="337"/>
      <c r="ATA16" s="337"/>
      <c r="ATB16" s="8" t="s">
        <v>15</v>
      </c>
      <c r="AUG16" s="8" t="s">
        <v>15</v>
      </c>
      <c r="AVM16" s="8" t="s">
        <v>15</v>
      </c>
      <c r="AWR16" s="8" t="s">
        <v>15</v>
      </c>
      <c r="AXX16" s="8" t="s">
        <v>15</v>
      </c>
    </row>
    <row r="17" spans="1:1324" s="135" customFormat="1" ht="28.5" customHeight="1" x14ac:dyDescent="0.4">
      <c r="A17" s="711"/>
      <c r="B17" s="1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50"/>
      <c r="AI17" s="132"/>
      <c r="AJ17" s="132"/>
      <c r="AK17" s="132"/>
      <c r="AL17" s="132"/>
      <c r="AM17" s="132"/>
      <c r="AN17" s="132"/>
      <c r="AO17" s="132"/>
      <c r="AP17" s="132"/>
      <c r="AQ17" s="750"/>
      <c r="AR17" s="751"/>
      <c r="AS17" s="751"/>
      <c r="AT17" s="751"/>
      <c r="AU17" s="751"/>
      <c r="AV17" s="751"/>
      <c r="AW17" s="751"/>
      <c r="AX17" s="751"/>
      <c r="AY17" s="751"/>
      <c r="AZ17" s="75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1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1"/>
      <c r="CT17" s="130">
        <v>2025</v>
      </c>
      <c r="CU17" s="130">
        <v>2025</v>
      </c>
      <c r="CV17" s="130">
        <v>2025</v>
      </c>
      <c r="CW17" s="130"/>
      <c r="CX17" s="130">
        <v>2025</v>
      </c>
      <c r="CY17" s="130">
        <v>2025</v>
      </c>
      <c r="CZ17" s="130">
        <v>2025</v>
      </c>
      <c r="DA17" s="130">
        <v>2025</v>
      </c>
      <c r="DB17" s="130">
        <v>2025</v>
      </c>
      <c r="DC17" s="130">
        <v>2025</v>
      </c>
      <c r="DD17" s="130"/>
      <c r="DE17" s="130">
        <v>2025</v>
      </c>
      <c r="DF17" s="130">
        <v>2025</v>
      </c>
      <c r="DG17" s="130">
        <v>2025</v>
      </c>
      <c r="DH17" s="130">
        <v>2025</v>
      </c>
      <c r="DI17" s="130">
        <v>2025</v>
      </c>
      <c r="DJ17" s="130">
        <v>2025</v>
      </c>
      <c r="DK17" s="130"/>
      <c r="DL17" s="130">
        <v>2025</v>
      </c>
      <c r="DM17" s="130">
        <v>2025</v>
      </c>
      <c r="DN17" s="130">
        <v>2025</v>
      </c>
      <c r="DO17" s="130">
        <v>2025</v>
      </c>
      <c r="DP17" s="130">
        <v>2025</v>
      </c>
      <c r="DQ17" s="130">
        <v>2025</v>
      </c>
      <c r="DR17" s="130"/>
      <c r="DS17" s="130">
        <v>2025</v>
      </c>
      <c r="DT17" s="130">
        <v>2025</v>
      </c>
      <c r="DU17" s="130">
        <v>2025</v>
      </c>
      <c r="DV17" s="130">
        <v>2025</v>
      </c>
      <c r="DW17" s="130">
        <v>2025</v>
      </c>
      <c r="DX17" s="130">
        <v>2025</v>
      </c>
      <c r="DY17" s="11"/>
      <c r="EA17" s="135">
        <v>1800</v>
      </c>
      <c r="EB17" s="135">
        <v>1800</v>
      </c>
      <c r="EC17" s="135">
        <v>1800</v>
      </c>
      <c r="ED17" s="135">
        <v>1800</v>
      </c>
      <c r="EE17" s="135">
        <v>1800</v>
      </c>
      <c r="EF17" s="135">
        <v>1800</v>
      </c>
      <c r="EH17" s="135">
        <v>1800</v>
      </c>
      <c r="EI17" s="135">
        <v>1800</v>
      </c>
      <c r="EJ17" s="135">
        <v>1800</v>
      </c>
      <c r="EK17" s="135">
        <v>1800</v>
      </c>
      <c r="EL17" s="135">
        <v>1800</v>
      </c>
      <c r="EM17" s="135">
        <v>1800</v>
      </c>
      <c r="EO17" s="135">
        <v>1800</v>
      </c>
      <c r="EP17" s="135">
        <v>1800</v>
      </c>
      <c r="EQ17" s="135">
        <v>1800</v>
      </c>
      <c r="ER17" s="135">
        <v>1800</v>
      </c>
      <c r="ES17" s="135">
        <v>1800</v>
      </c>
      <c r="ET17" s="135">
        <v>1800</v>
      </c>
      <c r="EV17" s="135">
        <v>1800</v>
      </c>
      <c r="EW17" s="135">
        <v>1800</v>
      </c>
      <c r="EX17" s="135">
        <v>1800</v>
      </c>
      <c r="EY17" s="135">
        <v>1800</v>
      </c>
      <c r="EZ17" s="135">
        <v>1800</v>
      </c>
      <c r="FA17" s="135">
        <v>1800</v>
      </c>
      <c r="FC17" s="135">
        <v>1800</v>
      </c>
      <c r="FD17" s="11"/>
      <c r="FE17" s="134">
        <v>1760</v>
      </c>
      <c r="FF17" s="134">
        <v>1760</v>
      </c>
      <c r="FG17" s="134">
        <v>1760</v>
      </c>
      <c r="FH17" s="134">
        <v>1760</v>
      </c>
      <c r="FI17" s="134">
        <v>1760</v>
      </c>
      <c r="FJ17" s="134"/>
      <c r="FK17" s="134">
        <v>1760</v>
      </c>
      <c r="FL17" s="134">
        <v>1760</v>
      </c>
      <c r="FM17" s="134">
        <v>1760</v>
      </c>
      <c r="FN17" s="134">
        <v>1760</v>
      </c>
      <c r="FO17" s="134">
        <v>1760</v>
      </c>
      <c r="FP17" s="134">
        <v>1760</v>
      </c>
      <c r="FQ17" s="134"/>
      <c r="FR17" s="134">
        <v>1760</v>
      </c>
      <c r="FS17" s="134">
        <v>1760</v>
      </c>
      <c r="FT17" s="134"/>
      <c r="FU17" s="134">
        <v>1760</v>
      </c>
      <c r="FV17" s="134">
        <v>1760</v>
      </c>
      <c r="FW17" s="134">
        <v>1760</v>
      </c>
      <c r="FX17" s="134"/>
      <c r="FY17" s="134">
        <v>1760</v>
      </c>
      <c r="FZ17" s="134">
        <v>1760</v>
      </c>
      <c r="GA17" s="134">
        <v>1760</v>
      </c>
      <c r="GB17" s="134">
        <v>1760</v>
      </c>
      <c r="GC17" s="134">
        <v>1760</v>
      </c>
      <c r="GD17" s="134">
        <v>1760</v>
      </c>
      <c r="GE17" s="134"/>
      <c r="GF17" s="134">
        <v>1760</v>
      </c>
      <c r="GG17" s="134">
        <v>1760</v>
      </c>
      <c r="GH17" s="134">
        <v>1760</v>
      </c>
      <c r="GI17" s="134">
        <v>1760</v>
      </c>
      <c r="GJ17" s="11"/>
      <c r="GK17" s="136">
        <v>1680</v>
      </c>
      <c r="GL17" s="136">
        <v>1680</v>
      </c>
      <c r="GM17" s="136"/>
      <c r="GN17" s="136">
        <v>1680</v>
      </c>
      <c r="GO17" s="136">
        <v>1680</v>
      </c>
      <c r="GP17" s="136">
        <v>1680</v>
      </c>
      <c r="GQ17" s="136">
        <v>1680</v>
      </c>
      <c r="GR17" s="136">
        <v>1680</v>
      </c>
      <c r="GS17" s="136">
        <v>1680</v>
      </c>
      <c r="GT17" s="136"/>
      <c r="GU17" s="136">
        <v>1680</v>
      </c>
      <c r="GV17" s="136">
        <v>1680</v>
      </c>
      <c r="GW17" s="136">
        <v>1680</v>
      </c>
      <c r="GX17" s="136">
        <v>1680</v>
      </c>
      <c r="GY17" s="136">
        <v>1680</v>
      </c>
      <c r="GZ17" s="136">
        <v>1680</v>
      </c>
      <c r="HA17" s="136"/>
      <c r="HB17" s="136">
        <v>1680</v>
      </c>
      <c r="HC17" s="136">
        <v>1680</v>
      </c>
      <c r="HD17" s="136">
        <v>1680</v>
      </c>
      <c r="HE17" s="136">
        <v>1680</v>
      </c>
      <c r="HF17" s="136">
        <v>1680</v>
      </c>
      <c r="HG17" s="136">
        <v>1680</v>
      </c>
      <c r="HH17" s="136"/>
      <c r="HI17" s="136">
        <v>1680</v>
      </c>
      <c r="HJ17" s="136">
        <v>1680</v>
      </c>
      <c r="HK17" s="136">
        <v>1680</v>
      </c>
      <c r="HL17" s="136">
        <v>1680</v>
      </c>
      <c r="HM17" s="136">
        <v>1680</v>
      </c>
      <c r="HN17" s="136">
        <v>1680</v>
      </c>
      <c r="HP17" s="11"/>
      <c r="HQ17" s="136">
        <v>2365</v>
      </c>
      <c r="HR17" s="136">
        <v>2365</v>
      </c>
      <c r="HS17" s="136">
        <v>2365</v>
      </c>
      <c r="HT17" s="136">
        <v>2365</v>
      </c>
      <c r="HU17" s="137">
        <v>1510</v>
      </c>
      <c r="HV17" s="136">
        <v>3220</v>
      </c>
      <c r="HX17" s="136">
        <v>2310</v>
      </c>
      <c r="HY17" s="136">
        <v>2310</v>
      </c>
      <c r="HZ17" s="136">
        <v>2310</v>
      </c>
      <c r="IA17" s="136">
        <v>2310</v>
      </c>
      <c r="IB17" s="136">
        <v>2310</v>
      </c>
      <c r="IC17" s="136">
        <v>2310</v>
      </c>
      <c r="ID17" s="136"/>
      <c r="IE17" s="136">
        <v>2310</v>
      </c>
      <c r="IF17" s="136">
        <v>2310</v>
      </c>
      <c r="IG17" s="136">
        <v>2310</v>
      </c>
      <c r="IH17" s="136">
        <v>2310</v>
      </c>
      <c r="II17" s="136">
        <v>2310</v>
      </c>
      <c r="IJ17" s="136">
        <v>2310</v>
      </c>
      <c r="IK17" s="136"/>
      <c r="IL17" s="136">
        <v>2310</v>
      </c>
      <c r="IM17" s="136">
        <v>2310</v>
      </c>
      <c r="IN17" s="136">
        <v>2310</v>
      </c>
      <c r="IO17" s="136">
        <v>2310</v>
      </c>
      <c r="IP17" s="136">
        <v>2310</v>
      </c>
      <c r="IQ17" s="136">
        <v>2310</v>
      </c>
      <c r="IR17" s="136"/>
      <c r="IS17" s="136">
        <v>2310</v>
      </c>
      <c r="IT17" s="11"/>
      <c r="IU17" s="129">
        <v>2310</v>
      </c>
      <c r="IV17" s="129">
        <v>2310</v>
      </c>
      <c r="IW17" s="129">
        <v>2310</v>
      </c>
      <c r="IX17" s="129">
        <v>2310</v>
      </c>
      <c r="IY17" s="129">
        <v>2310</v>
      </c>
      <c r="JA17" s="129">
        <v>2310</v>
      </c>
      <c r="JB17" s="129">
        <v>2310</v>
      </c>
      <c r="JC17" s="129">
        <v>2310</v>
      </c>
      <c r="JD17" s="129">
        <v>2310</v>
      </c>
      <c r="JE17" s="129">
        <v>2310</v>
      </c>
      <c r="JF17" s="129">
        <v>2310</v>
      </c>
      <c r="JH17" s="129">
        <v>2310</v>
      </c>
      <c r="JI17" s="129">
        <v>2310</v>
      </c>
      <c r="JJ17" s="129">
        <v>2310</v>
      </c>
      <c r="JK17" s="129">
        <v>2310</v>
      </c>
      <c r="JL17" s="129">
        <v>2310</v>
      </c>
      <c r="JM17" s="129">
        <v>2310</v>
      </c>
      <c r="JN17" s="129"/>
      <c r="JO17" s="129">
        <v>2310</v>
      </c>
      <c r="JP17" s="129">
        <v>2310</v>
      </c>
      <c r="JQ17" s="129">
        <v>2310</v>
      </c>
      <c r="JR17" s="129">
        <v>2310</v>
      </c>
      <c r="JS17" s="129">
        <v>2310</v>
      </c>
      <c r="JT17" s="129"/>
      <c r="JV17" s="129">
        <v>2310</v>
      </c>
      <c r="JW17" s="129">
        <v>2310</v>
      </c>
      <c r="JX17" s="129">
        <v>2310</v>
      </c>
      <c r="JY17" s="129">
        <v>2310</v>
      </c>
      <c r="JZ17" s="11"/>
      <c r="KA17" s="129">
        <v>2310</v>
      </c>
      <c r="KB17" s="129">
        <v>2310</v>
      </c>
      <c r="KC17" s="129"/>
      <c r="KD17" s="129">
        <v>2310</v>
      </c>
      <c r="KE17" s="129">
        <v>2310</v>
      </c>
      <c r="KF17" s="129">
        <v>2310</v>
      </c>
      <c r="KG17" s="129">
        <v>2310</v>
      </c>
      <c r="KH17" s="129"/>
      <c r="KI17" s="129">
        <v>2310</v>
      </c>
      <c r="KJ17" s="129">
        <v>2310</v>
      </c>
      <c r="KK17" s="129">
        <v>2310</v>
      </c>
      <c r="KL17" s="129">
        <v>2310</v>
      </c>
      <c r="KM17" s="129">
        <v>2310</v>
      </c>
      <c r="KN17" s="129"/>
      <c r="KO17" s="129">
        <v>2310</v>
      </c>
      <c r="KP17" s="129">
        <v>2310</v>
      </c>
      <c r="KQ17" s="129">
        <v>2310</v>
      </c>
      <c r="KR17" s="129">
        <v>2310</v>
      </c>
      <c r="KS17" s="129">
        <v>2310</v>
      </c>
      <c r="KT17" s="129">
        <v>2310</v>
      </c>
      <c r="KU17" s="129">
        <v>2310</v>
      </c>
      <c r="KV17" s="129">
        <v>2310</v>
      </c>
      <c r="KW17" s="129">
        <v>2310</v>
      </c>
      <c r="KX17" s="129"/>
      <c r="KY17" s="129">
        <v>1980</v>
      </c>
      <c r="KZ17" s="129">
        <v>1980</v>
      </c>
      <c r="LA17" s="129">
        <v>1980</v>
      </c>
      <c r="LB17" s="129">
        <v>1980</v>
      </c>
      <c r="LC17" s="129">
        <v>1980</v>
      </c>
      <c r="LD17" s="129">
        <v>1980</v>
      </c>
      <c r="LE17" s="11"/>
      <c r="LF17" s="129"/>
      <c r="LG17" s="129">
        <v>1980</v>
      </c>
      <c r="LH17" s="129">
        <v>1980</v>
      </c>
      <c r="LI17" s="129">
        <v>1980</v>
      </c>
      <c r="LJ17" s="129">
        <v>1980</v>
      </c>
      <c r="LK17" s="129">
        <v>1980</v>
      </c>
      <c r="LL17" s="129">
        <v>1980</v>
      </c>
      <c r="LM17" s="129">
        <v>1980</v>
      </c>
      <c r="LN17" s="129">
        <v>1980</v>
      </c>
      <c r="LO17" s="129">
        <v>1980</v>
      </c>
      <c r="LP17" s="129">
        <v>1980</v>
      </c>
      <c r="LQ17" s="129">
        <v>1980</v>
      </c>
      <c r="LR17" s="129">
        <v>1980</v>
      </c>
      <c r="LS17" s="129">
        <v>1980</v>
      </c>
      <c r="LT17" s="129"/>
      <c r="LU17" s="129">
        <v>1980</v>
      </c>
      <c r="LV17" s="129">
        <v>1980</v>
      </c>
      <c r="LW17" s="129">
        <v>1980</v>
      </c>
      <c r="LX17" s="129">
        <v>1980</v>
      </c>
      <c r="LY17" s="129">
        <v>1980</v>
      </c>
      <c r="LZ17" s="756"/>
      <c r="MA17" s="757"/>
      <c r="MB17" s="757"/>
      <c r="MC17" s="757"/>
      <c r="MD17" s="757"/>
      <c r="ME17" s="757"/>
      <c r="MF17" s="757"/>
      <c r="MG17" s="757"/>
      <c r="MH17" s="757"/>
      <c r="MI17" s="758"/>
      <c r="MJ17" s="129">
        <v>1980</v>
      </c>
      <c r="MK17" s="11"/>
      <c r="ML17" s="336">
        <v>2100</v>
      </c>
      <c r="MM17" s="336">
        <v>2100</v>
      </c>
      <c r="MN17" s="336">
        <v>2100</v>
      </c>
      <c r="MO17" s="336">
        <v>2100</v>
      </c>
      <c r="MP17" s="336"/>
      <c r="MQ17" s="336">
        <v>2100</v>
      </c>
      <c r="MR17" s="336">
        <v>2100</v>
      </c>
      <c r="MS17" s="336">
        <v>2100</v>
      </c>
      <c r="MT17" s="336">
        <v>2100</v>
      </c>
      <c r="MU17" s="336">
        <v>2100</v>
      </c>
      <c r="MV17" s="336">
        <v>2100</v>
      </c>
      <c r="MW17" s="336"/>
      <c r="MX17" s="336">
        <v>2100</v>
      </c>
      <c r="MY17" s="336">
        <v>2100</v>
      </c>
      <c r="MZ17" s="336">
        <v>2100</v>
      </c>
      <c r="NA17" s="336">
        <v>2100</v>
      </c>
      <c r="NB17" s="336">
        <v>2100</v>
      </c>
      <c r="NC17" s="336">
        <v>2100</v>
      </c>
      <c r="ND17" s="336"/>
      <c r="NE17" s="336">
        <v>2100</v>
      </c>
      <c r="NF17" s="336">
        <v>2100</v>
      </c>
      <c r="NG17" s="336">
        <v>2100</v>
      </c>
      <c r="NH17" s="336">
        <v>2100</v>
      </c>
      <c r="NI17" s="336">
        <v>2100</v>
      </c>
      <c r="NJ17" s="336">
        <v>2100</v>
      </c>
      <c r="NK17" s="336">
        <v>2100</v>
      </c>
      <c r="NL17" s="336">
        <v>2100</v>
      </c>
      <c r="NM17" s="336">
        <v>2100</v>
      </c>
      <c r="NN17" s="336">
        <v>2100</v>
      </c>
      <c r="NO17" s="336">
        <v>2100</v>
      </c>
      <c r="NP17" s="11"/>
      <c r="NQ17" s="346"/>
      <c r="NR17" s="346"/>
      <c r="NS17" s="346"/>
      <c r="NT17" s="346"/>
      <c r="NU17" s="346"/>
      <c r="NV17" s="346"/>
      <c r="NW17" s="346"/>
      <c r="NX17" s="346"/>
      <c r="NY17" s="346"/>
      <c r="NZ17" s="346"/>
      <c r="OA17" s="346"/>
      <c r="OB17" s="346"/>
      <c r="OC17" s="346"/>
      <c r="OD17" s="346"/>
      <c r="OE17" s="346"/>
      <c r="OF17" s="346"/>
      <c r="OG17" s="347"/>
      <c r="OH17" s="346"/>
      <c r="OI17" s="346"/>
      <c r="OJ17" s="346"/>
      <c r="OK17" s="346"/>
      <c r="OL17" s="346"/>
      <c r="OM17" s="346"/>
      <c r="ON17" s="346"/>
      <c r="OO17" s="346"/>
      <c r="OP17" s="346"/>
      <c r="OQ17" s="346"/>
      <c r="OR17" s="346"/>
      <c r="OS17" s="762"/>
      <c r="OT17" s="763"/>
      <c r="OU17" s="764"/>
      <c r="OV17" s="11"/>
      <c r="OW17" s="770"/>
      <c r="OX17" s="763"/>
      <c r="OY17" s="763"/>
      <c r="OZ17" s="763"/>
      <c r="PA17" s="763"/>
      <c r="PB17" s="763"/>
      <c r="PC17" s="771"/>
      <c r="PD17" s="353"/>
      <c r="PE17" s="353"/>
      <c r="PF17" s="353"/>
      <c r="PG17" s="353"/>
      <c r="PH17" s="353"/>
      <c r="PI17" s="353"/>
      <c r="PJ17" s="353"/>
      <c r="PK17" s="353"/>
      <c r="PL17" s="353"/>
      <c r="PM17" s="353"/>
      <c r="PN17" s="353"/>
      <c r="PO17" s="353"/>
      <c r="PP17" s="353"/>
      <c r="PQ17" s="353"/>
      <c r="PR17" s="353"/>
      <c r="PS17" s="353"/>
      <c r="PT17" s="353"/>
      <c r="PU17" s="353"/>
      <c r="PV17" s="353"/>
      <c r="PW17" s="353"/>
      <c r="PX17" s="353"/>
      <c r="PY17" s="353"/>
      <c r="PZ17" s="353"/>
      <c r="QA17" s="353"/>
      <c r="QB17" s="11"/>
      <c r="QC17" s="359"/>
      <c r="QD17" s="359"/>
      <c r="QE17" s="359"/>
      <c r="QF17" s="359"/>
      <c r="QG17" s="359"/>
      <c r="QH17" s="359"/>
      <c r="QI17" s="359"/>
      <c r="QJ17" s="359"/>
      <c r="QK17" s="359"/>
      <c r="QL17" s="359"/>
      <c r="QM17" s="359"/>
      <c r="QN17" s="359"/>
      <c r="QO17" s="359"/>
      <c r="QP17" s="359"/>
      <c r="QQ17" s="359"/>
      <c r="QR17" s="359"/>
      <c r="QS17" s="359"/>
      <c r="QT17" s="359"/>
      <c r="QU17" s="359"/>
      <c r="QV17" s="359"/>
      <c r="QW17" s="359"/>
      <c r="QX17" s="359"/>
      <c r="QY17" s="359"/>
      <c r="QZ17" s="359"/>
      <c r="RA17" s="359"/>
      <c r="RB17" s="359"/>
      <c r="RC17" s="359"/>
      <c r="RD17" s="359"/>
      <c r="RE17" s="359"/>
      <c r="RF17" s="359"/>
      <c r="RG17" s="11"/>
      <c r="RH17" s="439"/>
      <c r="RI17" s="439"/>
      <c r="RJ17" s="439"/>
      <c r="RK17" s="439"/>
      <c r="RL17" s="439"/>
      <c r="RM17" s="439"/>
      <c r="RN17" s="439"/>
      <c r="RO17" s="439"/>
      <c r="RP17" s="439"/>
      <c r="RQ17" s="439"/>
      <c r="RR17" s="439"/>
      <c r="RS17" s="439"/>
      <c r="RT17" s="439"/>
      <c r="RU17" s="439"/>
      <c r="RV17" s="439"/>
      <c r="RW17" s="439"/>
      <c r="RX17" s="439"/>
      <c r="RY17" s="439"/>
      <c r="RZ17" s="439"/>
      <c r="SA17" s="439"/>
      <c r="SB17" s="439"/>
      <c r="SC17" s="439"/>
      <c r="SD17" s="439"/>
      <c r="SE17" s="439"/>
      <c r="SF17" s="439"/>
      <c r="SG17" s="439"/>
      <c r="SH17" s="439"/>
      <c r="SI17" s="439"/>
      <c r="SJ17" s="439"/>
      <c r="SK17" s="439"/>
      <c r="SL17" s="439"/>
      <c r="SM17" s="11"/>
      <c r="SN17" s="439"/>
      <c r="SO17" s="439"/>
      <c r="SP17" s="439"/>
      <c r="SQ17" s="439"/>
      <c r="SR17" s="439"/>
      <c r="SS17" s="439"/>
      <c r="ST17" s="439"/>
      <c r="SU17" s="439"/>
      <c r="SV17" s="439"/>
      <c r="SW17" s="439"/>
      <c r="SX17" s="439"/>
      <c r="SY17" s="439"/>
      <c r="SZ17" s="439"/>
      <c r="TA17" s="439"/>
      <c r="TB17" s="439"/>
      <c r="TC17" s="439"/>
      <c r="TD17" s="439"/>
      <c r="TE17" s="439"/>
      <c r="TF17" s="439"/>
      <c r="TG17" s="439"/>
      <c r="TH17" s="439"/>
      <c r="TI17" s="439"/>
      <c r="TJ17" s="439"/>
      <c r="TK17" s="439"/>
      <c r="TL17" s="439"/>
      <c r="TM17" s="439"/>
      <c r="TN17" s="439"/>
      <c r="TO17" s="439"/>
      <c r="TP17" s="439"/>
      <c r="TQ17" s="439"/>
      <c r="TR17" s="11"/>
      <c r="TS17" s="439"/>
      <c r="TT17" s="439"/>
      <c r="TU17" s="439"/>
      <c r="TV17" s="439"/>
      <c r="TW17" s="439"/>
      <c r="TX17" s="439"/>
      <c r="TY17" s="439"/>
      <c r="TZ17" s="439"/>
      <c r="UA17" s="439"/>
      <c r="UB17" s="439"/>
      <c r="UC17" s="439"/>
      <c r="UD17" s="439"/>
      <c r="UE17" s="439"/>
      <c r="UF17" s="439"/>
      <c r="UG17" s="439"/>
      <c r="UH17" s="439"/>
      <c r="UI17" s="447"/>
      <c r="UJ17" s="447"/>
      <c r="UK17" s="447"/>
      <c r="UL17" s="447"/>
      <c r="UM17" s="447"/>
      <c r="UN17" s="447"/>
      <c r="UO17" s="447"/>
      <c r="UP17" s="447"/>
      <c r="UQ17" s="447"/>
      <c r="UR17" s="447"/>
      <c r="US17" s="447"/>
      <c r="UT17" s="447"/>
      <c r="UU17" s="447"/>
      <c r="UV17" s="447"/>
      <c r="UW17" s="447"/>
      <c r="UX17" s="11"/>
      <c r="UY17" s="447"/>
      <c r="UZ17" s="447"/>
      <c r="VA17" s="447"/>
      <c r="VB17" s="447"/>
      <c r="VC17" s="447"/>
      <c r="VD17" s="447"/>
      <c r="VE17" s="447"/>
      <c r="VF17" s="447"/>
      <c r="VG17" s="447"/>
      <c r="VH17" s="447"/>
      <c r="VI17" s="447"/>
      <c r="VJ17" s="447"/>
      <c r="VK17" s="447"/>
      <c r="VL17" s="447"/>
      <c r="VM17" s="447"/>
      <c r="VN17" s="447"/>
      <c r="VO17" s="447"/>
      <c r="VP17" s="447"/>
      <c r="VQ17" s="447"/>
      <c r="VR17" s="447"/>
      <c r="VS17" s="447"/>
      <c r="VT17" s="447"/>
      <c r="WD17" s="11"/>
      <c r="XG17" s="11"/>
      <c r="YM17" s="11"/>
      <c r="ZF17" s="136">
        <v>500</v>
      </c>
      <c r="ZG17" s="136">
        <v>1400</v>
      </c>
      <c r="ZH17" s="136">
        <v>2000</v>
      </c>
      <c r="ZI17" s="136">
        <v>2500</v>
      </c>
      <c r="ZJ17" s="136">
        <v>2500</v>
      </c>
      <c r="ZK17" s="136"/>
      <c r="ZL17" s="136">
        <v>2500</v>
      </c>
      <c r="ZM17" s="136">
        <v>2500</v>
      </c>
      <c r="ZN17" s="136">
        <v>2500</v>
      </c>
      <c r="ZO17" s="314">
        <v>2500</v>
      </c>
      <c r="ZP17" s="136"/>
      <c r="ZQ17" s="365">
        <v>1900</v>
      </c>
      <c r="ZR17" s="11"/>
      <c r="AAX17" s="11"/>
      <c r="ACC17" s="11"/>
      <c r="ACL17" s="337" t="s">
        <v>2435</v>
      </c>
      <c r="ACM17" s="609">
        <v>36812</v>
      </c>
      <c r="ACN17" s="610">
        <v>404.6</v>
      </c>
      <c r="ACO17" s="610">
        <v>90.983687592684134</v>
      </c>
      <c r="ACV17" s="704"/>
      <c r="ACW17" s="705"/>
      <c r="ACX17" s="705"/>
      <c r="ACY17" s="705"/>
      <c r="ACZ17" s="705"/>
      <c r="ADA17" s="705"/>
      <c r="ADB17" s="705"/>
      <c r="ADC17" s="705"/>
      <c r="ADD17" s="706"/>
      <c r="ADI17" s="11"/>
      <c r="ADJ17" s="314">
        <v>8</v>
      </c>
      <c r="ADK17" s="314">
        <v>11</v>
      </c>
      <c r="ADL17" s="314">
        <v>11</v>
      </c>
      <c r="ADM17" s="314">
        <v>11</v>
      </c>
      <c r="ADN17" s="314">
        <v>8</v>
      </c>
      <c r="ADO17" s="314"/>
      <c r="ADP17" s="314">
        <v>11</v>
      </c>
      <c r="ADQ17" s="314">
        <v>11</v>
      </c>
      <c r="ADR17" s="314">
        <v>11</v>
      </c>
      <c r="ADS17" s="314">
        <v>11</v>
      </c>
      <c r="ADT17" s="314">
        <v>11</v>
      </c>
      <c r="ADU17" s="314">
        <v>11</v>
      </c>
      <c r="ADV17" s="314"/>
      <c r="ADW17" s="314">
        <v>11</v>
      </c>
      <c r="ADX17" s="314"/>
      <c r="ADY17" s="314">
        <v>11</v>
      </c>
      <c r="ADZ17" s="314">
        <v>11</v>
      </c>
      <c r="AEA17" s="314">
        <v>11</v>
      </c>
      <c r="AEB17" s="314">
        <v>8</v>
      </c>
      <c r="AEC17" s="314"/>
      <c r="AED17" s="314">
        <v>11</v>
      </c>
      <c r="AEE17" s="314">
        <v>11</v>
      </c>
      <c r="AEF17" s="314">
        <v>11</v>
      </c>
      <c r="AEG17" s="314">
        <v>11</v>
      </c>
      <c r="AEH17" s="314">
        <v>11</v>
      </c>
      <c r="AEI17" s="314">
        <v>11</v>
      </c>
      <c r="AEJ17" s="314"/>
      <c r="AEK17" s="314">
        <v>11</v>
      </c>
      <c r="AEL17" s="314">
        <v>11</v>
      </c>
      <c r="AEM17" s="314">
        <v>11</v>
      </c>
      <c r="AEN17" s="314">
        <v>11</v>
      </c>
      <c r="AEO17" s="11"/>
      <c r="AEP17" s="314">
        <v>11</v>
      </c>
      <c r="AEQ17" s="314">
        <v>11</v>
      </c>
      <c r="AER17" s="314"/>
      <c r="AES17" s="314">
        <v>11</v>
      </c>
      <c r="AET17" s="314">
        <v>11</v>
      </c>
      <c r="AEU17" s="314">
        <v>11</v>
      </c>
      <c r="AEV17" s="314">
        <v>11</v>
      </c>
      <c r="AEW17" s="314">
        <v>11</v>
      </c>
      <c r="AEX17" s="314">
        <v>11</v>
      </c>
      <c r="AEY17" s="314"/>
      <c r="AEZ17" s="314">
        <v>11</v>
      </c>
      <c r="AFA17" s="314">
        <v>11</v>
      </c>
      <c r="AFB17" s="314">
        <v>11</v>
      </c>
      <c r="AFC17" s="314">
        <v>11</v>
      </c>
      <c r="AFD17" s="314">
        <v>11</v>
      </c>
      <c r="AFE17" s="314">
        <v>11</v>
      </c>
      <c r="AFF17" s="314"/>
      <c r="AFG17" s="314">
        <v>11</v>
      </c>
      <c r="AFH17" s="636">
        <v>11</v>
      </c>
      <c r="AFI17" s="314">
        <v>1185</v>
      </c>
      <c r="AFJ17" s="314">
        <v>2250</v>
      </c>
      <c r="AFK17" s="314">
        <v>2250</v>
      </c>
      <c r="AFL17" s="314">
        <v>2250</v>
      </c>
      <c r="AFM17" s="314"/>
      <c r="AFN17" s="314">
        <v>2250</v>
      </c>
      <c r="AFO17" s="314">
        <v>2250</v>
      </c>
      <c r="AFP17" s="314">
        <v>2250</v>
      </c>
      <c r="AFQ17" s="314">
        <v>2250</v>
      </c>
      <c r="AFR17" s="314">
        <v>2250</v>
      </c>
      <c r="AFS17" s="314">
        <v>2250</v>
      </c>
      <c r="AFT17" s="11"/>
      <c r="AFU17" s="314"/>
      <c r="AFV17" s="314">
        <v>2250</v>
      </c>
      <c r="AFW17" s="314">
        <v>2250</v>
      </c>
      <c r="AFX17" s="314">
        <v>2250</v>
      </c>
      <c r="AFY17" s="314">
        <v>2250</v>
      </c>
      <c r="AFZ17" s="314">
        <v>2250</v>
      </c>
      <c r="AGA17" s="314">
        <v>2250</v>
      </c>
      <c r="AGB17" s="314"/>
      <c r="AGC17" s="314">
        <v>2250</v>
      </c>
      <c r="AGD17" s="314">
        <v>2250</v>
      </c>
      <c r="AGE17" s="314">
        <v>2250</v>
      </c>
      <c r="AGF17" s="314">
        <v>2250</v>
      </c>
      <c r="AGG17" s="314">
        <v>2250</v>
      </c>
      <c r="AGH17" s="314">
        <v>2250</v>
      </c>
      <c r="AGI17" s="314"/>
      <c r="AGJ17" s="314">
        <v>2250</v>
      </c>
      <c r="AGK17" s="314">
        <v>2250</v>
      </c>
      <c r="AGL17" s="314">
        <v>2250</v>
      </c>
      <c r="AGM17" s="314">
        <v>2250</v>
      </c>
      <c r="AGN17" s="314">
        <v>2250</v>
      </c>
      <c r="AGO17" s="314">
        <v>2250</v>
      </c>
      <c r="AGP17" s="314"/>
      <c r="AGQ17" s="314">
        <v>2250</v>
      </c>
      <c r="AGR17" s="314">
        <v>2250</v>
      </c>
      <c r="AGS17" s="314">
        <v>2250</v>
      </c>
      <c r="AGT17" s="314">
        <v>2250</v>
      </c>
      <c r="AGU17" s="314">
        <v>2250</v>
      </c>
      <c r="AGV17" s="314">
        <v>2250</v>
      </c>
      <c r="AGX17" s="314">
        <v>2250</v>
      </c>
      <c r="AGY17" s="314">
        <v>2250</v>
      </c>
      <c r="AGZ17" s="11"/>
      <c r="AHA17" s="314">
        <v>2500</v>
      </c>
      <c r="AHB17" s="314">
        <v>2500</v>
      </c>
      <c r="AHC17" s="314">
        <v>2500</v>
      </c>
      <c r="AHD17" s="314">
        <v>2500</v>
      </c>
      <c r="AHE17" s="314"/>
      <c r="AHF17" s="314">
        <v>2500</v>
      </c>
      <c r="AHG17" s="314">
        <v>2500</v>
      </c>
      <c r="AHH17" s="314">
        <v>2500</v>
      </c>
      <c r="AHI17" s="314">
        <v>2500</v>
      </c>
      <c r="AHJ17" s="314">
        <v>2500</v>
      </c>
      <c r="AHK17" s="314">
        <v>2500</v>
      </c>
      <c r="AHL17" s="314"/>
      <c r="AHM17" s="314">
        <v>2500</v>
      </c>
      <c r="AHN17" s="314">
        <v>2500</v>
      </c>
      <c r="AHO17" s="314">
        <v>2500</v>
      </c>
      <c r="AHP17" s="314">
        <v>2500</v>
      </c>
      <c r="AHQ17" s="314">
        <v>2500</v>
      </c>
      <c r="AHR17" s="314">
        <v>2500</v>
      </c>
      <c r="AHS17" s="314"/>
      <c r="AHT17" s="314">
        <v>2500</v>
      </c>
      <c r="AHU17" s="314">
        <v>2500</v>
      </c>
      <c r="AHV17" s="314">
        <v>2500</v>
      </c>
      <c r="AHW17" s="124">
        <v>2500</v>
      </c>
      <c r="AHX17" s="314">
        <v>2500</v>
      </c>
      <c r="AHY17" s="314">
        <v>2500</v>
      </c>
      <c r="AHZ17" s="314"/>
      <c r="AIA17" s="314">
        <v>2500</v>
      </c>
      <c r="AIB17" s="314">
        <v>2500</v>
      </c>
      <c r="AIC17" s="314">
        <v>2500</v>
      </c>
      <c r="AID17" s="314">
        <v>2500</v>
      </c>
      <c r="AIE17" s="11"/>
      <c r="AIF17" s="314">
        <v>2500</v>
      </c>
      <c r="AIG17" s="314">
        <v>2500</v>
      </c>
      <c r="AIH17" s="314"/>
      <c r="AII17" s="314">
        <v>2500</v>
      </c>
      <c r="AIJ17" s="314">
        <v>2500</v>
      </c>
      <c r="AIK17" s="314">
        <v>2500</v>
      </c>
      <c r="AIL17" s="314">
        <v>2500</v>
      </c>
      <c r="AIM17" s="314">
        <v>2500</v>
      </c>
      <c r="AIN17" s="314">
        <v>2500</v>
      </c>
      <c r="AIO17" s="314"/>
      <c r="AIP17" s="314">
        <v>2500</v>
      </c>
      <c r="AIQ17" s="314">
        <v>2500</v>
      </c>
      <c r="AIR17" s="314">
        <v>2500</v>
      </c>
      <c r="AIS17" s="314">
        <v>2500</v>
      </c>
      <c r="AIT17" s="314">
        <v>2500</v>
      </c>
      <c r="AIW17" s="314">
        <v>2500</v>
      </c>
      <c r="AIX17" s="314">
        <v>2500</v>
      </c>
      <c r="AIY17" s="314">
        <v>2500</v>
      </c>
      <c r="AIZ17" s="314">
        <v>2500</v>
      </c>
      <c r="AJA17" s="314">
        <v>2500</v>
      </c>
      <c r="AJB17" s="314">
        <v>2500</v>
      </c>
      <c r="AJC17" s="314"/>
      <c r="AJD17" s="314">
        <v>2500</v>
      </c>
      <c r="AJE17" s="314">
        <v>2500</v>
      </c>
      <c r="AJF17" s="314">
        <v>2500</v>
      </c>
      <c r="AJG17" s="314">
        <v>2500</v>
      </c>
      <c r="AJH17" s="314">
        <v>2500</v>
      </c>
      <c r="AJI17" s="314">
        <v>2500</v>
      </c>
      <c r="AJK17" s="11"/>
      <c r="AJL17" s="314">
        <v>2250</v>
      </c>
      <c r="AJM17" s="314">
        <v>2250</v>
      </c>
      <c r="AJN17" s="314">
        <v>2250</v>
      </c>
      <c r="AJO17" s="314">
        <v>2250</v>
      </c>
      <c r="AJP17" s="314">
        <v>2250</v>
      </c>
      <c r="AJQ17" s="314">
        <v>2250</v>
      </c>
      <c r="AJR17" s="314"/>
      <c r="AJS17" s="314">
        <v>2250</v>
      </c>
      <c r="AJT17" s="314">
        <v>2250</v>
      </c>
      <c r="AJU17" s="314">
        <v>2250</v>
      </c>
      <c r="AJV17" s="314">
        <v>2250</v>
      </c>
      <c r="AJW17" s="314">
        <v>2250</v>
      </c>
      <c r="AJX17" s="314">
        <v>2250</v>
      </c>
      <c r="AJY17" s="314"/>
      <c r="AJZ17" s="314">
        <v>2250</v>
      </c>
      <c r="AKA17" s="314">
        <v>2250</v>
      </c>
      <c r="AKB17" s="314">
        <v>2250</v>
      </c>
      <c r="AKC17" s="314">
        <v>2250</v>
      </c>
      <c r="AKD17" s="314">
        <v>2250</v>
      </c>
      <c r="AKE17" s="314">
        <v>2250</v>
      </c>
      <c r="AKF17" s="314"/>
      <c r="AKG17" s="314">
        <v>2250</v>
      </c>
      <c r="AKH17" s="314">
        <v>2250</v>
      </c>
      <c r="AKI17" s="314">
        <v>2250</v>
      </c>
      <c r="AKJ17" s="314">
        <v>2250</v>
      </c>
      <c r="AKK17" s="314">
        <v>2250</v>
      </c>
      <c r="AKL17" s="314">
        <v>2250</v>
      </c>
      <c r="AKM17" s="314"/>
      <c r="AKN17" s="314">
        <v>2250</v>
      </c>
      <c r="AKO17" s="314">
        <v>2250</v>
      </c>
      <c r="AKP17" s="314">
        <v>2250</v>
      </c>
      <c r="AKQ17" s="11"/>
      <c r="AKR17" s="314">
        <v>2250</v>
      </c>
      <c r="AKS17" s="314">
        <v>2250</v>
      </c>
      <c r="AKT17" s="314">
        <v>2250</v>
      </c>
      <c r="AKU17" s="314"/>
      <c r="AKV17" s="314">
        <v>2250</v>
      </c>
      <c r="AKW17" s="314">
        <v>2250</v>
      </c>
      <c r="AKX17" s="314">
        <v>2250</v>
      </c>
      <c r="AKY17" s="314">
        <v>2250</v>
      </c>
      <c r="AKZ17" s="314">
        <v>2250</v>
      </c>
      <c r="ALA17" s="314">
        <v>2250</v>
      </c>
      <c r="ALB17" s="364"/>
      <c r="ALC17" s="124">
        <v>2250</v>
      </c>
      <c r="ALD17" s="314">
        <v>1100</v>
      </c>
      <c r="ALE17" s="314">
        <v>1100</v>
      </c>
      <c r="ALF17" s="314">
        <v>1100</v>
      </c>
      <c r="ALG17" s="314">
        <v>1100</v>
      </c>
      <c r="ALH17" s="314">
        <v>1100</v>
      </c>
      <c r="ALI17" s="314"/>
      <c r="ALJ17" s="314">
        <v>1100</v>
      </c>
      <c r="ALK17" s="314">
        <v>1100</v>
      </c>
      <c r="ALL17" s="314"/>
      <c r="ALM17" s="314">
        <v>1100</v>
      </c>
      <c r="ALN17" s="314">
        <v>1100</v>
      </c>
      <c r="ALO17" s="314">
        <v>1100</v>
      </c>
      <c r="ALP17" s="314"/>
      <c r="ALQ17" s="314">
        <v>1100</v>
      </c>
      <c r="ALR17" s="314">
        <v>1100</v>
      </c>
      <c r="ALS17" s="314">
        <v>1100</v>
      </c>
      <c r="ALT17" s="11"/>
      <c r="ALU17" s="314">
        <v>1100</v>
      </c>
      <c r="ALV17" s="314">
        <v>1100</v>
      </c>
      <c r="ALW17" s="314">
        <v>1100</v>
      </c>
      <c r="ALX17" s="314"/>
      <c r="ALY17" s="314">
        <v>1100</v>
      </c>
      <c r="ALZ17" s="314">
        <v>1100</v>
      </c>
      <c r="AMA17" s="314">
        <v>1100</v>
      </c>
      <c r="AMB17" s="314">
        <v>1100</v>
      </c>
      <c r="AMC17" s="314">
        <v>1100</v>
      </c>
      <c r="AMD17" s="314">
        <v>1100</v>
      </c>
      <c r="AME17" s="314"/>
      <c r="AMF17" s="314">
        <v>1100</v>
      </c>
      <c r="AMG17" s="314">
        <v>1100</v>
      </c>
      <c r="AMH17" s="314">
        <v>1100</v>
      </c>
      <c r="AMI17" s="314">
        <v>1100</v>
      </c>
      <c r="AMJ17" s="314">
        <v>1100</v>
      </c>
      <c r="AMK17" s="314">
        <v>1100</v>
      </c>
      <c r="AML17" s="314"/>
      <c r="AMM17" s="314">
        <v>1100</v>
      </c>
      <c r="AMN17" s="314">
        <v>1100</v>
      </c>
      <c r="AMO17" s="314">
        <v>1100</v>
      </c>
      <c r="AMP17" s="314">
        <v>1100</v>
      </c>
      <c r="AMQ17" s="314">
        <v>1100</v>
      </c>
      <c r="AMR17" s="314">
        <v>1100</v>
      </c>
      <c r="AMS17" s="314"/>
      <c r="AMT17" s="314"/>
      <c r="AMU17" s="314">
        <v>1100</v>
      </c>
      <c r="AMV17" s="314">
        <v>1100</v>
      </c>
      <c r="AMW17" s="314">
        <v>1100</v>
      </c>
      <c r="AMX17" s="314">
        <v>1100</v>
      </c>
      <c r="AMY17" s="314">
        <v>1100</v>
      </c>
      <c r="AMZ17" s="11"/>
      <c r="ANA17" s="364"/>
      <c r="ANB17" s="314">
        <v>800</v>
      </c>
      <c r="ANC17" s="314">
        <v>800</v>
      </c>
      <c r="AND17" s="314">
        <v>800</v>
      </c>
      <c r="ANE17" s="314">
        <v>800</v>
      </c>
      <c r="ANF17" s="314">
        <v>800</v>
      </c>
      <c r="ANG17" s="314">
        <v>800</v>
      </c>
      <c r="ANH17" s="314">
        <v>800</v>
      </c>
      <c r="ANI17" s="314">
        <v>800</v>
      </c>
      <c r="ANJ17" s="314">
        <v>800</v>
      </c>
      <c r="ANK17" s="314">
        <v>800</v>
      </c>
      <c r="ANL17" s="314">
        <v>800</v>
      </c>
      <c r="ANM17" s="124">
        <v>800</v>
      </c>
      <c r="ANN17" s="314"/>
      <c r="ANO17" s="314"/>
      <c r="ANP17" s="314">
        <v>800</v>
      </c>
      <c r="ANQ17" s="314">
        <v>800</v>
      </c>
      <c r="ANR17" s="314">
        <v>800</v>
      </c>
      <c r="ANS17" s="314">
        <v>800</v>
      </c>
      <c r="ANT17" s="314">
        <v>800</v>
      </c>
      <c r="ANU17" s="314">
        <v>800</v>
      </c>
      <c r="ANV17" s="314">
        <v>800</v>
      </c>
      <c r="ANW17" s="314">
        <v>800</v>
      </c>
      <c r="ANX17" s="314">
        <v>800</v>
      </c>
      <c r="ANY17" s="314">
        <v>800</v>
      </c>
      <c r="ANZ17" s="314">
        <v>800</v>
      </c>
      <c r="AOA17" s="124">
        <v>800</v>
      </c>
      <c r="AOB17" s="314">
        <v>1840</v>
      </c>
      <c r="AOC17" s="314"/>
      <c r="AOD17" s="314">
        <v>1840</v>
      </c>
      <c r="AOE17" s="11"/>
      <c r="AOF17" s="128"/>
      <c r="AOG17" s="128"/>
      <c r="AOH17" s="128"/>
      <c r="AOI17" s="128"/>
      <c r="AOJ17" s="128"/>
      <c r="AOK17" s="128"/>
      <c r="AOL17" s="128"/>
      <c r="AOM17" s="128"/>
      <c r="AON17" s="128"/>
      <c r="AOO17" s="314">
        <v>2300</v>
      </c>
      <c r="AOP17" s="314">
        <v>2300</v>
      </c>
      <c r="AOQ17" s="314">
        <v>2300</v>
      </c>
      <c r="AOR17" s="314"/>
      <c r="AOS17" s="314">
        <v>2300</v>
      </c>
      <c r="AOT17" s="314">
        <v>2300</v>
      </c>
      <c r="AOU17" s="314">
        <v>2300</v>
      </c>
      <c r="AOV17" s="314">
        <v>2300</v>
      </c>
      <c r="AOW17" s="314">
        <v>2300</v>
      </c>
      <c r="AOX17" s="314">
        <v>2300</v>
      </c>
      <c r="AOY17" s="314"/>
      <c r="AOZ17" s="314">
        <v>2300</v>
      </c>
      <c r="APA17" s="314">
        <v>2300</v>
      </c>
      <c r="APB17" s="124">
        <v>2300</v>
      </c>
      <c r="APC17" s="314">
        <v>2300</v>
      </c>
      <c r="APD17" s="314">
        <v>2300</v>
      </c>
      <c r="APE17" s="314">
        <v>2300</v>
      </c>
      <c r="APG17" s="314">
        <v>2300</v>
      </c>
      <c r="APH17" s="314">
        <v>2300</v>
      </c>
      <c r="API17" s="314">
        <v>2300</v>
      </c>
      <c r="APJ17" s="314">
        <v>2300</v>
      </c>
      <c r="APK17" s="11"/>
      <c r="APL17" s="314">
        <v>2300</v>
      </c>
      <c r="APM17" s="314">
        <v>2300</v>
      </c>
      <c r="APN17" s="314">
        <v>1840</v>
      </c>
      <c r="APO17" s="314">
        <v>2300</v>
      </c>
      <c r="APP17" s="314">
        <v>2300</v>
      </c>
      <c r="APQ17" s="314">
        <v>2300</v>
      </c>
      <c r="APR17" s="314">
        <v>2300</v>
      </c>
      <c r="APS17" s="314">
        <v>2300</v>
      </c>
      <c r="APT17" s="124">
        <v>2300</v>
      </c>
      <c r="APU17" s="314"/>
      <c r="APV17" s="314">
        <v>2450</v>
      </c>
      <c r="APW17" s="314">
        <v>2450</v>
      </c>
      <c r="APX17" s="314">
        <v>2450</v>
      </c>
      <c r="APY17" s="314">
        <v>2450</v>
      </c>
      <c r="APZ17" s="314">
        <v>2450</v>
      </c>
      <c r="AQA17" s="314">
        <v>2450</v>
      </c>
      <c r="AQB17" s="314"/>
      <c r="AQC17" s="314">
        <v>2450</v>
      </c>
      <c r="AQD17" s="314">
        <v>2450</v>
      </c>
      <c r="AQE17" s="314">
        <v>2450</v>
      </c>
      <c r="AQF17" s="314">
        <v>2450</v>
      </c>
      <c r="AQG17" s="314">
        <v>2450</v>
      </c>
      <c r="AQH17" s="314">
        <v>2450</v>
      </c>
      <c r="AQI17" s="314">
        <v>1960</v>
      </c>
      <c r="AQJ17" s="314">
        <v>2450</v>
      </c>
      <c r="AQK17" s="314">
        <v>2450</v>
      </c>
      <c r="AQL17" s="314">
        <v>2450</v>
      </c>
      <c r="AQM17" s="314">
        <v>2450</v>
      </c>
      <c r="AQN17" s="314">
        <v>2450</v>
      </c>
      <c r="AQO17" s="314">
        <v>2450</v>
      </c>
      <c r="AQP17" s="11"/>
      <c r="AQQ17" s="314"/>
      <c r="AQR17" s="314">
        <v>2450</v>
      </c>
      <c r="AQS17" s="314">
        <v>2450</v>
      </c>
      <c r="AQT17" s="314">
        <v>2450</v>
      </c>
      <c r="AQU17" s="314">
        <v>2450</v>
      </c>
      <c r="AQV17" s="314">
        <v>2450</v>
      </c>
      <c r="AQW17" s="314">
        <v>2450</v>
      </c>
      <c r="AQX17" s="128"/>
      <c r="AQY17" s="128"/>
      <c r="AQZ17" s="128"/>
      <c r="ARA17" s="128"/>
      <c r="ARB17" s="128"/>
      <c r="ARC17" s="128"/>
      <c r="ARD17" s="128"/>
      <c r="ARE17" s="128"/>
      <c r="ARF17" s="128"/>
      <c r="ARG17" s="314">
        <v>2450</v>
      </c>
      <c r="ARH17" s="314">
        <v>2450</v>
      </c>
      <c r="ARI17" s="314">
        <v>2450</v>
      </c>
      <c r="ARJ17" s="314">
        <v>2450</v>
      </c>
      <c r="ARK17" s="314">
        <v>2450</v>
      </c>
      <c r="ARM17" s="314">
        <v>2450</v>
      </c>
      <c r="ARN17" s="314">
        <v>2450</v>
      </c>
      <c r="ARO17" s="314">
        <v>2450</v>
      </c>
      <c r="ARP17" s="314">
        <v>2450</v>
      </c>
      <c r="ARQ17" s="314">
        <v>2450</v>
      </c>
      <c r="ARR17" s="314">
        <v>2450</v>
      </c>
      <c r="ARS17" s="314"/>
      <c r="ART17" s="314">
        <v>2450</v>
      </c>
      <c r="ARU17" s="124">
        <v>2450</v>
      </c>
      <c r="ARV17" s="11"/>
      <c r="ARW17" s="314"/>
      <c r="ARX17" s="314"/>
      <c r="ARY17" s="314"/>
      <c r="ARZ17" s="314"/>
      <c r="ASA17" s="314"/>
      <c r="ASB17" s="314"/>
      <c r="ASC17" s="314"/>
      <c r="ASD17" s="314"/>
      <c r="ASE17" s="314"/>
      <c r="ASF17" s="314"/>
      <c r="ASG17" s="314"/>
      <c r="ASH17" s="314"/>
      <c r="ASI17" s="314"/>
      <c r="ASJ17" s="314"/>
      <c r="ASK17" s="314"/>
      <c r="ASL17" s="314"/>
      <c r="ASM17" s="314"/>
      <c r="ASN17" s="314"/>
      <c r="ASO17" s="314"/>
      <c r="ASP17" s="314"/>
      <c r="ASQ17" s="314"/>
      <c r="ASR17" s="314"/>
      <c r="ASS17" s="314"/>
      <c r="AST17" s="314"/>
      <c r="ATB17" s="11"/>
      <c r="AUG17" s="11"/>
      <c r="AUL17" s="314"/>
      <c r="AUN17" s="314"/>
      <c r="AVM17" s="11"/>
      <c r="AWR17" s="11"/>
      <c r="AXX17" s="11"/>
    </row>
    <row r="18" spans="1:1324" s="130" customFormat="1" ht="28.5" customHeight="1" x14ac:dyDescent="0.4">
      <c r="A18" s="711"/>
      <c r="B18" s="8" t="s">
        <v>16</v>
      </c>
      <c r="C18" s="121" t="s">
        <v>60</v>
      </c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28" t="s">
        <v>16</v>
      </c>
      <c r="AI18" s="121" t="s">
        <v>60</v>
      </c>
      <c r="AJ18" s="123"/>
      <c r="AK18" s="123"/>
      <c r="AL18" s="123"/>
      <c r="AM18" s="123"/>
      <c r="AN18" s="123"/>
      <c r="AO18" s="123"/>
      <c r="AP18" s="123"/>
      <c r="AQ18" s="750"/>
      <c r="AR18" s="751"/>
      <c r="AS18" s="751"/>
      <c r="AT18" s="751"/>
      <c r="AU18" s="751"/>
      <c r="AV18" s="751"/>
      <c r="AW18" s="751"/>
      <c r="AX18" s="751"/>
      <c r="AY18" s="751"/>
      <c r="AZ18" s="752"/>
      <c r="BA18" s="123" t="s">
        <v>60</v>
      </c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8" t="s">
        <v>16</v>
      </c>
      <c r="BO18" s="121" t="s">
        <v>63</v>
      </c>
      <c r="BP18" s="122"/>
      <c r="BQ18" s="122"/>
      <c r="BR18" s="122"/>
      <c r="BS18" s="122"/>
      <c r="BT18" s="122"/>
      <c r="BU18" s="122"/>
      <c r="BV18" s="122"/>
      <c r="BW18" s="122"/>
      <c r="BX18" s="122"/>
      <c r="BY18" s="122"/>
      <c r="BZ18" s="122"/>
      <c r="CA18" s="122"/>
      <c r="CB18" s="122"/>
      <c r="CC18" s="122"/>
      <c r="CD18" s="122"/>
      <c r="CE18" s="122"/>
      <c r="CF18" s="122"/>
      <c r="CG18" s="122"/>
      <c r="CH18" s="122"/>
      <c r="CI18" s="122"/>
      <c r="CJ18" s="122"/>
      <c r="CK18" s="122"/>
      <c r="CL18" s="122"/>
      <c r="CM18" s="122"/>
      <c r="CN18" s="122"/>
      <c r="CO18" s="122"/>
      <c r="CP18" s="122"/>
      <c r="CQ18" s="121" t="s">
        <v>183</v>
      </c>
      <c r="CR18" s="123"/>
      <c r="CS18" s="8" t="s">
        <v>16</v>
      </c>
      <c r="CT18" s="123" t="s">
        <v>135</v>
      </c>
      <c r="CU18" s="123"/>
      <c r="CV18" s="123"/>
      <c r="CW18" s="123"/>
      <c r="CX18" s="123"/>
      <c r="CY18" s="123"/>
      <c r="CZ18" s="123"/>
      <c r="DA18" s="123"/>
      <c r="DB18" s="123"/>
      <c r="DC18" s="123"/>
      <c r="DD18" s="123"/>
      <c r="DE18" s="123"/>
      <c r="DF18" s="123"/>
      <c r="DG18" s="123"/>
      <c r="DH18" s="123"/>
      <c r="DI18" s="123"/>
      <c r="DJ18" s="123"/>
      <c r="DK18" s="123"/>
      <c r="DL18" s="123"/>
      <c r="DM18" s="123"/>
      <c r="DN18" s="123"/>
      <c r="DO18" s="123"/>
      <c r="DP18" s="123"/>
      <c r="DQ18" s="123"/>
      <c r="DR18" s="123"/>
      <c r="DS18" s="123"/>
      <c r="DT18" s="123"/>
      <c r="DU18" s="123"/>
      <c r="DV18" s="123"/>
      <c r="DW18" s="123"/>
      <c r="DX18" s="123"/>
      <c r="DY18" s="8" t="s">
        <v>16</v>
      </c>
      <c r="DZ18" s="141" t="s">
        <v>184</v>
      </c>
      <c r="EA18" s="141"/>
      <c r="EB18" s="141"/>
      <c r="EC18" s="141"/>
      <c r="ED18" s="141"/>
      <c r="EE18" s="141"/>
      <c r="EF18" s="141"/>
      <c r="EG18" s="141"/>
      <c r="EH18" s="141"/>
      <c r="EI18" s="141"/>
      <c r="EJ18" s="141"/>
      <c r="EK18" s="141"/>
      <c r="EL18" s="141"/>
      <c r="EM18" s="141"/>
      <c r="EN18" s="141"/>
      <c r="EO18" s="141"/>
      <c r="EP18" s="141"/>
      <c r="EQ18" s="141"/>
      <c r="ER18" s="141"/>
      <c r="ES18" s="141"/>
      <c r="ET18" s="141"/>
      <c r="EU18" s="141"/>
      <c r="EV18" s="141"/>
      <c r="EW18" s="141"/>
      <c r="EX18" s="141"/>
      <c r="EY18" s="141"/>
      <c r="EZ18" s="141"/>
      <c r="FA18" s="141"/>
      <c r="FB18" s="141"/>
      <c r="FC18" s="141"/>
      <c r="FD18" s="8" t="s">
        <v>16</v>
      </c>
      <c r="FE18" s="124" t="s">
        <v>336</v>
      </c>
      <c r="FF18" s="119"/>
      <c r="FG18" s="119"/>
      <c r="FH18" s="119"/>
      <c r="FI18" s="119"/>
      <c r="FJ18" s="119"/>
      <c r="FK18" s="119"/>
      <c r="FL18" s="119"/>
      <c r="FM18" s="119"/>
      <c r="FN18" s="119"/>
      <c r="FO18" s="119"/>
      <c r="FP18" s="119"/>
      <c r="FQ18" s="119"/>
      <c r="FR18" s="119"/>
      <c r="FS18" s="119"/>
      <c r="FT18" s="119"/>
      <c r="FU18" s="119"/>
      <c r="FV18" s="119"/>
      <c r="FW18" s="119"/>
      <c r="FX18" s="119"/>
      <c r="FY18" s="119"/>
      <c r="FZ18" s="119"/>
      <c r="GA18" s="119"/>
      <c r="GB18" s="119"/>
      <c r="GC18" s="119"/>
      <c r="GD18" s="119"/>
      <c r="GE18" s="119"/>
      <c r="GF18" s="119"/>
      <c r="GG18" s="119"/>
      <c r="GH18" s="119"/>
      <c r="GI18" s="119"/>
      <c r="GJ18" s="8" t="s">
        <v>16</v>
      </c>
      <c r="GK18" s="123" t="s">
        <v>353</v>
      </c>
      <c r="GL18" s="123"/>
      <c r="GM18" s="123"/>
      <c r="GN18" s="123"/>
      <c r="GO18" s="126" t="s">
        <v>448</v>
      </c>
      <c r="GP18" s="123"/>
      <c r="GQ18" s="123"/>
      <c r="GR18" s="123"/>
      <c r="GS18" s="126" t="s">
        <v>366</v>
      </c>
      <c r="GT18" s="123"/>
      <c r="GU18" s="123"/>
      <c r="GV18" s="123"/>
      <c r="GW18" s="123"/>
      <c r="GX18" s="123"/>
      <c r="GY18" s="123"/>
      <c r="GZ18" s="123"/>
      <c r="HA18" s="123"/>
      <c r="HB18" s="123"/>
      <c r="HC18" s="123"/>
      <c r="HD18" s="123"/>
      <c r="HE18" s="123"/>
      <c r="HF18" s="126" t="s">
        <v>368</v>
      </c>
      <c r="HG18" s="123"/>
      <c r="HH18" s="123"/>
      <c r="HI18" s="123"/>
      <c r="HJ18" s="123"/>
      <c r="HK18" s="123"/>
      <c r="HL18" s="123"/>
      <c r="HM18" s="123"/>
      <c r="HN18" s="126" t="s">
        <v>366</v>
      </c>
      <c r="HO18" s="123"/>
      <c r="HP18" s="8" t="s">
        <v>16</v>
      </c>
      <c r="HQ18" s="123" t="s">
        <v>366</v>
      </c>
      <c r="HR18" s="123"/>
      <c r="HS18" s="123"/>
      <c r="HT18" s="126" t="s">
        <v>371</v>
      </c>
      <c r="HU18" s="126"/>
      <c r="HV18" s="123"/>
      <c r="HW18" s="123"/>
      <c r="HX18" s="123"/>
      <c r="HY18" s="123"/>
      <c r="HZ18" s="123"/>
      <c r="IA18" s="123"/>
      <c r="IB18" s="123"/>
      <c r="IC18" s="123"/>
      <c r="ID18" s="123"/>
      <c r="IE18" s="123"/>
      <c r="IF18" s="123"/>
      <c r="IG18" s="123"/>
      <c r="IH18" s="123"/>
      <c r="II18" s="123"/>
      <c r="IJ18" s="123"/>
      <c r="IK18" s="123"/>
      <c r="IL18" s="123"/>
      <c r="IM18" s="123"/>
      <c r="IN18" s="123"/>
      <c r="IO18" s="123"/>
      <c r="IP18" s="123"/>
      <c r="IQ18" s="123"/>
      <c r="IR18" s="123"/>
      <c r="IS18" s="123"/>
      <c r="IT18" s="8" t="s">
        <v>16</v>
      </c>
      <c r="IU18" s="123" t="s">
        <v>371</v>
      </c>
      <c r="IV18" s="123"/>
      <c r="IW18" s="123"/>
      <c r="IX18" s="123"/>
      <c r="IY18" s="123"/>
      <c r="IZ18" s="123"/>
      <c r="JA18" s="123"/>
      <c r="JB18" s="123"/>
      <c r="JC18" s="123"/>
      <c r="JD18" s="123"/>
      <c r="JE18" s="123"/>
      <c r="JF18" s="123"/>
      <c r="JG18" s="123"/>
      <c r="JH18" s="123"/>
      <c r="JI18" s="123"/>
      <c r="JJ18" s="123"/>
      <c r="JK18" s="123"/>
      <c r="JL18" s="123"/>
      <c r="JM18" s="123"/>
      <c r="JN18" s="123"/>
      <c r="JO18" s="123"/>
      <c r="JP18" s="123"/>
      <c r="JQ18" s="123"/>
      <c r="JR18" s="123"/>
      <c r="JS18" s="123"/>
      <c r="JT18" s="123"/>
      <c r="JU18" s="123"/>
      <c r="JV18" s="123"/>
      <c r="JW18" s="123"/>
      <c r="JX18" s="123"/>
      <c r="JY18" s="123"/>
      <c r="JZ18" s="8" t="s">
        <v>16</v>
      </c>
      <c r="KA18" s="123" t="s">
        <v>371</v>
      </c>
      <c r="KB18" s="123"/>
      <c r="KC18" s="123"/>
      <c r="KD18" s="123"/>
      <c r="KE18" s="123"/>
      <c r="KF18" s="123"/>
      <c r="KG18" s="123"/>
      <c r="KH18" s="123"/>
      <c r="KI18" s="123"/>
      <c r="KJ18" s="123"/>
      <c r="KK18" s="123"/>
      <c r="KL18" s="123"/>
      <c r="KM18" s="123"/>
      <c r="KN18" s="123"/>
      <c r="KO18" s="123"/>
      <c r="KP18" s="123"/>
      <c r="KQ18" s="123"/>
      <c r="KR18" s="123"/>
      <c r="KS18" s="123"/>
      <c r="KT18" s="123"/>
      <c r="KU18" s="123"/>
      <c r="KV18" s="123"/>
      <c r="KW18" s="123"/>
      <c r="KX18" s="123"/>
      <c r="KY18" s="123"/>
      <c r="KZ18" s="123"/>
      <c r="LA18" s="123"/>
      <c r="LB18" s="123"/>
      <c r="LC18" s="123"/>
      <c r="LD18" s="123"/>
      <c r="LE18" s="8" t="s">
        <v>16</v>
      </c>
      <c r="LF18" s="123" t="s">
        <v>371</v>
      </c>
      <c r="LG18" s="123"/>
      <c r="LH18" s="123"/>
      <c r="LI18" s="123"/>
      <c r="LJ18" s="123"/>
      <c r="LK18" s="123"/>
      <c r="LL18" s="123"/>
      <c r="LM18" s="123"/>
      <c r="LN18" s="123"/>
      <c r="LO18" s="123"/>
      <c r="LP18" s="123"/>
      <c r="LQ18" s="123"/>
      <c r="LR18" s="123"/>
      <c r="LS18" s="123"/>
      <c r="LT18" s="123"/>
      <c r="LU18" s="123"/>
      <c r="LV18" s="123"/>
      <c r="LW18" s="123"/>
      <c r="LX18" s="123"/>
      <c r="LY18" s="123"/>
      <c r="LZ18" s="756"/>
      <c r="MA18" s="757"/>
      <c r="MB18" s="757"/>
      <c r="MC18" s="757"/>
      <c r="MD18" s="757"/>
      <c r="ME18" s="757"/>
      <c r="MF18" s="757"/>
      <c r="MG18" s="757"/>
      <c r="MH18" s="757"/>
      <c r="MI18" s="758"/>
      <c r="MJ18" s="123" t="s">
        <v>371</v>
      </c>
      <c r="MK18" s="8" t="s">
        <v>16</v>
      </c>
      <c r="ML18" s="335" t="s">
        <v>371</v>
      </c>
      <c r="MM18" s="335"/>
      <c r="MN18" s="335"/>
      <c r="MO18" s="335"/>
      <c r="MP18" s="335"/>
      <c r="MQ18" s="335"/>
      <c r="MR18" s="335"/>
      <c r="MS18" s="335"/>
      <c r="MT18" s="335"/>
      <c r="MU18" s="335"/>
      <c r="MV18" s="335"/>
      <c r="MW18" s="335"/>
      <c r="MX18" s="335"/>
      <c r="MY18" s="335"/>
      <c r="MZ18" s="335"/>
      <c r="NA18" s="335"/>
      <c r="NB18" s="335"/>
      <c r="NC18" s="335"/>
      <c r="ND18" s="335"/>
      <c r="NE18" s="335"/>
      <c r="NF18" s="335"/>
      <c r="NG18" s="335"/>
      <c r="NH18" s="335"/>
      <c r="NI18" s="335"/>
      <c r="NJ18" s="335"/>
      <c r="NK18" s="335"/>
      <c r="NL18" s="335"/>
      <c r="NM18" s="335"/>
      <c r="NN18" s="335"/>
      <c r="NO18" s="335"/>
      <c r="NP18" s="8" t="s">
        <v>16</v>
      </c>
      <c r="NQ18" s="348" t="s">
        <v>886</v>
      </c>
      <c r="NR18" s="349"/>
      <c r="NS18" s="349"/>
      <c r="NT18" s="349"/>
      <c r="NU18" s="348" t="s">
        <v>887</v>
      </c>
      <c r="NV18" s="349"/>
      <c r="NW18" s="349"/>
      <c r="NX18" s="349"/>
      <c r="NY18" s="349"/>
      <c r="NZ18" s="349"/>
      <c r="OA18" s="349"/>
      <c r="OB18" s="349"/>
      <c r="OC18" s="348" t="s">
        <v>888</v>
      </c>
      <c r="OD18" s="349"/>
      <c r="OE18" s="349"/>
      <c r="OF18" s="349"/>
      <c r="OG18" s="349"/>
      <c r="OH18" s="349"/>
      <c r="OI18" s="349"/>
      <c r="OJ18" s="350" t="s">
        <v>882</v>
      </c>
      <c r="OK18" s="350"/>
      <c r="OL18" s="350"/>
      <c r="OM18" s="350"/>
      <c r="ON18" s="350"/>
      <c r="OO18" s="350"/>
      <c r="OP18" s="350"/>
      <c r="OQ18" s="350"/>
      <c r="OR18" s="350"/>
      <c r="OS18" s="762"/>
      <c r="OT18" s="763"/>
      <c r="OU18" s="764"/>
      <c r="OV18" s="8" t="s">
        <v>16</v>
      </c>
      <c r="OW18" s="770"/>
      <c r="OX18" s="763"/>
      <c r="OY18" s="763"/>
      <c r="OZ18" s="763"/>
      <c r="PA18" s="763"/>
      <c r="PB18" s="763"/>
      <c r="PC18" s="771"/>
      <c r="PD18" s="357" t="s">
        <v>882</v>
      </c>
      <c r="PE18" s="357"/>
      <c r="PF18" s="357"/>
      <c r="PG18" s="357"/>
      <c r="PH18" s="357"/>
      <c r="PI18" s="357"/>
      <c r="PJ18" s="357"/>
      <c r="PK18" s="357"/>
      <c r="PL18" s="357"/>
      <c r="PM18" s="357"/>
      <c r="PN18" s="357"/>
      <c r="PO18" s="357"/>
      <c r="PP18" s="357"/>
      <c r="PQ18" s="357"/>
      <c r="PR18" s="357"/>
      <c r="PS18" s="357"/>
      <c r="PT18" s="357"/>
      <c r="PU18" s="357"/>
      <c r="PV18" s="357"/>
      <c r="PW18" s="357"/>
      <c r="PX18" s="357"/>
      <c r="PY18" s="357"/>
      <c r="PZ18" s="357"/>
      <c r="QA18" s="357"/>
      <c r="QB18" s="8" t="s">
        <v>16</v>
      </c>
      <c r="QC18" s="363" t="s">
        <v>882</v>
      </c>
      <c r="QD18" s="363"/>
      <c r="QE18" s="363"/>
      <c r="QF18" s="363"/>
      <c r="QG18" s="363"/>
      <c r="QH18" s="363"/>
      <c r="QI18" s="363"/>
      <c r="QJ18" s="363"/>
      <c r="QK18" s="363"/>
      <c r="QL18" s="363"/>
      <c r="QM18" s="363"/>
      <c r="QN18" s="363"/>
      <c r="QO18" s="363"/>
      <c r="QP18" s="363"/>
      <c r="QQ18" s="363"/>
      <c r="QR18" s="363"/>
      <c r="QS18" s="363"/>
      <c r="QT18" s="363"/>
      <c r="QU18" s="363"/>
      <c r="QV18" s="363"/>
      <c r="QW18" s="363"/>
      <c r="QX18" s="363"/>
      <c r="QY18" s="363"/>
      <c r="QZ18" s="363"/>
      <c r="RA18" s="363"/>
      <c r="RB18" s="363"/>
      <c r="RC18" s="363"/>
      <c r="RD18" s="363"/>
      <c r="RE18" s="363"/>
      <c r="RF18" s="363"/>
      <c r="RG18" s="8" t="s">
        <v>16</v>
      </c>
      <c r="RH18" s="442" t="s">
        <v>1509</v>
      </c>
      <c r="RI18" s="440"/>
      <c r="RJ18" s="440"/>
      <c r="RK18" s="440"/>
      <c r="RL18" s="440"/>
      <c r="RM18" s="440"/>
      <c r="RN18" s="440"/>
      <c r="RO18" s="440"/>
      <c r="RP18" s="440"/>
      <c r="RQ18" s="440"/>
      <c r="RR18" s="440"/>
      <c r="RS18" s="440"/>
      <c r="RT18" s="440"/>
      <c r="RU18" s="440"/>
      <c r="RV18" s="440"/>
      <c r="RW18" s="440"/>
      <c r="RX18" s="440"/>
      <c r="RY18" s="440"/>
      <c r="RZ18" s="440"/>
      <c r="SA18" s="440"/>
      <c r="SB18" s="440"/>
      <c r="SC18" s="440"/>
      <c r="SD18" s="440"/>
      <c r="SE18" s="440"/>
      <c r="SF18" s="440"/>
      <c r="SG18" s="440"/>
      <c r="SH18" s="440"/>
      <c r="SI18" s="440"/>
      <c r="SJ18" s="440"/>
      <c r="SK18" s="440"/>
      <c r="SL18" s="440"/>
      <c r="SM18" s="8" t="s">
        <v>16</v>
      </c>
      <c r="SN18" s="442" t="s">
        <v>1508</v>
      </c>
      <c r="SO18" s="440"/>
      <c r="SP18" s="440"/>
      <c r="SQ18" s="440"/>
      <c r="SR18" s="440"/>
      <c r="SS18" s="442" t="s">
        <v>1509</v>
      </c>
      <c r="ST18" s="440"/>
      <c r="SU18" s="440"/>
      <c r="SV18" s="440"/>
      <c r="SW18" s="440"/>
      <c r="SX18" s="440"/>
      <c r="SY18" s="440"/>
      <c r="SZ18" s="440"/>
      <c r="TA18" s="440"/>
      <c r="TB18" s="442" t="s">
        <v>1507</v>
      </c>
      <c r="TC18" s="440"/>
      <c r="TD18" s="440"/>
      <c r="TE18" s="440"/>
      <c r="TF18" s="440"/>
      <c r="TG18" s="440"/>
      <c r="TH18" s="442" t="s">
        <v>1501</v>
      </c>
      <c r="TI18" s="440"/>
      <c r="TJ18" s="440"/>
      <c r="TK18" s="440"/>
      <c r="TL18" s="440"/>
      <c r="TM18" s="440"/>
      <c r="TN18" s="440"/>
      <c r="TO18" s="440"/>
      <c r="TP18" s="440"/>
      <c r="TQ18" s="440"/>
      <c r="TR18" s="8" t="s">
        <v>16</v>
      </c>
      <c r="TS18" s="442" t="s">
        <v>1508</v>
      </c>
      <c r="TT18" s="440"/>
      <c r="TU18" s="440"/>
      <c r="TV18" s="440"/>
      <c r="TW18" s="440"/>
      <c r="TX18" s="440"/>
      <c r="TY18" s="440"/>
      <c r="TZ18" s="440"/>
      <c r="UA18" s="440"/>
      <c r="UB18" s="440"/>
      <c r="UC18" s="440"/>
      <c r="UD18" s="440"/>
      <c r="UE18" s="442" t="s">
        <v>1509</v>
      </c>
      <c r="UF18" s="440"/>
      <c r="UG18" s="440"/>
      <c r="UH18" s="440"/>
      <c r="UI18" s="440"/>
      <c r="UJ18" s="440"/>
      <c r="UK18" s="440"/>
      <c r="UL18" s="440"/>
      <c r="UM18" s="442" t="s">
        <v>1508</v>
      </c>
      <c r="UN18" s="440"/>
      <c r="UO18" s="440"/>
      <c r="UP18" s="440"/>
      <c r="UQ18" s="440"/>
      <c r="UR18" s="440"/>
      <c r="US18" s="442" t="s">
        <v>1500</v>
      </c>
      <c r="UT18" s="443"/>
      <c r="UU18" s="443"/>
      <c r="UV18" s="443"/>
      <c r="UW18" s="443"/>
      <c r="UX18" s="8" t="s">
        <v>16</v>
      </c>
      <c r="UY18" s="447"/>
      <c r="UZ18" s="447"/>
      <c r="VA18" s="447"/>
      <c r="VB18" s="447"/>
      <c r="VC18" s="447"/>
      <c r="VD18" s="447"/>
      <c r="VE18" s="447"/>
      <c r="VF18" s="447"/>
      <c r="VG18" s="447"/>
      <c r="VH18" s="447"/>
      <c r="VI18" s="447"/>
      <c r="VJ18" s="447"/>
      <c r="VK18" s="447"/>
      <c r="VL18" s="447"/>
      <c r="VM18" s="447"/>
      <c r="VN18" s="447"/>
      <c r="VO18" s="447"/>
      <c r="VP18" s="447"/>
      <c r="VQ18" s="447"/>
      <c r="VR18" s="447"/>
      <c r="VS18" s="447"/>
      <c r="VT18" s="447"/>
      <c r="WD18" s="8" t="s">
        <v>16</v>
      </c>
      <c r="XG18" s="8" t="s">
        <v>16</v>
      </c>
      <c r="YM18" s="8" t="s">
        <v>16</v>
      </c>
      <c r="ZF18" s="361" t="s">
        <v>2088</v>
      </c>
      <c r="ZG18" s="361"/>
      <c r="ZH18" s="319"/>
      <c r="ZI18" s="319"/>
      <c r="ZJ18" s="319"/>
      <c r="ZK18" s="319"/>
      <c r="ZL18" s="319"/>
      <c r="ZM18" s="319"/>
      <c r="ZN18" s="319"/>
      <c r="ZO18" s="319"/>
      <c r="ZP18" s="319"/>
      <c r="ZQ18" s="319"/>
      <c r="ZR18" s="8" t="s">
        <v>16</v>
      </c>
      <c r="AAX18" s="8" t="s">
        <v>16</v>
      </c>
      <c r="ACC18" s="8" t="s">
        <v>16</v>
      </c>
      <c r="ACL18" s="364" t="s">
        <v>2436</v>
      </c>
      <c r="ACM18" s="609">
        <v>35283</v>
      </c>
      <c r="ACN18" s="610">
        <v>340.9</v>
      </c>
      <c r="ACO18" s="610">
        <v>103.49955998826636</v>
      </c>
      <c r="ACV18" s="704"/>
      <c r="ACW18" s="705"/>
      <c r="ACX18" s="705"/>
      <c r="ACY18" s="705"/>
      <c r="ACZ18" s="705"/>
      <c r="ADA18" s="705"/>
      <c r="ADB18" s="705"/>
      <c r="ADC18" s="705"/>
      <c r="ADD18" s="706"/>
      <c r="ADI18" s="8" t="s">
        <v>16</v>
      </c>
      <c r="ADJ18" s="352"/>
      <c r="ADK18" s="352"/>
      <c r="ADL18" s="352"/>
      <c r="ADM18" s="352"/>
      <c r="ADN18" s="352"/>
      <c r="ADO18" s="352"/>
      <c r="ADP18" s="352"/>
      <c r="ADQ18" s="352"/>
      <c r="ADR18" s="352"/>
      <c r="ADS18" s="352"/>
      <c r="ADT18" s="352"/>
      <c r="ADU18" s="352"/>
      <c r="ADV18" s="352"/>
      <c r="ADW18" s="352"/>
      <c r="ADX18" s="352"/>
      <c r="ADY18" s="352"/>
      <c r="ADZ18" s="352"/>
      <c r="AEA18" s="352"/>
      <c r="AEB18" s="352"/>
      <c r="AEC18" s="352"/>
      <c r="AED18" s="352"/>
      <c r="AEE18" s="352"/>
      <c r="AEF18" s="352"/>
      <c r="AEG18" s="352"/>
      <c r="AEH18" s="352"/>
      <c r="AEI18" s="352"/>
      <c r="AEJ18" s="352"/>
      <c r="AEK18" s="352"/>
      <c r="AEL18" s="352"/>
      <c r="AEM18" s="352"/>
      <c r="AEN18" s="352"/>
      <c r="AEO18" s="8" t="s">
        <v>16</v>
      </c>
      <c r="AEP18" s="352"/>
      <c r="AEQ18" s="352"/>
      <c r="AER18" s="352"/>
      <c r="AES18" s="352"/>
      <c r="AET18" s="352"/>
      <c r="AEU18" s="352"/>
      <c r="AEV18" s="352"/>
      <c r="AEW18" s="352"/>
      <c r="AEX18" s="352"/>
      <c r="AEY18" s="352"/>
      <c r="AEZ18" s="352"/>
      <c r="AFA18" s="352"/>
      <c r="AFB18" s="352"/>
      <c r="AFC18" s="352"/>
      <c r="AFD18" s="352"/>
      <c r="AFE18" s="352"/>
      <c r="AFF18" s="352"/>
      <c r="AFG18" s="345" t="s">
        <v>2462</v>
      </c>
      <c r="AFH18" s="345"/>
      <c r="AFI18" s="352"/>
      <c r="AFJ18" s="352"/>
      <c r="AFK18" s="352"/>
      <c r="AFL18" s="352"/>
      <c r="AFM18" s="352"/>
      <c r="AFN18" s="352"/>
      <c r="AFO18" s="352"/>
      <c r="AFP18" s="352"/>
      <c r="AFQ18" s="352"/>
      <c r="AFR18" s="352"/>
      <c r="AFS18" s="352"/>
      <c r="AFT18" s="8" t="s">
        <v>16</v>
      </c>
      <c r="AFU18" s="352" t="s">
        <v>2462</v>
      </c>
      <c r="AFV18" s="352"/>
      <c r="AFW18" s="352"/>
      <c r="AFX18" s="352"/>
      <c r="AFY18" s="352"/>
      <c r="AFZ18" s="352"/>
      <c r="AGA18" s="352"/>
      <c r="AGB18" s="352"/>
      <c r="AGC18" s="352"/>
      <c r="AGD18" s="352"/>
      <c r="AGE18" s="352"/>
      <c r="AGF18" s="352"/>
      <c r="AGG18" s="352"/>
      <c r="AGH18" s="352"/>
      <c r="AGI18" s="352"/>
      <c r="AGJ18" s="352"/>
      <c r="AGK18" s="352"/>
      <c r="AGL18" s="352"/>
      <c r="AGM18" s="352"/>
      <c r="AGN18" s="352"/>
      <c r="AGO18" s="352"/>
      <c r="AGP18" s="352"/>
      <c r="AGQ18" s="352"/>
      <c r="AGR18" s="352"/>
      <c r="AGS18" s="352"/>
      <c r="AGT18" s="352"/>
      <c r="AGU18" s="352"/>
      <c r="AGV18" s="352"/>
      <c r="AGW18" s="352"/>
      <c r="AGX18" s="352"/>
      <c r="AGY18" s="352"/>
      <c r="AGZ18" s="8" t="s">
        <v>16</v>
      </c>
      <c r="AHA18" s="352" t="s">
        <v>2462</v>
      </c>
      <c r="AHB18" s="352"/>
      <c r="AHC18" s="352"/>
      <c r="AHD18" s="352"/>
      <c r="AHE18" s="352"/>
      <c r="AHF18" s="352"/>
      <c r="AHG18" s="352"/>
      <c r="AHH18" s="352"/>
      <c r="AHI18" s="352"/>
      <c r="AHJ18" s="352"/>
      <c r="AHK18" s="352"/>
      <c r="AHL18" s="352"/>
      <c r="AHM18" s="352"/>
      <c r="AHN18" s="352"/>
      <c r="AHO18" s="352"/>
      <c r="AHP18" s="352"/>
      <c r="AHQ18" s="352"/>
      <c r="AHR18" s="352"/>
      <c r="AHS18" s="352"/>
      <c r="AHT18" s="352"/>
      <c r="AHU18" s="352"/>
      <c r="AHV18" s="345" t="s">
        <v>2684</v>
      </c>
      <c r="AHW18" s="345"/>
      <c r="AHX18" s="352"/>
      <c r="AHY18" s="352"/>
      <c r="AHZ18" s="352"/>
      <c r="AIA18" s="352"/>
      <c r="AIB18" s="352"/>
      <c r="AIC18" s="352"/>
      <c r="AID18" s="352"/>
      <c r="AIE18" s="8" t="s">
        <v>16</v>
      </c>
      <c r="AIF18" s="352" t="s">
        <v>2684</v>
      </c>
      <c r="AIG18" s="352"/>
      <c r="AIH18" s="352"/>
      <c r="AII18" s="352"/>
      <c r="AIJ18" s="352"/>
      <c r="AIK18" s="352"/>
      <c r="AIL18" s="352"/>
      <c r="AIM18" s="352"/>
      <c r="AIN18" s="352"/>
      <c r="AIO18" s="352"/>
      <c r="AIP18" s="352"/>
      <c r="AIQ18" s="352"/>
      <c r="AIR18" s="352"/>
      <c r="AIS18" s="352"/>
      <c r="AIT18" s="352"/>
      <c r="AIU18" s="352"/>
      <c r="AIV18" s="352"/>
      <c r="AIW18" s="352"/>
      <c r="AIX18" s="352"/>
      <c r="AIY18" s="352"/>
      <c r="AIZ18" s="352"/>
      <c r="AJA18" s="352"/>
      <c r="AJB18" s="352"/>
      <c r="AJC18" s="352"/>
      <c r="AJD18" s="352"/>
      <c r="AJE18" s="352"/>
      <c r="AJF18" s="352"/>
      <c r="AJG18" s="352"/>
      <c r="AJH18" s="352"/>
      <c r="AJI18" s="352"/>
      <c r="AJJ18" s="352"/>
      <c r="AJK18" s="8" t="s">
        <v>16</v>
      </c>
      <c r="AJL18" s="352" t="s">
        <v>2684</v>
      </c>
      <c r="AJM18" s="352"/>
      <c r="AJN18" s="352"/>
      <c r="AJO18" s="352"/>
      <c r="AJP18" s="352"/>
      <c r="AJQ18" s="352"/>
      <c r="AJR18" s="352"/>
      <c r="AJS18" s="352"/>
      <c r="AJT18" s="352"/>
      <c r="AJU18" s="352"/>
      <c r="AJV18" s="352"/>
      <c r="AJW18" s="352"/>
      <c r="AJX18" s="352"/>
      <c r="AJY18" s="352"/>
      <c r="AJZ18" s="352"/>
      <c r="AKA18" s="352"/>
      <c r="AKB18" s="352"/>
      <c r="AKC18" s="352"/>
      <c r="AKD18" s="352"/>
      <c r="AKE18" s="352"/>
      <c r="AKF18" s="352"/>
      <c r="AKG18" s="352"/>
      <c r="AKH18" s="352"/>
      <c r="AKI18" s="352"/>
      <c r="AKJ18" s="352"/>
      <c r="AKK18" s="352"/>
      <c r="AKL18" s="352"/>
      <c r="AKM18" s="352"/>
      <c r="AKN18" s="352"/>
      <c r="AKO18" s="352"/>
      <c r="AKP18" s="352"/>
      <c r="AKQ18" s="8" t="s">
        <v>16</v>
      </c>
      <c r="AKR18" s="352" t="s">
        <v>2461</v>
      </c>
      <c r="AKS18" s="352"/>
      <c r="AKT18" s="352"/>
      <c r="AKU18" s="352"/>
      <c r="AKV18" s="352"/>
      <c r="AKW18" s="352"/>
      <c r="AKX18" s="352"/>
      <c r="AKY18" s="352"/>
      <c r="AKZ18" s="352"/>
      <c r="ALA18" s="352"/>
      <c r="ALB18" s="345" t="s">
        <v>2842</v>
      </c>
      <c r="ALC18" s="345"/>
      <c r="ALD18" s="352"/>
      <c r="ALE18" s="352"/>
      <c r="ALF18" s="352"/>
      <c r="ALG18" s="352"/>
      <c r="ALH18" s="352"/>
      <c r="ALI18" s="352"/>
      <c r="ALJ18" s="352"/>
      <c r="ALK18" s="352"/>
      <c r="ALL18" s="352"/>
      <c r="ALM18" s="352"/>
      <c r="ALN18" s="352"/>
      <c r="ALO18" s="352"/>
      <c r="ALP18" s="352"/>
      <c r="ALQ18" s="352"/>
      <c r="ALR18" s="352"/>
      <c r="ALS18" s="352"/>
      <c r="ALT18" s="8" t="s">
        <v>16</v>
      </c>
      <c r="ALU18" s="352" t="s">
        <v>2842</v>
      </c>
      <c r="ALV18" s="352"/>
      <c r="ALW18" s="352"/>
      <c r="ALX18" s="352"/>
      <c r="ALY18" s="352"/>
      <c r="ALZ18" s="352"/>
      <c r="AMA18" s="352"/>
      <c r="AMB18" s="352"/>
      <c r="AMC18" s="352"/>
      <c r="AMD18" s="352"/>
      <c r="AME18" s="352"/>
      <c r="AMF18" s="352"/>
      <c r="AMG18" s="352"/>
      <c r="AMH18" s="352"/>
      <c r="AMI18" s="352"/>
      <c r="AMJ18" s="352"/>
      <c r="AMK18" s="352"/>
      <c r="AML18" s="352"/>
      <c r="AMM18" s="352"/>
      <c r="AMN18" s="352"/>
      <c r="AMO18" s="352"/>
      <c r="AMP18" s="352"/>
      <c r="AMQ18" s="352"/>
      <c r="AMR18" s="352"/>
      <c r="AMS18" s="352"/>
      <c r="AMT18" s="352"/>
      <c r="AMU18" s="352"/>
      <c r="AMV18" s="352"/>
      <c r="AMW18" s="352"/>
      <c r="AMX18" s="352"/>
      <c r="AMY18" s="352"/>
      <c r="AMZ18" s="8" t="s">
        <v>16</v>
      </c>
      <c r="ANA18" s="352" t="s">
        <v>2842</v>
      </c>
      <c r="ANB18" s="352"/>
      <c r="ANC18" s="352"/>
      <c r="AND18" s="352"/>
      <c r="ANE18" s="352"/>
      <c r="ANF18" s="352"/>
      <c r="ANG18" s="352"/>
      <c r="ANH18" s="352"/>
      <c r="ANI18" s="352"/>
      <c r="ANJ18" s="352"/>
      <c r="ANK18" s="352"/>
      <c r="ANL18" s="345" t="s">
        <v>2841</v>
      </c>
      <c r="ANM18" s="345"/>
      <c r="ANN18" s="352"/>
      <c r="ANO18" s="352"/>
      <c r="ANP18" s="352"/>
      <c r="ANQ18" s="352"/>
      <c r="ANR18" s="352"/>
      <c r="ANS18" s="352"/>
      <c r="ANT18" s="352"/>
      <c r="ANU18" s="352"/>
      <c r="ANV18" s="352"/>
      <c r="ANW18" s="352"/>
      <c r="ANX18" s="352"/>
      <c r="ANY18" s="352"/>
      <c r="ANZ18" s="345" t="s">
        <v>2636</v>
      </c>
      <c r="AOA18" s="345"/>
      <c r="AOB18" s="352"/>
      <c r="AOC18" s="352"/>
      <c r="AOD18" s="352"/>
      <c r="AOE18" s="8" t="s">
        <v>16</v>
      </c>
      <c r="AOF18" s="128"/>
      <c r="AOG18" s="128"/>
      <c r="AOH18" s="128"/>
      <c r="AOI18" s="128"/>
      <c r="AOJ18" s="128"/>
      <c r="AOK18" s="128"/>
      <c r="AOL18" s="128"/>
      <c r="AOM18" s="128"/>
      <c r="AON18" s="128"/>
      <c r="AOO18" s="352" t="s">
        <v>2636</v>
      </c>
      <c r="AOP18" s="352"/>
      <c r="AOQ18" s="352"/>
      <c r="AOR18" s="352"/>
      <c r="AOS18" s="352"/>
      <c r="AOT18" s="352"/>
      <c r="AOU18" s="352"/>
      <c r="AOV18" s="352"/>
      <c r="AOW18" s="352"/>
      <c r="AOX18" s="352"/>
      <c r="AOY18" s="352"/>
      <c r="AOZ18" s="352"/>
      <c r="APA18" s="345" t="s">
        <v>2864</v>
      </c>
      <c r="APB18" s="345"/>
      <c r="APC18" s="352"/>
      <c r="APD18" s="352"/>
      <c r="APE18" s="352"/>
      <c r="APF18" s="352"/>
      <c r="APG18" s="352"/>
      <c r="APH18" s="352"/>
      <c r="API18" s="352"/>
      <c r="APJ18" s="352"/>
      <c r="APK18" s="8" t="s">
        <v>16</v>
      </c>
      <c r="APL18" s="352" t="s">
        <v>2864</v>
      </c>
      <c r="APM18" s="352"/>
      <c r="APN18" s="352"/>
      <c r="APO18" s="352"/>
      <c r="APP18" s="352"/>
      <c r="APQ18" s="352"/>
      <c r="APR18" s="352"/>
      <c r="APS18" s="345" t="s">
        <v>2866</v>
      </c>
      <c r="APT18" s="345"/>
      <c r="APU18" s="352"/>
      <c r="APV18" s="352"/>
      <c r="APW18" s="352"/>
      <c r="APX18" s="352"/>
      <c r="APY18" s="352"/>
      <c r="APZ18" s="352"/>
      <c r="AQA18" s="352"/>
      <c r="AQB18" s="352"/>
      <c r="AQC18" s="352"/>
      <c r="AQD18" s="352"/>
      <c r="AQE18" s="352"/>
      <c r="AQF18" s="352"/>
      <c r="AQG18" s="352"/>
      <c r="AQH18" s="352"/>
      <c r="AQI18" s="352"/>
      <c r="AQJ18" s="352"/>
      <c r="AQK18" s="352"/>
      <c r="AQL18" s="352"/>
      <c r="AQM18" s="352"/>
      <c r="AQN18" s="352"/>
      <c r="AQO18" s="352"/>
      <c r="AQP18" s="8" t="s">
        <v>16</v>
      </c>
      <c r="AQQ18" s="352" t="s">
        <v>2866</v>
      </c>
      <c r="AQR18" s="352"/>
      <c r="AQS18" s="352"/>
      <c r="AQT18" s="352"/>
      <c r="AQU18" s="352"/>
      <c r="AQV18" s="352"/>
      <c r="AQW18" s="352"/>
      <c r="AQX18" s="128"/>
      <c r="AQY18" s="128"/>
      <c r="AQZ18" s="128"/>
      <c r="ARA18" s="128"/>
      <c r="ARB18" s="128"/>
      <c r="ARC18" s="128"/>
      <c r="ARD18" s="128"/>
      <c r="ARE18" s="128"/>
      <c r="ARF18" s="128"/>
      <c r="ARG18" s="352" t="s">
        <v>2866</v>
      </c>
      <c r="ARH18" s="352"/>
      <c r="ARI18" s="352"/>
      <c r="ARJ18" s="352"/>
      <c r="ARK18" s="352"/>
      <c r="ARL18" s="352"/>
      <c r="ARM18" s="352"/>
      <c r="ARN18" s="352"/>
      <c r="ARO18" s="352"/>
      <c r="ARP18" s="352"/>
      <c r="ARQ18" s="352"/>
      <c r="ARR18" s="352"/>
      <c r="ARS18" s="352"/>
      <c r="ART18" s="352"/>
      <c r="ARU18" s="352"/>
      <c r="ARV18" s="8" t="s">
        <v>16</v>
      </c>
      <c r="ARW18" s="314"/>
      <c r="ARX18" s="314"/>
      <c r="ARY18" s="314"/>
      <c r="ARZ18" s="314"/>
      <c r="ASA18" s="314"/>
      <c r="ASB18" s="314"/>
      <c r="ASC18" s="314"/>
      <c r="ASD18" s="314"/>
      <c r="ASE18" s="314"/>
      <c r="ASF18" s="314"/>
      <c r="ASG18" s="314"/>
      <c r="ASH18" s="314"/>
      <c r="ASI18" s="314"/>
      <c r="ASJ18" s="314"/>
      <c r="ASK18" s="314"/>
      <c r="ASL18" s="314"/>
      <c r="ASM18" s="314"/>
      <c r="ASN18" s="314"/>
      <c r="ASO18" s="314"/>
      <c r="ASP18" s="314"/>
      <c r="ASQ18" s="314"/>
      <c r="ASR18" s="314"/>
      <c r="ASX18" s="337"/>
      <c r="ASY18" s="337"/>
      <c r="ASZ18" s="337"/>
      <c r="ATA18" s="337"/>
      <c r="ATB18" s="8" t="s">
        <v>16</v>
      </c>
      <c r="AUG18" s="8" t="s">
        <v>16</v>
      </c>
      <c r="AUL18" s="337"/>
      <c r="AUM18" s="337"/>
      <c r="AUN18" s="337"/>
      <c r="AUO18" s="337"/>
      <c r="AUP18" s="337"/>
      <c r="AUQ18" s="337"/>
      <c r="AUR18" s="337"/>
      <c r="AUS18" s="337"/>
      <c r="AUT18" s="337"/>
      <c r="AUU18" s="337"/>
      <c r="AUV18" s="337"/>
      <c r="AUW18" s="337"/>
      <c r="AUX18" s="337"/>
      <c r="AUY18" s="337"/>
      <c r="AUZ18" s="337"/>
      <c r="AVA18" s="337"/>
      <c r="AVB18" s="337"/>
      <c r="AVC18" s="337"/>
      <c r="AVD18" s="337"/>
      <c r="AVE18" s="337"/>
      <c r="AVF18" s="337"/>
      <c r="AVG18" s="337"/>
      <c r="AVH18" s="337"/>
      <c r="AVI18" s="337"/>
      <c r="AVJ18" s="337"/>
      <c r="AVK18" s="337"/>
      <c r="AVL18" s="337"/>
      <c r="AVM18" s="8" t="s">
        <v>16</v>
      </c>
      <c r="AWR18" s="8" t="s">
        <v>16</v>
      </c>
      <c r="AXX18" s="8" t="s">
        <v>16</v>
      </c>
    </row>
    <row r="19" spans="1:1324" s="135" customFormat="1" ht="28.5" customHeight="1" x14ac:dyDescent="0.4">
      <c r="A19" s="711"/>
      <c r="B19" s="7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47"/>
      <c r="AI19" s="132"/>
      <c r="AJ19" s="132"/>
      <c r="AK19" s="132"/>
      <c r="AL19" s="132"/>
      <c r="AM19" s="132"/>
      <c r="AN19" s="132"/>
      <c r="AO19" s="132"/>
      <c r="AP19" s="132"/>
      <c r="AQ19" s="750"/>
      <c r="AR19" s="751"/>
      <c r="AS19" s="751"/>
      <c r="AT19" s="751"/>
      <c r="AU19" s="751"/>
      <c r="AV19" s="751"/>
      <c r="AW19" s="751"/>
      <c r="AX19" s="751"/>
      <c r="AY19" s="751"/>
      <c r="AZ19" s="75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7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7"/>
      <c r="CT19" s="135">
        <v>1980</v>
      </c>
      <c r="CU19" s="135">
        <v>1980</v>
      </c>
      <c r="CV19" s="135">
        <v>1980</v>
      </c>
      <c r="CX19" s="135">
        <v>1980</v>
      </c>
      <c r="CY19" s="135">
        <v>1980</v>
      </c>
      <c r="CZ19" s="135">
        <v>1980</v>
      </c>
      <c r="DA19" s="135">
        <v>1980</v>
      </c>
      <c r="DB19" s="135">
        <v>1980</v>
      </c>
      <c r="DC19" s="135">
        <v>1980</v>
      </c>
      <c r="DE19" s="135">
        <v>1980</v>
      </c>
      <c r="DF19" s="135">
        <v>1980</v>
      </c>
      <c r="DG19" s="135">
        <v>1980</v>
      </c>
      <c r="DH19" s="135">
        <v>1980</v>
      </c>
      <c r="DI19" s="135">
        <v>1980</v>
      </c>
      <c r="DJ19" s="135">
        <v>1980</v>
      </c>
      <c r="DL19" s="135">
        <v>1980</v>
      </c>
      <c r="DM19" s="135">
        <v>1980</v>
      </c>
      <c r="DN19" s="135">
        <v>1980</v>
      </c>
      <c r="DO19" s="135">
        <v>1980</v>
      </c>
      <c r="DP19" s="135">
        <v>1980</v>
      </c>
      <c r="DQ19" s="135">
        <v>1845</v>
      </c>
      <c r="DS19" s="135">
        <v>1845</v>
      </c>
      <c r="DT19" s="135">
        <v>1845</v>
      </c>
      <c r="DU19" s="135">
        <v>1845</v>
      </c>
      <c r="DV19" s="135">
        <v>1845</v>
      </c>
      <c r="DW19" s="135">
        <v>1845</v>
      </c>
      <c r="DX19" s="135">
        <v>1845</v>
      </c>
      <c r="DY19" s="7"/>
      <c r="EA19" s="135">
        <v>1845</v>
      </c>
      <c r="EB19" s="135">
        <v>1845</v>
      </c>
      <c r="EC19" s="135">
        <v>1845</v>
      </c>
      <c r="ED19" s="135">
        <v>1845</v>
      </c>
      <c r="EE19" s="135">
        <v>1845</v>
      </c>
      <c r="EF19" s="135">
        <v>1845</v>
      </c>
      <c r="EH19" s="135">
        <v>1845</v>
      </c>
      <c r="EI19" s="135">
        <v>1845</v>
      </c>
      <c r="EJ19" s="135">
        <v>1845</v>
      </c>
      <c r="EK19" s="135">
        <v>1845</v>
      </c>
      <c r="EL19" s="135">
        <v>1845</v>
      </c>
      <c r="EM19" s="135">
        <v>1845</v>
      </c>
      <c r="EO19" s="135">
        <v>1845</v>
      </c>
      <c r="EP19" s="135">
        <v>1845</v>
      </c>
      <c r="EQ19" s="135">
        <v>1845</v>
      </c>
      <c r="ER19" s="135">
        <v>1845</v>
      </c>
      <c r="ES19" s="135">
        <v>1845</v>
      </c>
      <c r="ET19" s="135">
        <v>1845</v>
      </c>
      <c r="EV19" s="135">
        <v>1845</v>
      </c>
      <c r="EW19" s="135">
        <v>1845</v>
      </c>
      <c r="EX19" s="135">
        <v>1845</v>
      </c>
      <c r="EY19" s="135">
        <v>1845</v>
      </c>
      <c r="EZ19" s="135">
        <v>1845</v>
      </c>
      <c r="FA19" s="135">
        <v>1845</v>
      </c>
      <c r="FC19" s="135">
        <v>1845</v>
      </c>
      <c r="FD19" s="7"/>
      <c r="FE19" s="134">
        <v>1760</v>
      </c>
      <c r="FF19" s="134">
        <v>1760</v>
      </c>
      <c r="FG19" s="134">
        <v>1760</v>
      </c>
      <c r="FH19" s="134">
        <v>1760</v>
      </c>
      <c r="FI19" s="134">
        <v>1760</v>
      </c>
      <c r="FJ19" s="134"/>
      <c r="FK19" s="134">
        <v>1760</v>
      </c>
      <c r="FL19" s="134">
        <v>1760</v>
      </c>
      <c r="FM19" s="134">
        <v>1760</v>
      </c>
      <c r="FN19" s="134">
        <v>1760</v>
      </c>
      <c r="FO19" s="134">
        <v>1760</v>
      </c>
      <c r="FP19" s="134">
        <v>1760</v>
      </c>
      <c r="FQ19" s="134"/>
      <c r="FR19" s="134">
        <v>1760</v>
      </c>
      <c r="FS19" s="134">
        <v>1760</v>
      </c>
      <c r="FT19" s="134"/>
      <c r="FU19" s="134">
        <v>1760</v>
      </c>
      <c r="FV19" s="134">
        <v>1760</v>
      </c>
      <c r="FW19" s="134">
        <v>1760</v>
      </c>
      <c r="FX19" s="134"/>
      <c r="FY19" s="134">
        <v>1760</v>
      </c>
      <c r="FZ19" s="134">
        <v>1760</v>
      </c>
      <c r="GA19" s="134">
        <v>1760</v>
      </c>
      <c r="GB19" s="134">
        <v>1760</v>
      </c>
      <c r="GC19" s="134">
        <v>1760</v>
      </c>
      <c r="GD19" s="134">
        <v>1760</v>
      </c>
      <c r="GE19" s="134"/>
      <c r="GF19" s="134">
        <v>1760</v>
      </c>
      <c r="GG19" s="134">
        <v>1760</v>
      </c>
      <c r="GH19" s="134">
        <v>1760</v>
      </c>
      <c r="GI19" s="134">
        <v>1760</v>
      </c>
      <c r="GJ19" s="7"/>
      <c r="GK19" s="136">
        <v>1760</v>
      </c>
      <c r="GL19" s="136">
        <v>1760</v>
      </c>
      <c r="GM19" s="136"/>
      <c r="GN19" s="136">
        <v>1760</v>
      </c>
      <c r="GO19" s="136">
        <v>1760</v>
      </c>
      <c r="GP19" s="136">
        <v>1760</v>
      </c>
      <c r="GQ19" s="136">
        <v>1760</v>
      </c>
      <c r="GR19" s="136">
        <v>1760</v>
      </c>
      <c r="GS19" s="136">
        <v>1760</v>
      </c>
      <c r="GT19" s="136"/>
      <c r="GU19" s="136">
        <v>1760</v>
      </c>
      <c r="GV19" s="136">
        <v>1760</v>
      </c>
      <c r="GW19" s="136">
        <v>1760</v>
      </c>
      <c r="GX19" s="136">
        <v>1760</v>
      </c>
      <c r="GY19" s="136">
        <v>1760</v>
      </c>
      <c r="GZ19" s="136">
        <v>1760</v>
      </c>
      <c r="HA19" s="136"/>
      <c r="HB19" s="136">
        <v>800</v>
      </c>
      <c r="HC19" s="136">
        <v>1390</v>
      </c>
      <c r="HD19" s="136">
        <v>1500</v>
      </c>
      <c r="HE19" s="136">
        <v>1840</v>
      </c>
      <c r="HF19" s="136">
        <v>1840</v>
      </c>
      <c r="HG19" s="136">
        <v>1840</v>
      </c>
      <c r="HH19" s="136"/>
      <c r="HI19" s="136">
        <v>1840</v>
      </c>
      <c r="HJ19" s="136">
        <v>1840</v>
      </c>
      <c r="HK19" s="136">
        <v>1840</v>
      </c>
      <c r="HL19" s="136">
        <v>1840</v>
      </c>
      <c r="HM19" s="136">
        <v>1840</v>
      </c>
      <c r="HN19" s="136">
        <v>1840</v>
      </c>
      <c r="HP19" s="7"/>
      <c r="HQ19" s="136">
        <v>2585</v>
      </c>
      <c r="HR19" s="136">
        <v>2585</v>
      </c>
      <c r="HS19" s="137">
        <v>530</v>
      </c>
      <c r="HT19" s="136">
        <v>4590</v>
      </c>
      <c r="HU19" s="136">
        <v>2585</v>
      </c>
      <c r="HV19" s="137">
        <v>2585</v>
      </c>
      <c r="HW19" s="136"/>
      <c r="HX19" s="136">
        <v>800</v>
      </c>
      <c r="HY19" s="137">
        <v>1200</v>
      </c>
      <c r="HZ19" s="136">
        <v>1500</v>
      </c>
      <c r="IA19" s="136">
        <v>1800</v>
      </c>
      <c r="IB19" s="136">
        <v>2420</v>
      </c>
      <c r="IC19" s="136">
        <v>2420</v>
      </c>
      <c r="IE19" s="136">
        <v>2420</v>
      </c>
      <c r="IF19" s="136">
        <v>2420</v>
      </c>
      <c r="IG19" s="136">
        <v>2420</v>
      </c>
      <c r="IH19" s="136">
        <v>2420</v>
      </c>
      <c r="II19" s="136">
        <v>2420</v>
      </c>
      <c r="IJ19" s="137">
        <v>760</v>
      </c>
      <c r="IK19" s="136"/>
      <c r="IL19" s="136">
        <v>1400</v>
      </c>
      <c r="IM19" s="136">
        <v>2100</v>
      </c>
      <c r="IN19" s="136">
        <v>2640</v>
      </c>
      <c r="IO19" s="136">
        <v>2640</v>
      </c>
      <c r="IP19" s="136">
        <v>2640</v>
      </c>
      <c r="IQ19" s="136">
        <v>2640</v>
      </c>
      <c r="IR19" s="136"/>
      <c r="IS19" s="136">
        <v>2640</v>
      </c>
      <c r="IT19" s="7"/>
      <c r="IU19" s="129">
        <v>2640</v>
      </c>
      <c r="IV19" s="129">
        <v>2640</v>
      </c>
      <c r="IW19" s="129">
        <v>2640</v>
      </c>
      <c r="IX19" s="129">
        <v>2640</v>
      </c>
      <c r="IY19" s="129">
        <v>2640</v>
      </c>
      <c r="JA19" s="129">
        <v>2640</v>
      </c>
      <c r="JB19" s="129">
        <v>2640</v>
      </c>
      <c r="JC19" s="194">
        <v>1200</v>
      </c>
      <c r="JD19" s="129">
        <v>1500</v>
      </c>
      <c r="JE19" s="129">
        <v>2000</v>
      </c>
      <c r="JF19" s="129">
        <v>2640</v>
      </c>
      <c r="JG19" s="129"/>
      <c r="JH19" s="129">
        <v>2640</v>
      </c>
      <c r="JI19" s="129">
        <v>2640</v>
      </c>
      <c r="JJ19" s="129">
        <v>2640</v>
      </c>
      <c r="JK19" s="129">
        <v>2640</v>
      </c>
      <c r="JL19" s="129">
        <v>2640</v>
      </c>
      <c r="JM19" s="129">
        <v>2640</v>
      </c>
      <c r="JN19" s="129"/>
      <c r="JO19" s="129">
        <v>2640</v>
      </c>
      <c r="JP19" s="129">
        <v>2640</v>
      </c>
      <c r="JQ19" s="129">
        <v>2640</v>
      </c>
      <c r="JR19" s="129">
        <v>2640</v>
      </c>
      <c r="JS19" s="129">
        <v>2640</v>
      </c>
      <c r="JT19" s="129"/>
      <c r="JU19" s="129"/>
      <c r="JV19" s="194">
        <v>2640</v>
      </c>
      <c r="JW19" s="129">
        <v>600</v>
      </c>
      <c r="JX19" s="129">
        <v>1200</v>
      </c>
      <c r="JY19" s="129">
        <v>1800</v>
      </c>
      <c r="JZ19" s="7"/>
      <c r="KA19" s="129">
        <v>2530</v>
      </c>
      <c r="KB19" s="129">
        <v>2530</v>
      </c>
      <c r="KC19" s="129"/>
      <c r="KD19" s="129">
        <v>2530</v>
      </c>
      <c r="KE19" s="129">
        <v>2530</v>
      </c>
      <c r="KF19" s="129">
        <v>2530</v>
      </c>
      <c r="KG19" s="194">
        <v>2530</v>
      </c>
      <c r="KH19" s="129"/>
      <c r="KI19" s="129">
        <v>600</v>
      </c>
      <c r="KJ19" s="129">
        <v>1200</v>
      </c>
      <c r="KK19" s="129">
        <v>1800</v>
      </c>
      <c r="KL19" s="129">
        <v>2475</v>
      </c>
      <c r="KM19" s="129">
        <v>2475</v>
      </c>
      <c r="KN19" s="129"/>
      <c r="KO19" s="129">
        <v>2475</v>
      </c>
      <c r="KP19" s="129">
        <v>2475</v>
      </c>
      <c r="KQ19" s="129">
        <v>2475</v>
      </c>
      <c r="KR19" s="129">
        <v>2475</v>
      </c>
      <c r="KS19" s="129">
        <v>2475</v>
      </c>
      <c r="KT19" s="129">
        <v>2475</v>
      </c>
      <c r="KU19" s="129">
        <v>2475</v>
      </c>
      <c r="KV19" s="129">
        <v>2475</v>
      </c>
      <c r="KW19" s="129">
        <v>2475</v>
      </c>
      <c r="KX19" s="129"/>
      <c r="KY19" s="129">
        <v>2025</v>
      </c>
      <c r="KZ19" s="129">
        <v>2025</v>
      </c>
      <c r="LA19" s="129">
        <v>2025</v>
      </c>
      <c r="LB19" s="129">
        <v>2025</v>
      </c>
      <c r="LC19" s="129">
        <v>2025</v>
      </c>
      <c r="LD19" s="129">
        <v>2025</v>
      </c>
      <c r="LE19" s="7"/>
      <c r="LG19" s="129">
        <v>2025</v>
      </c>
      <c r="LH19" s="129">
        <v>2025</v>
      </c>
      <c r="LI19" s="129">
        <v>2025</v>
      </c>
      <c r="LJ19" s="129">
        <v>2025</v>
      </c>
      <c r="LK19" s="129">
        <v>2025</v>
      </c>
      <c r="LL19" s="129">
        <v>2025</v>
      </c>
      <c r="LM19" s="129">
        <v>2025</v>
      </c>
      <c r="LN19" s="129">
        <v>2025</v>
      </c>
      <c r="LO19" s="129">
        <v>2025</v>
      </c>
      <c r="LP19" s="129">
        <v>2025</v>
      </c>
      <c r="LQ19" s="129">
        <v>2025</v>
      </c>
      <c r="LR19" s="129">
        <v>2025</v>
      </c>
      <c r="LS19" s="129">
        <v>2025</v>
      </c>
      <c r="LT19" s="129"/>
      <c r="LU19" s="129">
        <v>2025</v>
      </c>
      <c r="LV19" s="129">
        <v>2025</v>
      </c>
      <c r="LW19" s="129">
        <v>2025</v>
      </c>
      <c r="LX19" s="194">
        <v>2025</v>
      </c>
      <c r="LY19" s="129">
        <v>500</v>
      </c>
      <c r="LZ19" s="756"/>
      <c r="MA19" s="757"/>
      <c r="MB19" s="757"/>
      <c r="MC19" s="757"/>
      <c r="MD19" s="757"/>
      <c r="ME19" s="757"/>
      <c r="MF19" s="757"/>
      <c r="MG19" s="757"/>
      <c r="MH19" s="757"/>
      <c r="MI19" s="758"/>
      <c r="MJ19" s="129">
        <v>1000</v>
      </c>
      <c r="MK19" s="7"/>
      <c r="ML19" s="336">
        <v>1500</v>
      </c>
      <c r="MM19" s="336">
        <v>2100</v>
      </c>
      <c r="MN19" s="336">
        <v>2100</v>
      </c>
      <c r="MO19" s="336">
        <v>2100</v>
      </c>
      <c r="MP19" s="336"/>
      <c r="MQ19" s="336">
        <v>2100</v>
      </c>
      <c r="MR19" s="336">
        <v>2100</v>
      </c>
      <c r="MS19" s="336">
        <v>2100</v>
      </c>
      <c r="MT19" s="336">
        <v>2100</v>
      </c>
      <c r="MU19" s="336">
        <v>2100</v>
      </c>
      <c r="MV19" s="336">
        <v>2100</v>
      </c>
      <c r="MW19" s="336"/>
      <c r="MX19" s="336">
        <v>2100</v>
      </c>
      <c r="MY19" s="336">
        <v>2100</v>
      </c>
      <c r="MZ19" s="336">
        <v>2100</v>
      </c>
      <c r="NA19" s="336">
        <v>2100</v>
      </c>
      <c r="NB19" s="336">
        <v>2100</v>
      </c>
      <c r="NC19" s="336">
        <v>2100</v>
      </c>
      <c r="ND19" s="336"/>
      <c r="NE19" s="336">
        <v>2100</v>
      </c>
      <c r="NF19" s="336">
        <v>2100</v>
      </c>
      <c r="NG19" s="336">
        <v>2100</v>
      </c>
      <c r="NH19" s="336">
        <v>2100</v>
      </c>
      <c r="NI19" s="336">
        <v>2100</v>
      </c>
      <c r="NJ19" s="336">
        <v>2100</v>
      </c>
      <c r="NK19" s="336">
        <v>2100</v>
      </c>
      <c r="NL19" s="336">
        <v>2100</v>
      </c>
      <c r="NM19" s="336">
        <v>2100</v>
      </c>
      <c r="NN19" s="336">
        <v>2100</v>
      </c>
      <c r="NO19" s="336">
        <v>2100</v>
      </c>
      <c r="NP19" s="7"/>
      <c r="NQ19" s="346"/>
      <c r="NR19" s="346"/>
      <c r="NS19" s="346"/>
      <c r="NT19" s="346"/>
      <c r="NU19" s="346"/>
      <c r="NV19" s="346"/>
      <c r="NW19" s="346"/>
      <c r="NX19" s="346"/>
      <c r="NY19" s="346"/>
      <c r="NZ19" s="346"/>
      <c r="OA19" s="346"/>
      <c r="OB19" s="346"/>
      <c r="OC19" s="346"/>
      <c r="OD19" s="346"/>
      <c r="OE19" s="346"/>
      <c r="OF19" s="346"/>
      <c r="OG19" s="347"/>
      <c r="OH19" s="346"/>
      <c r="OI19" s="346"/>
      <c r="OJ19" s="346"/>
      <c r="OK19" s="346"/>
      <c r="OL19" s="346"/>
      <c r="OM19" s="346"/>
      <c r="ON19" s="346"/>
      <c r="OO19" s="346"/>
      <c r="OP19" s="346"/>
      <c r="OQ19" s="346"/>
      <c r="OR19" s="346"/>
      <c r="OS19" s="762"/>
      <c r="OT19" s="763"/>
      <c r="OU19" s="764"/>
      <c r="OV19" s="7"/>
      <c r="OW19" s="770"/>
      <c r="OX19" s="763"/>
      <c r="OY19" s="763"/>
      <c r="OZ19" s="763"/>
      <c r="PA19" s="763"/>
      <c r="PB19" s="763"/>
      <c r="PC19" s="771"/>
      <c r="PD19" s="353"/>
      <c r="PE19" s="353"/>
      <c r="PF19" s="353"/>
      <c r="PG19" s="353"/>
      <c r="PH19" s="353"/>
      <c r="PI19" s="353"/>
      <c r="PJ19" s="353"/>
      <c r="PK19" s="353"/>
      <c r="PL19" s="353"/>
      <c r="PM19" s="353"/>
      <c r="PN19" s="353"/>
      <c r="PO19" s="353"/>
      <c r="PP19" s="353"/>
      <c r="PQ19" s="353"/>
      <c r="PR19" s="353"/>
      <c r="PS19" s="353"/>
      <c r="PT19" s="353"/>
      <c r="PU19" s="353"/>
      <c r="PV19" s="353"/>
      <c r="PW19" s="353"/>
      <c r="PX19" s="353"/>
      <c r="PY19" s="353"/>
      <c r="PZ19" s="353"/>
      <c r="QA19" s="353"/>
      <c r="QB19" s="7"/>
      <c r="QC19" s="359"/>
      <c r="QD19" s="359"/>
      <c r="QE19" s="359"/>
      <c r="QF19" s="359"/>
      <c r="QG19" s="359"/>
      <c r="QH19" s="359"/>
      <c r="QI19" s="359"/>
      <c r="QJ19" s="359"/>
      <c r="QK19" s="359"/>
      <c r="QL19" s="359"/>
      <c r="QM19" s="359"/>
      <c r="QN19" s="359"/>
      <c r="QO19" s="359"/>
      <c r="QP19" s="359"/>
      <c r="QQ19" s="359"/>
      <c r="QR19" s="359"/>
      <c r="QS19" s="359"/>
      <c r="QT19" s="359"/>
      <c r="QU19" s="359"/>
      <c r="QV19" s="359"/>
      <c r="QW19" s="359"/>
      <c r="QX19" s="359"/>
      <c r="QY19" s="359"/>
      <c r="QZ19" s="359"/>
      <c r="RA19" s="359"/>
      <c r="RB19" s="359"/>
      <c r="RC19" s="359"/>
      <c r="RD19" s="359"/>
      <c r="RE19" s="359"/>
      <c r="RF19" s="359"/>
      <c r="RG19" s="7"/>
      <c r="RH19" s="439"/>
      <c r="RI19" s="439"/>
      <c r="RJ19" s="439"/>
      <c r="RK19" s="439"/>
      <c r="RL19" s="439"/>
      <c r="RM19" s="439"/>
      <c r="RN19" s="439"/>
      <c r="RO19" s="439"/>
      <c r="RP19" s="439"/>
      <c r="RQ19" s="439"/>
      <c r="RR19" s="439"/>
      <c r="RS19" s="439"/>
      <c r="RT19" s="439"/>
      <c r="RU19" s="439"/>
      <c r="RV19" s="439"/>
      <c r="RW19" s="439"/>
      <c r="RX19" s="439"/>
      <c r="RY19" s="439"/>
      <c r="RZ19" s="439"/>
      <c r="SA19" s="439"/>
      <c r="SB19" s="439"/>
      <c r="SC19" s="439"/>
      <c r="SD19" s="439"/>
      <c r="SE19" s="439"/>
      <c r="SF19" s="439"/>
      <c r="SG19" s="439"/>
      <c r="SH19" s="439"/>
      <c r="SI19" s="439"/>
      <c r="SJ19" s="439"/>
      <c r="SK19" s="439"/>
      <c r="SL19" s="439"/>
      <c r="SM19" s="7"/>
      <c r="SN19" s="439"/>
      <c r="SO19" s="439"/>
      <c r="SP19" s="439"/>
      <c r="SQ19" s="439"/>
      <c r="SR19" s="439"/>
      <c r="SS19" s="439"/>
      <c r="ST19" s="439"/>
      <c r="SU19" s="439"/>
      <c r="SV19" s="439"/>
      <c r="SW19" s="439"/>
      <c r="SX19" s="439"/>
      <c r="SY19" s="439"/>
      <c r="SZ19" s="439"/>
      <c r="TA19" s="439"/>
      <c r="TB19" s="439"/>
      <c r="TC19" s="439"/>
      <c r="TD19" s="439"/>
      <c r="TE19" s="439"/>
      <c r="TF19" s="439"/>
      <c r="TG19" s="439"/>
      <c r="TH19" s="439"/>
      <c r="TI19" s="439"/>
      <c r="TJ19" s="439"/>
      <c r="TK19" s="439"/>
      <c r="TL19" s="439"/>
      <c r="TM19" s="439"/>
      <c r="TN19" s="439"/>
      <c r="TO19" s="439"/>
      <c r="TP19" s="439"/>
      <c r="TQ19" s="439"/>
      <c r="TR19" s="7"/>
      <c r="TS19" s="439"/>
      <c r="TT19" s="439"/>
      <c r="TU19" s="439"/>
      <c r="TV19" s="439"/>
      <c r="TW19" s="439"/>
      <c r="TX19" s="439"/>
      <c r="TY19" s="439"/>
      <c r="TZ19" s="439"/>
      <c r="UA19" s="439"/>
      <c r="UB19" s="439"/>
      <c r="UC19" s="439"/>
      <c r="UD19" s="439"/>
      <c r="UE19" s="439"/>
      <c r="UF19" s="439"/>
      <c r="UG19" s="439"/>
      <c r="UH19" s="439"/>
      <c r="UI19" s="447"/>
      <c r="UJ19" s="447"/>
      <c r="UK19" s="447"/>
      <c r="UL19" s="447"/>
      <c r="UM19" s="447"/>
      <c r="UN19" s="447"/>
      <c r="UO19" s="447"/>
      <c r="UP19" s="447"/>
      <c r="UQ19" s="447"/>
      <c r="UR19" s="447"/>
      <c r="US19" s="447"/>
      <c r="UT19" s="447"/>
      <c r="UU19" s="447"/>
      <c r="UV19" s="447"/>
      <c r="UW19" s="447"/>
      <c r="UX19" s="7"/>
      <c r="UY19" s="447"/>
      <c r="UZ19" s="447"/>
      <c r="VA19" s="447"/>
      <c r="VB19" s="447"/>
      <c r="VC19" s="447"/>
      <c r="VD19" s="447"/>
      <c r="VE19" s="447"/>
      <c r="VF19" s="447"/>
      <c r="VG19" s="447"/>
      <c r="VH19" s="447"/>
      <c r="VI19" s="447"/>
      <c r="VJ19" s="447"/>
      <c r="VK19" s="447"/>
      <c r="VL19" s="447"/>
      <c r="VM19" s="447"/>
      <c r="VN19" s="447"/>
      <c r="VO19" s="447"/>
      <c r="VP19" s="447"/>
      <c r="VQ19" s="447"/>
      <c r="VR19" s="447"/>
      <c r="VS19" s="447"/>
      <c r="VT19" s="447"/>
      <c r="WD19" s="7"/>
      <c r="WF19" s="364"/>
      <c r="WG19" s="364"/>
      <c r="WH19" s="364"/>
      <c r="WI19" s="364"/>
      <c r="WJ19" s="364"/>
      <c r="WK19" s="364"/>
      <c r="WL19" s="364"/>
      <c r="WM19" s="364"/>
      <c r="WN19" s="364"/>
      <c r="WO19" s="364"/>
      <c r="WP19" s="364"/>
      <c r="WQ19" s="364"/>
      <c r="WR19" s="364"/>
      <c r="WS19" s="364"/>
      <c r="WT19" s="364"/>
      <c r="WU19" s="364"/>
      <c r="WV19" s="364"/>
      <c r="WW19" s="364"/>
      <c r="WX19" s="364"/>
      <c r="WY19" s="364"/>
      <c r="XG19" s="7"/>
      <c r="YM19" s="7"/>
      <c r="YQ19" s="364"/>
      <c r="YR19" s="364"/>
      <c r="YS19" s="364"/>
      <c r="YT19" s="364"/>
      <c r="YU19" s="364"/>
      <c r="YV19" s="364"/>
      <c r="YW19" s="364"/>
      <c r="YX19" s="364"/>
      <c r="YY19" s="364"/>
      <c r="YZ19" s="364"/>
      <c r="ZF19" s="314">
        <v>700</v>
      </c>
      <c r="ZG19" s="314">
        <v>1400</v>
      </c>
      <c r="ZH19" s="136">
        <v>1700</v>
      </c>
      <c r="ZI19" s="136">
        <v>2700</v>
      </c>
      <c r="ZJ19" s="136">
        <v>2700</v>
      </c>
      <c r="ZK19" s="136">
        <v>2700</v>
      </c>
      <c r="ZL19" s="136"/>
      <c r="ZM19" s="136">
        <v>2700</v>
      </c>
      <c r="ZN19" s="136">
        <v>2700</v>
      </c>
      <c r="ZO19" s="314">
        <v>2700</v>
      </c>
      <c r="ZP19" s="365">
        <v>2700</v>
      </c>
      <c r="ZQ19" s="364"/>
      <c r="ZR19" s="7"/>
      <c r="AAX19" s="7"/>
      <c r="ACC19" s="7"/>
      <c r="ACL19" s="337"/>
      <c r="ACM19" s="609">
        <v>3043916</v>
      </c>
      <c r="ACN19" s="610">
        <v>13746.600000000002</v>
      </c>
      <c r="ACO19" s="610">
        <v>221.43046280534818</v>
      </c>
      <c r="ACV19" s="704"/>
      <c r="ACW19" s="705"/>
      <c r="ACX19" s="705"/>
      <c r="ACY19" s="705"/>
      <c r="ACZ19" s="705"/>
      <c r="ADA19" s="705"/>
      <c r="ADB19" s="705"/>
      <c r="ADC19" s="705"/>
      <c r="ADD19" s="706"/>
      <c r="ADI19" s="7"/>
      <c r="ADJ19" s="314">
        <v>8</v>
      </c>
      <c r="ADK19" s="314">
        <v>11</v>
      </c>
      <c r="ADL19" s="314">
        <v>11</v>
      </c>
      <c r="ADM19" s="314">
        <v>11</v>
      </c>
      <c r="ADN19" s="314">
        <v>8</v>
      </c>
      <c r="ADO19" s="314"/>
      <c r="ADP19" s="314">
        <v>11</v>
      </c>
      <c r="ADQ19" s="314">
        <v>11</v>
      </c>
      <c r="ADR19" s="314">
        <v>11</v>
      </c>
      <c r="ADS19" s="314">
        <v>11</v>
      </c>
      <c r="ADT19" s="314">
        <v>11</v>
      </c>
      <c r="ADU19" s="314">
        <v>11</v>
      </c>
      <c r="ADV19" s="314"/>
      <c r="ADW19" s="314">
        <v>11</v>
      </c>
      <c r="ADX19" s="314"/>
      <c r="ADY19" s="314">
        <v>11</v>
      </c>
      <c r="ADZ19" s="314">
        <v>11</v>
      </c>
      <c r="AEA19" s="314">
        <v>11</v>
      </c>
      <c r="AEB19" s="314">
        <v>8</v>
      </c>
      <c r="AEC19" s="314"/>
      <c r="AED19" s="314">
        <v>11</v>
      </c>
      <c r="AEE19" s="314">
        <v>11</v>
      </c>
      <c r="AEF19" s="314">
        <v>11</v>
      </c>
      <c r="AEG19" s="314">
        <v>11</v>
      </c>
      <c r="AEH19" s="314">
        <v>11</v>
      </c>
      <c r="AEI19" s="314">
        <v>11</v>
      </c>
      <c r="AEJ19" s="314"/>
      <c r="AEK19" s="314">
        <v>11</v>
      </c>
      <c r="AEL19" s="314">
        <v>11</v>
      </c>
      <c r="AEM19" s="314">
        <v>11</v>
      </c>
      <c r="AEN19" s="314">
        <v>11</v>
      </c>
      <c r="AEO19" s="7"/>
      <c r="AEP19" s="314">
        <v>11</v>
      </c>
      <c r="AEQ19" s="314">
        <v>11</v>
      </c>
      <c r="AER19" s="314"/>
      <c r="AES19" s="314">
        <v>11</v>
      </c>
      <c r="AET19" s="314">
        <v>11</v>
      </c>
      <c r="AEU19" s="314">
        <v>11</v>
      </c>
      <c r="AEV19" s="314">
        <v>11</v>
      </c>
      <c r="AEW19" s="314">
        <v>11</v>
      </c>
      <c r="AEX19" s="314">
        <v>11</v>
      </c>
      <c r="AEY19" s="314"/>
      <c r="AEZ19" s="314">
        <v>11</v>
      </c>
      <c r="AFA19" s="314">
        <v>2600</v>
      </c>
      <c r="AFB19" s="314">
        <v>2600</v>
      </c>
      <c r="AFC19" s="314">
        <v>2600</v>
      </c>
      <c r="AFD19" s="314">
        <v>2600</v>
      </c>
      <c r="AFE19" s="314">
        <v>2600</v>
      </c>
      <c r="AFG19" s="314">
        <v>2600</v>
      </c>
      <c r="AFH19" s="314">
        <v>2600</v>
      </c>
      <c r="AFI19" s="124">
        <v>2600</v>
      </c>
      <c r="AFJ19" s="124">
        <v>2600</v>
      </c>
      <c r="AFK19" s="124">
        <v>2600</v>
      </c>
      <c r="AFL19" s="124">
        <v>2600</v>
      </c>
      <c r="AFM19" s="125"/>
      <c r="AFN19" s="636">
        <v>2500</v>
      </c>
      <c r="AFO19" s="314">
        <v>2250</v>
      </c>
      <c r="AFP19" s="314">
        <v>2250</v>
      </c>
      <c r="AFQ19" s="314">
        <v>2250</v>
      </c>
      <c r="AFR19" s="314">
        <v>2250</v>
      </c>
      <c r="AFS19" s="314">
        <v>2250</v>
      </c>
      <c r="AFT19" s="7"/>
      <c r="AFU19" s="314"/>
      <c r="AFV19" s="314">
        <v>2250</v>
      </c>
      <c r="AFW19" s="314">
        <v>2250</v>
      </c>
      <c r="AFX19" s="314">
        <v>2250</v>
      </c>
      <c r="AFY19" s="314">
        <v>2250</v>
      </c>
      <c r="AFZ19" s="314">
        <v>2250</v>
      </c>
      <c r="AGA19" s="314">
        <v>2250</v>
      </c>
      <c r="AGB19" s="314"/>
      <c r="AGC19" s="314">
        <v>2250</v>
      </c>
      <c r="AGD19" s="314">
        <v>2250</v>
      </c>
      <c r="AGE19" s="314">
        <v>2250</v>
      </c>
      <c r="AGF19" s="314">
        <v>2250</v>
      </c>
      <c r="AGG19" s="314">
        <v>2250</v>
      </c>
      <c r="AGH19" s="314">
        <v>2250</v>
      </c>
      <c r="AGI19" s="314"/>
      <c r="AGJ19" s="314">
        <v>2250</v>
      </c>
      <c r="AGK19" s="314">
        <v>2250</v>
      </c>
      <c r="AGL19" s="314">
        <v>2250</v>
      </c>
      <c r="AGM19" s="314">
        <v>2250</v>
      </c>
      <c r="AGN19" s="314">
        <v>2250</v>
      </c>
      <c r="AGO19" s="314">
        <v>2250</v>
      </c>
      <c r="AGP19" s="314"/>
      <c r="AGQ19" s="314">
        <v>2250</v>
      </c>
      <c r="AGR19" s="314">
        <v>2250</v>
      </c>
      <c r="AGS19" s="314">
        <v>2250</v>
      </c>
      <c r="AGT19" s="314">
        <v>2250</v>
      </c>
      <c r="AGU19" s="314">
        <v>2250</v>
      </c>
      <c r="AGV19" s="314">
        <v>2250</v>
      </c>
      <c r="AGW19" s="364"/>
      <c r="AGX19" s="314">
        <v>2250</v>
      </c>
      <c r="AGY19" s="314">
        <v>2250</v>
      </c>
      <c r="AGZ19" s="7"/>
      <c r="AHA19" s="314">
        <v>2500</v>
      </c>
      <c r="AHB19" s="314">
        <v>2500</v>
      </c>
      <c r="AHC19" s="314">
        <v>2500</v>
      </c>
      <c r="AHD19" s="314">
        <v>2500</v>
      </c>
      <c r="AHE19" s="314"/>
      <c r="AHF19" s="314">
        <v>2500</v>
      </c>
      <c r="AHG19" s="314">
        <v>2500</v>
      </c>
      <c r="AHH19" s="314">
        <v>2500</v>
      </c>
      <c r="AHI19" s="314">
        <v>2500</v>
      </c>
      <c r="AHJ19" s="314">
        <v>2500</v>
      </c>
      <c r="AHK19" s="314">
        <v>2500</v>
      </c>
      <c r="AHL19" s="314"/>
      <c r="AHM19" s="314">
        <v>2500</v>
      </c>
      <c r="AHN19" s="314">
        <v>2500</v>
      </c>
      <c r="AHO19" s="314">
        <v>2500</v>
      </c>
      <c r="AHP19" s="314">
        <v>2500</v>
      </c>
      <c r="AHQ19" s="314">
        <v>2500</v>
      </c>
      <c r="AHR19" s="314">
        <v>2500</v>
      </c>
      <c r="AHS19" s="314"/>
      <c r="AHT19" s="314">
        <v>2500</v>
      </c>
      <c r="AHU19" s="314">
        <v>2500</v>
      </c>
      <c r="AHV19" s="314">
        <v>2500</v>
      </c>
      <c r="AHW19" s="314">
        <v>2500</v>
      </c>
      <c r="AHX19" s="314">
        <v>2500</v>
      </c>
      <c r="AHY19" s="124">
        <v>2500</v>
      </c>
      <c r="AHZ19" s="314"/>
      <c r="AIA19" s="314">
        <v>2500</v>
      </c>
      <c r="AIB19" s="314">
        <v>2500</v>
      </c>
      <c r="AIC19" s="314">
        <v>2500</v>
      </c>
      <c r="AID19" s="314">
        <v>2500</v>
      </c>
      <c r="AIE19" s="314"/>
      <c r="AIF19" s="314">
        <v>2500</v>
      </c>
      <c r="AIG19" s="314">
        <v>2500</v>
      </c>
      <c r="AIH19" s="314"/>
      <c r="AII19" s="314">
        <v>2500</v>
      </c>
      <c r="AIJ19" s="314">
        <v>2500</v>
      </c>
      <c r="AIK19" s="314">
        <v>2500</v>
      </c>
      <c r="AIL19" s="314">
        <v>2500</v>
      </c>
      <c r="AIM19" s="314">
        <v>2500</v>
      </c>
      <c r="AIN19" s="314">
        <v>2500</v>
      </c>
      <c r="AIO19" s="314"/>
      <c r="AIP19" s="314">
        <v>2500</v>
      </c>
      <c r="AIQ19" s="314">
        <v>2500</v>
      </c>
      <c r="AIR19" s="314">
        <v>2500</v>
      </c>
      <c r="AIS19" s="314">
        <v>2500</v>
      </c>
      <c r="AIT19" s="314">
        <v>2500</v>
      </c>
      <c r="AIU19" s="364"/>
      <c r="AIV19" s="364"/>
      <c r="AIW19" s="314">
        <v>2500</v>
      </c>
      <c r="AIX19" s="314">
        <v>2500</v>
      </c>
      <c r="AIY19" s="314">
        <v>2500</v>
      </c>
      <c r="AIZ19" s="314">
        <v>2500</v>
      </c>
      <c r="AJA19" s="314">
        <v>2500</v>
      </c>
      <c r="AJB19" s="314">
        <v>2500</v>
      </c>
      <c r="AJC19" s="314"/>
      <c r="AJD19" s="314">
        <v>2500</v>
      </c>
      <c r="AJE19" s="314">
        <v>2500</v>
      </c>
      <c r="AJF19" s="314">
        <v>2500</v>
      </c>
      <c r="AJG19" s="314">
        <v>2500</v>
      </c>
      <c r="AJH19" s="314">
        <v>2500</v>
      </c>
      <c r="AJI19" s="314">
        <v>2500</v>
      </c>
      <c r="AJJ19" s="314"/>
      <c r="AJK19" s="314"/>
      <c r="AJL19" s="314">
        <v>2250</v>
      </c>
      <c r="AJM19" s="314">
        <v>2250</v>
      </c>
      <c r="AJN19" s="314">
        <v>2250</v>
      </c>
      <c r="AJO19" s="314">
        <v>2250</v>
      </c>
      <c r="AJP19" s="314">
        <v>2250</v>
      </c>
      <c r="AJQ19" s="314">
        <v>2250</v>
      </c>
      <c r="AJR19" s="314"/>
      <c r="AJS19" s="314">
        <v>2250</v>
      </c>
      <c r="AJT19" s="314">
        <v>2250</v>
      </c>
      <c r="AJU19" s="314">
        <v>2250</v>
      </c>
      <c r="AJV19" s="314">
        <v>2250</v>
      </c>
      <c r="AJW19" s="314">
        <v>2250</v>
      </c>
      <c r="AJX19" s="314">
        <v>2250</v>
      </c>
      <c r="AJY19" s="314"/>
      <c r="AJZ19" s="314">
        <v>2250</v>
      </c>
      <c r="AKA19" s="314">
        <v>2250</v>
      </c>
      <c r="AKB19" s="314">
        <v>2250</v>
      </c>
      <c r="AKC19" s="314">
        <v>2250</v>
      </c>
      <c r="AKD19" s="314">
        <v>2250</v>
      </c>
      <c r="AKE19" s="314">
        <v>2250</v>
      </c>
      <c r="AKF19" s="314"/>
      <c r="AKG19" s="314">
        <v>2250</v>
      </c>
      <c r="AKH19" s="314">
        <v>2250</v>
      </c>
      <c r="AKI19" s="314">
        <v>2250</v>
      </c>
      <c r="AKJ19" s="314">
        <v>2250</v>
      </c>
      <c r="AKK19" s="314">
        <v>2250</v>
      </c>
      <c r="AKL19" s="314">
        <v>2250</v>
      </c>
      <c r="AKM19" s="314"/>
      <c r="AKN19" s="314">
        <v>2250</v>
      </c>
      <c r="AKO19" s="314">
        <v>2250</v>
      </c>
      <c r="AKP19" s="314">
        <v>2250</v>
      </c>
      <c r="AKQ19" s="7"/>
      <c r="AKR19" s="314">
        <v>2250</v>
      </c>
      <c r="AKS19" s="314">
        <v>2250</v>
      </c>
      <c r="AKT19" s="314">
        <v>2250</v>
      </c>
      <c r="AKU19" s="314"/>
      <c r="AKV19" s="314">
        <v>2250</v>
      </c>
      <c r="AKW19" s="314">
        <v>2250</v>
      </c>
      <c r="AKX19" s="314">
        <v>2250</v>
      </c>
      <c r="AKY19" s="314">
        <v>2250</v>
      </c>
      <c r="AKZ19" s="314">
        <v>2250</v>
      </c>
      <c r="ALA19" s="314">
        <v>2250</v>
      </c>
      <c r="ALB19" s="364"/>
      <c r="ALC19" s="124">
        <v>2250</v>
      </c>
      <c r="ALD19" s="314">
        <v>2300</v>
      </c>
      <c r="ALE19" s="314">
        <v>2300</v>
      </c>
      <c r="ALF19" s="314">
        <v>2300</v>
      </c>
      <c r="ALG19" s="314">
        <v>2300</v>
      </c>
      <c r="ALH19" s="314">
        <v>2300</v>
      </c>
      <c r="ALI19" s="314"/>
      <c r="ALJ19" s="314">
        <v>2300</v>
      </c>
      <c r="ALK19" s="314">
        <v>2300</v>
      </c>
      <c r="ALL19" s="314"/>
      <c r="ALM19" s="314">
        <v>2300</v>
      </c>
      <c r="ALN19" s="314">
        <v>2300</v>
      </c>
      <c r="ALO19" s="314">
        <v>2300</v>
      </c>
      <c r="ALP19" s="314"/>
      <c r="ALQ19" s="314">
        <v>2300</v>
      </c>
      <c r="ALR19" s="314">
        <v>2300</v>
      </c>
      <c r="ALS19" s="314">
        <v>2300</v>
      </c>
      <c r="ALT19" s="7"/>
      <c r="ALU19" s="314">
        <v>2300</v>
      </c>
      <c r="ALV19" s="314">
        <v>2300</v>
      </c>
      <c r="ALW19" s="314">
        <v>2300</v>
      </c>
      <c r="ALX19" s="314"/>
      <c r="ALY19" s="314">
        <v>2300</v>
      </c>
      <c r="ALZ19" s="314">
        <v>2300</v>
      </c>
      <c r="AMA19" s="314">
        <v>2300</v>
      </c>
      <c r="AMB19" s="314">
        <v>2300</v>
      </c>
      <c r="AMC19" s="314">
        <v>2300</v>
      </c>
      <c r="AMD19" s="314">
        <v>2300</v>
      </c>
      <c r="AME19" s="314"/>
      <c r="AMF19" s="314">
        <v>2300</v>
      </c>
      <c r="AMG19" s="314">
        <v>2300</v>
      </c>
      <c r="AMH19" s="314">
        <v>2300</v>
      </c>
      <c r="AMI19" s="314">
        <v>2300</v>
      </c>
      <c r="AMJ19" s="314">
        <v>2300</v>
      </c>
      <c r="AMK19" s="314">
        <v>2300</v>
      </c>
      <c r="AML19" s="314"/>
      <c r="AMM19" s="314">
        <v>2300</v>
      </c>
      <c r="AMN19" s="314">
        <v>2300</v>
      </c>
      <c r="AMO19" s="314">
        <v>2300</v>
      </c>
      <c r="AMP19" s="314">
        <v>2300</v>
      </c>
      <c r="AMQ19" s="314">
        <v>2300</v>
      </c>
      <c r="AMR19" s="314">
        <v>2300</v>
      </c>
      <c r="AMS19" s="314"/>
      <c r="AMT19" s="314"/>
      <c r="AMU19" s="314">
        <v>2300</v>
      </c>
      <c r="AMV19" s="314">
        <v>2300</v>
      </c>
      <c r="AMW19" s="314">
        <v>2300</v>
      </c>
      <c r="AMX19" s="314">
        <v>2300</v>
      </c>
      <c r="AMY19" s="314">
        <v>2300</v>
      </c>
      <c r="AMZ19" s="7"/>
      <c r="ANA19" s="364"/>
      <c r="ANB19" s="314">
        <v>1840</v>
      </c>
      <c r="ANC19" s="314">
        <v>1840</v>
      </c>
      <c r="AND19" s="314">
        <v>1840</v>
      </c>
      <c r="ANE19" s="314">
        <v>1840</v>
      </c>
      <c r="ANF19" s="314">
        <v>1840</v>
      </c>
      <c r="ANG19" s="314">
        <v>1840</v>
      </c>
      <c r="ANH19" s="314">
        <v>1840</v>
      </c>
      <c r="ANI19" s="314">
        <v>1840</v>
      </c>
      <c r="ANJ19" s="314">
        <v>1840</v>
      </c>
      <c r="ANK19" s="314">
        <v>1840</v>
      </c>
      <c r="ANL19" s="314">
        <v>1840</v>
      </c>
      <c r="ANM19" s="314">
        <v>1840</v>
      </c>
      <c r="ANN19" s="314"/>
      <c r="ANO19" s="314"/>
      <c r="ANP19" s="314">
        <v>1840</v>
      </c>
      <c r="ANQ19" s="314">
        <v>1840</v>
      </c>
      <c r="ANR19" s="124">
        <v>1840</v>
      </c>
      <c r="ANS19" s="314">
        <v>1840</v>
      </c>
      <c r="ANT19" s="314">
        <v>1840</v>
      </c>
      <c r="ANU19" s="314">
        <v>1840</v>
      </c>
      <c r="ANV19" s="314">
        <v>1840</v>
      </c>
      <c r="ANW19" s="314">
        <v>1840</v>
      </c>
      <c r="ANX19" s="314">
        <v>1840</v>
      </c>
      <c r="ANY19" s="314">
        <v>1840</v>
      </c>
      <c r="ANZ19" s="314">
        <v>1840</v>
      </c>
      <c r="AOA19" s="314">
        <v>1840</v>
      </c>
      <c r="AOB19" s="314">
        <v>1840</v>
      </c>
      <c r="AOC19" s="314"/>
      <c r="AOD19" s="314">
        <v>1840</v>
      </c>
      <c r="AOE19" s="7"/>
      <c r="AOF19" s="128"/>
      <c r="AOG19" s="128"/>
      <c r="AOH19" s="128"/>
      <c r="AOI19" s="128"/>
      <c r="AOJ19" s="128"/>
      <c r="AOK19" s="128"/>
      <c r="AOL19" s="128"/>
      <c r="AOM19" s="128"/>
      <c r="AON19" s="128"/>
      <c r="AOO19" s="314">
        <v>2300</v>
      </c>
      <c r="AOP19" s="314">
        <v>2300</v>
      </c>
      <c r="AOQ19" s="314">
        <v>2300</v>
      </c>
      <c r="AOR19" s="314"/>
      <c r="AOS19" s="314">
        <v>2300</v>
      </c>
      <c r="AOT19" s="314">
        <v>2300</v>
      </c>
      <c r="AOU19" s="314">
        <v>2300</v>
      </c>
      <c r="AOV19" s="314">
        <v>2300</v>
      </c>
      <c r="AOW19" s="314">
        <v>2300</v>
      </c>
      <c r="AOX19" s="314">
        <v>2300</v>
      </c>
      <c r="AOY19" s="314"/>
      <c r="AOZ19" s="314">
        <v>2300</v>
      </c>
      <c r="APA19" s="314">
        <v>2300</v>
      </c>
      <c r="APB19" s="124">
        <v>2300</v>
      </c>
      <c r="APC19" s="314">
        <v>2300</v>
      </c>
      <c r="APD19" s="314">
        <v>2300</v>
      </c>
      <c r="APE19" s="314">
        <v>2300</v>
      </c>
      <c r="APF19" s="314"/>
      <c r="APG19" s="314">
        <v>2300</v>
      </c>
      <c r="APH19" s="314">
        <v>2300</v>
      </c>
      <c r="API19" s="314">
        <v>2300</v>
      </c>
      <c r="APJ19" s="314">
        <v>2300</v>
      </c>
      <c r="APK19" s="7"/>
      <c r="APL19" s="314">
        <v>2300</v>
      </c>
      <c r="APM19" s="314">
        <v>2300</v>
      </c>
      <c r="APN19" s="314">
        <v>1840</v>
      </c>
      <c r="APO19" s="314">
        <v>2300</v>
      </c>
      <c r="APP19" s="314">
        <v>2300</v>
      </c>
      <c r="APQ19" s="314">
        <v>2300</v>
      </c>
      <c r="APR19" s="314">
        <v>2300</v>
      </c>
      <c r="APS19" s="314">
        <v>2300</v>
      </c>
      <c r="APT19" s="314">
        <v>2300</v>
      </c>
      <c r="APV19" s="314">
        <v>2300</v>
      </c>
      <c r="APW19" s="314">
        <v>2300</v>
      </c>
      <c r="APX19" s="314">
        <v>2300</v>
      </c>
      <c r="APY19" s="314">
        <v>2300</v>
      </c>
      <c r="APZ19" s="314">
        <v>2300</v>
      </c>
      <c r="AQA19" s="314">
        <v>2300</v>
      </c>
      <c r="AQC19" s="314">
        <v>2300</v>
      </c>
      <c r="AQD19" s="314">
        <v>2300</v>
      </c>
      <c r="AQE19" s="314">
        <v>2300</v>
      </c>
      <c r="AQF19" s="314">
        <v>2300</v>
      </c>
      <c r="AQG19" s="314">
        <v>2300</v>
      </c>
      <c r="AQH19" s="314">
        <v>2300</v>
      </c>
      <c r="AQI19" s="314">
        <v>1840</v>
      </c>
      <c r="AQJ19" s="314">
        <v>2300</v>
      </c>
      <c r="AQK19" s="314">
        <v>2300</v>
      </c>
      <c r="AQL19" s="314">
        <v>2300</v>
      </c>
      <c r="AQM19" s="314">
        <v>2300</v>
      </c>
      <c r="AQN19" s="314">
        <v>2300</v>
      </c>
      <c r="AQO19" s="314">
        <v>2300</v>
      </c>
      <c r="AQP19" s="7"/>
      <c r="AQQ19" s="314"/>
      <c r="AQR19" s="314">
        <v>2300</v>
      </c>
      <c r="AQS19" s="314">
        <v>2300</v>
      </c>
      <c r="AQT19" s="314">
        <v>2300</v>
      </c>
      <c r="AQU19" s="314">
        <v>2300</v>
      </c>
      <c r="AQV19" s="314">
        <v>2300</v>
      </c>
      <c r="AQW19" s="314">
        <v>2300</v>
      </c>
      <c r="AQX19" s="128"/>
      <c r="AQY19" s="128"/>
      <c r="AQZ19" s="128"/>
      <c r="ARA19" s="128"/>
      <c r="ARB19" s="128"/>
      <c r="ARC19" s="128"/>
      <c r="ARD19" s="128"/>
      <c r="ARE19" s="128"/>
      <c r="ARF19" s="128"/>
      <c r="ARG19" s="314">
        <v>2300</v>
      </c>
      <c r="ARH19" s="314">
        <v>2300</v>
      </c>
      <c r="ARI19" s="314">
        <v>2300</v>
      </c>
      <c r="ARJ19" s="314">
        <v>2300</v>
      </c>
      <c r="ARK19" s="314">
        <v>2300</v>
      </c>
      <c r="ARL19" s="314"/>
      <c r="ARM19" s="314">
        <v>2300</v>
      </c>
      <c r="ARN19" s="314">
        <v>2300</v>
      </c>
      <c r="ARO19" s="314">
        <v>2300</v>
      </c>
      <c r="ARP19" s="314">
        <v>2300</v>
      </c>
      <c r="ARQ19" s="314">
        <v>2300</v>
      </c>
      <c r="ARR19" s="314">
        <v>2300</v>
      </c>
      <c r="ARS19" s="314"/>
      <c r="ART19" s="314">
        <v>2300</v>
      </c>
      <c r="ARU19" s="314">
        <v>2300</v>
      </c>
      <c r="ARV19" s="7"/>
      <c r="ARW19" s="314">
        <v>2300</v>
      </c>
      <c r="ARX19" s="314">
        <v>2300</v>
      </c>
      <c r="ARY19" s="314">
        <v>2300</v>
      </c>
      <c r="ARZ19" s="314">
        <v>2300</v>
      </c>
      <c r="ASB19" s="314">
        <v>2300</v>
      </c>
      <c r="ASC19" s="314">
        <v>2300</v>
      </c>
      <c r="ASD19" s="314">
        <v>2300</v>
      </c>
      <c r="ASE19" s="314">
        <v>2300</v>
      </c>
      <c r="ASF19" s="314">
        <v>2300</v>
      </c>
      <c r="ASG19" s="314">
        <v>2300</v>
      </c>
      <c r="ASH19" s="314"/>
      <c r="ASI19" s="314">
        <v>2300</v>
      </c>
      <c r="ASJ19" s="314">
        <v>2300</v>
      </c>
      <c r="ASK19" s="314"/>
      <c r="ASL19" s="314">
        <v>2300</v>
      </c>
      <c r="ASM19" s="314">
        <v>2300</v>
      </c>
      <c r="ASN19" s="314">
        <v>2300</v>
      </c>
      <c r="ASO19" s="314"/>
      <c r="ASP19" s="314">
        <v>2300</v>
      </c>
      <c r="ASQ19" s="314">
        <v>2300</v>
      </c>
      <c r="ASR19" s="314">
        <v>2300</v>
      </c>
      <c r="ASS19" s="314">
        <v>2300</v>
      </c>
      <c r="AST19" s="314">
        <v>2300</v>
      </c>
      <c r="ASU19" s="124">
        <v>2300</v>
      </c>
      <c r="ASV19" s="314"/>
      <c r="ASW19" s="314">
        <v>2300</v>
      </c>
      <c r="ASX19" s="314">
        <v>2300</v>
      </c>
      <c r="ASY19" s="314">
        <v>2300</v>
      </c>
      <c r="ASZ19" s="314">
        <v>2300</v>
      </c>
      <c r="ATA19" s="314">
        <v>2300</v>
      </c>
      <c r="ATB19" s="7"/>
      <c r="ATC19" s="314">
        <v>2300</v>
      </c>
      <c r="ATD19" s="314"/>
      <c r="ATE19" s="314">
        <v>2300</v>
      </c>
      <c r="ATF19" s="314">
        <v>2300</v>
      </c>
      <c r="ATG19" s="314">
        <v>2300</v>
      </c>
      <c r="ATH19" s="314">
        <v>2300</v>
      </c>
      <c r="ATI19" s="314">
        <v>2300</v>
      </c>
      <c r="ATJ19" s="314">
        <v>2300</v>
      </c>
      <c r="ATK19" s="314"/>
      <c r="ATL19" s="314">
        <v>2300</v>
      </c>
      <c r="ATM19" s="314">
        <v>2300</v>
      </c>
      <c r="ATN19" s="314">
        <v>2300</v>
      </c>
      <c r="ATO19" s="314">
        <v>2300</v>
      </c>
      <c r="ATP19" s="314">
        <v>2300</v>
      </c>
      <c r="ATQ19" s="314">
        <v>2300</v>
      </c>
      <c r="ATR19" s="314"/>
      <c r="ATS19" s="314">
        <v>2300</v>
      </c>
      <c r="ATT19" s="314">
        <v>2300</v>
      </c>
      <c r="ATU19" s="314">
        <v>2300</v>
      </c>
      <c r="ATV19" s="314">
        <v>2300</v>
      </c>
      <c r="ATW19" s="314">
        <v>2300</v>
      </c>
      <c r="ATX19" s="314">
        <v>2300</v>
      </c>
      <c r="ATY19" s="314"/>
      <c r="ATZ19" s="314">
        <v>2300</v>
      </c>
      <c r="AUA19" s="314">
        <v>2300</v>
      </c>
      <c r="AUB19" s="314">
        <v>2300</v>
      </c>
      <c r="AUC19" s="314">
        <v>2300</v>
      </c>
      <c r="AUD19" s="314">
        <v>2300</v>
      </c>
      <c r="AUE19" s="314">
        <v>2300</v>
      </c>
      <c r="AUF19" s="364"/>
      <c r="AUG19" s="7"/>
      <c r="AUH19" s="314">
        <v>2300</v>
      </c>
      <c r="AUI19" s="314">
        <v>2300</v>
      </c>
      <c r="AUJ19" s="314">
        <v>2300</v>
      </c>
      <c r="AUK19" s="314">
        <v>2300</v>
      </c>
      <c r="AUL19" s="314"/>
      <c r="AUM19" s="314">
        <v>2300</v>
      </c>
      <c r="AUN19" s="314"/>
      <c r="AUO19" s="314">
        <v>2300</v>
      </c>
      <c r="AUP19" s="314">
        <v>2300</v>
      </c>
      <c r="AUQ19" s="314">
        <v>2300</v>
      </c>
      <c r="AUR19" s="314">
        <v>2300</v>
      </c>
      <c r="AUS19" s="314">
        <v>2300</v>
      </c>
      <c r="AUT19" s="314">
        <v>2300</v>
      </c>
      <c r="AUU19" s="314"/>
      <c r="AUV19" s="314">
        <v>2300</v>
      </c>
      <c r="AUW19" s="314">
        <v>2300</v>
      </c>
      <c r="AUX19" s="314">
        <v>2300</v>
      </c>
      <c r="AUY19" s="314">
        <v>2300</v>
      </c>
      <c r="AUZ19" s="314">
        <v>2300</v>
      </c>
      <c r="AVA19" s="314">
        <v>2300</v>
      </c>
      <c r="AVB19" s="314"/>
      <c r="AVC19" s="314">
        <v>2300</v>
      </c>
      <c r="AVD19" s="314">
        <v>2300</v>
      </c>
      <c r="AVE19" s="314">
        <v>2300</v>
      </c>
      <c r="AVF19" s="314">
        <v>2300</v>
      </c>
      <c r="AVG19" s="314">
        <v>2300</v>
      </c>
      <c r="AVH19" s="314">
        <v>2300</v>
      </c>
      <c r="AVI19" s="314"/>
      <c r="AVJ19" s="314">
        <v>2300</v>
      </c>
      <c r="AVK19" s="314">
        <v>2300</v>
      </c>
      <c r="AVL19" s="314">
        <v>2300</v>
      </c>
      <c r="AVM19" s="7"/>
      <c r="AVN19" s="314">
        <v>2300</v>
      </c>
      <c r="AVO19" s="314">
        <v>2300</v>
      </c>
      <c r="AVP19" s="314">
        <v>2300</v>
      </c>
      <c r="AVQ19" s="364"/>
      <c r="AVR19" s="314">
        <v>2300</v>
      </c>
      <c r="AVS19" s="314">
        <v>2300</v>
      </c>
      <c r="AVT19" s="314">
        <v>2300</v>
      </c>
      <c r="AVU19" s="314">
        <v>2300</v>
      </c>
      <c r="AVV19" s="314">
        <v>2300</v>
      </c>
      <c r="AVW19" s="314">
        <v>2300</v>
      </c>
      <c r="AVX19" s="314"/>
      <c r="AVY19" s="314">
        <v>2300</v>
      </c>
      <c r="AVZ19" s="314">
        <v>2300</v>
      </c>
      <c r="AWA19" s="314">
        <v>2300</v>
      </c>
      <c r="AWB19" s="314">
        <v>2300</v>
      </c>
      <c r="AWC19" s="314">
        <v>2300</v>
      </c>
      <c r="AWD19" s="314">
        <v>2300</v>
      </c>
      <c r="AWE19" s="314"/>
      <c r="AWF19" s="314">
        <v>2300</v>
      </c>
      <c r="AWG19" s="124">
        <v>2300</v>
      </c>
      <c r="AWH19" s="314">
        <v>2300</v>
      </c>
      <c r="AWI19" s="314">
        <v>2300</v>
      </c>
      <c r="AWJ19" s="314">
        <v>2300</v>
      </c>
      <c r="AWK19" s="314">
        <v>2300</v>
      </c>
      <c r="AWL19" s="314"/>
      <c r="AWM19" s="314">
        <v>2300</v>
      </c>
      <c r="AWN19" s="314">
        <v>2300</v>
      </c>
      <c r="AWO19" s="314">
        <v>2300</v>
      </c>
      <c r="AWP19" s="314">
        <v>2300</v>
      </c>
      <c r="AWQ19" s="314">
        <v>2300</v>
      </c>
      <c r="AWR19" s="7"/>
      <c r="AWS19" s="314">
        <v>2300</v>
      </c>
      <c r="AWT19" s="364"/>
      <c r="AWU19" s="314">
        <v>2300</v>
      </c>
      <c r="AWV19" s="314">
        <v>2300</v>
      </c>
      <c r="AWW19" s="314">
        <v>2300</v>
      </c>
      <c r="AWX19" s="314">
        <v>2300</v>
      </c>
      <c r="AWY19" s="314">
        <v>2300</v>
      </c>
      <c r="AWZ19" s="314">
        <v>2300</v>
      </c>
      <c r="AXA19" s="364"/>
      <c r="AXB19" s="314">
        <v>2300</v>
      </c>
      <c r="AXC19" s="314">
        <v>2300</v>
      </c>
      <c r="AXD19" s="314">
        <v>2300</v>
      </c>
      <c r="AXE19" s="314">
        <v>2300</v>
      </c>
      <c r="AXF19" s="314">
        <v>2300</v>
      </c>
      <c r="AXG19" s="314">
        <v>2300</v>
      </c>
      <c r="AXH19" s="364"/>
      <c r="AXI19" s="314">
        <v>2300</v>
      </c>
      <c r="AXJ19" s="314">
        <v>2300</v>
      </c>
      <c r="AXK19" s="314">
        <v>2300</v>
      </c>
      <c r="AXL19" s="314">
        <v>2300</v>
      </c>
      <c r="AXM19" s="314">
        <v>2300</v>
      </c>
      <c r="AXN19" s="314">
        <v>2300</v>
      </c>
      <c r="AXO19" s="314"/>
      <c r="AXP19" s="314">
        <v>2300</v>
      </c>
      <c r="AXQ19" s="314">
        <v>2300</v>
      </c>
      <c r="AXR19" s="314">
        <v>2300</v>
      </c>
      <c r="AXS19" s="314">
        <v>2300</v>
      </c>
      <c r="AXT19" s="314">
        <v>2300</v>
      </c>
      <c r="AXU19" s="314">
        <v>2300</v>
      </c>
      <c r="AXV19" s="314"/>
      <c r="AXW19" s="314">
        <v>2300</v>
      </c>
      <c r="AXX19" s="7"/>
    </row>
    <row r="20" spans="1:1324" s="130" customFormat="1" ht="28.5" customHeight="1" x14ac:dyDescent="0.4">
      <c r="A20" s="711"/>
      <c r="B20" s="8" t="s">
        <v>17</v>
      </c>
      <c r="C20" s="119" t="s">
        <v>61</v>
      </c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28" t="s">
        <v>17</v>
      </c>
      <c r="AI20" s="121" t="s">
        <v>60</v>
      </c>
      <c r="AJ20" s="123"/>
      <c r="AK20" s="123"/>
      <c r="AL20" s="123"/>
      <c r="AM20" s="123"/>
      <c r="AN20" s="123"/>
      <c r="AO20" s="123"/>
      <c r="AP20" s="123"/>
      <c r="AQ20" s="750"/>
      <c r="AR20" s="751"/>
      <c r="AS20" s="751"/>
      <c r="AT20" s="751"/>
      <c r="AU20" s="751"/>
      <c r="AV20" s="751"/>
      <c r="AW20" s="751"/>
      <c r="AX20" s="751"/>
      <c r="AY20" s="751"/>
      <c r="AZ20" s="752"/>
      <c r="BA20" s="123" t="s">
        <v>60</v>
      </c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8" t="s">
        <v>17</v>
      </c>
      <c r="BO20" s="119" t="s">
        <v>136</v>
      </c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21" t="s">
        <v>63</v>
      </c>
      <c r="CD20" s="122"/>
      <c r="CE20" s="122"/>
      <c r="CF20" s="122"/>
      <c r="CG20" s="122"/>
      <c r="CH20" s="122"/>
      <c r="CI20" s="122"/>
      <c r="CJ20" s="122"/>
      <c r="CK20" s="121" t="s">
        <v>137</v>
      </c>
      <c r="CL20" s="119"/>
      <c r="CM20" s="119"/>
      <c r="CN20" s="119"/>
      <c r="CO20" s="119"/>
      <c r="CP20" s="119"/>
      <c r="CQ20" s="119"/>
      <c r="CR20" s="119"/>
      <c r="CS20" s="8" t="s">
        <v>17</v>
      </c>
      <c r="CT20" s="119" t="s">
        <v>137</v>
      </c>
      <c r="CU20" s="119"/>
      <c r="CV20" s="119"/>
      <c r="CW20" s="119"/>
      <c r="CX20" s="119"/>
      <c r="CY20" s="119"/>
      <c r="CZ20" s="119"/>
      <c r="DA20" s="119"/>
      <c r="DB20" s="119"/>
      <c r="DC20" s="119"/>
      <c r="DD20" s="119"/>
      <c r="DE20" s="119"/>
      <c r="DF20" s="119"/>
      <c r="DG20" s="119"/>
      <c r="DH20" s="119"/>
      <c r="DI20" s="119"/>
      <c r="DJ20" s="119"/>
      <c r="DK20" s="119"/>
      <c r="DL20" s="119"/>
      <c r="DM20" s="119"/>
      <c r="DN20" s="119"/>
      <c r="DO20" s="119"/>
      <c r="DP20" s="119"/>
      <c r="DQ20" s="121" t="s">
        <v>138</v>
      </c>
      <c r="DR20" s="122"/>
      <c r="DS20" s="122"/>
      <c r="DT20" s="122"/>
      <c r="DU20" s="122"/>
      <c r="DV20" s="122"/>
      <c r="DW20" s="122"/>
      <c r="DX20" s="122"/>
      <c r="DY20" s="8" t="s">
        <v>17</v>
      </c>
      <c r="DZ20" s="123" t="s">
        <v>138</v>
      </c>
      <c r="EA20" s="122"/>
      <c r="EB20" s="122"/>
      <c r="EC20" s="122"/>
      <c r="ED20" s="122"/>
      <c r="EE20" s="122"/>
      <c r="EF20" s="122"/>
      <c r="EG20" s="122"/>
      <c r="EH20" s="122"/>
      <c r="EI20" s="122"/>
      <c r="EJ20" s="122"/>
      <c r="EK20" s="122"/>
      <c r="EL20" s="122"/>
      <c r="EM20" s="122"/>
      <c r="EN20" s="122"/>
      <c r="EO20" s="122"/>
      <c r="EP20" s="122"/>
      <c r="EQ20" s="122"/>
      <c r="ER20" s="122"/>
      <c r="ES20" s="122"/>
      <c r="ET20" s="122"/>
      <c r="EU20" s="122"/>
      <c r="EV20" s="122"/>
      <c r="EW20" s="122"/>
      <c r="EX20" s="122"/>
      <c r="EY20" s="122"/>
      <c r="EZ20" s="122"/>
      <c r="FA20" s="122"/>
      <c r="FB20" s="122"/>
      <c r="FC20" s="122"/>
      <c r="FD20" s="8" t="s">
        <v>17</v>
      </c>
      <c r="FE20" s="124" t="s">
        <v>337</v>
      </c>
      <c r="FF20" s="119"/>
      <c r="FG20" s="119"/>
      <c r="FH20" s="119"/>
      <c r="FI20" s="119"/>
      <c r="FJ20" s="119"/>
      <c r="FK20" s="119"/>
      <c r="FL20" s="119"/>
      <c r="FM20" s="119"/>
      <c r="FN20" s="119"/>
      <c r="FO20" s="119"/>
      <c r="FP20" s="119"/>
      <c r="FQ20" s="119"/>
      <c r="FR20" s="119"/>
      <c r="FS20" s="119"/>
      <c r="FT20" s="119"/>
      <c r="FU20" s="119"/>
      <c r="FV20" s="119"/>
      <c r="FW20" s="119"/>
      <c r="FX20" s="119"/>
      <c r="FY20" s="119"/>
      <c r="FZ20" s="119"/>
      <c r="GA20" s="119"/>
      <c r="GB20" s="119"/>
      <c r="GC20" s="119"/>
      <c r="GD20" s="119"/>
      <c r="GE20" s="119"/>
      <c r="GF20" s="119"/>
      <c r="GG20" s="119"/>
      <c r="GH20" s="119"/>
      <c r="GI20" s="119"/>
      <c r="GJ20" s="8" t="s">
        <v>17</v>
      </c>
      <c r="GK20" s="119" t="s">
        <v>449</v>
      </c>
      <c r="GL20" s="119"/>
      <c r="GM20" s="119"/>
      <c r="GN20" s="119"/>
      <c r="GO20" s="119"/>
      <c r="GP20" s="119"/>
      <c r="GQ20" s="119"/>
      <c r="GR20" s="119"/>
      <c r="GS20" s="119"/>
      <c r="GT20" s="119"/>
      <c r="GU20" s="119"/>
      <c r="GV20" s="119"/>
      <c r="GW20" s="119"/>
      <c r="GX20" s="119"/>
      <c r="GY20" s="126" t="s">
        <v>362</v>
      </c>
      <c r="GZ20" s="127"/>
      <c r="HA20" s="126" t="s">
        <v>348</v>
      </c>
      <c r="HB20" s="123"/>
      <c r="HC20" s="123"/>
      <c r="HD20" s="123"/>
      <c r="HE20" s="123"/>
      <c r="HF20" s="123"/>
      <c r="HG20" s="123"/>
      <c r="HH20" s="123"/>
      <c r="HI20" s="123"/>
      <c r="HJ20" s="123"/>
      <c r="HK20" s="123"/>
      <c r="HL20" s="123"/>
      <c r="HM20" s="123"/>
      <c r="HN20" s="123"/>
      <c r="HO20" s="123"/>
      <c r="HP20" s="8" t="s">
        <v>17</v>
      </c>
      <c r="HQ20" s="123" t="s">
        <v>348</v>
      </c>
      <c r="HR20" s="126" t="s">
        <v>370</v>
      </c>
      <c r="HS20" s="126"/>
      <c r="HT20" s="123"/>
      <c r="HU20" s="123"/>
      <c r="HV20" s="126" t="s">
        <v>498</v>
      </c>
      <c r="HW20" s="126"/>
      <c r="HX20" s="126" t="s">
        <v>449</v>
      </c>
      <c r="HY20" s="126"/>
      <c r="HZ20" s="120"/>
      <c r="IA20" s="120"/>
      <c r="IB20" s="120"/>
      <c r="IC20" s="120"/>
      <c r="ID20" s="120"/>
      <c r="IE20" s="120"/>
      <c r="IF20" s="120"/>
      <c r="IG20" s="120"/>
      <c r="IH20" s="120"/>
      <c r="II20" s="126" t="s">
        <v>499</v>
      </c>
      <c r="IJ20" s="126"/>
      <c r="IK20" s="120"/>
      <c r="IL20" s="120"/>
      <c r="IM20" s="120"/>
      <c r="IN20" s="120"/>
      <c r="IO20" s="120"/>
      <c r="IP20" s="120"/>
      <c r="IQ20" s="120"/>
      <c r="IR20" s="120"/>
      <c r="IS20" s="120"/>
      <c r="IT20" s="8" t="s">
        <v>17</v>
      </c>
      <c r="IU20" s="119" t="s">
        <v>498</v>
      </c>
      <c r="IV20" s="119"/>
      <c r="IW20" s="120"/>
      <c r="IX20" s="120"/>
      <c r="IY20" s="120"/>
      <c r="IZ20" s="120"/>
      <c r="JA20" s="120"/>
      <c r="JB20" s="126" t="s">
        <v>500</v>
      </c>
      <c r="JC20" s="140"/>
      <c r="JD20" s="120"/>
      <c r="JE20" s="120"/>
      <c r="JF20" s="120"/>
      <c r="JG20" s="120"/>
      <c r="JH20" s="120"/>
      <c r="JI20" s="120"/>
      <c r="JJ20" s="120"/>
      <c r="JK20" s="120"/>
      <c r="JL20" s="120"/>
      <c r="JM20" s="120"/>
      <c r="JN20" s="120"/>
      <c r="JO20" s="120"/>
      <c r="JP20" s="120"/>
      <c r="JQ20" s="120"/>
      <c r="JR20" s="120"/>
      <c r="JS20" s="120"/>
      <c r="JT20" s="120"/>
      <c r="JU20" s="126" t="s">
        <v>370</v>
      </c>
      <c r="JV20" s="126"/>
      <c r="JW20" s="123"/>
      <c r="JX20" s="123"/>
      <c r="JY20" s="123"/>
      <c r="JZ20" s="8" t="s">
        <v>17</v>
      </c>
      <c r="KA20" s="123" t="s">
        <v>370</v>
      </c>
      <c r="KB20" s="123"/>
      <c r="KC20" s="123"/>
      <c r="KD20" s="123"/>
      <c r="KE20" s="123"/>
      <c r="KF20" s="126" t="s">
        <v>372</v>
      </c>
      <c r="KG20" s="126"/>
      <c r="KH20" s="123"/>
      <c r="KI20" s="123"/>
      <c r="KJ20" s="123"/>
      <c r="KK20" s="123"/>
      <c r="KL20" s="123"/>
      <c r="KM20" s="123"/>
      <c r="KN20" s="123"/>
      <c r="KO20" s="123"/>
      <c r="KP20" s="123"/>
      <c r="KQ20" s="123"/>
      <c r="KR20" s="123"/>
      <c r="KS20" s="123"/>
      <c r="KT20" s="123"/>
      <c r="KU20" s="123"/>
      <c r="KV20" s="123"/>
      <c r="KW20" s="123"/>
      <c r="KX20" s="123"/>
      <c r="KY20" s="123"/>
      <c r="KZ20" s="123"/>
      <c r="LA20" s="123"/>
      <c r="LB20" s="123"/>
      <c r="LC20" s="123"/>
      <c r="LD20" s="123"/>
      <c r="LE20" s="8" t="s">
        <v>17</v>
      </c>
      <c r="LF20" s="123" t="s">
        <v>372</v>
      </c>
      <c r="LG20" s="123"/>
      <c r="LH20" s="123"/>
      <c r="LI20" s="123"/>
      <c r="LJ20" s="123"/>
      <c r="LK20" s="123"/>
      <c r="LL20" s="123"/>
      <c r="LM20" s="123"/>
      <c r="LN20" s="123"/>
      <c r="LO20" s="123"/>
      <c r="LP20" s="123"/>
      <c r="LQ20" s="123"/>
      <c r="LR20" s="123"/>
      <c r="LS20" s="123"/>
      <c r="LT20" s="123"/>
      <c r="LU20" s="123"/>
      <c r="LV20" s="123"/>
      <c r="LW20" s="126" t="s">
        <v>371</v>
      </c>
      <c r="LX20" s="126"/>
      <c r="LY20" s="123"/>
      <c r="LZ20" s="756"/>
      <c r="MA20" s="757"/>
      <c r="MB20" s="757"/>
      <c r="MC20" s="757"/>
      <c r="MD20" s="757"/>
      <c r="ME20" s="757"/>
      <c r="MF20" s="757"/>
      <c r="MG20" s="757"/>
      <c r="MH20" s="757"/>
      <c r="MI20" s="758"/>
      <c r="MJ20" s="123" t="s">
        <v>371</v>
      </c>
      <c r="MK20" s="8" t="s">
        <v>17</v>
      </c>
      <c r="ML20" s="335" t="s">
        <v>371</v>
      </c>
      <c r="MM20" s="335"/>
      <c r="MN20" s="335"/>
      <c r="MO20" s="335"/>
      <c r="MP20" s="335"/>
      <c r="MQ20" s="335"/>
      <c r="MR20" s="335"/>
      <c r="MS20" s="335"/>
      <c r="MT20" s="335"/>
      <c r="MU20" s="335"/>
      <c r="MV20" s="335"/>
      <c r="MW20" s="335"/>
      <c r="MX20" s="335"/>
      <c r="MY20" s="335"/>
      <c r="MZ20" s="335"/>
      <c r="NA20" s="335"/>
      <c r="NB20" s="335"/>
      <c r="NC20" s="335"/>
      <c r="ND20" s="335"/>
      <c r="NE20" s="335"/>
      <c r="NF20" s="335"/>
      <c r="NG20" s="335"/>
      <c r="NH20" s="335"/>
      <c r="NI20" s="335"/>
      <c r="NJ20" s="335"/>
      <c r="NK20" s="335"/>
      <c r="NL20" s="335"/>
      <c r="NM20" s="335"/>
      <c r="NN20" s="335"/>
      <c r="NO20" s="335"/>
      <c r="NP20" s="8" t="s">
        <v>17</v>
      </c>
      <c r="NQ20" s="344" t="s">
        <v>433</v>
      </c>
      <c r="NR20" s="344"/>
      <c r="NS20" s="344"/>
      <c r="NT20" s="344"/>
      <c r="NU20" s="344"/>
      <c r="NV20" s="344"/>
      <c r="NW20" s="344"/>
      <c r="NX20" s="344"/>
      <c r="NY20" s="344"/>
      <c r="NZ20" s="344"/>
      <c r="OA20" s="350" t="s">
        <v>882</v>
      </c>
      <c r="OB20" s="344"/>
      <c r="OC20" s="344"/>
      <c r="OD20" s="344"/>
      <c r="OE20" s="344"/>
      <c r="OF20" s="344"/>
      <c r="OG20" s="344"/>
      <c r="OH20" s="344"/>
      <c r="OI20" s="344"/>
      <c r="OJ20" s="344"/>
      <c r="OK20" s="344"/>
      <c r="OL20" s="344"/>
      <c r="OM20" s="344"/>
      <c r="ON20" s="344"/>
      <c r="OO20" s="344"/>
      <c r="OP20" s="344"/>
      <c r="OQ20" s="344"/>
      <c r="OR20" s="344"/>
      <c r="OS20" s="762"/>
      <c r="OT20" s="763"/>
      <c r="OU20" s="764"/>
      <c r="OV20" s="8" t="s">
        <v>17</v>
      </c>
      <c r="OW20" s="770"/>
      <c r="OX20" s="763"/>
      <c r="OY20" s="763"/>
      <c r="OZ20" s="763"/>
      <c r="PA20" s="763"/>
      <c r="PB20" s="763"/>
      <c r="PC20" s="771"/>
      <c r="PD20" s="357" t="s">
        <v>882</v>
      </c>
      <c r="PE20" s="357"/>
      <c r="PF20" s="357"/>
      <c r="PG20" s="357"/>
      <c r="PH20" s="357"/>
      <c r="PI20" s="357"/>
      <c r="PJ20" s="357"/>
      <c r="PK20" s="357"/>
      <c r="PL20" s="357"/>
      <c r="PM20" s="357"/>
      <c r="PN20" s="357"/>
      <c r="PO20" s="357"/>
      <c r="PP20" s="357"/>
      <c r="PQ20" s="357"/>
      <c r="PR20" s="357"/>
      <c r="PS20" s="357"/>
      <c r="PT20" s="357"/>
      <c r="PU20" s="357"/>
      <c r="PV20" s="357"/>
      <c r="PW20" s="357"/>
      <c r="PX20" s="357"/>
      <c r="PY20" s="357"/>
      <c r="PZ20" s="357"/>
      <c r="QA20" s="357"/>
      <c r="QB20" s="8" t="s">
        <v>17</v>
      </c>
      <c r="QC20" s="363" t="s">
        <v>882</v>
      </c>
      <c r="QD20" s="363"/>
      <c r="QE20" s="363"/>
      <c r="QF20" s="363"/>
      <c r="QG20" s="363"/>
      <c r="QH20" s="363"/>
      <c r="QI20" s="363"/>
      <c r="QJ20" s="363"/>
      <c r="QK20" s="363"/>
      <c r="QL20" s="363"/>
      <c r="QM20" s="363"/>
      <c r="QN20" s="363"/>
      <c r="QO20" s="363"/>
      <c r="QP20" s="363"/>
      <c r="QQ20" s="363"/>
      <c r="QR20" s="363"/>
      <c r="QS20" s="363"/>
      <c r="QT20" s="363"/>
      <c r="QU20" s="363"/>
      <c r="QV20" s="363"/>
      <c r="QW20" s="363"/>
      <c r="QX20" s="363"/>
      <c r="QY20" s="363"/>
      <c r="QZ20" s="363"/>
      <c r="RA20" s="363"/>
      <c r="RB20" s="363"/>
      <c r="RC20" s="363"/>
      <c r="RD20" s="363"/>
      <c r="RE20" s="363"/>
      <c r="RF20" s="363"/>
      <c r="RG20" s="8" t="s">
        <v>17</v>
      </c>
      <c r="RH20" s="442" t="s">
        <v>1510</v>
      </c>
      <c r="RI20" s="443"/>
      <c r="RJ20" s="443"/>
      <c r="RK20" s="443"/>
      <c r="RL20" s="443"/>
      <c r="RM20" s="443"/>
      <c r="RN20" s="442" t="s">
        <v>1511</v>
      </c>
      <c r="RO20" s="444"/>
      <c r="RP20" s="444"/>
      <c r="RQ20" s="444"/>
      <c r="RR20" s="442" t="s">
        <v>1500</v>
      </c>
      <c r="RS20" s="443"/>
      <c r="RT20" s="443"/>
      <c r="RU20" s="443"/>
      <c r="RV20" s="443"/>
      <c r="RW20" s="442" t="s">
        <v>1512</v>
      </c>
      <c r="RX20" s="445"/>
      <c r="RY20" s="445"/>
      <c r="RZ20" s="445"/>
      <c r="SA20" s="445"/>
      <c r="SB20" s="445"/>
      <c r="SC20" s="445"/>
      <c r="SD20" s="445"/>
      <c r="SE20" s="445"/>
      <c r="SF20" s="445"/>
      <c r="SG20" s="445"/>
      <c r="SH20" s="445"/>
      <c r="SI20" s="442" t="s">
        <v>1513</v>
      </c>
      <c r="SJ20" s="445"/>
      <c r="SK20" s="445"/>
      <c r="SL20" s="445"/>
      <c r="SM20" s="8" t="s">
        <v>17</v>
      </c>
      <c r="SN20" s="452" t="s">
        <v>1513</v>
      </c>
      <c r="SO20" s="445"/>
      <c r="SP20" s="445"/>
      <c r="SQ20" s="445"/>
      <c r="SR20" s="445"/>
      <c r="SS20" s="445"/>
      <c r="ST20" s="445"/>
      <c r="SU20" s="445"/>
      <c r="SV20" s="445"/>
      <c r="SW20" s="445"/>
      <c r="SX20" s="445"/>
      <c r="SY20" s="445"/>
      <c r="SZ20" s="445"/>
      <c r="TA20" s="445"/>
      <c r="TB20" s="445"/>
      <c r="TC20" s="445"/>
      <c r="TD20" s="445"/>
      <c r="TE20" s="445"/>
      <c r="TF20" s="445"/>
      <c r="TG20" s="445"/>
      <c r="TH20" s="445"/>
      <c r="TI20" s="445"/>
      <c r="TJ20" s="445"/>
      <c r="TK20" s="445"/>
      <c r="TL20" s="445"/>
      <c r="TM20" s="445"/>
      <c r="TN20" s="445"/>
      <c r="TO20" s="442" t="s">
        <v>1539</v>
      </c>
      <c r="TP20" s="444"/>
      <c r="TQ20" s="444"/>
      <c r="TR20" s="8" t="s">
        <v>17</v>
      </c>
      <c r="TS20" s="448" t="s">
        <v>1539</v>
      </c>
      <c r="TT20" s="448"/>
      <c r="TU20" s="448"/>
      <c r="TV20" s="448"/>
      <c r="TW20" s="448"/>
      <c r="TX20" s="448"/>
      <c r="TY20" s="448"/>
      <c r="TZ20" s="448"/>
      <c r="UA20" s="448"/>
      <c r="UB20" s="448"/>
      <c r="UC20" s="448"/>
      <c r="UD20" s="448"/>
      <c r="UE20" s="448"/>
      <c r="UF20" s="448"/>
      <c r="UG20" s="448"/>
      <c r="UH20" s="448"/>
      <c r="UI20" s="448"/>
      <c r="UJ20" s="448"/>
      <c r="UK20" s="448"/>
      <c r="UL20" s="448"/>
      <c r="UM20" s="448"/>
      <c r="UN20" s="448"/>
      <c r="UO20" s="448"/>
      <c r="UP20" s="448"/>
      <c r="UQ20" s="448"/>
      <c r="UR20" s="448"/>
      <c r="US20" s="448"/>
      <c r="UT20" s="448"/>
      <c r="UU20" s="448"/>
      <c r="UV20" s="448"/>
      <c r="UW20" s="448"/>
      <c r="UX20" s="8" t="s">
        <v>17</v>
      </c>
      <c r="UY20" s="448" t="s">
        <v>1539</v>
      </c>
      <c r="UZ20" s="444"/>
      <c r="VA20" s="444"/>
      <c r="VB20" s="444"/>
      <c r="VC20" s="444"/>
      <c r="VD20" s="444"/>
      <c r="VE20" s="444"/>
      <c r="VF20" s="444"/>
      <c r="VG20" s="444"/>
      <c r="VH20" s="444"/>
      <c r="VI20" s="444"/>
      <c r="VJ20" s="447"/>
      <c r="VK20" s="447"/>
      <c r="VL20" s="447"/>
      <c r="VM20" s="447"/>
      <c r="VN20" s="447"/>
      <c r="VO20" s="447"/>
      <c r="VP20" s="447"/>
      <c r="VQ20" s="447"/>
      <c r="VR20" s="447"/>
      <c r="VS20" s="447"/>
      <c r="VT20" s="447"/>
      <c r="WD20" s="8" t="s">
        <v>17</v>
      </c>
      <c r="WF20" s="337"/>
      <c r="WG20" s="337"/>
      <c r="WH20" s="337"/>
      <c r="WI20" s="298"/>
      <c r="WJ20" s="298"/>
      <c r="WK20" s="298"/>
      <c r="WL20" s="298"/>
      <c r="WM20" s="298"/>
      <c r="WN20" s="298"/>
      <c r="WO20" s="298"/>
      <c r="WP20" s="298"/>
      <c r="WQ20" s="298"/>
      <c r="WR20" s="298"/>
      <c r="WS20" s="298"/>
      <c r="WT20" s="298"/>
      <c r="WU20" s="298"/>
      <c r="WV20" s="298"/>
      <c r="WW20" s="337"/>
      <c r="WX20" s="337"/>
      <c r="WY20" s="337"/>
      <c r="XG20" s="8" t="s">
        <v>17</v>
      </c>
      <c r="YM20" s="8" t="s">
        <v>17</v>
      </c>
      <c r="YQ20" s="337"/>
      <c r="YR20" s="337"/>
      <c r="YS20" s="337"/>
      <c r="YT20" s="337"/>
      <c r="YU20" s="337"/>
      <c r="YV20" s="337"/>
      <c r="YW20" s="337"/>
      <c r="YX20" s="337"/>
      <c r="YY20" s="337"/>
      <c r="YZ20" s="337"/>
      <c r="ZF20" s="361" t="s">
        <v>1892</v>
      </c>
      <c r="ZG20" s="318"/>
      <c r="ZH20" s="319"/>
      <c r="ZI20" s="319"/>
      <c r="ZJ20" s="319"/>
      <c r="ZK20" s="319"/>
      <c r="ZL20" s="319"/>
      <c r="ZM20" s="319"/>
      <c r="ZN20" s="319"/>
      <c r="ZO20" s="319"/>
      <c r="ZP20" s="319"/>
      <c r="ZQ20" s="364"/>
      <c r="ZR20" s="8" t="s">
        <v>17</v>
      </c>
      <c r="AAX20" s="8" t="s">
        <v>17</v>
      </c>
      <c r="ACC20" s="8" t="s">
        <v>17</v>
      </c>
      <c r="ACV20" s="704"/>
      <c r="ACW20" s="705"/>
      <c r="ACX20" s="705"/>
      <c r="ACY20" s="705"/>
      <c r="ACZ20" s="705"/>
      <c r="ADA20" s="705"/>
      <c r="ADB20" s="705"/>
      <c r="ADC20" s="705"/>
      <c r="ADD20" s="706"/>
      <c r="ADI20" s="8" t="s">
        <v>17</v>
      </c>
      <c r="ADJ20" s="352"/>
      <c r="ADK20" s="352"/>
      <c r="ADL20" s="352"/>
      <c r="ADM20" s="352"/>
      <c r="ADN20" s="352"/>
      <c r="ADO20" s="352"/>
      <c r="ADP20" s="352"/>
      <c r="ADQ20" s="352"/>
      <c r="ADR20" s="352"/>
      <c r="ADS20" s="352"/>
      <c r="ADT20" s="352"/>
      <c r="ADU20" s="352"/>
      <c r="ADV20" s="352"/>
      <c r="ADW20" s="352"/>
      <c r="ADX20" s="352"/>
      <c r="ADY20" s="352"/>
      <c r="ADZ20" s="352"/>
      <c r="AEA20" s="352"/>
      <c r="AEB20" s="352"/>
      <c r="AEC20" s="352"/>
      <c r="AED20" s="352"/>
      <c r="AEE20" s="352"/>
      <c r="AEF20" s="352"/>
      <c r="AEG20" s="352"/>
      <c r="AEH20" s="352"/>
      <c r="AEI20" s="352"/>
      <c r="AEJ20" s="352"/>
      <c r="AEK20" s="352"/>
      <c r="AEL20" s="352"/>
      <c r="AEM20" s="352"/>
      <c r="AEN20" s="352"/>
      <c r="AEO20" s="8" t="s">
        <v>17</v>
      </c>
      <c r="AEP20" s="352"/>
      <c r="AEQ20" s="352"/>
      <c r="AER20" s="352"/>
      <c r="AES20" s="352"/>
      <c r="AET20" s="352"/>
      <c r="AEU20" s="352"/>
      <c r="AEV20" s="352"/>
      <c r="AEW20" s="352"/>
      <c r="AEX20" s="352"/>
      <c r="AEY20" s="352"/>
      <c r="AEZ20" s="352"/>
      <c r="AFA20" s="352"/>
      <c r="AFB20" s="352"/>
      <c r="AFC20" s="352"/>
      <c r="AFD20" s="352"/>
      <c r="AFE20" s="352"/>
      <c r="AFF20" s="352"/>
      <c r="AFG20" s="352"/>
      <c r="AFH20" s="352"/>
      <c r="AFI20" s="352"/>
      <c r="AFJ20" s="352"/>
      <c r="AFK20" s="352"/>
      <c r="AFL20" s="352"/>
      <c r="AFM20" s="345" t="s">
        <v>2462</v>
      </c>
      <c r="AFN20" s="345"/>
      <c r="AFO20" s="352"/>
      <c r="AFP20" s="352"/>
      <c r="AFQ20" s="352"/>
      <c r="AFR20" s="352"/>
      <c r="AFS20" s="352"/>
      <c r="AFT20" s="8" t="s">
        <v>17</v>
      </c>
      <c r="AFU20" s="352" t="s">
        <v>2462</v>
      </c>
      <c r="AFV20" s="352"/>
      <c r="AFW20" s="352"/>
      <c r="AFX20" s="352"/>
      <c r="AFY20" s="352"/>
      <c r="AFZ20" s="352"/>
      <c r="AGA20" s="352"/>
      <c r="AGB20" s="352"/>
      <c r="AGC20" s="352"/>
      <c r="AGD20" s="352"/>
      <c r="AGE20" s="352"/>
      <c r="AGF20" s="352"/>
      <c r="AGG20" s="352"/>
      <c r="AGH20" s="352"/>
      <c r="AGI20" s="352"/>
      <c r="AGJ20" s="352"/>
      <c r="AGK20" s="352"/>
      <c r="AGL20" s="352"/>
      <c r="AGM20" s="352"/>
      <c r="AGN20" s="352"/>
      <c r="AGO20" s="352"/>
      <c r="AGP20" s="352"/>
      <c r="AGQ20" s="352"/>
      <c r="AGR20" s="352"/>
      <c r="AGS20" s="352"/>
      <c r="AGT20" s="352"/>
      <c r="AGU20" s="352"/>
      <c r="AGV20" s="352"/>
      <c r="AGW20" s="352"/>
      <c r="AGX20" s="352"/>
      <c r="AGY20" s="352"/>
      <c r="AGZ20" s="8" t="s">
        <v>17</v>
      </c>
      <c r="AHA20" s="352" t="s">
        <v>2462</v>
      </c>
      <c r="AHB20" s="352"/>
      <c r="AHC20" s="352"/>
      <c r="AHD20" s="352"/>
      <c r="AHE20" s="352"/>
      <c r="AHF20" s="352"/>
      <c r="AHG20" s="352"/>
      <c r="AHH20" s="352"/>
      <c r="AHI20" s="352"/>
      <c r="AHJ20" s="352"/>
      <c r="AHK20" s="352"/>
      <c r="AHL20" s="352"/>
      <c r="AHM20" s="352"/>
      <c r="AHN20" s="352"/>
      <c r="AHO20" s="352"/>
      <c r="AHP20" s="352"/>
      <c r="AHQ20" s="352"/>
      <c r="AHR20" s="352"/>
      <c r="AHS20" s="352"/>
      <c r="AHT20" s="352"/>
      <c r="AHU20" s="352"/>
      <c r="AHV20" s="352"/>
      <c r="AHW20" s="352"/>
      <c r="AHX20" s="345" t="s">
        <v>2684</v>
      </c>
      <c r="AHY20" s="345"/>
      <c r="AHZ20" s="352"/>
      <c r="AIA20" s="352"/>
      <c r="AIB20" s="352"/>
      <c r="AIC20" s="352"/>
      <c r="AID20" s="352"/>
      <c r="AIE20" s="8" t="s">
        <v>17</v>
      </c>
      <c r="AIF20" s="352" t="s">
        <v>2684</v>
      </c>
      <c r="AIG20" s="352"/>
      <c r="AIH20" s="352"/>
      <c r="AII20" s="352"/>
      <c r="AIJ20" s="352"/>
      <c r="AIK20" s="352"/>
      <c r="AIL20" s="352"/>
      <c r="AIM20" s="352"/>
      <c r="AIN20" s="352"/>
      <c r="AIO20" s="352"/>
      <c r="AIP20" s="352"/>
      <c r="AIQ20" s="352"/>
      <c r="AIR20" s="352"/>
      <c r="AIS20" s="352"/>
      <c r="AIT20" s="352"/>
      <c r="AIU20" s="352"/>
      <c r="AIV20" s="352"/>
      <c r="AIW20" s="352"/>
      <c r="AIX20" s="352"/>
      <c r="AIY20" s="352"/>
      <c r="AIZ20" s="352"/>
      <c r="AJA20" s="352"/>
      <c r="AJB20" s="352"/>
      <c r="AJC20" s="352"/>
      <c r="AJD20" s="352"/>
      <c r="AJE20" s="352"/>
      <c r="AJF20" s="352"/>
      <c r="AJG20" s="352"/>
      <c r="AJH20" s="352"/>
      <c r="AJI20" s="352"/>
      <c r="AJJ20" s="352"/>
      <c r="AJK20" s="8" t="s">
        <v>17</v>
      </c>
      <c r="AJL20" s="352" t="s">
        <v>2684</v>
      </c>
      <c r="AJM20" s="352"/>
      <c r="AJN20" s="352"/>
      <c r="AJO20" s="352"/>
      <c r="AJP20" s="352"/>
      <c r="AJQ20" s="352"/>
      <c r="AJR20" s="352"/>
      <c r="AJS20" s="352"/>
      <c r="AJT20" s="352"/>
      <c r="AJU20" s="352"/>
      <c r="AJV20" s="352"/>
      <c r="AJW20" s="352"/>
      <c r="AJX20" s="352"/>
      <c r="AJY20" s="352"/>
      <c r="AJZ20" s="352"/>
      <c r="AKA20" s="352"/>
      <c r="AKB20" s="352"/>
      <c r="AKC20" s="352"/>
      <c r="AKD20" s="352"/>
      <c r="AKE20" s="352"/>
      <c r="AKF20" s="352"/>
      <c r="AKG20" s="352"/>
      <c r="AKH20" s="352"/>
      <c r="AKI20" s="352"/>
      <c r="AKJ20" s="352"/>
      <c r="AKK20" s="352"/>
      <c r="AKL20" s="352"/>
      <c r="AKM20" s="352"/>
      <c r="AKN20" s="352"/>
      <c r="AKO20" s="352"/>
      <c r="AKP20" s="352"/>
      <c r="AKQ20" s="8" t="s">
        <v>17</v>
      </c>
      <c r="AKR20" s="352" t="s">
        <v>2461</v>
      </c>
      <c r="AKS20" s="352"/>
      <c r="AKT20" s="352"/>
      <c r="AKU20" s="352"/>
      <c r="AKV20" s="352"/>
      <c r="AKW20" s="352"/>
      <c r="AKX20" s="352"/>
      <c r="AKY20" s="352"/>
      <c r="AKZ20" s="352"/>
      <c r="ALA20" s="352"/>
      <c r="ALB20" s="345" t="s">
        <v>2636</v>
      </c>
      <c r="ALC20" s="345"/>
      <c r="ALD20" s="352"/>
      <c r="ALE20" s="352"/>
      <c r="ALF20" s="352"/>
      <c r="ALG20" s="352"/>
      <c r="ALH20" s="352"/>
      <c r="ALI20" s="352"/>
      <c r="ALJ20" s="352"/>
      <c r="ALK20" s="352"/>
      <c r="ALL20" s="352"/>
      <c r="ALM20" s="352"/>
      <c r="ALN20" s="352"/>
      <c r="ALO20" s="352"/>
      <c r="ALP20" s="352"/>
      <c r="ALQ20" s="352"/>
      <c r="ALR20" s="352"/>
      <c r="ALS20" s="352"/>
      <c r="ALT20" s="8" t="s">
        <v>17</v>
      </c>
      <c r="ALU20" s="352" t="s">
        <v>2636</v>
      </c>
      <c r="ALV20" s="352"/>
      <c r="ALW20" s="352"/>
      <c r="ALX20" s="352"/>
      <c r="ALY20" s="352"/>
      <c r="ALZ20" s="352"/>
      <c r="AMA20" s="352"/>
      <c r="AMB20" s="352"/>
      <c r="AMC20" s="352"/>
      <c r="AMD20" s="352"/>
      <c r="AME20" s="352"/>
      <c r="AMF20" s="352"/>
      <c r="AMG20" s="352"/>
      <c r="AMH20" s="352"/>
      <c r="AMI20" s="352"/>
      <c r="AMJ20" s="352"/>
      <c r="AMK20" s="352"/>
      <c r="AML20" s="352"/>
      <c r="AMM20" s="352"/>
      <c r="AMN20" s="352"/>
      <c r="AMO20" s="352"/>
      <c r="AMP20" s="352"/>
      <c r="AMQ20" s="352"/>
      <c r="AMR20" s="352"/>
      <c r="AMS20" s="352"/>
      <c r="AMT20" s="352"/>
      <c r="AMU20" s="352"/>
      <c r="AMV20" s="352"/>
      <c r="AMW20" s="352"/>
      <c r="AMX20" s="352"/>
      <c r="AMY20" s="352"/>
      <c r="AMZ20" s="8" t="s">
        <v>17</v>
      </c>
      <c r="ANA20" s="352" t="s">
        <v>2636</v>
      </c>
      <c r="ANB20" s="352"/>
      <c r="ANC20" s="352"/>
      <c r="AND20" s="352"/>
      <c r="ANE20" s="352"/>
      <c r="ANF20" s="352"/>
      <c r="ANG20" s="352"/>
      <c r="ANH20" s="352"/>
      <c r="ANI20" s="352"/>
      <c r="ANJ20" s="352"/>
      <c r="ANK20" s="352"/>
      <c r="ANL20" s="352"/>
      <c r="ANM20" s="352"/>
      <c r="ANN20" s="352"/>
      <c r="ANO20" s="352"/>
      <c r="ANP20" s="352"/>
      <c r="ANQ20" s="352"/>
      <c r="ANR20" s="352"/>
      <c r="ANS20" s="352"/>
      <c r="ANT20" s="352"/>
      <c r="ANU20" s="352"/>
      <c r="ANV20" s="352"/>
      <c r="ANW20" s="352"/>
      <c r="ANX20" s="352"/>
      <c r="ANY20" s="352"/>
      <c r="ANZ20" s="352"/>
      <c r="AOA20" s="352"/>
      <c r="AOB20" s="352"/>
      <c r="AOC20" s="352"/>
      <c r="AOD20" s="352"/>
      <c r="AOE20" s="8" t="s">
        <v>17</v>
      </c>
      <c r="AOF20" s="128"/>
      <c r="AOG20" s="128"/>
      <c r="AOH20" s="128"/>
      <c r="AOI20" s="128"/>
      <c r="AOJ20" s="128"/>
      <c r="AOK20" s="128"/>
      <c r="AOL20" s="128"/>
      <c r="AOM20" s="128"/>
      <c r="AON20" s="128"/>
      <c r="AOO20" s="352" t="s">
        <v>2636</v>
      </c>
      <c r="AOP20" s="352"/>
      <c r="AOQ20" s="352"/>
      <c r="AOR20" s="352"/>
      <c r="AOS20" s="352"/>
      <c r="AOT20" s="352"/>
      <c r="AOU20" s="352"/>
      <c r="AOV20" s="352"/>
      <c r="AOW20" s="352"/>
      <c r="AOX20" s="352"/>
      <c r="AOY20" s="352"/>
      <c r="AOZ20" s="352"/>
      <c r="APA20" s="345" t="s">
        <v>2864</v>
      </c>
      <c r="APB20" s="345"/>
      <c r="APC20" s="352"/>
      <c r="APD20" s="352"/>
      <c r="APE20" s="352"/>
      <c r="APF20" s="352"/>
      <c r="APG20" s="352"/>
      <c r="APH20" s="352"/>
      <c r="API20" s="352"/>
      <c r="APJ20" s="352"/>
      <c r="APK20" s="8" t="s">
        <v>17</v>
      </c>
      <c r="APL20" s="352" t="s">
        <v>2864</v>
      </c>
      <c r="APM20" s="352"/>
      <c r="APN20" s="352"/>
      <c r="APO20" s="352"/>
      <c r="APP20" s="352"/>
      <c r="APQ20" s="352"/>
      <c r="APR20" s="352"/>
      <c r="APS20" s="352"/>
      <c r="APT20" s="352"/>
      <c r="APU20" s="352"/>
      <c r="APV20" s="352"/>
      <c r="APW20" s="352"/>
      <c r="APX20" s="352"/>
      <c r="APY20" s="352"/>
      <c r="APZ20" s="352"/>
      <c r="AQA20" s="352"/>
      <c r="AQB20" s="352"/>
      <c r="AQC20" s="352"/>
      <c r="AQD20" s="352"/>
      <c r="AQE20" s="352"/>
      <c r="AQF20" s="352"/>
      <c r="AQG20" s="352"/>
      <c r="AQH20" s="352"/>
      <c r="AQI20" s="352"/>
      <c r="AQJ20" s="352"/>
      <c r="AQK20" s="352"/>
      <c r="AQL20" s="352"/>
      <c r="AQM20" s="352"/>
      <c r="AQN20" s="352"/>
      <c r="AQO20" s="352"/>
      <c r="AQP20" s="8" t="s">
        <v>17</v>
      </c>
      <c r="AQQ20" s="352" t="s">
        <v>2864</v>
      </c>
      <c r="AQR20" s="352"/>
      <c r="AQS20" s="352"/>
      <c r="AQT20" s="352"/>
      <c r="AQU20" s="352"/>
      <c r="AQV20" s="352"/>
      <c r="AQW20" s="352"/>
      <c r="AQX20" s="128"/>
      <c r="AQY20" s="128"/>
      <c r="AQZ20" s="128"/>
      <c r="ARA20" s="128"/>
      <c r="ARB20" s="128"/>
      <c r="ARC20" s="128"/>
      <c r="ARD20" s="128"/>
      <c r="ARE20" s="128"/>
      <c r="ARF20" s="128"/>
      <c r="ARG20" s="352" t="s">
        <v>2864</v>
      </c>
      <c r="ARH20" s="352"/>
      <c r="ARI20" s="352"/>
      <c r="ARJ20" s="352"/>
      <c r="ARK20" s="352"/>
      <c r="ARL20" s="352"/>
      <c r="ARM20" s="352"/>
      <c r="ARN20" s="352"/>
      <c r="ARO20" s="352"/>
      <c r="ARP20" s="352"/>
      <c r="ARQ20" s="352"/>
      <c r="ARR20" s="352"/>
      <c r="ARS20" s="352"/>
      <c r="ART20" s="352"/>
      <c r="ARU20" s="352"/>
      <c r="ARV20" s="8" t="s">
        <v>17</v>
      </c>
      <c r="ARW20" s="352" t="s">
        <v>2864</v>
      </c>
      <c r="ARX20" s="352"/>
      <c r="ARY20" s="352"/>
      <c r="ARZ20" s="352"/>
      <c r="ASA20" s="352"/>
      <c r="ASB20" s="352"/>
      <c r="ASC20" s="352"/>
      <c r="ASD20" s="352"/>
      <c r="ASE20" s="352"/>
      <c r="ASF20" s="352"/>
      <c r="ASG20" s="352"/>
      <c r="ASH20" s="352"/>
      <c r="ASI20" s="352"/>
      <c r="ASJ20" s="352"/>
      <c r="ASK20" s="352"/>
      <c r="ASL20" s="352"/>
      <c r="ASM20" s="352"/>
      <c r="ASN20" s="352"/>
      <c r="ASO20" s="352"/>
      <c r="ASP20" s="352"/>
      <c r="ASQ20" s="352"/>
      <c r="ASR20" s="352"/>
      <c r="ASS20" s="352"/>
      <c r="AST20" s="345" t="s">
        <v>2692</v>
      </c>
      <c r="ASU20" s="345"/>
      <c r="ASV20" s="352"/>
      <c r="ASW20" s="352"/>
      <c r="ASX20" s="352"/>
      <c r="ASY20" s="352"/>
      <c r="ASZ20" s="352"/>
      <c r="ATA20" s="352"/>
      <c r="ATB20" s="8" t="s">
        <v>17</v>
      </c>
      <c r="ATC20" s="352" t="s">
        <v>2692</v>
      </c>
      <c r="ATD20" s="352"/>
      <c r="ATE20" s="352"/>
      <c r="ATF20" s="352"/>
      <c r="ATG20" s="352"/>
      <c r="ATH20" s="352"/>
      <c r="ATI20" s="352"/>
      <c r="ATJ20" s="352"/>
      <c r="ATK20" s="352"/>
      <c r="ATL20" s="352"/>
      <c r="ATM20" s="352"/>
      <c r="ATN20" s="352"/>
      <c r="ATO20" s="352"/>
      <c r="ATP20" s="352"/>
      <c r="ATQ20" s="352"/>
      <c r="ATR20" s="352"/>
      <c r="ATS20" s="352"/>
      <c r="ATT20" s="352"/>
      <c r="ATU20" s="352"/>
      <c r="ATV20" s="352"/>
      <c r="ATW20" s="352"/>
      <c r="ATX20" s="352"/>
      <c r="ATY20" s="352"/>
      <c r="ATZ20" s="352"/>
      <c r="AUA20" s="352"/>
      <c r="AUB20" s="352"/>
      <c r="AUC20" s="352"/>
      <c r="AUD20" s="352"/>
      <c r="AUE20" s="352"/>
      <c r="AUF20" s="352"/>
      <c r="AUG20" s="8" t="s">
        <v>17</v>
      </c>
      <c r="AUH20" s="352" t="s">
        <v>2692</v>
      </c>
      <c r="AUI20" s="352"/>
      <c r="AUJ20" s="352"/>
      <c r="AUK20" s="352"/>
      <c r="AUL20" s="352"/>
      <c r="AUM20" s="352"/>
      <c r="AUN20" s="352"/>
      <c r="AUO20" s="352"/>
      <c r="AUP20" s="352"/>
      <c r="AUQ20" s="352"/>
      <c r="AUR20" s="352"/>
      <c r="AUS20" s="352"/>
      <c r="AUT20" s="352"/>
      <c r="AUU20" s="352"/>
      <c r="AUV20" s="352"/>
      <c r="AUW20" s="352"/>
      <c r="AUX20" s="352"/>
      <c r="AUY20" s="352"/>
      <c r="AUZ20" s="352"/>
      <c r="AVA20" s="352"/>
      <c r="AVB20" s="352"/>
      <c r="AVC20" s="352"/>
      <c r="AVD20" s="352"/>
      <c r="AVE20" s="352"/>
      <c r="AVF20" s="352"/>
      <c r="AVG20" s="352"/>
      <c r="AVH20" s="352"/>
      <c r="AVI20" s="352"/>
      <c r="AVJ20" s="352"/>
      <c r="AVK20" s="352"/>
      <c r="AVL20" s="352"/>
      <c r="AVM20" s="8" t="s">
        <v>17</v>
      </c>
      <c r="AVN20" s="352" t="s">
        <v>2692</v>
      </c>
      <c r="AVO20" s="352"/>
      <c r="AVP20" s="352"/>
      <c r="AVQ20" s="352"/>
      <c r="AVR20" s="352"/>
      <c r="AVS20" s="352"/>
      <c r="AVT20" s="352"/>
      <c r="AVU20" s="352"/>
      <c r="AVV20" s="352"/>
      <c r="AVW20" s="352"/>
      <c r="AVX20" s="352"/>
      <c r="AVY20" s="352"/>
      <c r="AVZ20" s="352"/>
      <c r="AWA20" s="352"/>
      <c r="AWB20" s="352"/>
      <c r="AWC20" s="352"/>
      <c r="AWD20" s="352"/>
      <c r="AWE20" s="352"/>
      <c r="AWF20" s="345" t="s">
        <v>2696</v>
      </c>
      <c r="AWG20" s="345"/>
      <c r="AWH20" s="352"/>
      <c r="AWI20" s="352"/>
      <c r="AWJ20" s="352"/>
      <c r="AWK20" s="352"/>
      <c r="AWL20" s="352"/>
      <c r="AWM20" s="352"/>
      <c r="AWN20" s="352"/>
      <c r="AWO20" s="352"/>
      <c r="AWP20" s="352"/>
      <c r="AWQ20" s="352"/>
      <c r="AWR20" s="8" t="s">
        <v>17</v>
      </c>
      <c r="AWS20" s="352" t="s">
        <v>2696</v>
      </c>
      <c r="AWT20" s="352"/>
      <c r="AWU20" s="352"/>
      <c r="AWV20" s="352"/>
      <c r="AWW20" s="352"/>
      <c r="AWX20" s="352"/>
      <c r="AWY20" s="352"/>
      <c r="AWZ20" s="352"/>
      <c r="AXA20" s="352"/>
      <c r="AXB20" s="352"/>
      <c r="AXC20" s="352"/>
      <c r="AXD20" s="352"/>
      <c r="AXE20" s="352"/>
      <c r="AXF20" s="352"/>
      <c r="AXG20" s="352"/>
      <c r="AXH20" s="352"/>
      <c r="AXI20" s="352"/>
      <c r="AXJ20" s="352"/>
      <c r="AXK20" s="352"/>
      <c r="AXL20" s="352"/>
      <c r="AXM20" s="352"/>
      <c r="AXN20" s="352"/>
      <c r="AXO20" s="352"/>
      <c r="AXP20" s="352"/>
      <c r="AXQ20" s="352"/>
      <c r="AXR20" s="352"/>
      <c r="AXS20" s="352"/>
      <c r="AXT20" s="352"/>
      <c r="AXU20" s="352"/>
      <c r="AXV20" s="352"/>
      <c r="AXW20" s="352"/>
      <c r="AXX20" s="8" t="s">
        <v>17</v>
      </c>
    </row>
    <row r="21" spans="1:1324" s="135" customFormat="1" ht="28.5" customHeight="1" x14ac:dyDescent="0.4">
      <c r="A21" s="711"/>
      <c r="B21" s="7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47"/>
      <c r="AI21" s="132"/>
      <c r="AJ21" s="132"/>
      <c r="AK21" s="132"/>
      <c r="AL21" s="132"/>
      <c r="AM21" s="132"/>
      <c r="AN21" s="132"/>
      <c r="AO21" s="132"/>
      <c r="AP21" s="132"/>
      <c r="AQ21" s="750"/>
      <c r="AR21" s="751"/>
      <c r="AS21" s="751"/>
      <c r="AT21" s="751"/>
      <c r="AU21" s="751"/>
      <c r="AV21" s="751"/>
      <c r="AW21" s="751"/>
      <c r="AX21" s="751"/>
      <c r="AY21" s="751"/>
      <c r="AZ21" s="75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7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7"/>
      <c r="CT21" s="135">
        <v>1845</v>
      </c>
      <c r="CU21" s="135">
        <v>1845</v>
      </c>
      <c r="CV21" s="135">
        <v>1845</v>
      </c>
      <c r="CX21" s="135">
        <v>1845</v>
      </c>
      <c r="CY21" s="135">
        <v>1845</v>
      </c>
      <c r="CZ21" s="135">
        <v>1845</v>
      </c>
      <c r="DA21" s="135">
        <v>1845</v>
      </c>
      <c r="DB21" s="135">
        <v>1845</v>
      </c>
      <c r="DC21" s="135">
        <v>1845</v>
      </c>
      <c r="DE21" s="135">
        <v>1845</v>
      </c>
      <c r="DF21" s="135">
        <v>1845</v>
      </c>
      <c r="DG21" s="135">
        <v>1845</v>
      </c>
      <c r="DH21" s="135">
        <v>1845</v>
      </c>
      <c r="DI21" s="135">
        <v>1845</v>
      </c>
      <c r="DJ21" s="135">
        <v>1845</v>
      </c>
      <c r="DL21" s="135">
        <v>1845</v>
      </c>
      <c r="DM21" s="135">
        <v>1845</v>
      </c>
      <c r="DN21" s="135">
        <v>1845</v>
      </c>
      <c r="DO21" s="135">
        <v>1845</v>
      </c>
      <c r="DP21" s="135">
        <v>1845</v>
      </c>
      <c r="DQ21" s="135">
        <v>1845</v>
      </c>
      <c r="DY21" s="7"/>
      <c r="EM21" s="135">
        <v>1800</v>
      </c>
      <c r="EN21" s="135">
        <v>1800</v>
      </c>
      <c r="EO21" s="135">
        <v>1800</v>
      </c>
      <c r="EP21" s="135">
        <v>1800</v>
      </c>
      <c r="EQ21" s="135">
        <v>1800</v>
      </c>
      <c r="ER21" s="135">
        <v>1800</v>
      </c>
      <c r="ES21" s="135">
        <v>1800</v>
      </c>
      <c r="ET21" s="135">
        <v>1800</v>
      </c>
      <c r="EV21" s="135">
        <v>1800</v>
      </c>
      <c r="EW21" s="135">
        <v>1800</v>
      </c>
      <c r="EX21" s="135">
        <v>1800</v>
      </c>
      <c r="EY21" s="135">
        <v>1800</v>
      </c>
      <c r="EZ21" s="135">
        <v>1800</v>
      </c>
      <c r="FA21" s="135">
        <v>1800</v>
      </c>
      <c r="FC21" s="135">
        <v>1800</v>
      </c>
      <c r="FD21" s="7"/>
      <c r="FE21" s="134">
        <v>1880</v>
      </c>
      <c r="FF21" s="134">
        <v>1880</v>
      </c>
      <c r="FG21" s="134">
        <v>1880</v>
      </c>
      <c r="FH21" s="134">
        <v>1880</v>
      </c>
      <c r="FI21" s="134">
        <v>1880</v>
      </c>
      <c r="FJ21" s="134"/>
      <c r="FK21" s="134">
        <v>1145</v>
      </c>
      <c r="FL21" s="134">
        <v>1880</v>
      </c>
      <c r="FM21" s="134">
        <v>2080</v>
      </c>
      <c r="FN21" s="134">
        <v>201</v>
      </c>
      <c r="FO21" s="134">
        <v>1920</v>
      </c>
      <c r="FP21" s="134">
        <v>1920</v>
      </c>
      <c r="FQ21" s="134"/>
      <c r="FR21" s="134">
        <v>1920</v>
      </c>
      <c r="FS21" s="134">
        <v>1920</v>
      </c>
      <c r="FT21" s="134"/>
      <c r="FU21" s="134">
        <v>1920</v>
      </c>
      <c r="FV21" s="134">
        <v>1920</v>
      </c>
      <c r="FW21" s="134">
        <v>1920</v>
      </c>
      <c r="FX21" s="134"/>
      <c r="FY21" s="134">
        <v>1920</v>
      </c>
      <c r="FZ21" s="134">
        <v>1920</v>
      </c>
      <c r="GA21" s="134">
        <v>1920</v>
      </c>
      <c r="GB21" s="134">
        <v>1920</v>
      </c>
      <c r="GC21" s="134">
        <v>1920</v>
      </c>
      <c r="GD21" s="134">
        <v>1920</v>
      </c>
      <c r="GE21" s="134"/>
      <c r="GF21" s="134">
        <v>1920</v>
      </c>
      <c r="GG21" s="134">
        <v>1920</v>
      </c>
      <c r="GH21" s="134">
        <v>1920</v>
      </c>
      <c r="GI21" s="134">
        <v>1920</v>
      </c>
      <c r="GJ21" s="7"/>
      <c r="GK21" s="136">
        <v>1680</v>
      </c>
      <c r="GL21" s="136">
        <v>1680</v>
      </c>
      <c r="GM21" s="136"/>
      <c r="GN21" s="136">
        <v>1680</v>
      </c>
      <c r="GO21" s="136">
        <v>1680</v>
      </c>
      <c r="GP21" s="136">
        <v>1680</v>
      </c>
      <c r="GQ21" s="136">
        <v>1680</v>
      </c>
      <c r="GR21" s="136">
        <v>1680</v>
      </c>
      <c r="GS21" s="136">
        <v>1680</v>
      </c>
      <c r="GT21" s="136"/>
      <c r="GU21" s="136">
        <v>1680</v>
      </c>
      <c r="GV21" s="136">
        <v>1680</v>
      </c>
      <c r="GW21" s="136">
        <v>1680</v>
      </c>
      <c r="GX21" s="136">
        <v>1680</v>
      </c>
      <c r="GY21" s="136">
        <v>1680</v>
      </c>
      <c r="GZ21" s="136">
        <v>1680</v>
      </c>
      <c r="HA21" s="136"/>
      <c r="HB21" s="136">
        <v>1680</v>
      </c>
      <c r="HC21" s="136">
        <v>1680</v>
      </c>
      <c r="HD21" s="136">
        <v>1680</v>
      </c>
      <c r="HE21" s="136">
        <v>1680</v>
      </c>
      <c r="HF21" s="136">
        <v>1680</v>
      </c>
      <c r="HG21" s="136">
        <v>1680</v>
      </c>
      <c r="HH21" s="136"/>
      <c r="HI21" s="136">
        <v>1680</v>
      </c>
      <c r="HJ21" s="136">
        <v>1680</v>
      </c>
      <c r="HK21" s="136">
        <v>1680</v>
      </c>
      <c r="HL21" s="136">
        <v>1680</v>
      </c>
      <c r="HM21" s="136">
        <v>1680</v>
      </c>
      <c r="HN21" s="136">
        <v>1680</v>
      </c>
      <c r="HP21" s="7"/>
      <c r="HQ21" s="129">
        <v>2365</v>
      </c>
      <c r="HR21" s="129">
        <v>2365</v>
      </c>
      <c r="HS21" s="129">
        <v>2365</v>
      </c>
      <c r="HT21" s="129">
        <v>2365</v>
      </c>
      <c r="HU21" s="129">
        <v>2365</v>
      </c>
      <c r="HV21" s="129">
        <v>2365</v>
      </c>
      <c r="HW21" s="129"/>
      <c r="HX21" s="129">
        <v>2365</v>
      </c>
      <c r="HY21" s="194">
        <v>1650</v>
      </c>
      <c r="HZ21" s="129">
        <v>3080</v>
      </c>
      <c r="IA21" s="129">
        <v>2310</v>
      </c>
      <c r="IB21" s="129">
        <v>2310</v>
      </c>
      <c r="IC21" s="129">
        <v>2310</v>
      </c>
      <c r="ID21" s="129"/>
      <c r="IE21" s="136">
        <v>2310</v>
      </c>
      <c r="IF21" s="136">
        <v>2310</v>
      </c>
      <c r="IG21" s="136">
        <v>2310</v>
      </c>
      <c r="IH21" s="136">
        <v>2310</v>
      </c>
      <c r="II21" s="136">
        <v>2310</v>
      </c>
      <c r="IJ21" s="136">
        <v>2310</v>
      </c>
      <c r="IK21" s="136"/>
      <c r="IL21" s="136">
        <v>2310</v>
      </c>
      <c r="IM21" s="136">
        <v>2310</v>
      </c>
      <c r="IN21" s="136">
        <v>2310</v>
      </c>
      <c r="IO21" s="136">
        <v>2310</v>
      </c>
      <c r="IP21" s="136">
        <v>2310</v>
      </c>
      <c r="IQ21" s="136">
        <v>2310</v>
      </c>
      <c r="IR21" s="136"/>
      <c r="IS21" s="136">
        <v>2310</v>
      </c>
      <c r="IT21" s="7"/>
      <c r="IU21" s="129">
        <v>2310</v>
      </c>
      <c r="IV21" s="129">
        <v>2310</v>
      </c>
      <c r="IW21" s="129">
        <v>2310</v>
      </c>
      <c r="IX21" s="129">
        <v>2310</v>
      </c>
      <c r="IY21" s="129">
        <v>2310</v>
      </c>
      <c r="IZ21" s="129"/>
      <c r="JA21" s="129">
        <v>2310</v>
      </c>
      <c r="JB21" s="129">
        <v>2310</v>
      </c>
      <c r="JC21" s="129">
        <v>2310</v>
      </c>
      <c r="JD21" s="129">
        <v>2310</v>
      </c>
      <c r="JE21" s="129">
        <v>2310</v>
      </c>
      <c r="JF21" s="129">
        <v>2310</v>
      </c>
      <c r="JG21" s="129"/>
      <c r="JH21" s="129">
        <v>2310</v>
      </c>
      <c r="JI21" s="129">
        <v>2310</v>
      </c>
      <c r="JJ21" s="194">
        <v>2310</v>
      </c>
      <c r="JK21" s="129">
        <v>600</v>
      </c>
      <c r="JL21" s="129">
        <v>1200</v>
      </c>
      <c r="JM21" s="129">
        <v>1800</v>
      </c>
      <c r="JN21" s="129"/>
      <c r="JO21" s="129">
        <v>2640</v>
      </c>
      <c r="JP21" s="129">
        <v>2640</v>
      </c>
      <c r="JQ21" s="129">
        <v>2640</v>
      </c>
      <c r="JR21" s="194">
        <v>2640</v>
      </c>
      <c r="JS21" s="129">
        <v>600</v>
      </c>
      <c r="JV21" s="129">
        <v>1200</v>
      </c>
      <c r="JW21" s="129">
        <v>1800</v>
      </c>
      <c r="JX21" s="129">
        <v>2530</v>
      </c>
      <c r="JY21" s="129">
        <v>2530</v>
      </c>
      <c r="JZ21" s="7"/>
      <c r="KA21" s="129">
        <v>2530</v>
      </c>
      <c r="KB21" s="129">
        <v>2530</v>
      </c>
      <c r="KC21" s="129"/>
      <c r="KD21" s="129">
        <v>2530</v>
      </c>
      <c r="KE21" s="129">
        <v>2530</v>
      </c>
      <c r="KF21" s="129">
        <v>2530</v>
      </c>
      <c r="KG21" s="129">
        <v>2530</v>
      </c>
      <c r="KH21" s="129"/>
      <c r="KI21" s="129">
        <v>2530</v>
      </c>
      <c r="KJ21" s="129">
        <v>2530</v>
      </c>
      <c r="KK21" s="129">
        <v>2530</v>
      </c>
      <c r="KL21" s="129">
        <v>2530</v>
      </c>
      <c r="KM21" s="129">
        <v>2530</v>
      </c>
      <c r="KN21" s="129"/>
      <c r="KO21" s="129">
        <v>2530</v>
      </c>
      <c r="KP21" s="129">
        <v>2530</v>
      </c>
      <c r="KQ21" s="129">
        <v>2530</v>
      </c>
      <c r="KR21" s="129">
        <v>2530</v>
      </c>
      <c r="KS21" s="194">
        <v>2530</v>
      </c>
      <c r="KT21" s="129">
        <v>275</v>
      </c>
      <c r="KU21" s="129">
        <v>495</v>
      </c>
      <c r="KV21" s="129">
        <v>660</v>
      </c>
      <c r="KW21" s="129">
        <v>770</v>
      </c>
      <c r="KX21" s="129"/>
      <c r="KY21" s="129">
        <v>800</v>
      </c>
      <c r="KZ21" s="129">
        <v>900</v>
      </c>
      <c r="LA21" s="129">
        <v>900</v>
      </c>
      <c r="LB21" s="129">
        <v>900</v>
      </c>
      <c r="LC21" s="129">
        <v>900</v>
      </c>
      <c r="LD21" s="129">
        <v>900</v>
      </c>
      <c r="LE21" s="129"/>
      <c r="LF21" s="129"/>
      <c r="LG21" s="129">
        <v>900</v>
      </c>
      <c r="LH21" s="129">
        <v>900</v>
      </c>
      <c r="LI21" s="129">
        <v>900</v>
      </c>
      <c r="LJ21" s="129">
        <v>900</v>
      </c>
      <c r="LK21" s="129">
        <v>900</v>
      </c>
      <c r="LL21" s="129">
        <v>900</v>
      </c>
      <c r="LM21" s="129">
        <v>900</v>
      </c>
      <c r="LN21" s="129">
        <v>900</v>
      </c>
      <c r="LO21" s="129">
        <v>900</v>
      </c>
      <c r="LP21" s="129">
        <v>900</v>
      </c>
      <c r="LQ21" s="129">
        <v>900</v>
      </c>
      <c r="LR21" s="129">
        <v>900</v>
      </c>
      <c r="LS21" s="129">
        <v>900</v>
      </c>
      <c r="LT21" s="129"/>
      <c r="LU21" s="129">
        <v>900</v>
      </c>
      <c r="LV21" s="129">
        <v>900</v>
      </c>
      <c r="LW21" s="129">
        <v>900</v>
      </c>
      <c r="LX21" s="129">
        <v>900</v>
      </c>
      <c r="LY21" s="129">
        <v>900</v>
      </c>
      <c r="LZ21" s="756"/>
      <c r="MA21" s="757"/>
      <c r="MB21" s="757"/>
      <c r="MC21" s="757"/>
      <c r="MD21" s="757"/>
      <c r="ME21" s="757"/>
      <c r="MF21" s="757"/>
      <c r="MG21" s="757"/>
      <c r="MH21" s="757"/>
      <c r="MI21" s="758"/>
      <c r="MJ21" s="129">
        <v>900</v>
      </c>
      <c r="MK21" s="7"/>
      <c r="ML21" s="336">
        <v>900</v>
      </c>
      <c r="MM21" s="340">
        <v>900</v>
      </c>
      <c r="MN21" s="336">
        <v>600</v>
      </c>
      <c r="MO21" s="336">
        <v>1200</v>
      </c>
      <c r="MP21" s="336"/>
      <c r="MQ21" s="336">
        <v>1800</v>
      </c>
      <c r="MR21" s="336">
        <v>2300</v>
      </c>
      <c r="MS21" s="336">
        <v>2300</v>
      </c>
      <c r="MT21" s="336">
        <v>2300</v>
      </c>
      <c r="MU21" s="336">
        <v>2300</v>
      </c>
      <c r="MV21" s="336">
        <v>2300</v>
      </c>
      <c r="MW21" s="336"/>
      <c r="MX21" s="336">
        <v>2300</v>
      </c>
      <c r="MY21" s="336">
        <v>2300</v>
      </c>
      <c r="MZ21" s="336">
        <v>2300</v>
      </c>
      <c r="NA21" s="336">
        <v>2300</v>
      </c>
      <c r="NB21" s="336">
        <v>2300</v>
      </c>
      <c r="NC21" s="336">
        <v>2300</v>
      </c>
      <c r="ND21" s="336"/>
      <c r="NE21" s="336">
        <v>2300</v>
      </c>
      <c r="NF21" s="336">
        <v>2300</v>
      </c>
      <c r="NG21" s="336">
        <v>2300</v>
      </c>
      <c r="NH21" s="340">
        <v>2300</v>
      </c>
      <c r="NI21" s="336">
        <v>2250</v>
      </c>
      <c r="NJ21" s="336">
        <v>2250</v>
      </c>
      <c r="NK21" s="336">
        <v>2250</v>
      </c>
      <c r="NL21" s="336">
        <v>2250</v>
      </c>
      <c r="NM21" s="336">
        <v>2250</v>
      </c>
      <c r="NN21" s="336">
        <v>2250</v>
      </c>
      <c r="NO21" s="336">
        <v>2250</v>
      </c>
      <c r="NP21" s="7"/>
      <c r="NQ21" s="346"/>
      <c r="NR21" s="346"/>
      <c r="NS21" s="346"/>
      <c r="NT21" s="346"/>
      <c r="NU21" s="346"/>
      <c r="NV21" s="346"/>
      <c r="NW21" s="346"/>
      <c r="NX21" s="346"/>
      <c r="NY21" s="346"/>
      <c r="NZ21" s="346"/>
      <c r="OA21" s="346"/>
      <c r="OB21" s="346"/>
      <c r="OC21" s="346"/>
      <c r="OD21" s="346"/>
      <c r="OE21" s="346"/>
      <c r="OF21" s="346"/>
      <c r="OG21" s="347"/>
      <c r="OH21" s="346"/>
      <c r="OI21" s="346"/>
      <c r="OJ21" s="346"/>
      <c r="OK21" s="346"/>
      <c r="OL21" s="346"/>
      <c r="OM21" s="346"/>
      <c r="ON21" s="346"/>
      <c r="OO21" s="346"/>
      <c r="OP21" s="346"/>
      <c r="OQ21" s="346"/>
      <c r="OR21" s="346"/>
      <c r="OS21" s="762"/>
      <c r="OT21" s="763"/>
      <c r="OU21" s="764"/>
      <c r="OV21" s="7"/>
      <c r="OW21" s="770"/>
      <c r="OX21" s="763"/>
      <c r="OY21" s="763"/>
      <c r="OZ21" s="763"/>
      <c r="PA21" s="763"/>
      <c r="PB21" s="763"/>
      <c r="PC21" s="771"/>
      <c r="PD21" s="353"/>
      <c r="PE21" s="353"/>
      <c r="PF21" s="353"/>
      <c r="PG21" s="353"/>
      <c r="PH21" s="353"/>
      <c r="PI21" s="353"/>
      <c r="PJ21" s="353"/>
      <c r="PK21" s="353"/>
      <c r="PL21" s="353"/>
      <c r="PM21" s="353"/>
      <c r="PN21" s="353"/>
      <c r="PO21" s="353"/>
      <c r="PP21" s="353"/>
      <c r="PQ21" s="353"/>
      <c r="PR21" s="353"/>
      <c r="PS21" s="353"/>
      <c r="PT21" s="353"/>
      <c r="PU21" s="353"/>
      <c r="PV21" s="353"/>
      <c r="PW21" s="353"/>
      <c r="PX21" s="353"/>
      <c r="PY21" s="353"/>
      <c r="PZ21" s="353"/>
      <c r="QA21" s="353"/>
      <c r="QB21" s="7"/>
      <c r="QC21" s="359"/>
      <c r="QD21" s="359"/>
      <c r="QE21" s="359"/>
      <c r="QF21" s="359"/>
      <c r="QG21" s="359"/>
      <c r="QH21" s="359"/>
      <c r="QI21" s="359"/>
      <c r="QJ21" s="359"/>
      <c r="QK21" s="359"/>
      <c r="QL21" s="359"/>
      <c r="QM21" s="359"/>
      <c r="QN21" s="359"/>
      <c r="QO21" s="359"/>
      <c r="QP21" s="359"/>
      <c r="QQ21" s="359"/>
      <c r="QR21" s="359"/>
      <c r="QS21" s="359"/>
      <c r="QT21" s="359"/>
      <c r="QU21" s="359"/>
      <c r="QV21" s="359"/>
      <c r="QW21" s="359"/>
      <c r="QX21" s="359"/>
      <c r="QY21" s="359"/>
      <c r="QZ21" s="359"/>
      <c r="RA21" s="359"/>
      <c r="RB21" s="359"/>
      <c r="RC21" s="359"/>
      <c r="RD21" s="359"/>
      <c r="RE21" s="359"/>
      <c r="RF21" s="359"/>
      <c r="RG21" s="7"/>
      <c r="RH21" s="439"/>
      <c r="RI21" s="439"/>
      <c r="RJ21" s="439"/>
      <c r="RK21" s="439"/>
      <c r="RL21" s="439"/>
      <c r="RM21" s="439"/>
      <c r="RN21" s="439"/>
      <c r="RO21" s="439"/>
      <c r="RP21" s="439"/>
      <c r="RQ21" s="439"/>
      <c r="RR21" s="439"/>
      <c r="RS21" s="439"/>
      <c r="RT21" s="439"/>
      <c r="RU21" s="439"/>
      <c r="RV21" s="439"/>
      <c r="RW21" s="439"/>
      <c r="RX21" s="439"/>
      <c r="RY21" s="439"/>
      <c r="RZ21" s="439"/>
      <c r="SA21" s="439"/>
      <c r="SB21" s="439"/>
      <c r="SC21" s="439"/>
      <c r="SD21" s="439"/>
      <c r="SE21" s="439"/>
      <c r="SF21" s="439"/>
      <c r="SG21" s="439"/>
      <c r="SH21" s="439"/>
      <c r="SI21" s="439"/>
      <c r="SJ21" s="439"/>
      <c r="SK21" s="439"/>
      <c r="SL21" s="439"/>
      <c r="SM21" s="7"/>
      <c r="SN21" s="439"/>
      <c r="SO21" s="439"/>
      <c r="SP21" s="439"/>
      <c r="SQ21" s="439"/>
      <c r="SR21" s="439"/>
      <c r="SS21" s="439"/>
      <c r="ST21" s="439"/>
      <c r="SU21" s="439"/>
      <c r="SV21" s="439"/>
      <c r="SW21" s="439"/>
      <c r="SX21" s="439"/>
      <c r="SY21" s="439"/>
      <c r="SZ21" s="439"/>
      <c r="TA21" s="439"/>
      <c r="TB21" s="439"/>
      <c r="TC21" s="439"/>
      <c r="TD21" s="439"/>
      <c r="TE21" s="439"/>
      <c r="TF21" s="439"/>
      <c r="TG21" s="439"/>
      <c r="TH21" s="439"/>
      <c r="TI21" s="439"/>
      <c r="TJ21" s="439"/>
      <c r="TK21" s="439"/>
      <c r="TL21" s="439"/>
      <c r="TM21" s="439"/>
      <c r="TN21" s="439"/>
      <c r="TO21" s="439"/>
      <c r="TP21" s="439"/>
      <c r="TQ21" s="439"/>
      <c r="TR21" s="7"/>
      <c r="TS21" s="439"/>
      <c r="TT21" s="439"/>
      <c r="TU21" s="439"/>
      <c r="TV21" s="439"/>
      <c r="TW21" s="439"/>
      <c r="TX21" s="439"/>
      <c r="TY21" s="439"/>
      <c r="TZ21" s="439"/>
      <c r="UA21" s="439"/>
      <c r="UB21" s="439"/>
      <c r="UC21" s="439"/>
      <c r="UD21" s="439"/>
      <c r="UE21" s="439"/>
      <c r="UF21" s="439"/>
      <c r="UG21" s="439"/>
      <c r="UH21" s="439"/>
      <c r="UI21" s="447"/>
      <c r="UJ21" s="447"/>
      <c r="UK21" s="447"/>
      <c r="UL21" s="447"/>
      <c r="UM21" s="447"/>
      <c r="UN21" s="447"/>
      <c r="UO21" s="447"/>
      <c r="UP21" s="447"/>
      <c r="UQ21" s="447"/>
      <c r="UR21" s="447"/>
      <c r="US21" s="447"/>
      <c r="UT21" s="447"/>
      <c r="UU21" s="447"/>
      <c r="UV21" s="447"/>
      <c r="UW21" s="447"/>
      <c r="UX21" s="7"/>
      <c r="UY21" s="447"/>
      <c r="UZ21" s="447"/>
      <c r="VA21" s="447"/>
      <c r="VB21" s="447"/>
      <c r="VC21" s="447"/>
      <c r="VD21" s="447"/>
      <c r="VE21" s="447"/>
      <c r="VF21" s="447"/>
      <c r="VG21" s="447"/>
      <c r="VH21" s="447"/>
      <c r="VI21" s="447"/>
      <c r="VJ21" s="447"/>
      <c r="VK21" s="447"/>
      <c r="VL21" s="447"/>
      <c r="VM21" s="447"/>
      <c r="VN21" s="447"/>
      <c r="VO21" s="447"/>
      <c r="VP21" s="447"/>
      <c r="VQ21" s="447"/>
      <c r="VR21" s="447"/>
      <c r="VS21" s="447"/>
      <c r="VT21" s="447"/>
      <c r="WD21" s="7"/>
      <c r="WF21" s="364"/>
      <c r="WG21" s="364"/>
      <c r="WH21" s="364"/>
      <c r="WI21" s="364"/>
      <c r="WJ21" s="364"/>
      <c r="WK21" s="364"/>
      <c r="WL21" s="364"/>
      <c r="WM21" s="364"/>
      <c r="WN21" s="364"/>
      <c r="WO21" s="364"/>
      <c r="WP21" s="364"/>
      <c r="WQ21" s="364"/>
      <c r="WR21" s="364"/>
      <c r="WS21" s="364"/>
      <c r="WT21" s="364"/>
      <c r="WU21" s="364"/>
      <c r="WV21" s="364"/>
      <c r="WW21" s="364"/>
      <c r="WX21" s="364"/>
      <c r="WY21" s="364"/>
      <c r="XG21" s="7"/>
      <c r="YI21" s="364"/>
      <c r="YJ21" s="364"/>
      <c r="YK21" s="364"/>
      <c r="YM21" s="7"/>
      <c r="YQ21" s="364"/>
      <c r="YR21" s="364"/>
      <c r="YS21" s="364"/>
      <c r="YT21" s="364"/>
      <c r="YU21" s="364"/>
      <c r="YV21" s="364"/>
      <c r="YW21" s="364"/>
      <c r="YX21" s="364"/>
      <c r="YY21" s="364"/>
      <c r="YZ21" s="364"/>
      <c r="ZR21" s="7"/>
      <c r="AAI21" s="364"/>
      <c r="AAJ21" s="364"/>
      <c r="AAK21" s="364"/>
      <c r="AAL21" s="364"/>
      <c r="AAM21" s="364"/>
      <c r="AAN21" s="364"/>
      <c r="AAO21" s="364"/>
      <c r="AAP21" s="364"/>
      <c r="AAQ21" s="364"/>
      <c r="AAR21" s="364"/>
      <c r="AAS21" s="364"/>
      <c r="AAT21" s="364"/>
      <c r="AAU21" s="364"/>
      <c r="AAV21" s="364"/>
      <c r="AAW21" s="364"/>
      <c r="AAX21" s="7">
        <v>4</v>
      </c>
      <c r="AAY21" s="337" t="s">
        <v>2292</v>
      </c>
      <c r="AAZ21" s="337" t="s">
        <v>2293</v>
      </c>
      <c r="ABA21" s="337"/>
      <c r="ABB21" s="337"/>
      <c r="ABC21" s="337"/>
      <c r="ABD21" s="337"/>
      <c r="ABE21" s="337"/>
      <c r="ABF21" s="337"/>
      <c r="ABG21" s="337"/>
      <c r="ABH21" s="337"/>
      <c r="ABI21" s="337"/>
      <c r="ABJ21" s="337"/>
      <c r="ABK21" s="364"/>
      <c r="ABL21" s="364"/>
      <c r="ABM21" s="364"/>
      <c r="ABN21" s="364"/>
      <c r="ABR21" s="364"/>
      <c r="ABS21" s="364"/>
      <c r="ABT21" s="364"/>
      <c r="ABU21" s="364"/>
      <c r="ABV21" s="364"/>
      <c r="ABW21" s="364"/>
      <c r="ABX21" s="364"/>
      <c r="ABY21" s="364"/>
      <c r="ABZ21" s="364"/>
      <c r="ACA21" s="364"/>
      <c r="ACB21" s="364"/>
      <c r="ACC21" s="7"/>
      <c r="ACD21" s="337"/>
      <c r="ACE21" s="337"/>
      <c r="ACF21" s="337"/>
      <c r="ACG21" s="337"/>
      <c r="ACH21" s="337"/>
      <c r="ACI21" s="337"/>
      <c r="ACJ21" s="337"/>
      <c r="ACK21" s="337"/>
      <c r="ACL21" s="337"/>
      <c r="ACM21" s="337"/>
      <c r="ACN21" s="337"/>
      <c r="ACO21" s="337"/>
      <c r="ACP21" s="337"/>
      <c r="ACQ21" s="337"/>
      <c r="ACR21" s="337"/>
      <c r="ACS21" s="337"/>
      <c r="ACT21" s="337"/>
      <c r="ACU21" s="337"/>
      <c r="ACV21" s="704"/>
      <c r="ACW21" s="705"/>
      <c r="ACX21" s="705"/>
      <c r="ACY21" s="705"/>
      <c r="ACZ21" s="705"/>
      <c r="ADA21" s="705"/>
      <c r="ADB21" s="705"/>
      <c r="ADC21" s="705"/>
      <c r="ADD21" s="706"/>
      <c r="ADI21" s="7"/>
      <c r="ADJ21" s="314">
        <v>8</v>
      </c>
      <c r="ADK21" s="314">
        <v>11</v>
      </c>
      <c r="ADL21" s="314">
        <v>11</v>
      </c>
      <c r="ADM21" s="314">
        <v>11</v>
      </c>
      <c r="ADN21" s="314">
        <v>8</v>
      </c>
      <c r="ADO21" s="314"/>
      <c r="ADP21" s="314">
        <v>11</v>
      </c>
      <c r="ADQ21" s="314">
        <v>11</v>
      </c>
      <c r="ADR21" s="314">
        <v>11</v>
      </c>
      <c r="ADS21" s="314">
        <v>11</v>
      </c>
      <c r="ADT21" s="314">
        <v>11</v>
      </c>
      <c r="ADU21" s="314">
        <v>11</v>
      </c>
      <c r="ADV21" s="314"/>
      <c r="ADW21" s="314">
        <v>11</v>
      </c>
      <c r="ADX21" s="314"/>
      <c r="ADY21" s="314">
        <v>11</v>
      </c>
      <c r="ADZ21" s="314">
        <v>11</v>
      </c>
      <c r="AEA21" s="314">
        <v>11</v>
      </c>
      <c r="AEB21" s="314">
        <v>8</v>
      </c>
      <c r="AEC21" s="314"/>
      <c r="AED21" s="314">
        <v>11</v>
      </c>
      <c r="AEE21" s="314">
        <v>11</v>
      </c>
      <c r="AEF21" s="314">
        <v>11</v>
      </c>
      <c r="AEG21" s="314">
        <v>11</v>
      </c>
      <c r="AEH21" s="314">
        <v>11</v>
      </c>
      <c r="AEI21" s="314">
        <v>11</v>
      </c>
      <c r="AEJ21" s="314"/>
      <c r="AEK21" s="314">
        <v>11</v>
      </c>
      <c r="AEL21" s="314">
        <v>11</v>
      </c>
      <c r="AEM21" s="314">
        <v>11</v>
      </c>
      <c r="AEN21" s="314">
        <v>11</v>
      </c>
      <c r="AEO21" s="7"/>
      <c r="AEP21" s="314">
        <v>11</v>
      </c>
      <c r="AEQ21" s="314">
        <v>11</v>
      </c>
      <c r="AER21" s="314"/>
      <c r="AES21" s="314">
        <v>11</v>
      </c>
      <c r="AET21" s="314">
        <v>11</v>
      </c>
      <c r="AEU21" s="314">
        <v>11</v>
      </c>
      <c r="AEV21" s="314">
        <v>11</v>
      </c>
      <c r="AEW21" s="314">
        <v>11</v>
      </c>
      <c r="AEX21" s="314">
        <v>11</v>
      </c>
      <c r="AEY21" s="314"/>
      <c r="AEZ21" s="314">
        <v>11</v>
      </c>
      <c r="AFA21" s="314">
        <v>11</v>
      </c>
      <c r="AFB21" s="314">
        <v>11</v>
      </c>
      <c r="AFC21" s="314">
        <v>11</v>
      </c>
      <c r="AFD21" s="314">
        <v>11</v>
      </c>
      <c r="AFE21" s="314">
        <v>11</v>
      </c>
      <c r="AFF21" s="314"/>
      <c r="AFG21" s="636">
        <v>11</v>
      </c>
      <c r="AFH21" s="314">
        <v>2643</v>
      </c>
      <c r="AFI21" s="314">
        <v>2300</v>
      </c>
      <c r="AFJ21" s="314">
        <v>2250</v>
      </c>
      <c r="AFK21" s="314">
        <v>2250</v>
      </c>
      <c r="AFL21" s="314">
        <v>2250</v>
      </c>
      <c r="AFM21" s="314"/>
      <c r="AFN21" s="314">
        <v>2250</v>
      </c>
      <c r="AFO21" s="314">
        <v>2250</v>
      </c>
      <c r="AFP21" s="314">
        <v>2250</v>
      </c>
      <c r="AFQ21" s="314">
        <v>2250</v>
      </c>
      <c r="AFR21" s="314">
        <v>2250</v>
      </c>
      <c r="AFS21" s="314">
        <v>2250</v>
      </c>
      <c r="AFT21" s="7"/>
      <c r="AFV21" s="314">
        <v>2250</v>
      </c>
      <c r="AFW21" s="314">
        <v>2250</v>
      </c>
      <c r="AFX21" s="314">
        <v>2250</v>
      </c>
      <c r="AFY21" s="314">
        <v>2250</v>
      </c>
      <c r="AFZ21" s="314">
        <v>2250</v>
      </c>
      <c r="AGA21" s="314">
        <v>2250</v>
      </c>
      <c r="AGB21" s="314"/>
      <c r="AGC21" s="314">
        <v>2250</v>
      </c>
      <c r="AGD21" s="314">
        <v>2250</v>
      </c>
      <c r="AGE21" s="314">
        <v>2250</v>
      </c>
      <c r="AGF21" s="314">
        <v>2250</v>
      </c>
      <c r="AGG21" s="314">
        <v>2250</v>
      </c>
      <c r="AGH21" s="314">
        <v>2250</v>
      </c>
      <c r="AGI21" s="314"/>
      <c r="AGJ21" s="314">
        <v>2250</v>
      </c>
      <c r="AGK21" s="314">
        <v>2250</v>
      </c>
      <c r="AGL21" s="314">
        <v>2250</v>
      </c>
      <c r="AGM21" s="314">
        <v>2250</v>
      </c>
      <c r="AGN21" s="314">
        <v>2250</v>
      </c>
      <c r="AGO21" s="314">
        <v>2250</v>
      </c>
      <c r="AGP21" s="314"/>
      <c r="AGQ21" s="314">
        <v>2250</v>
      </c>
      <c r="AGR21" s="314">
        <v>2250</v>
      </c>
      <c r="AGS21" s="314">
        <v>2250</v>
      </c>
      <c r="AGT21" s="314">
        <v>2250</v>
      </c>
      <c r="AGU21" s="314">
        <v>2250</v>
      </c>
      <c r="AGV21" s="314">
        <v>2250</v>
      </c>
      <c r="AGW21" s="364"/>
      <c r="AGX21" s="314">
        <v>2250</v>
      </c>
      <c r="AGY21" s="314">
        <v>2250</v>
      </c>
      <c r="AGZ21" s="7"/>
      <c r="AHA21" s="314">
        <v>2500</v>
      </c>
      <c r="AHB21" s="314">
        <v>2500</v>
      </c>
      <c r="AHC21" s="314">
        <v>2500</v>
      </c>
      <c r="AHD21" s="314">
        <v>2500</v>
      </c>
      <c r="AHE21" s="314"/>
      <c r="AHF21" s="314">
        <v>2500</v>
      </c>
      <c r="AHG21" s="314">
        <v>2500</v>
      </c>
      <c r="AHH21" s="314">
        <v>2500</v>
      </c>
      <c r="AHI21" s="314">
        <v>2500</v>
      </c>
      <c r="AHJ21" s="314">
        <v>2500</v>
      </c>
      <c r="AHK21" s="314">
        <v>2500</v>
      </c>
      <c r="AHL21" s="314"/>
      <c r="AHM21" s="314">
        <v>2500</v>
      </c>
      <c r="AHN21" s="314">
        <v>2500</v>
      </c>
      <c r="AHO21" s="314">
        <v>2500</v>
      </c>
      <c r="AHP21" s="314">
        <v>2500</v>
      </c>
      <c r="AHQ21" s="314">
        <v>2500</v>
      </c>
      <c r="AHR21" s="314">
        <v>2500</v>
      </c>
      <c r="AHS21" s="314"/>
      <c r="AHT21" s="314">
        <v>2500</v>
      </c>
      <c r="AHU21" s="314">
        <v>2500</v>
      </c>
      <c r="AHV21" s="314">
        <v>2500</v>
      </c>
      <c r="AHW21" s="124">
        <v>2500</v>
      </c>
      <c r="AHX21" s="314">
        <v>2500</v>
      </c>
      <c r="AHY21" s="314">
        <v>2500</v>
      </c>
      <c r="AHZ21" s="314"/>
      <c r="AIA21" s="314">
        <v>2500</v>
      </c>
      <c r="AIB21" s="314">
        <v>2500</v>
      </c>
      <c r="AIC21" s="314">
        <v>2500</v>
      </c>
      <c r="AID21" s="314">
        <v>2500</v>
      </c>
      <c r="AIE21" s="314"/>
      <c r="AIF21" s="314">
        <v>2500</v>
      </c>
      <c r="AIG21" s="314">
        <v>2500</v>
      </c>
      <c r="AIH21" s="314"/>
      <c r="AII21" s="314">
        <v>2500</v>
      </c>
      <c r="AIJ21" s="314">
        <v>2500</v>
      </c>
      <c r="AIK21" s="314">
        <v>2500</v>
      </c>
      <c r="AIL21" s="314">
        <v>2500</v>
      </c>
      <c r="AIM21" s="314">
        <v>2500</v>
      </c>
      <c r="AIN21" s="314">
        <v>2500</v>
      </c>
      <c r="AIO21" s="314"/>
      <c r="AIP21" s="314">
        <v>2500</v>
      </c>
      <c r="AIQ21" s="314">
        <v>2500</v>
      </c>
      <c r="AIR21" s="314">
        <v>2500</v>
      </c>
      <c r="AIS21" s="314">
        <v>2500</v>
      </c>
      <c r="AIT21" s="314">
        <v>2500</v>
      </c>
      <c r="AIU21" s="364"/>
      <c r="AIV21" s="364"/>
      <c r="AIW21" s="314">
        <v>2500</v>
      </c>
      <c r="AIX21" s="314">
        <v>2500</v>
      </c>
      <c r="AIY21" s="314">
        <v>2500</v>
      </c>
      <c r="AIZ21" s="314">
        <v>2500</v>
      </c>
      <c r="AJA21" s="314">
        <v>2500</v>
      </c>
      <c r="AJB21" s="314">
        <v>2500</v>
      </c>
      <c r="AJC21" s="314"/>
      <c r="AJD21" s="314">
        <v>2500</v>
      </c>
      <c r="AJE21" s="314">
        <v>2500</v>
      </c>
      <c r="AJF21" s="314">
        <v>2500</v>
      </c>
      <c r="AJG21" s="314">
        <v>2500</v>
      </c>
      <c r="AJH21" s="314">
        <v>2500</v>
      </c>
      <c r="AJI21" s="314">
        <v>2500</v>
      </c>
      <c r="AJJ21" s="314"/>
      <c r="AJK21" s="7"/>
      <c r="AJL21" s="314">
        <v>2250</v>
      </c>
      <c r="AJM21" s="314">
        <v>2250</v>
      </c>
      <c r="AJN21" s="314">
        <v>2250</v>
      </c>
      <c r="AJO21" s="314">
        <v>2250</v>
      </c>
      <c r="AJP21" s="314">
        <v>2250</v>
      </c>
      <c r="AJQ21" s="314">
        <v>2250</v>
      </c>
      <c r="AJR21" s="314"/>
      <c r="AJS21" s="314">
        <v>2250</v>
      </c>
      <c r="AJT21" s="314">
        <v>2250</v>
      </c>
      <c r="AJU21" s="314">
        <v>2250</v>
      </c>
      <c r="AJV21" s="314">
        <v>2250</v>
      </c>
      <c r="AJW21" s="314">
        <v>2250</v>
      </c>
      <c r="AJX21" s="314">
        <v>2250</v>
      </c>
      <c r="AJY21" s="314"/>
      <c r="AJZ21" s="314">
        <v>2250</v>
      </c>
      <c r="AKA21" s="314">
        <v>2250</v>
      </c>
      <c r="AKB21" s="314">
        <v>2250</v>
      </c>
      <c r="AKC21" s="314">
        <v>2250</v>
      </c>
      <c r="AKD21" s="314">
        <v>2250</v>
      </c>
      <c r="AKE21" s="314">
        <v>2250</v>
      </c>
      <c r="AKF21" s="314"/>
      <c r="AKG21" s="314">
        <v>2250</v>
      </c>
      <c r="AKH21" s="314">
        <v>2250</v>
      </c>
      <c r="AKI21" s="314">
        <v>2250</v>
      </c>
      <c r="AKJ21" s="314">
        <v>2250</v>
      </c>
      <c r="AKK21" s="314">
        <v>2250</v>
      </c>
      <c r="AKL21" s="314">
        <v>2250</v>
      </c>
      <c r="AKM21" s="314"/>
      <c r="AKN21" s="314">
        <v>2250</v>
      </c>
      <c r="AKO21" s="314">
        <v>2250</v>
      </c>
      <c r="AKP21" s="314">
        <v>2250</v>
      </c>
      <c r="AKQ21" s="7"/>
      <c r="AKR21" s="314">
        <v>2250</v>
      </c>
      <c r="AKS21" s="314">
        <v>2250</v>
      </c>
      <c r="AKT21" s="314">
        <v>2250</v>
      </c>
      <c r="AKU21" s="314"/>
      <c r="AKV21" s="314">
        <v>2250</v>
      </c>
      <c r="AKW21" s="314">
        <v>2250</v>
      </c>
      <c r="AKX21" s="314">
        <v>2250</v>
      </c>
      <c r="AKY21" s="314">
        <v>2250</v>
      </c>
      <c r="AKZ21" s="314">
        <v>2250</v>
      </c>
      <c r="ALA21" s="314">
        <v>2250</v>
      </c>
      <c r="ALB21" s="314"/>
      <c r="ALC21" s="124">
        <v>2250</v>
      </c>
      <c r="ALD21" s="314">
        <v>2300</v>
      </c>
      <c r="ALE21" s="314">
        <v>2300</v>
      </c>
      <c r="ALF21" s="314">
        <v>2300</v>
      </c>
      <c r="ALG21" s="314">
        <v>2300</v>
      </c>
      <c r="ALH21" s="314">
        <v>2300</v>
      </c>
      <c r="ALI21" s="314"/>
      <c r="ALJ21" s="314">
        <v>2300</v>
      </c>
      <c r="ALK21" s="314">
        <v>2300</v>
      </c>
      <c r="ALL21" s="314"/>
      <c r="ALM21" s="314">
        <v>2300</v>
      </c>
      <c r="ALN21" s="314">
        <v>2300</v>
      </c>
      <c r="ALO21" s="314">
        <v>2300</v>
      </c>
      <c r="ALP21" s="314"/>
      <c r="ALQ21" s="314">
        <v>2300</v>
      </c>
      <c r="ALR21" s="314">
        <v>2300</v>
      </c>
      <c r="ALS21" s="314">
        <v>2300</v>
      </c>
      <c r="ALT21" s="7"/>
      <c r="ALU21" s="314">
        <v>2300</v>
      </c>
      <c r="ALV21" s="314">
        <v>2300</v>
      </c>
      <c r="ALW21" s="314">
        <v>2300</v>
      </c>
      <c r="ALX21" s="314"/>
      <c r="ALY21" s="314">
        <v>2300</v>
      </c>
      <c r="ALZ21" s="314">
        <v>2300</v>
      </c>
      <c r="AMA21" s="314">
        <v>2300</v>
      </c>
      <c r="AMB21" s="314">
        <v>2300</v>
      </c>
      <c r="AMC21" s="314">
        <v>2300</v>
      </c>
      <c r="AMD21" s="314">
        <v>2300</v>
      </c>
      <c r="AME21" s="314"/>
      <c r="AMF21" s="314">
        <v>2300</v>
      </c>
      <c r="AMG21" s="314">
        <v>2300</v>
      </c>
      <c r="AMH21" s="314">
        <v>2300</v>
      </c>
      <c r="AMI21" s="314">
        <v>2300</v>
      </c>
      <c r="AMJ21" s="314">
        <v>2300</v>
      </c>
      <c r="AMK21" s="314">
        <v>2300</v>
      </c>
      <c r="AML21" s="314"/>
      <c r="AMM21" s="314">
        <v>2300</v>
      </c>
      <c r="AMN21" s="314">
        <v>2300</v>
      </c>
      <c r="AMO21" s="314">
        <v>2300</v>
      </c>
      <c r="AMP21" s="314">
        <v>2300</v>
      </c>
      <c r="AMQ21" s="314">
        <v>2300</v>
      </c>
      <c r="AMR21" s="314">
        <v>2300</v>
      </c>
      <c r="AMS21" s="314"/>
      <c r="AMT21" s="314"/>
      <c r="AMU21" s="314">
        <v>2300</v>
      </c>
      <c r="AMV21" s="314">
        <v>2300</v>
      </c>
      <c r="AMW21" s="314">
        <v>2300</v>
      </c>
      <c r="AMX21" s="314">
        <v>2300</v>
      </c>
      <c r="AMY21" s="314">
        <v>2300</v>
      </c>
      <c r="AMZ21" s="7"/>
      <c r="ANA21" s="364"/>
      <c r="ANB21" s="314">
        <v>1840</v>
      </c>
      <c r="ANC21" s="314">
        <v>1840</v>
      </c>
      <c r="AND21" s="314">
        <v>1840</v>
      </c>
      <c r="ANE21" s="314">
        <v>1840</v>
      </c>
      <c r="ANF21" s="314">
        <v>1840</v>
      </c>
      <c r="ANG21" s="314">
        <v>1840</v>
      </c>
      <c r="ANH21" s="314">
        <v>1840</v>
      </c>
      <c r="ANI21" s="314">
        <v>1840</v>
      </c>
      <c r="ANJ21" s="314">
        <v>1840</v>
      </c>
      <c r="ANK21" s="314">
        <v>1840</v>
      </c>
      <c r="ANL21" s="314">
        <v>1840</v>
      </c>
      <c r="ANM21" s="314">
        <v>1840</v>
      </c>
      <c r="ANN21" s="314"/>
      <c r="ANO21" s="314"/>
      <c r="ANP21" s="314">
        <v>1840</v>
      </c>
      <c r="ANQ21" s="314">
        <v>1840</v>
      </c>
      <c r="ANR21" s="124">
        <v>1840</v>
      </c>
      <c r="ANS21" s="314">
        <v>1840</v>
      </c>
      <c r="ANT21" s="314">
        <v>1840</v>
      </c>
      <c r="ANU21" s="314">
        <v>1840</v>
      </c>
      <c r="ANV21" s="314">
        <v>1840</v>
      </c>
      <c r="ANW21" s="314">
        <v>1840</v>
      </c>
      <c r="ANX21" s="314">
        <v>1840</v>
      </c>
      <c r="ANY21" s="314">
        <v>1840</v>
      </c>
      <c r="ANZ21" s="314">
        <v>1840</v>
      </c>
      <c r="AOA21" s="314">
        <v>1840</v>
      </c>
      <c r="AOB21" s="314">
        <v>1840</v>
      </c>
      <c r="AOC21" s="314"/>
      <c r="AOD21" s="314">
        <v>1840</v>
      </c>
      <c r="AOE21" s="7"/>
      <c r="AOF21" s="128"/>
      <c r="AOG21" s="128"/>
      <c r="AOH21" s="128"/>
      <c r="AOI21" s="128"/>
      <c r="AOJ21" s="128"/>
      <c r="AOK21" s="128"/>
      <c r="AOL21" s="128"/>
      <c r="AOM21" s="128"/>
      <c r="AON21" s="128"/>
      <c r="AOO21" s="314">
        <v>2300</v>
      </c>
      <c r="AOP21" s="314">
        <v>2300</v>
      </c>
      <c r="AOQ21" s="314">
        <v>2300</v>
      </c>
      <c r="AOR21" s="314"/>
      <c r="AOS21" s="314">
        <v>2300</v>
      </c>
      <c r="AOT21" s="314">
        <v>2300</v>
      </c>
      <c r="AOU21" s="314">
        <v>2300</v>
      </c>
      <c r="AOV21" s="314">
        <v>2300</v>
      </c>
      <c r="AOW21" s="314">
        <v>2300</v>
      </c>
      <c r="AOX21" s="314">
        <v>2300</v>
      </c>
      <c r="AOY21" s="314"/>
      <c r="AOZ21" s="314">
        <v>2300</v>
      </c>
      <c r="APA21" s="124">
        <v>2300</v>
      </c>
      <c r="APB21" s="314">
        <v>2300</v>
      </c>
      <c r="APC21" s="314">
        <v>2300</v>
      </c>
      <c r="APD21" s="314">
        <v>2300</v>
      </c>
      <c r="APE21" s="314">
        <v>2300</v>
      </c>
      <c r="APF21" s="314"/>
      <c r="APG21" s="314">
        <v>2300</v>
      </c>
      <c r="APH21" s="314">
        <v>2300</v>
      </c>
      <c r="API21" s="314">
        <v>2300</v>
      </c>
      <c r="APJ21" s="314">
        <v>2300</v>
      </c>
      <c r="APK21" s="7"/>
      <c r="APL21" s="314">
        <v>2300</v>
      </c>
      <c r="APM21" s="314">
        <v>2300</v>
      </c>
      <c r="APN21" s="314">
        <v>1840</v>
      </c>
      <c r="APO21" s="314">
        <v>2300</v>
      </c>
      <c r="APP21" s="314">
        <v>2300</v>
      </c>
      <c r="APQ21" s="314">
        <v>2300</v>
      </c>
      <c r="APR21" s="314">
        <v>2300</v>
      </c>
      <c r="APS21" s="314">
        <v>2300</v>
      </c>
      <c r="APT21" s="314">
        <v>2300</v>
      </c>
      <c r="APU21" s="314"/>
      <c r="APV21" s="124">
        <v>2300</v>
      </c>
      <c r="APW21" s="314"/>
      <c r="APX21" s="314"/>
      <c r="APY21" s="314"/>
      <c r="APZ21" s="314"/>
      <c r="AQA21" s="314"/>
      <c r="AQB21" s="314"/>
      <c r="AQC21" s="314"/>
      <c r="AQD21" s="314"/>
      <c r="AQE21" s="314"/>
      <c r="AQF21" s="314"/>
      <c r="AQG21" s="314"/>
      <c r="AQH21" s="314"/>
      <c r="AQI21" s="314"/>
      <c r="AQJ21" s="314"/>
      <c r="AQK21" s="314"/>
      <c r="AQL21" s="314"/>
      <c r="AQM21" s="314"/>
      <c r="AQN21" s="314"/>
      <c r="AQO21" s="314"/>
      <c r="AQP21" s="7"/>
      <c r="AQQ21" s="314"/>
      <c r="AQR21" s="314"/>
      <c r="AQS21" s="314"/>
      <c r="AQT21" s="314"/>
      <c r="AQU21" s="314"/>
      <c r="AQV21" s="314"/>
      <c r="AQW21" s="314"/>
      <c r="AQX21" s="128"/>
      <c r="AQY21" s="128"/>
      <c r="AQZ21" s="128"/>
      <c r="ARA21" s="128"/>
      <c r="ARB21" s="128"/>
      <c r="ARC21" s="128"/>
      <c r="ARD21" s="128"/>
      <c r="ARE21" s="128"/>
      <c r="ARF21" s="128"/>
      <c r="ARG21" s="314"/>
      <c r="ARH21" s="314"/>
      <c r="ARI21" s="314"/>
      <c r="ARJ21" s="314"/>
      <c r="ARK21" s="314"/>
      <c r="ARL21" s="314"/>
      <c r="ARM21" s="314"/>
      <c r="ARN21" s="314"/>
      <c r="ARO21" s="314"/>
      <c r="ARP21" s="314"/>
      <c r="ARQ21" s="314"/>
      <c r="ARR21" s="314"/>
      <c r="ARS21" s="314"/>
      <c r="ART21" s="314"/>
      <c r="ARU21" s="314"/>
      <c r="ARV21" s="7"/>
      <c r="ARW21" s="314"/>
      <c r="ARX21" s="314"/>
      <c r="ARY21" s="314"/>
      <c r="ARZ21" s="314"/>
      <c r="ASA21" s="314"/>
      <c r="ASB21" s="314"/>
      <c r="ASC21" s="314"/>
      <c r="ASD21" s="314"/>
      <c r="ASE21" s="314"/>
      <c r="ASF21" s="314"/>
      <c r="ASG21" s="314"/>
      <c r="ASH21" s="314"/>
      <c r="ASI21" s="314"/>
      <c r="ASJ21" s="314"/>
      <c r="ASK21" s="314"/>
      <c r="ASL21" s="314"/>
      <c r="ASM21" s="314"/>
      <c r="ASN21" s="314"/>
      <c r="ASO21" s="314"/>
      <c r="ASP21" s="314"/>
      <c r="ASQ21" s="314"/>
      <c r="ASR21" s="314"/>
      <c r="ASS21" s="314">
        <v>2300</v>
      </c>
      <c r="AST21" s="314">
        <v>2300</v>
      </c>
      <c r="ASU21" s="314">
        <v>2300</v>
      </c>
      <c r="ASV21" s="314"/>
      <c r="ASW21" s="314">
        <v>2300</v>
      </c>
      <c r="ASX21" s="314">
        <v>2300</v>
      </c>
      <c r="ASY21" s="314">
        <v>2300</v>
      </c>
      <c r="ASZ21" s="314">
        <v>2300</v>
      </c>
      <c r="ATA21" s="314">
        <v>2300</v>
      </c>
      <c r="ATB21" s="7"/>
      <c r="ATC21" s="314">
        <v>2300</v>
      </c>
      <c r="ATE21" s="314">
        <v>2300</v>
      </c>
      <c r="ATF21" s="314">
        <v>2300</v>
      </c>
      <c r="ATG21" s="314">
        <v>2300</v>
      </c>
      <c r="ATH21" s="314">
        <v>2300</v>
      </c>
      <c r="ATI21" s="314">
        <v>2300</v>
      </c>
      <c r="ATJ21" s="314">
        <v>2300</v>
      </c>
      <c r="ATL21" s="314">
        <v>2300</v>
      </c>
      <c r="ATM21" s="314">
        <v>2300</v>
      </c>
      <c r="ATN21" s="314">
        <v>2300</v>
      </c>
      <c r="ATO21" s="314">
        <v>2300</v>
      </c>
      <c r="ATP21" s="314">
        <v>2300</v>
      </c>
      <c r="ATQ21" s="314">
        <v>2300</v>
      </c>
      <c r="ATS21" s="314">
        <v>2300</v>
      </c>
      <c r="ATT21" s="314">
        <v>2300</v>
      </c>
      <c r="ATU21" s="314">
        <v>2300</v>
      </c>
      <c r="ATV21" s="124">
        <v>2300</v>
      </c>
      <c r="ATW21" s="314">
        <v>2450</v>
      </c>
      <c r="ATX21" s="314">
        <v>2450</v>
      </c>
      <c r="ATY21" s="314"/>
      <c r="ATZ21" s="314">
        <v>2450</v>
      </c>
      <c r="AUA21" s="314">
        <v>2450</v>
      </c>
      <c r="AUB21" s="314">
        <v>2450</v>
      </c>
      <c r="AUC21" s="314">
        <v>2450</v>
      </c>
      <c r="AUD21" s="314">
        <v>2450</v>
      </c>
      <c r="AUE21" s="314">
        <v>2450</v>
      </c>
      <c r="AUG21" s="7"/>
      <c r="AUH21" s="314">
        <v>2450</v>
      </c>
      <c r="AUI21" s="314">
        <v>2450</v>
      </c>
      <c r="AUJ21" s="314">
        <v>2450</v>
      </c>
      <c r="AUK21" s="314">
        <v>2450</v>
      </c>
      <c r="AUM21" s="314">
        <v>2450</v>
      </c>
      <c r="AUO21" s="314">
        <v>2450</v>
      </c>
      <c r="AUP21" s="314">
        <v>2450</v>
      </c>
      <c r="AUQ21" s="314">
        <v>2450</v>
      </c>
      <c r="AUR21" s="124">
        <v>2450</v>
      </c>
      <c r="AUS21" s="314">
        <v>2300</v>
      </c>
      <c r="AUT21" s="314">
        <v>2300</v>
      </c>
      <c r="AUU21" s="314"/>
      <c r="AUV21" s="314">
        <v>2300</v>
      </c>
      <c r="AUW21" s="314">
        <v>2300</v>
      </c>
      <c r="AUX21" s="314">
        <v>2300</v>
      </c>
      <c r="AUY21" s="314">
        <v>2300</v>
      </c>
      <c r="AUZ21" s="314">
        <v>2300</v>
      </c>
      <c r="AVA21" s="314">
        <v>2300</v>
      </c>
      <c r="AVB21" s="314"/>
      <c r="AVC21" s="314">
        <v>2300</v>
      </c>
      <c r="AVD21" s="314">
        <v>2300</v>
      </c>
      <c r="AVE21" s="314">
        <v>2300</v>
      </c>
      <c r="AVF21" s="314">
        <v>2300</v>
      </c>
      <c r="AVG21" s="314">
        <v>2300</v>
      </c>
      <c r="AVH21" s="314">
        <v>2300</v>
      </c>
      <c r="AVI21" s="314"/>
      <c r="AVJ21" s="314">
        <v>2300</v>
      </c>
      <c r="AVK21" s="314">
        <v>2300</v>
      </c>
      <c r="AVL21" s="314">
        <v>2300</v>
      </c>
      <c r="AVM21" s="7"/>
      <c r="AVN21" s="314">
        <v>2300</v>
      </c>
      <c r="AVO21" s="314">
        <v>2300</v>
      </c>
      <c r="AVP21" s="314">
        <v>2300</v>
      </c>
      <c r="AVQ21" s="364"/>
      <c r="AVR21" s="314">
        <v>2300</v>
      </c>
      <c r="AVS21" s="314">
        <v>2300</v>
      </c>
      <c r="AVT21" s="314">
        <v>2300</v>
      </c>
      <c r="AVU21" s="314">
        <v>2300</v>
      </c>
      <c r="AVV21" s="314">
        <v>2300</v>
      </c>
      <c r="AVW21" s="314">
        <v>2300</v>
      </c>
      <c r="AVX21" s="314"/>
      <c r="AVY21" s="314">
        <v>2300</v>
      </c>
      <c r="AVZ21" s="314">
        <v>2300</v>
      </c>
      <c r="AWA21" s="314">
        <v>2300</v>
      </c>
      <c r="AWB21" s="314">
        <v>2300</v>
      </c>
      <c r="AWC21" s="314">
        <v>2300</v>
      </c>
      <c r="AWD21" s="314">
        <v>2300</v>
      </c>
      <c r="AWE21" s="314"/>
      <c r="AWF21" s="314">
        <v>2300</v>
      </c>
      <c r="AWG21" s="124">
        <v>2300</v>
      </c>
      <c r="AWH21" s="314">
        <v>2300</v>
      </c>
      <c r="AWI21" s="314">
        <v>2300</v>
      </c>
      <c r="AWJ21" s="314">
        <v>2300</v>
      </c>
      <c r="AWK21" s="314">
        <v>2300</v>
      </c>
      <c r="AWL21" s="314"/>
      <c r="AWM21" s="314">
        <v>2300</v>
      </c>
      <c r="AWN21" s="314">
        <v>2300</v>
      </c>
      <c r="AWO21" s="314">
        <v>2300</v>
      </c>
      <c r="AWP21" s="314">
        <v>2300</v>
      </c>
      <c r="AWQ21" s="314">
        <v>2300</v>
      </c>
      <c r="AWR21" s="7"/>
      <c r="AWS21" s="314">
        <v>2300</v>
      </c>
      <c r="AWT21" s="364"/>
      <c r="AWU21" s="314">
        <v>2300</v>
      </c>
      <c r="AWV21" s="314">
        <v>2300</v>
      </c>
      <c r="AWW21" s="314">
        <v>2300</v>
      </c>
      <c r="AWX21" s="314">
        <v>2300</v>
      </c>
      <c r="AWY21" s="314">
        <v>2300</v>
      </c>
      <c r="AWZ21" s="314">
        <v>2300</v>
      </c>
      <c r="AXA21" s="364"/>
      <c r="AXB21" s="314">
        <v>2300</v>
      </c>
      <c r="AXC21" s="314">
        <v>2300</v>
      </c>
      <c r="AXD21" s="314">
        <v>2300</v>
      </c>
      <c r="AXE21" s="314">
        <v>2300</v>
      </c>
      <c r="AXF21" s="314">
        <v>2300</v>
      </c>
      <c r="AXG21" s="314">
        <v>2300</v>
      </c>
      <c r="AXH21" s="364"/>
      <c r="AXI21" s="314">
        <v>2300</v>
      </c>
      <c r="AXJ21" s="314">
        <v>2300</v>
      </c>
      <c r="AXK21" s="314">
        <v>2300</v>
      </c>
      <c r="AXL21" s="314">
        <v>2300</v>
      </c>
      <c r="AXM21" s="314">
        <v>2300</v>
      </c>
      <c r="AXN21" s="314">
        <v>2300</v>
      </c>
      <c r="AXO21" s="314"/>
      <c r="AXP21" s="314">
        <v>2300</v>
      </c>
      <c r="AXQ21" s="314">
        <v>2300</v>
      </c>
      <c r="AXR21" s="314">
        <v>2300</v>
      </c>
      <c r="AXS21" s="314">
        <v>2300</v>
      </c>
      <c r="AXT21" s="314">
        <v>2300</v>
      </c>
      <c r="AXU21" s="314">
        <v>2300</v>
      </c>
      <c r="AXV21" s="314"/>
      <c r="AXW21" s="314">
        <v>2300</v>
      </c>
      <c r="AXX21" s="7"/>
    </row>
    <row r="22" spans="1:1324" s="130" customFormat="1" ht="28.5" customHeight="1" x14ac:dyDescent="0.4">
      <c r="A22" s="711"/>
      <c r="B22" s="8" t="s">
        <v>18</v>
      </c>
      <c r="C22" s="121" t="s">
        <v>63</v>
      </c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1" t="s">
        <v>60</v>
      </c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28" t="s">
        <v>18</v>
      </c>
      <c r="AI22" s="121" t="s">
        <v>60</v>
      </c>
      <c r="AJ22" s="123"/>
      <c r="AK22" s="123"/>
      <c r="AL22" s="121" t="s">
        <v>63</v>
      </c>
      <c r="AM22" s="123"/>
      <c r="AN22" s="123"/>
      <c r="AO22" s="123"/>
      <c r="AP22" s="123"/>
      <c r="AQ22" s="750"/>
      <c r="AR22" s="751"/>
      <c r="AS22" s="751"/>
      <c r="AT22" s="751"/>
      <c r="AU22" s="751"/>
      <c r="AV22" s="751"/>
      <c r="AW22" s="751"/>
      <c r="AX22" s="751"/>
      <c r="AY22" s="751"/>
      <c r="AZ22" s="752"/>
      <c r="BA22" s="123" t="s">
        <v>63</v>
      </c>
      <c r="BB22" s="123"/>
      <c r="BC22" s="123"/>
      <c r="BD22" s="123"/>
      <c r="BE22" s="123"/>
      <c r="BF22" s="123"/>
      <c r="BG22" s="123"/>
      <c r="BH22" s="123"/>
      <c r="BI22" s="123"/>
      <c r="BJ22" s="121" t="s">
        <v>60</v>
      </c>
      <c r="BK22" s="123"/>
      <c r="BL22" s="123"/>
      <c r="BM22" s="123"/>
      <c r="BN22" s="8" t="s">
        <v>18</v>
      </c>
      <c r="BO22" s="123" t="s">
        <v>60</v>
      </c>
      <c r="BP22" s="122"/>
      <c r="BQ22" s="122"/>
      <c r="BR22" s="122"/>
      <c r="BS22" s="122"/>
      <c r="BT22" s="122"/>
      <c r="BU22" s="122"/>
      <c r="BV22" s="122"/>
      <c r="BW22" s="122"/>
      <c r="BX22" s="122"/>
      <c r="BY22" s="122"/>
      <c r="BZ22" s="122"/>
      <c r="CA22" s="122"/>
      <c r="CB22" s="122"/>
      <c r="CC22" s="122"/>
      <c r="CD22" s="122"/>
      <c r="CE22" s="122"/>
      <c r="CF22" s="122"/>
      <c r="CG22" s="122"/>
      <c r="CH22" s="122"/>
      <c r="CI22" s="122"/>
      <c r="CJ22" s="122"/>
      <c r="CK22" s="122"/>
      <c r="CL22" s="122"/>
      <c r="CM22" s="122"/>
      <c r="CN22" s="122"/>
      <c r="CO22" s="122"/>
      <c r="CP22" s="122"/>
      <c r="CQ22" s="122"/>
      <c r="CR22" s="122"/>
      <c r="CS22" s="8" t="s">
        <v>18</v>
      </c>
      <c r="CT22" s="123" t="s">
        <v>138</v>
      </c>
      <c r="CU22" s="122"/>
      <c r="CV22" s="122"/>
      <c r="CW22" s="122"/>
      <c r="CX22" s="122"/>
      <c r="CY22" s="122"/>
      <c r="CZ22" s="122"/>
      <c r="DA22" s="122"/>
      <c r="DB22" s="122"/>
      <c r="DC22" s="122"/>
      <c r="DD22" s="122"/>
      <c r="DE22" s="122"/>
      <c r="DF22" s="122"/>
      <c r="DG22" s="122"/>
      <c r="DH22" s="122"/>
      <c r="DI22" s="122"/>
      <c r="DJ22" s="122"/>
      <c r="DK22" s="122"/>
      <c r="DL22" s="122"/>
      <c r="DM22" s="122"/>
      <c r="DN22" s="122"/>
      <c r="DO22" s="122"/>
      <c r="DP22" s="122"/>
      <c r="DQ22" s="122"/>
      <c r="DR22" s="122"/>
      <c r="DT22" s="135"/>
      <c r="DU22" s="135"/>
      <c r="DV22" s="135"/>
      <c r="DW22" s="135"/>
      <c r="DX22" s="135"/>
      <c r="DY22" s="8" t="s">
        <v>18</v>
      </c>
      <c r="DZ22" s="135"/>
      <c r="EA22" s="135"/>
      <c r="EB22" s="135"/>
      <c r="EC22" s="135"/>
      <c r="ED22" s="135"/>
      <c r="EM22" s="141" t="s">
        <v>184</v>
      </c>
      <c r="EN22" s="141"/>
      <c r="EO22" s="141"/>
      <c r="EP22" s="121" t="s">
        <v>185</v>
      </c>
      <c r="EQ22" s="119"/>
      <c r="ER22" s="119"/>
      <c r="ES22" s="119"/>
      <c r="ET22" s="119"/>
      <c r="EU22" s="119"/>
      <c r="EV22" s="119"/>
      <c r="EW22" s="119"/>
      <c r="EX22" s="119"/>
      <c r="EY22" s="119"/>
      <c r="EZ22" s="119"/>
      <c r="FA22" s="119"/>
      <c r="FB22" s="119"/>
      <c r="FC22" s="119"/>
      <c r="FD22" s="8" t="s">
        <v>18</v>
      </c>
      <c r="FE22" s="123" t="s">
        <v>338</v>
      </c>
      <c r="FF22" s="123" t="s">
        <v>339</v>
      </c>
      <c r="FG22" s="123"/>
      <c r="FH22" s="123"/>
      <c r="FI22" s="123"/>
      <c r="FJ22" s="126" t="s">
        <v>340</v>
      </c>
      <c r="FK22" s="128"/>
      <c r="FL22" s="123"/>
      <c r="FM22" s="126" t="s">
        <v>341</v>
      </c>
      <c r="FN22" s="128"/>
      <c r="FO22" s="123"/>
      <c r="FP22" s="123"/>
      <c r="FQ22" s="123"/>
      <c r="FR22" s="123"/>
      <c r="FS22" s="123"/>
      <c r="FT22" s="123"/>
      <c r="FU22" s="123"/>
      <c r="FV22" s="123"/>
      <c r="FW22" s="123"/>
      <c r="FX22" s="123"/>
      <c r="FY22" s="123"/>
      <c r="FZ22" s="123"/>
      <c r="GA22" s="123" t="s">
        <v>342</v>
      </c>
      <c r="GB22" s="123"/>
      <c r="GC22" s="123"/>
      <c r="GD22" s="123"/>
      <c r="GE22" s="123"/>
      <c r="GF22" s="123"/>
      <c r="GG22" s="123"/>
      <c r="GH22" s="123"/>
      <c r="GI22" s="123"/>
      <c r="GJ22" s="8" t="s">
        <v>18</v>
      </c>
      <c r="GK22" s="123" t="s">
        <v>346</v>
      </c>
      <c r="GL22" s="123"/>
      <c r="GM22" s="123"/>
      <c r="GN22" s="123"/>
      <c r="GO22" s="123"/>
      <c r="GP22" s="126" t="s">
        <v>364</v>
      </c>
      <c r="GQ22" s="123"/>
      <c r="GR22" s="123"/>
      <c r="GS22" s="123"/>
      <c r="GT22" s="123"/>
      <c r="GU22" s="123"/>
      <c r="GV22" s="123"/>
      <c r="GW22" s="123"/>
      <c r="GX22" s="123"/>
      <c r="GY22" s="123"/>
      <c r="GZ22" s="123"/>
      <c r="HA22" s="123"/>
      <c r="HB22" s="126" t="s">
        <v>367</v>
      </c>
      <c r="HC22" s="123"/>
      <c r="HD22" s="123"/>
      <c r="HE22" s="123"/>
      <c r="HF22" s="123"/>
      <c r="HG22" s="126" t="s">
        <v>363</v>
      </c>
      <c r="HH22" s="123"/>
      <c r="HI22" s="123"/>
      <c r="HJ22" s="123"/>
      <c r="HK22" s="123"/>
      <c r="HL22" s="123"/>
      <c r="HM22" s="123"/>
      <c r="HN22" s="123"/>
      <c r="HO22" s="123"/>
      <c r="HP22" s="8" t="s">
        <v>18</v>
      </c>
      <c r="HQ22" s="123" t="s">
        <v>363</v>
      </c>
      <c r="HR22" s="126" t="s">
        <v>364</v>
      </c>
      <c r="HS22" s="126"/>
      <c r="HT22" s="123"/>
      <c r="HU22" s="123"/>
      <c r="HV22" s="123"/>
      <c r="HW22" s="123"/>
      <c r="HX22" s="126" t="s">
        <v>371</v>
      </c>
      <c r="HY22" s="126"/>
      <c r="HZ22" s="123"/>
      <c r="IA22" s="123"/>
      <c r="IB22" s="123"/>
      <c r="IC22" s="123"/>
      <c r="ID22" s="123"/>
      <c r="IE22" s="123"/>
      <c r="IF22" s="123"/>
      <c r="IG22" s="123"/>
      <c r="IH22" s="123"/>
      <c r="II22" s="123"/>
      <c r="IJ22" s="123"/>
      <c r="IK22" s="123"/>
      <c r="IL22" s="123"/>
      <c r="IM22" s="123"/>
      <c r="IN22" s="123"/>
      <c r="IO22" s="123"/>
      <c r="IP22" s="123"/>
      <c r="IQ22" s="123"/>
      <c r="IR22" s="123"/>
      <c r="IS22" s="123"/>
      <c r="IT22" s="8" t="s">
        <v>18</v>
      </c>
      <c r="IU22" s="123" t="s">
        <v>371</v>
      </c>
      <c r="IV22" s="123"/>
      <c r="IW22" s="123"/>
      <c r="IX22" s="123"/>
      <c r="IY22" s="123"/>
      <c r="IZ22" s="123"/>
      <c r="JA22" s="123"/>
      <c r="JB22" s="123"/>
      <c r="JC22" s="123"/>
      <c r="JD22" s="123"/>
      <c r="JE22" s="123"/>
      <c r="JF22" s="123"/>
      <c r="JG22" s="123"/>
      <c r="JH22" s="123"/>
      <c r="JI22" s="126" t="s">
        <v>500</v>
      </c>
      <c r="JJ22" s="140"/>
      <c r="JK22" s="120"/>
      <c r="JL22" s="120"/>
      <c r="JM22" s="120"/>
      <c r="JN22" s="120"/>
      <c r="JO22" s="120"/>
      <c r="JP22" s="120"/>
      <c r="JQ22" s="126" t="s">
        <v>370</v>
      </c>
      <c r="JR22" s="126"/>
      <c r="JS22" s="123"/>
      <c r="JT22" s="123"/>
      <c r="JU22" s="123"/>
      <c r="JV22" s="123"/>
      <c r="JW22" s="123"/>
      <c r="JX22" s="123"/>
      <c r="JY22" s="123"/>
      <c r="JZ22" s="8" t="s">
        <v>18</v>
      </c>
      <c r="KA22" s="123" t="s">
        <v>370</v>
      </c>
      <c r="KB22" s="123"/>
      <c r="KC22" s="123"/>
      <c r="KD22" s="123"/>
      <c r="KE22" s="123"/>
      <c r="KF22" s="123"/>
      <c r="KG22" s="123"/>
      <c r="KH22" s="123"/>
      <c r="KI22" s="123"/>
      <c r="KJ22" s="123"/>
      <c r="KK22" s="123"/>
      <c r="KL22" s="123"/>
      <c r="KM22" s="123"/>
      <c r="KN22" s="123"/>
      <c r="KO22" s="123"/>
      <c r="KP22" s="123"/>
      <c r="KQ22" s="123"/>
      <c r="KR22" s="126" t="s">
        <v>501</v>
      </c>
      <c r="KS22" s="126"/>
      <c r="KT22" s="123"/>
      <c r="KU22" s="123"/>
      <c r="KV22" s="123"/>
      <c r="KW22" s="123"/>
      <c r="KX22" s="123"/>
      <c r="KY22" s="123"/>
      <c r="KZ22" s="123"/>
      <c r="LA22" s="123"/>
      <c r="LB22" s="123"/>
      <c r="LC22" s="123"/>
      <c r="LD22" s="216"/>
      <c r="LE22" s="8" t="s">
        <v>18</v>
      </c>
      <c r="LF22" s="123" t="s">
        <v>501</v>
      </c>
      <c r="LG22" s="123"/>
      <c r="LH22" s="123"/>
      <c r="LI22" s="123"/>
      <c r="LJ22" s="123"/>
      <c r="LK22" s="123"/>
      <c r="LL22" s="123"/>
      <c r="LM22" s="123"/>
      <c r="LN22" s="123"/>
      <c r="LO22" s="123"/>
      <c r="LP22" s="123"/>
      <c r="LQ22" s="123"/>
      <c r="LR22" s="123"/>
      <c r="LS22" s="123"/>
      <c r="LT22" s="123"/>
      <c r="LU22" s="123"/>
      <c r="LV22" s="123"/>
      <c r="LW22" s="123"/>
      <c r="LX22" s="123"/>
      <c r="LY22" s="123"/>
      <c r="LZ22" s="756"/>
      <c r="MA22" s="757"/>
      <c r="MB22" s="757"/>
      <c r="MC22" s="757"/>
      <c r="MD22" s="757"/>
      <c r="ME22" s="757"/>
      <c r="MF22" s="757"/>
      <c r="MG22" s="757"/>
      <c r="MH22" s="757"/>
      <c r="MI22" s="758"/>
      <c r="MJ22" s="123" t="s">
        <v>501</v>
      </c>
      <c r="MK22" s="8" t="s">
        <v>18</v>
      </c>
      <c r="ML22" s="335" t="s">
        <v>370</v>
      </c>
      <c r="MM22" s="335"/>
      <c r="MN22" s="335"/>
      <c r="MO22" s="335"/>
      <c r="MP22" s="335"/>
      <c r="MQ22" s="335"/>
      <c r="MR22" s="335"/>
      <c r="MS22" s="335"/>
      <c r="MT22" s="335"/>
      <c r="MU22" s="335"/>
      <c r="MV22" s="335"/>
      <c r="MW22" s="335"/>
      <c r="MX22" s="335"/>
      <c r="MY22" s="335"/>
      <c r="MZ22" s="335"/>
      <c r="NA22" s="335"/>
      <c r="NB22" s="335"/>
      <c r="NC22" s="335"/>
      <c r="ND22" s="335"/>
      <c r="NE22" s="335"/>
      <c r="NF22" s="335"/>
      <c r="NG22" s="339" t="s">
        <v>544</v>
      </c>
      <c r="NH22" s="339"/>
      <c r="NI22" s="342"/>
      <c r="NJ22" s="342"/>
      <c r="NK22" s="342"/>
      <c r="NL22" s="342"/>
      <c r="NM22" s="342"/>
      <c r="NN22" s="342"/>
      <c r="NO22" s="342"/>
      <c r="NP22" s="8" t="s">
        <v>18</v>
      </c>
      <c r="NQ22" s="350" t="s">
        <v>885</v>
      </c>
      <c r="NR22" s="350"/>
      <c r="NS22" s="350"/>
      <c r="NT22" s="350"/>
      <c r="NU22" s="350"/>
      <c r="NV22" s="350"/>
      <c r="NW22" s="350"/>
      <c r="NX22" s="350" t="s">
        <v>882</v>
      </c>
      <c r="NY22" s="350"/>
      <c r="NZ22" s="350"/>
      <c r="OA22" s="350"/>
      <c r="OB22" s="350"/>
      <c r="OC22" s="350"/>
      <c r="OD22" s="350"/>
      <c r="OE22" s="350"/>
      <c r="OF22" s="350"/>
      <c r="OG22" s="350"/>
      <c r="OH22" s="350"/>
      <c r="OI22" s="350"/>
      <c r="OJ22" s="350"/>
      <c r="OK22" s="350"/>
      <c r="OL22" s="350"/>
      <c r="OM22" s="350"/>
      <c r="ON22" s="350"/>
      <c r="OO22" s="350"/>
      <c r="OP22" s="350"/>
      <c r="OQ22" s="350" t="s">
        <v>889</v>
      </c>
      <c r="OR22" s="350"/>
      <c r="OS22" s="762"/>
      <c r="OT22" s="763"/>
      <c r="OU22" s="764"/>
      <c r="OV22" s="8" t="s">
        <v>18</v>
      </c>
      <c r="OW22" s="770"/>
      <c r="OX22" s="763"/>
      <c r="OY22" s="763"/>
      <c r="OZ22" s="763"/>
      <c r="PA22" s="763"/>
      <c r="PB22" s="763"/>
      <c r="PC22" s="771"/>
      <c r="PD22" s="357" t="s">
        <v>889</v>
      </c>
      <c r="PE22" s="357"/>
      <c r="PF22" s="357"/>
      <c r="PG22" s="357"/>
      <c r="PH22" s="357"/>
      <c r="PI22" s="357"/>
      <c r="PJ22" s="357"/>
      <c r="PK22" s="357"/>
      <c r="PL22" s="357"/>
      <c r="PM22" s="357"/>
      <c r="PN22" s="355" t="s">
        <v>891</v>
      </c>
      <c r="PO22" s="356"/>
      <c r="PP22" s="356"/>
      <c r="PQ22" s="356"/>
      <c r="PR22" s="356"/>
      <c r="PS22" s="356"/>
      <c r="PT22" s="356"/>
      <c r="PU22" s="356"/>
      <c r="PV22" s="356"/>
      <c r="PW22" s="356"/>
      <c r="PX22" s="356"/>
      <c r="PY22" s="356"/>
      <c r="PZ22" s="356"/>
      <c r="QA22" s="356"/>
      <c r="QB22" s="8" t="s">
        <v>18</v>
      </c>
      <c r="QC22" s="361" t="s">
        <v>892</v>
      </c>
      <c r="QD22" s="362"/>
      <c r="QE22" s="362"/>
      <c r="QF22" s="362"/>
      <c r="QG22" s="362"/>
      <c r="QH22" s="362"/>
      <c r="QI22" s="362"/>
      <c r="QJ22" s="362"/>
      <c r="QK22" s="362"/>
      <c r="QL22" s="362"/>
      <c r="QM22" s="362"/>
      <c r="QN22" s="362"/>
      <c r="QO22" s="362"/>
      <c r="QP22" s="362"/>
      <c r="QQ22" s="362"/>
      <c r="QR22" s="362"/>
      <c r="QS22" s="362"/>
      <c r="QT22" s="362"/>
      <c r="QU22" s="362"/>
      <c r="QV22" s="362"/>
      <c r="QW22" s="361" t="s">
        <v>893</v>
      </c>
      <c r="QX22" s="362"/>
      <c r="QY22" s="362"/>
      <c r="QZ22" s="362"/>
      <c r="RA22" s="362"/>
      <c r="RB22" s="362"/>
      <c r="RC22" s="362"/>
      <c r="RD22" s="362"/>
      <c r="RE22" s="363" t="s">
        <v>882</v>
      </c>
      <c r="RF22" s="363"/>
      <c r="RG22" s="8" t="s">
        <v>18</v>
      </c>
      <c r="RH22" s="442" t="s">
        <v>1514</v>
      </c>
      <c r="RI22" s="446"/>
      <c r="RJ22" s="446"/>
      <c r="RK22" s="446"/>
      <c r="RL22" s="446"/>
      <c r="RM22" s="446"/>
      <c r="RN22" s="446"/>
      <c r="RO22" s="446"/>
      <c r="RP22" s="446"/>
      <c r="RQ22" s="446"/>
      <c r="RR22" s="446"/>
      <c r="RS22" s="446"/>
      <c r="RT22" s="446"/>
      <c r="RU22" s="442" t="s">
        <v>1515</v>
      </c>
      <c r="RV22" s="442" t="s">
        <v>1516</v>
      </c>
      <c r="RW22" s="442" t="s">
        <v>1517</v>
      </c>
      <c r="RX22" s="442" t="s">
        <v>1518</v>
      </c>
      <c r="RY22" s="443"/>
      <c r="RZ22" s="443"/>
      <c r="SA22" s="443"/>
      <c r="SB22" s="443"/>
      <c r="SC22" s="443"/>
      <c r="SD22" s="443"/>
      <c r="SE22" s="443"/>
      <c r="SF22" s="442" t="s">
        <v>1519</v>
      </c>
      <c r="SG22" s="446"/>
      <c r="SH22" s="446"/>
      <c r="SI22" s="446"/>
      <c r="SJ22" s="446"/>
      <c r="SK22" s="446"/>
      <c r="SL22" s="446"/>
      <c r="SM22" s="8" t="s">
        <v>18</v>
      </c>
      <c r="SN22" s="450" t="s">
        <v>1519</v>
      </c>
      <c r="SO22" s="446"/>
      <c r="SP22" s="446"/>
      <c r="SQ22" s="446"/>
      <c r="SR22" s="446"/>
      <c r="SS22" s="446"/>
      <c r="ST22" s="446"/>
      <c r="SU22" s="442" t="s">
        <v>1540</v>
      </c>
      <c r="SV22" s="440"/>
      <c r="SW22" s="440"/>
      <c r="SX22" s="440"/>
      <c r="SY22" s="440"/>
      <c r="SZ22" s="440"/>
      <c r="TA22" s="440"/>
      <c r="TB22" s="440"/>
      <c r="TC22" s="440"/>
      <c r="TD22" s="440"/>
      <c r="TE22" s="440"/>
      <c r="TF22" s="440"/>
      <c r="TG22" s="442" t="s">
        <v>1541</v>
      </c>
      <c r="TH22" s="440"/>
      <c r="TI22" s="440"/>
      <c r="TJ22" s="440"/>
      <c r="TK22" s="440"/>
      <c r="TL22" s="440"/>
      <c r="TM22" s="440"/>
      <c r="TN22" s="440"/>
      <c r="TO22" s="440"/>
      <c r="TP22" s="440"/>
      <c r="TQ22" s="440"/>
      <c r="TR22" s="8" t="s">
        <v>18</v>
      </c>
      <c r="TS22" s="440" t="s">
        <v>1541</v>
      </c>
      <c r="TT22" s="442" t="s">
        <v>1543</v>
      </c>
      <c r="TU22" s="443"/>
      <c r="TV22" s="443"/>
      <c r="TW22" s="443"/>
      <c r="TX22" s="443"/>
      <c r="TY22" s="443"/>
      <c r="TZ22" s="443"/>
      <c r="UA22" s="443"/>
      <c r="UB22" s="443"/>
      <c r="UC22" s="443"/>
      <c r="UD22" s="442" t="s">
        <v>1545</v>
      </c>
      <c r="UE22" s="444"/>
      <c r="UF22" s="442" t="s">
        <v>1518</v>
      </c>
      <c r="UG22" s="443"/>
      <c r="UH22" s="443"/>
      <c r="UI22" s="443"/>
      <c r="UJ22" s="443"/>
      <c r="UK22" s="443"/>
      <c r="UL22" s="443"/>
      <c r="UM22" s="442" t="s">
        <v>1544</v>
      </c>
      <c r="UN22" s="443"/>
      <c r="UO22" s="443"/>
      <c r="UP22" s="443"/>
      <c r="UQ22" s="443"/>
      <c r="UR22" s="443"/>
      <c r="US22" s="443"/>
      <c r="UT22" s="443"/>
      <c r="UU22" s="443"/>
      <c r="UV22" s="442" t="s">
        <v>1531</v>
      </c>
      <c r="UW22" s="443"/>
      <c r="UX22" s="8" t="s">
        <v>18</v>
      </c>
      <c r="UY22" s="442" t="s">
        <v>1536</v>
      </c>
      <c r="UZ22" s="443"/>
      <c r="VA22" s="443"/>
      <c r="VB22" s="443"/>
      <c r="VC22" s="443"/>
      <c r="VD22" s="443"/>
      <c r="VE22" s="443"/>
      <c r="VF22" s="443"/>
      <c r="VG22" s="443"/>
      <c r="VH22" s="443"/>
      <c r="VI22" s="447"/>
      <c r="VJ22" s="447"/>
      <c r="VK22" s="447"/>
      <c r="VL22" s="447"/>
      <c r="VM22" s="447"/>
      <c r="VN22" s="447"/>
      <c r="VO22" s="447"/>
      <c r="VP22" s="447"/>
      <c r="VQ22" s="447"/>
      <c r="VR22" s="447"/>
      <c r="VS22" s="447"/>
      <c r="VT22" s="447"/>
      <c r="WD22" s="8" t="s">
        <v>18</v>
      </c>
      <c r="WF22" s="337"/>
      <c r="WG22" s="337"/>
      <c r="WH22" s="337"/>
      <c r="WI22" s="337"/>
      <c r="WJ22" s="337"/>
      <c r="WK22" s="337"/>
      <c r="WL22" s="337"/>
      <c r="WM22" s="337"/>
      <c r="WN22" s="337"/>
      <c r="WO22" s="337"/>
      <c r="WP22" s="337"/>
      <c r="WQ22" s="337"/>
      <c r="WR22" s="337"/>
      <c r="WS22" s="337"/>
      <c r="WT22" s="337"/>
      <c r="WU22" s="337"/>
      <c r="WV22" s="337"/>
      <c r="WW22" s="337"/>
      <c r="WX22" s="337"/>
      <c r="WY22" s="337"/>
      <c r="XG22" s="8" t="s">
        <v>18</v>
      </c>
      <c r="XX22" s="337"/>
      <c r="XY22" s="337"/>
      <c r="XZ22" s="337"/>
      <c r="YA22" s="337"/>
      <c r="YM22" s="8" t="s">
        <v>18</v>
      </c>
      <c r="YN22" s="337"/>
      <c r="YO22" s="337"/>
      <c r="YP22" s="337"/>
      <c r="YQ22" s="337"/>
      <c r="YR22" s="337"/>
      <c r="YS22" s="337"/>
      <c r="YT22" s="337"/>
      <c r="YU22" s="337"/>
      <c r="YV22" s="337"/>
      <c r="YW22" s="337"/>
      <c r="YX22" s="337"/>
      <c r="YY22" s="337"/>
      <c r="ZR22" s="8" t="s">
        <v>18</v>
      </c>
      <c r="ZX22" s="337"/>
      <c r="ZY22" s="337"/>
      <c r="ZZ22" s="337"/>
      <c r="AAI22" s="337"/>
      <c r="AAJ22" s="337"/>
      <c r="AAK22" s="337"/>
      <c r="AAL22" s="337"/>
      <c r="AAM22" s="337"/>
      <c r="AAN22" s="337"/>
      <c r="AAO22" s="337"/>
      <c r="AAP22" s="337"/>
      <c r="AAQ22" s="337"/>
      <c r="AAR22" s="337"/>
      <c r="AAS22" s="337"/>
      <c r="AAT22" s="337"/>
      <c r="AAX22" s="8" t="s">
        <v>18</v>
      </c>
      <c r="AAY22" s="337"/>
      <c r="AAZ22" s="135"/>
      <c r="ABA22" s="135"/>
      <c r="ABB22" s="135"/>
      <c r="ABC22" s="364"/>
      <c r="ABD22" s="364"/>
      <c r="ABE22" s="364"/>
      <c r="ABF22" s="364"/>
      <c r="ABG22" s="364"/>
      <c r="ABH22" s="364"/>
      <c r="ABI22" s="364"/>
      <c r="ABJ22" s="364"/>
      <c r="ABT22" s="364"/>
      <c r="ABU22" s="364"/>
      <c r="ACC22" s="8" t="s">
        <v>18</v>
      </c>
      <c r="ACE22" s="364"/>
      <c r="ACF22" s="364"/>
      <c r="ACG22" s="337"/>
      <c r="ACH22" s="337"/>
      <c r="ACI22" s="337"/>
      <c r="ACJ22" s="337"/>
      <c r="ACK22" s="337"/>
      <c r="ACL22" s="337"/>
      <c r="ACM22" s="337"/>
      <c r="ACN22" s="337"/>
      <c r="ACO22" s="337"/>
      <c r="ACP22" s="337"/>
      <c r="ACQ22" s="337"/>
      <c r="ACR22" s="337"/>
      <c r="ACS22" s="337"/>
      <c r="ACT22" s="337"/>
      <c r="ACU22" s="337"/>
      <c r="ACV22" s="704"/>
      <c r="ACW22" s="705"/>
      <c r="ACX22" s="705"/>
      <c r="ACY22" s="705"/>
      <c r="ACZ22" s="705"/>
      <c r="ADA22" s="705"/>
      <c r="ADB22" s="705"/>
      <c r="ADC22" s="705"/>
      <c r="ADD22" s="706"/>
      <c r="ADI22" s="8" t="s">
        <v>18</v>
      </c>
      <c r="ADJ22" s="352"/>
      <c r="ADK22" s="352"/>
      <c r="ADL22" s="352"/>
      <c r="ADM22" s="352"/>
      <c r="ADN22" s="352"/>
      <c r="ADO22" s="352"/>
      <c r="ADP22" s="352"/>
      <c r="ADQ22" s="352"/>
      <c r="ADR22" s="352"/>
      <c r="ADS22" s="352"/>
      <c r="ADT22" s="352"/>
      <c r="ADU22" s="352"/>
      <c r="ADV22" s="352"/>
      <c r="ADW22" s="352"/>
      <c r="ADX22" s="352"/>
      <c r="ADY22" s="352"/>
      <c r="ADZ22" s="352"/>
      <c r="AEA22" s="352"/>
      <c r="AEB22" s="352"/>
      <c r="AEC22" s="352"/>
      <c r="AED22" s="352"/>
      <c r="AEE22" s="352"/>
      <c r="AEF22" s="352"/>
      <c r="AEG22" s="352"/>
      <c r="AEH22" s="352"/>
      <c r="AEI22" s="352"/>
      <c r="AEJ22" s="352"/>
      <c r="AEK22" s="352"/>
      <c r="AEL22" s="352"/>
      <c r="AEM22" s="352"/>
      <c r="AEN22" s="352"/>
      <c r="AEO22" s="8" t="s">
        <v>18</v>
      </c>
      <c r="AEP22" s="352"/>
      <c r="AEQ22" s="352"/>
      <c r="AER22" s="352"/>
      <c r="AES22" s="352"/>
      <c r="AET22" s="352"/>
      <c r="AEU22" s="352"/>
      <c r="AEV22" s="352"/>
      <c r="AEW22" s="352"/>
      <c r="AEX22" s="352"/>
      <c r="AEY22" s="352"/>
      <c r="AEZ22" s="352"/>
      <c r="AFA22" s="352"/>
      <c r="AFB22" s="352"/>
      <c r="AFC22" s="352"/>
      <c r="AFD22" s="352"/>
      <c r="AFE22" s="352"/>
      <c r="AFF22" s="345" t="s">
        <v>2462</v>
      </c>
      <c r="AFG22" s="345"/>
      <c r="AFH22" s="352"/>
      <c r="AFI22" s="352"/>
      <c r="AFJ22" s="352"/>
      <c r="AFK22" s="352"/>
      <c r="AFL22" s="352"/>
      <c r="AFM22" s="352"/>
      <c r="AFN22" s="352"/>
      <c r="AFO22" s="352"/>
      <c r="AFP22" s="352"/>
      <c r="AFQ22" s="352"/>
      <c r="AFR22" s="352"/>
      <c r="AFS22" s="352"/>
      <c r="AFT22" s="8" t="s">
        <v>18</v>
      </c>
      <c r="AFU22" s="352" t="s">
        <v>2462</v>
      </c>
      <c r="AFV22" s="352"/>
      <c r="AFW22" s="352"/>
      <c r="AFX22" s="352"/>
      <c r="AFY22" s="352"/>
      <c r="AFZ22" s="352"/>
      <c r="AGA22" s="352"/>
      <c r="AGB22" s="352"/>
      <c r="AGC22" s="352"/>
      <c r="AGD22" s="352"/>
      <c r="AGE22" s="352"/>
      <c r="AGF22" s="352"/>
      <c r="AGG22" s="352"/>
      <c r="AGH22" s="352"/>
      <c r="AGI22" s="352"/>
      <c r="AGJ22" s="352"/>
      <c r="AGK22" s="352"/>
      <c r="AGL22" s="352"/>
      <c r="AGM22" s="352"/>
      <c r="AGN22" s="352"/>
      <c r="AGO22" s="352"/>
      <c r="AGP22" s="352"/>
      <c r="AGQ22" s="352"/>
      <c r="AGR22" s="352"/>
      <c r="AGS22" s="352"/>
      <c r="AGT22" s="352"/>
      <c r="AGU22" s="352"/>
      <c r="AGV22" s="352"/>
      <c r="AGW22" s="352"/>
      <c r="AGX22" s="352"/>
      <c r="AGY22" s="352"/>
      <c r="AGZ22" s="8" t="s">
        <v>18</v>
      </c>
      <c r="AHA22" s="352" t="s">
        <v>2462</v>
      </c>
      <c r="AHB22" s="352"/>
      <c r="AHC22" s="352"/>
      <c r="AHD22" s="352"/>
      <c r="AHE22" s="352"/>
      <c r="AHF22" s="352"/>
      <c r="AHG22" s="352"/>
      <c r="AHH22" s="352"/>
      <c r="AHI22" s="352"/>
      <c r="AHJ22" s="352"/>
      <c r="AHK22" s="352"/>
      <c r="AHL22" s="352"/>
      <c r="AHM22" s="352"/>
      <c r="AHN22" s="352"/>
      <c r="AHO22" s="352"/>
      <c r="AHP22" s="352"/>
      <c r="AHQ22" s="352"/>
      <c r="AHR22" s="352"/>
      <c r="AHS22" s="352"/>
      <c r="AHT22" s="352"/>
      <c r="AHU22" s="352"/>
      <c r="AHV22" s="345" t="s">
        <v>2684</v>
      </c>
      <c r="AHW22" s="345"/>
      <c r="AHX22" s="352"/>
      <c r="AHY22" s="352"/>
      <c r="AHZ22" s="352"/>
      <c r="AIA22" s="352"/>
      <c r="AIB22" s="352"/>
      <c r="AIC22" s="352"/>
      <c r="AID22" s="352"/>
      <c r="AIE22" s="8" t="s">
        <v>18</v>
      </c>
      <c r="AIF22" s="352" t="s">
        <v>2684</v>
      </c>
      <c r="AIG22" s="352"/>
      <c r="AIH22" s="352"/>
      <c r="AII22" s="352"/>
      <c r="AIJ22" s="352"/>
      <c r="AIK22" s="352"/>
      <c r="AIL22" s="352"/>
      <c r="AIM22" s="352"/>
      <c r="AIN22" s="352"/>
      <c r="AIO22" s="352"/>
      <c r="AIP22" s="352"/>
      <c r="AIQ22" s="352"/>
      <c r="AIR22" s="352"/>
      <c r="AIS22" s="352"/>
      <c r="AIT22" s="352"/>
      <c r="AIU22" s="352"/>
      <c r="AIV22" s="352"/>
      <c r="AIW22" s="352"/>
      <c r="AIX22" s="352"/>
      <c r="AIY22" s="352"/>
      <c r="AIZ22" s="352"/>
      <c r="AJA22" s="352"/>
      <c r="AJB22" s="352"/>
      <c r="AJC22" s="352"/>
      <c r="AJD22" s="352"/>
      <c r="AJE22" s="352"/>
      <c r="AJF22" s="352"/>
      <c r="AJG22" s="352"/>
      <c r="AJH22" s="352"/>
      <c r="AJI22" s="352"/>
      <c r="AJJ22" s="352"/>
      <c r="AJK22" s="8" t="s">
        <v>18</v>
      </c>
      <c r="AJL22" s="352" t="s">
        <v>2684</v>
      </c>
      <c r="AJM22" s="352"/>
      <c r="AJN22" s="352"/>
      <c r="AJO22" s="352"/>
      <c r="AJP22" s="352"/>
      <c r="AJQ22" s="352"/>
      <c r="AJR22" s="352"/>
      <c r="AJS22" s="352"/>
      <c r="AJT22" s="352"/>
      <c r="AJU22" s="352"/>
      <c r="AJV22" s="352"/>
      <c r="AJW22" s="352"/>
      <c r="AJX22" s="352"/>
      <c r="AJY22" s="352"/>
      <c r="AJZ22" s="352"/>
      <c r="AKA22" s="352"/>
      <c r="AKB22" s="352"/>
      <c r="AKC22" s="352"/>
      <c r="AKD22" s="352"/>
      <c r="AKE22" s="352"/>
      <c r="AKF22" s="352"/>
      <c r="AKG22" s="352"/>
      <c r="AKH22" s="352"/>
      <c r="AKI22" s="352"/>
      <c r="AKJ22" s="352"/>
      <c r="AKK22" s="352"/>
      <c r="AKL22" s="352"/>
      <c r="AKM22" s="352"/>
      <c r="AKN22" s="352"/>
      <c r="AKO22" s="352"/>
      <c r="AKP22" s="352"/>
      <c r="AKQ22" s="8" t="s">
        <v>18</v>
      </c>
      <c r="AKR22" s="352" t="s">
        <v>2461</v>
      </c>
      <c r="AKS22" s="352"/>
      <c r="AKT22" s="352"/>
      <c r="AKU22" s="352"/>
      <c r="AKV22" s="352"/>
      <c r="AKW22" s="352"/>
      <c r="AKX22" s="352"/>
      <c r="AKY22" s="352"/>
      <c r="AKZ22" s="352"/>
      <c r="ALA22" s="352"/>
      <c r="ALB22" s="345" t="s">
        <v>2636</v>
      </c>
      <c r="ALC22" s="345"/>
      <c r="ALD22" s="352"/>
      <c r="ALE22" s="352"/>
      <c r="ALF22" s="352"/>
      <c r="ALG22" s="352"/>
      <c r="ALH22" s="352"/>
      <c r="ALI22" s="352"/>
      <c r="ALJ22" s="352"/>
      <c r="ALK22" s="352"/>
      <c r="ALL22" s="352"/>
      <c r="ALM22" s="352"/>
      <c r="ALN22" s="352"/>
      <c r="ALO22" s="352"/>
      <c r="ALP22" s="352"/>
      <c r="ALQ22" s="352"/>
      <c r="ALR22" s="352"/>
      <c r="ALS22" s="352"/>
      <c r="ALT22" s="8" t="s">
        <v>18</v>
      </c>
      <c r="ALU22" s="352" t="s">
        <v>2636</v>
      </c>
      <c r="ALV22" s="352"/>
      <c r="ALW22" s="352"/>
      <c r="ALX22" s="352"/>
      <c r="ALY22" s="352"/>
      <c r="ALZ22" s="352"/>
      <c r="AMA22" s="352"/>
      <c r="AMB22" s="352"/>
      <c r="AMC22" s="352"/>
      <c r="AMD22" s="352"/>
      <c r="AME22" s="352"/>
      <c r="AMF22" s="352"/>
      <c r="AMG22" s="352"/>
      <c r="AMH22" s="352"/>
      <c r="AMI22" s="352"/>
      <c r="AMJ22" s="352"/>
      <c r="AMK22" s="352"/>
      <c r="AML22" s="352"/>
      <c r="AMM22" s="352"/>
      <c r="AMN22" s="352"/>
      <c r="AMO22" s="352"/>
      <c r="AMP22" s="352"/>
      <c r="AMQ22" s="352"/>
      <c r="AMR22" s="352"/>
      <c r="AMS22" s="352"/>
      <c r="AMT22" s="352"/>
      <c r="AMU22" s="352"/>
      <c r="AMV22" s="352"/>
      <c r="AMW22" s="352"/>
      <c r="AMX22" s="352"/>
      <c r="AMY22" s="352"/>
      <c r="AMZ22" s="8" t="s">
        <v>18</v>
      </c>
      <c r="ANA22" s="352" t="s">
        <v>2636</v>
      </c>
      <c r="ANB22" s="352"/>
      <c r="ANC22" s="352"/>
      <c r="AND22" s="352"/>
      <c r="ANE22" s="352"/>
      <c r="ANF22" s="352"/>
      <c r="ANG22" s="352"/>
      <c r="ANH22" s="352"/>
      <c r="ANI22" s="352"/>
      <c r="ANJ22" s="352"/>
      <c r="ANK22" s="352"/>
      <c r="ANL22" s="352"/>
      <c r="ANM22" s="352"/>
      <c r="ANN22" s="352"/>
      <c r="ANO22" s="352"/>
      <c r="ANP22" s="352"/>
      <c r="ANQ22" s="352"/>
      <c r="ANR22" s="352"/>
      <c r="ANS22" s="352"/>
      <c r="ANT22" s="352"/>
      <c r="ANU22" s="352"/>
      <c r="ANV22" s="352"/>
      <c r="ANW22" s="352"/>
      <c r="ANX22" s="352"/>
      <c r="ANY22" s="352"/>
      <c r="ANZ22" s="352"/>
      <c r="AOA22" s="352"/>
      <c r="AOB22" s="352"/>
      <c r="AOC22" s="352"/>
      <c r="AOD22" s="352"/>
      <c r="AOE22" s="8" t="s">
        <v>18</v>
      </c>
      <c r="AOF22" s="128"/>
      <c r="AOG22" s="128"/>
      <c r="AOH22" s="128"/>
      <c r="AOI22" s="128"/>
      <c r="AOJ22" s="128"/>
      <c r="AOK22" s="128"/>
      <c r="AOL22" s="128"/>
      <c r="AOM22" s="128"/>
      <c r="AON22" s="128"/>
      <c r="AOO22" s="352" t="s">
        <v>2636</v>
      </c>
      <c r="AOP22" s="352"/>
      <c r="AOQ22" s="352"/>
      <c r="AOR22" s="352"/>
      <c r="AOS22" s="352"/>
      <c r="AOT22" s="352"/>
      <c r="AOU22" s="352"/>
      <c r="AOV22" s="352"/>
      <c r="AOW22" s="352"/>
      <c r="AOX22" s="352"/>
      <c r="AOY22" s="352"/>
      <c r="AOZ22" s="345" t="s">
        <v>2864</v>
      </c>
      <c r="APA22" s="345"/>
      <c r="APB22" s="352"/>
      <c r="APC22" s="352"/>
      <c r="APD22" s="352"/>
      <c r="APE22" s="352"/>
      <c r="APF22" s="352"/>
      <c r="APG22" s="352"/>
      <c r="APH22" s="352"/>
      <c r="API22" s="352"/>
      <c r="APJ22" s="352"/>
      <c r="APK22" s="8" t="s">
        <v>18</v>
      </c>
      <c r="APL22" s="352" t="s">
        <v>2864</v>
      </c>
      <c r="APM22" s="352"/>
      <c r="APN22" s="352"/>
      <c r="APO22" s="352"/>
      <c r="APP22" s="352"/>
      <c r="APQ22" s="352"/>
      <c r="APR22" s="352"/>
      <c r="APS22" s="352"/>
      <c r="APT22" s="352"/>
      <c r="APU22" s="352"/>
      <c r="APV22" s="352"/>
      <c r="APW22" s="314"/>
      <c r="APX22" s="314"/>
      <c r="APY22" s="314"/>
      <c r="APZ22" s="314"/>
      <c r="AQA22" s="314"/>
      <c r="AQB22" s="314"/>
      <c r="AQC22" s="314"/>
      <c r="AQD22" s="314"/>
      <c r="AQE22" s="314"/>
      <c r="AQF22" s="314"/>
      <c r="AQG22" s="314"/>
      <c r="AQH22" s="314"/>
      <c r="AQI22" s="314"/>
      <c r="AQJ22" s="314"/>
      <c r="AQK22" s="314"/>
      <c r="AQL22" s="314"/>
      <c r="AQM22" s="314"/>
      <c r="AQN22" s="314"/>
      <c r="AQO22" s="314"/>
      <c r="AQP22" s="8" t="s">
        <v>18</v>
      </c>
      <c r="AQQ22" s="314"/>
      <c r="AQR22" s="314"/>
      <c r="AQS22" s="314"/>
      <c r="AQT22" s="314"/>
      <c r="AQU22" s="314"/>
      <c r="AQV22" s="314"/>
      <c r="AQW22" s="314"/>
      <c r="AQX22" s="128"/>
      <c r="AQY22" s="128"/>
      <c r="AQZ22" s="128"/>
      <c r="ARA22" s="128"/>
      <c r="ARB22" s="128"/>
      <c r="ARC22" s="128"/>
      <c r="ARD22" s="128"/>
      <c r="ARE22" s="128"/>
      <c r="ARF22" s="128"/>
      <c r="ARG22" s="314"/>
      <c r="ARH22" s="314"/>
      <c r="ARI22" s="314"/>
      <c r="ARJ22" s="314"/>
      <c r="ARK22" s="314"/>
      <c r="ARL22" s="314"/>
      <c r="ARM22" s="314"/>
      <c r="ARN22" s="314"/>
      <c r="ARO22" s="314"/>
      <c r="ARP22" s="314"/>
      <c r="ARQ22" s="314"/>
      <c r="ARR22" s="314"/>
      <c r="ARS22" s="314"/>
      <c r="ART22" s="314"/>
      <c r="ARU22" s="314"/>
      <c r="ARV22" s="8" t="s">
        <v>18</v>
      </c>
      <c r="ARW22" s="314"/>
      <c r="ARX22" s="314"/>
      <c r="ARY22" s="314"/>
      <c r="ARZ22" s="314"/>
      <c r="ASA22" s="314"/>
      <c r="ASB22" s="314"/>
      <c r="ASC22" s="314"/>
      <c r="ASD22" s="314"/>
      <c r="ASE22" s="314"/>
      <c r="ASF22" s="314"/>
      <c r="ASG22" s="314"/>
      <c r="ASH22" s="314"/>
      <c r="ASI22" s="314"/>
      <c r="ASJ22" s="314"/>
      <c r="ASK22" s="314"/>
      <c r="ASL22" s="314"/>
      <c r="ASM22" s="314"/>
      <c r="ASN22" s="314"/>
      <c r="ASO22" s="314"/>
      <c r="ASP22" s="314"/>
      <c r="ASQ22" s="345" t="s">
        <v>2692</v>
      </c>
      <c r="ASR22" s="345"/>
      <c r="ASS22" s="352"/>
      <c r="AST22" s="352"/>
      <c r="ASU22" s="352"/>
      <c r="ASV22" s="352"/>
      <c r="ASW22" s="352"/>
      <c r="ASX22" s="352"/>
      <c r="ASY22" s="352"/>
      <c r="ASZ22" s="352"/>
      <c r="ATA22" s="352"/>
      <c r="ATB22" s="8" t="s">
        <v>18</v>
      </c>
      <c r="ATC22" s="352" t="s">
        <v>2692</v>
      </c>
      <c r="ATD22" s="352"/>
      <c r="ATE22" s="352"/>
      <c r="ATF22" s="352"/>
      <c r="ATG22" s="352"/>
      <c r="ATH22" s="352"/>
      <c r="ATI22" s="352"/>
      <c r="ATJ22" s="352"/>
      <c r="ATK22" s="352"/>
      <c r="ATL22" s="352"/>
      <c r="ATM22" s="352"/>
      <c r="ATN22" s="352"/>
      <c r="ATO22" s="352"/>
      <c r="ATP22" s="352"/>
      <c r="ATQ22" s="352"/>
      <c r="ATR22" s="352"/>
      <c r="ATS22" s="352"/>
      <c r="ATT22" s="352"/>
      <c r="ATU22" s="345" t="s">
        <v>2673</v>
      </c>
      <c r="ATV22" s="345"/>
      <c r="ATW22" s="352"/>
      <c r="ATX22" s="352"/>
      <c r="ATY22" s="352"/>
      <c r="ATZ22" s="352"/>
      <c r="AUA22" s="352"/>
      <c r="AUB22" s="352"/>
      <c r="AUC22" s="352"/>
      <c r="AUD22" s="352"/>
      <c r="AUE22" s="352"/>
      <c r="AUF22" s="352"/>
      <c r="AUG22" s="8" t="s">
        <v>18</v>
      </c>
      <c r="AUH22" s="352" t="s">
        <v>2673</v>
      </c>
      <c r="AUI22" s="352"/>
      <c r="AUJ22" s="352"/>
      <c r="AUK22" s="352"/>
      <c r="AUL22" s="352"/>
      <c r="AUM22" s="352"/>
      <c r="AUN22" s="352"/>
      <c r="AUO22" s="352"/>
      <c r="AUP22" s="352"/>
      <c r="AUQ22" s="345" t="s">
        <v>2692</v>
      </c>
      <c r="AUR22" s="345"/>
      <c r="AUS22" s="352"/>
      <c r="AUT22" s="352"/>
      <c r="AUU22" s="352"/>
      <c r="AUV22" s="352"/>
      <c r="AUW22" s="352"/>
      <c r="AUX22" s="352"/>
      <c r="AUY22" s="352"/>
      <c r="AUZ22" s="352"/>
      <c r="AVA22" s="352"/>
      <c r="AVB22" s="352"/>
      <c r="AVC22" s="352"/>
      <c r="AVD22" s="352"/>
      <c r="AVE22" s="352"/>
      <c r="AVF22" s="352"/>
      <c r="AVG22" s="352"/>
      <c r="AVH22" s="352"/>
      <c r="AVI22" s="352"/>
      <c r="AVJ22" s="352"/>
      <c r="AVK22" s="352"/>
      <c r="AVL22" s="352"/>
      <c r="AVM22" s="8" t="s">
        <v>18</v>
      </c>
      <c r="AVN22" s="352" t="s">
        <v>2692</v>
      </c>
      <c r="AVO22" s="352"/>
      <c r="AVP22" s="352"/>
      <c r="AVQ22" s="352"/>
      <c r="AVR22" s="352"/>
      <c r="AVS22" s="352"/>
      <c r="AVT22" s="352"/>
      <c r="AVU22" s="352"/>
      <c r="AVV22" s="352"/>
      <c r="AVW22" s="352"/>
      <c r="AVX22" s="352"/>
      <c r="AVY22" s="352"/>
      <c r="AVZ22" s="352"/>
      <c r="AWA22" s="352"/>
      <c r="AWB22" s="352"/>
      <c r="AWC22" s="352"/>
      <c r="AWD22" s="352"/>
      <c r="AWE22" s="352"/>
      <c r="AWF22" s="345" t="s">
        <v>2696</v>
      </c>
      <c r="AWG22" s="345"/>
      <c r="AWH22" s="352"/>
      <c r="AWI22" s="352"/>
      <c r="AWJ22" s="352"/>
      <c r="AWK22" s="352"/>
      <c r="AWL22" s="352"/>
      <c r="AWM22" s="352"/>
      <c r="AWN22" s="352"/>
      <c r="AWO22" s="352"/>
      <c r="AWP22" s="352"/>
      <c r="AWQ22" s="352"/>
      <c r="AWR22" s="8" t="s">
        <v>18</v>
      </c>
      <c r="AWS22" s="352" t="s">
        <v>2696</v>
      </c>
      <c r="AWT22" s="352"/>
      <c r="AWU22" s="352"/>
      <c r="AWV22" s="352"/>
      <c r="AWW22" s="352"/>
      <c r="AWX22" s="352"/>
      <c r="AWY22" s="352"/>
      <c r="AWZ22" s="352"/>
      <c r="AXA22" s="352"/>
      <c r="AXB22" s="352"/>
      <c r="AXC22" s="352"/>
      <c r="AXD22" s="352"/>
      <c r="AXE22" s="352"/>
      <c r="AXF22" s="352"/>
      <c r="AXG22" s="352"/>
      <c r="AXH22" s="352"/>
      <c r="AXI22" s="352"/>
      <c r="AXJ22" s="352"/>
      <c r="AXK22" s="352"/>
      <c r="AXL22" s="352"/>
      <c r="AXM22" s="352"/>
      <c r="AXN22" s="352"/>
      <c r="AXO22" s="352"/>
      <c r="AXP22" s="352"/>
      <c r="AXQ22" s="352"/>
      <c r="AXR22" s="352"/>
      <c r="AXS22" s="352"/>
      <c r="AXT22" s="352"/>
      <c r="AXU22" s="352"/>
      <c r="AXV22" s="352"/>
      <c r="AXW22" s="352"/>
      <c r="AXX22" s="8" t="s">
        <v>18</v>
      </c>
    </row>
    <row r="23" spans="1:1324" s="135" customFormat="1" ht="28.5" customHeight="1" x14ac:dyDescent="0.4">
      <c r="A23" s="711"/>
      <c r="B23" s="7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47"/>
      <c r="AI23" s="132"/>
      <c r="AJ23" s="132"/>
      <c r="AK23" s="132"/>
      <c r="AL23" s="132"/>
      <c r="AM23" s="132"/>
      <c r="AN23" s="132"/>
      <c r="AO23" s="132"/>
      <c r="AP23" s="132"/>
      <c r="AQ23" s="750"/>
      <c r="AR23" s="751"/>
      <c r="AS23" s="751"/>
      <c r="AT23" s="751"/>
      <c r="AU23" s="751"/>
      <c r="AV23" s="751"/>
      <c r="AW23" s="751"/>
      <c r="AX23" s="751"/>
      <c r="AY23" s="751"/>
      <c r="AZ23" s="75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7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7"/>
      <c r="CT23" s="135">
        <v>2025</v>
      </c>
      <c r="CU23" s="135">
        <v>2025</v>
      </c>
      <c r="CV23" s="135">
        <v>2025</v>
      </c>
      <c r="CX23" s="135">
        <v>2025</v>
      </c>
      <c r="CY23" s="135">
        <v>2025</v>
      </c>
      <c r="CZ23" s="135">
        <v>2025</v>
      </c>
      <c r="DA23" s="135">
        <v>2025</v>
      </c>
      <c r="DB23" s="135">
        <v>2025</v>
      </c>
      <c r="DC23" s="135">
        <v>2025</v>
      </c>
      <c r="DE23" s="135">
        <v>2025</v>
      </c>
      <c r="DF23" s="135">
        <v>2025</v>
      </c>
      <c r="DG23" s="135">
        <v>2025</v>
      </c>
      <c r="DH23" s="135">
        <v>2025</v>
      </c>
      <c r="DI23" s="135">
        <v>2025</v>
      </c>
      <c r="DJ23" s="135">
        <v>2025</v>
      </c>
      <c r="DL23" s="135">
        <v>2025</v>
      </c>
      <c r="DM23" s="135">
        <v>2025</v>
      </c>
      <c r="DN23" s="135">
        <v>2025</v>
      </c>
      <c r="DO23" s="135">
        <v>2025</v>
      </c>
      <c r="DP23" s="135">
        <v>2025</v>
      </c>
      <c r="DQ23" s="135">
        <v>2025</v>
      </c>
      <c r="DY23" s="7"/>
      <c r="EL23" s="135">
        <v>1800</v>
      </c>
      <c r="EM23" s="135">
        <v>1800</v>
      </c>
      <c r="EN23" s="135">
        <v>1800</v>
      </c>
      <c r="EO23" s="135">
        <v>1800</v>
      </c>
      <c r="EP23" s="135">
        <v>1800</v>
      </c>
      <c r="EQ23" s="135">
        <v>1800</v>
      </c>
      <c r="ER23" s="135">
        <v>1800</v>
      </c>
      <c r="ES23" s="135">
        <v>1800</v>
      </c>
      <c r="ET23" s="135">
        <v>1800</v>
      </c>
      <c r="EV23" s="135">
        <v>1800</v>
      </c>
      <c r="EW23" s="135">
        <v>1800</v>
      </c>
      <c r="EX23" s="135">
        <v>1800</v>
      </c>
      <c r="EY23" s="135">
        <v>1800</v>
      </c>
      <c r="EZ23" s="135">
        <v>1800</v>
      </c>
      <c r="FA23" s="135">
        <v>1800</v>
      </c>
      <c r="FC23" s="135">
        <v>1800</v>
      </c>
      <c r="FD23" s="7"/>
      <c r="FE23" s="134">
        <v>1440</v>
      </c>
      <c r="FF23" s="134">
        <v>1440</v>
      </c>
      <c r="FG23" s="134">
        <v>1440</v>
      </c>
      <c r="FH23" s="134">
        <v>1440</v>
      </c>
      <c r="FI23" s="134">
        <v>1440</v>
      </c>
      <c r="FJ23" s="134"/>
      <c r="FK23" s="134">
        <v>1431</v>
      </c>
      <c r="FL23" s="134">
        <v>1920</v>
      </c>
      <c r="FM23" s="134">
        <v>1920</v>
      </c>
      <c r="FN23" s="134">
        <v>1920</v>
      </c>
      <c r="FO23" s="134">
        <v>1920</v>
      </c>
      <c r="FP23" s="134">
        <v>1920</v>
      </c>
      <c r="FQ23" s="134"/>
      <c r="FR23" s="134">
        <v>1920</v>
      </c>
      <c r="FS23" s="134">
        <v>1920</v>
      </c>
      <c r="FT23" s="134"/>
      <c r="FU23" s="134">
        <v>443</v>
      </c>
      <c r="FV23" s="134">
        <v>1500</v>
      </c>
      <c r="FW23" s="134">
        <v>1760</v>
      </c>
      <c r="FX23" s="134"/>
      <c r="FY23" s="134">
        <v>1760</v>
      </c>
      <c r="FZ23" s="134">
        <v>1760</v>
      </c>
      <c r="GA23" s="134">
        <v>1760</v>
      </c>
      <c r="GB23" s="134">
        <v>1760</v>
      </c>
      <c r="GC23" s="134">
        <v>1760</v>
      </c>
      <c r="GD23" s="134">
        <v>1760</v>
      </c>
      <c r="GE23" s="134"/>
      <c r="GF23" s="134">
        <v>1760</v>
      </c>
      <c r="GG23" s="134">
        <v>1760</v>
      </c>
      <c r="GH23" s="134">
        <v>1760</v>
      </c>
      <c r="GI23" s="134">
        <v>1760</v>
      </c>
      <c r="GJ23" s="7"/>
      <c r="GK23" s="136">
        <v>1680</v>
      </c>
      <c r="GL23" s="136">
        <v>1680</v>
      </c>
      <c r="GM23" s="136"/>
      <c r="GN23" s="136">
        <v>1680</v>
      </c>
      <c r="GO23" s="136">
        <v>1680</v>
      </c>
      <c r="GP23" s="136">
        <v>1680</v>
      </c>
      <c r="GQ23" s="136">
        <v>1680</v>
      </c>
      <c r="GR23" s="136">
        <v>1680</v>
      </c>
      <c r="GS23" s="136">
        <v>1680</v>
      </c>
      <c r="GT23" s="136"/>
      <c r="GU23" s="136">
        <v>1680</v>
      </c>
      <c r="GV23" s="136">
        <v>1680</v>
      </c>
      <c r="GW23" s="136">
        <v>1680</v>
      </c>
      <c r="GX23" s="136">
        <v>1680</v>
      </c>
      <c r="GY23" s="136">
        <v>1680</v>
      </c>
      <c r="GZ23" s="136">
        <v>1680</v>
      </c>
      <c r="HA23" s="136"/>
      <c r="HB23" s="136">
        <v>1680</v>
      </c>
      <c r="HC23" s="136">
        <v>1680</v>
      </c>
      <c r="HD23" s="136">
        <v>1680</v>
      </c>
      <c r="HE23" s="136">
        <v>1680</v>
      </c>
      <c r="HF23" s="136">
        <v>400</v>
      </c>
      <c r="HG23" s="136">
        <v>800</v>
      </c>
      <c r="HH23" s="136"/>
      <c r="HI23" s="136">
        <v>1100</v>
      </c>
      <c r="HJ23" s="136">
        <v>1200</v>
      </c>
      <c r="HK23" s="136">
        <v>1440</v>
      </c>
      <c r="HL23" s="136">
        <v>1440</v>
      </c>
      <c r="HM23" s="136">
        <v>1440</v>
      </c>
      <c r="HN23" s="136">
        <v>1440</v>
      </c>
      <c r="HO23" s="136"/>
      <c r="HP23" s="7"/>
      <c r="HQ23" s="136">
        <v>2640</v>
      </c>
      <c r="HR23" s="136">
        <v>2640</v>
      </c>
      <c r="HS23" s="136">
        <v>2640</v>
      </c>
      <c r="HT23" s="136">
        <v>2119</v>
      </c>
      <c r="HU23" s="136">
        <v>800</v>
      </c>
      <c r="HV23" s="136">
        <v>1500</v>
      </c>
      <c r="HX23" s="136">
        <v>2000</v>
      </c>
      <c r="HY23" s="136">
        <v>2365</v>
      </c>
      <c r="HZ23" s="136">
        <v>2365</v>
      </c>
      <c r="IA23" s="137">
        <v>1109</v>
      </c>
      <c r="IB23" s="136">
        <v>3500</v>
      </c>
      <c r="IC23" s="137">
        <v>2310</v>
      </c>
      <c r="ID23" s="136"/>
      <c r="IE23" s="129">
        <v>2310</v>
      </c>
      <c r="IF23" s="129">
        <v>2310</v>
      </c>
      <c r="IG23" s="129">
        <v>2310</v>
      </c>
      <c r="IH23" s="194">
        <v>2310</v>
      </c>
      <c r="II23" s="129">
        <v>1500</v>
      </c>
      <c r="IJ23" s="136">
        <v>2310</v>
      </c>
      <c r="IK23" s="136"/>
      <c r="IL23" s="136">
        <v>2310</v>
      </c>
      <c r="IM23" s="136">
        <v>2310</v>
      </c>
      <c r="IN23" s="136">
        <v>2310</v>
      </c>
      <c r="IO23" s="136">
        <v>2310</v>
      </c>
      <c r="IP23" s="136">
        <v>2310</v>
      </c>
      <c r="IQ23" s="136">
        <v>2310</v>
      </c>
      <c r="IR23" s="136"/>
      <c r="IS23" s="136">
        <v>2310</v>
      </c>
      <c r="IT23" s="7"/>
      <c r="IU23" s="129">
        <v>2310</v>
      </c>
      <c r="IV23" s="129">
        <v>2310</v>
      </c>
      <c r="IW23" s="129">
        <v>2310</v>
      </c>
      <c r="IX23" s="129">
        <v>2310</v>
      </c>
      <c r="IY23" s="129">
        <v>2310</v>
      </c>
      <c r="JA23" s="129">
        <v>2310</v>
      </c>
      <c r="JB23" s="129">
        <v>2310</v>
      </c>
      <c r="JC23" s="129">
        <v>2310</v>
      </c>
      <c r="JD23" s="129">
        <v>2310</v>
      </c>
      <c r="JE23" s="129">
        <v>2310</v>
      </c>
      <c r="JF23" s="129">
        <v>2310</v>
      </c>
      <c r="JH23" s="129">
        <v>2310</v>
      </c>
      <c r="JI23" s="129">
        <v>2310</v>
      </c>
      <c r="JJ23" s="129">
        <v>2310</v>
      </c>
      <c r="JK23" s="129">
        <v>2310</v>
      </c>
      <c r="JL23" s="129">
        <v>2310</v>
      </c>
      <c r="JM23" s="129">
        <v>2310</v>
      </c>
      <c r="JN23" s="129"/>
      <c r="JO23" s="129">
        <v>2310</v>
      </c>
      <c r="JP23" s="129">
        <v>2310</v>
      </c>
      <c r="JQ23" s="129">
        <v>2310</v>
      </c>
      <c r="JR23" s="194">
        <v>2310</v>
      </c>
      <c r="JS23" s="136">
        <v>750</v>
      </c>
      <c r="JV23" s="136">
        <v>1500</v>
      </c>
      <c r="JW23" s="136">
        <v>2250</v>
      </c>
      <c r="JX23" s="136">
        <v>2970</v>
      </c>
      <c r="JY23" s="136">
        <v>2970</v>
      </c>
      <c r="JZ23" s="7"/>
      <c r="KA23" s="136">
        <v>2970</v>
      </c>
      <c r="KB23" s="137">
        <v>2200</v>
      </c>
      <c r="KD23" s="129">
        <v>600</v>
      </c>
      <c r="KE23" s="129">
        <v>1200</v>
      </c>
      <c r="KF23" s="129">
        <v>1800</v>
      </c>
      <c r="KG23" s="129">
        <v>2310</v>
      </c>
      <c r="KH23" s="129"/>
      <c r="KI23" s="129">
        <v>2310</v>
      </c>
      <c r="KJ23" s="129">
        <v>2310</v>
      </c>
      <c r="KK23" s="129">
        <v>2310</v>
      </c>
      <c r="KL23" s="129">
        <v>2310</v>
      </c>
      <c r="KM23" s="129">
        <v>2310</v>
      </c>
      <c r="KN23" s="129"/>
      <c r="KO23" s="129">
        <v>2310</v>
      </c>
      <c r="KP23" s="129">
        <v>2310</v>
      </c>
      <c r="KQ23" s="129">
        <v>2310</v>
      </c>
      <c r="KR23" s="129">
        <v>2310</v>
      </c>
      <c r="KS23" s="194">
        <v>2310</v>
      </c>
      <c r="KT23" s="136">
        <v>750</v>
      </c>
      <c r="KU23" s="137">
        <v>800</v>
      </c>
      <c r="KV23" s="129">
        <v>750</v>
      </c>
      <c r="KW23" s="194">
        <v>800</v>
      </c>
      <c r="KY23" s="129">
        <v>500</v>
      </c>
      <c r="KZ23" s="129">
        <v>1000</v>
      </c>
      <c r="LA23" s="129">
        <v>1500</v>
      </c>
      <c r="LB23" s="136">
        <v>1980</v>
      </c>
      <c r="LC23" s="129">
        <v>1980</v>
      </c>
      <c r="LD23" s="129">
        <v>1980</v>
      </c>
      <c r="LE23" s="7"/>
      <c r="LG23" s="129">
        <v>1980</v>
      </c>
      <c r="LH23" s="129">
        <v>1980</v>
      </c>
      <c r="LI23" s="129">
        <v>1980</v>
      </c>
      <c r="LJ23" s="129">
        <v>1980</v>
      </c>
      <c r="LK23" s="136">
        <v>1980</v>
      </c>
      <c r="LL23" s="136">
        <v>1980</v>
      </c>
      <c r="LM23" s="136">
        <v>1980</v>
      </c>
      <c r="LN23" s="136">
        <v>1980</v>
      </c>
      <c r="LO23" s="137">
        <v>1980</v>
      </c>
      <c r="LP23" s="136">
        <v>500</v>
      </c>
      <c r="LQ23" s="136">
        <v>1000</v>
      </c>
      <c r="LR23" s="136">
        <v>1500</v>
      </c>
      <c r="LS23" s="136">
        <v>2070</v>
      </c>
      <c r="LT23" s="136"/>
      <c r="LU23" s="136">
        <v>2070</v>
      </c>
      <c r="LV23" s="136">
        <v>2070</v>
      </c>
      <c r="LW23" s="136">
        <v>2070</v>
      </c>
      <c r="LX23" s="136">
        <v>2070</v>
      </c>
      <c r="LY23" s="136">
        <v>2070</v>
      </c>
      <c r="LZ23" s="756"/>
      <c r="MA23" s="757"/>
      <c r="MB23" s="757"/>
      <c r="MC23" s="757"/>
      <c r="MD23" s="757"/>
      <c r="ME23" s="757"/>
      <c r="MF23" s="757"/>
      <c r="MG23" s="757"/>
      <c r="MH23" s="757"/>
      <c r="MI23" s="758"/>
      <c r="MJ23" s="129">
        <v>2070</v>
      </c>
      <c r="MK23" s="7"/>
      <c r="ML23" s="336">
        <v>2300</v>
      </c>
      <c r="MM23" s="336">
        <v>2300</v>
      </c>
      <c r="MN23" s="336">
        <v>2300</v>
      </c>
      <c r="MO23" s="336">
        <v>2300</v>
      </c>
      <c r="MP23" s="336"/>
      <c r="MQ23" s="336">
        <v>2300</v>
      </c>
      <c r="MR23" s="336">
        <v>2300</v>
      </c>
      <c r="MS23" s="336">
        <v>2300</v>
      </c>
      <c r="MT23" s="336">
        <v>2300</v>
      </c>
      <c r="MU23" s="336">
        <v>2300</v>
      </c>
      <c r="MV23" s="336">
        <v>2300</v>
      </c>
      <c r="MW23" s="336"/>
      <c r="MX23" s="336">
        <v>2300</v>
      </c>
      <c r="MY23" s="336">
        <v>2300</v>
      </c>
      <c r="MZ23" s="336">
        <v>2300</v>
      </c>
      <c r="NA23" s="336">
        <v>2300</v>
      </c>
      <c r="NB23" s="336">
        <v>2300</v>
      </c>
      <c r="NC23" s="336">
        <v>2300</v>
      </c>
      <c r="ND23" s="336"/>
      <c r="NE23" s="336">
        <v>2300</v>
      </c>
      <c r="NF23" s="336">
        <v>2300</v>
      </c>
      <c r="NG23" s="336">
        <v>2300</v>
      </c>
      <c r="NH23" s="336">
        <v>2300</v>
      </c>
      <c r="NI23" s="336">
        <v>2300</v>
      </c>
      <c r="NJ23" s="336">
        <v>2300</v>
      </c>
      <c r="NK23" s="340">
        <v>2300</v>
      </c>
      <c r="NL23" s="336"/>
      <c r="NM23" s="336"/>
      <c r="NN23" s="336"/>
      <c r="NO23" s="338"/>
      <c r="NP23" s="7"/>
      <c r="NQ23" s="346"/>
      <c r="NR23" s="346"/>
      <c r="NS23" s="346"/>
      <c r="NT23" s="346"/>
      <c r="NU23" s="346"/>
      <c r="NV23" s="346"/>
      <c r="NW23" s="346"/>
      <c r="NX23" s="346"/>
      <c r="NY23" s="346"/>
      <c r="NZ23" s="346"/>
      <c r="OA23" s="346"/>
      <c r="OB23" s="346"/>
      <c r="OC23" s="346"/>
      <c r="OD23" s="346"/>
      <c r="OE23" s="346"/>
      <c r="OF23" s="346"/>
      <c r="OG23" s="346"/>
      <c r="OH23" s="346"/>
      <c r="OI23" s="346"/>
      <c r="OJ23" s="346"/>
      <c r="OK23" s="346"/>
      <c r="OL23" s="346"/>
      <c r="OM23" s="346"/>
      <c r="ON23" s="346"/>
      <c r="OO23" s="346"/>
      <c r="OP23" s="346"/>
      <c r="OQ23" s="346"/>
      <c r="OR23" s="346"/>
      <c r="OS23" s="762"/>
      <c r="OT23" s="763"/>
      <c r="OU23" s="764"/>
      <c r="OV23" s="7"/>
      <c r="OW23" s="770"/>
      <c r="OX23" s="763"/>
      <c r="OY23" s="763"/>
      <c r="OZ23" s="763"/>
      <c r="PA23" s="763"/>
      <c r="PB23" s="763"/>
      <c r="PC23" s="771"/>
      <c r="PD23" s="354"/>
      <c r="PE23" s="354"/>
      <c r="PF23" s="354"/>
      <c r="PG23" s="354"/>
      <c r="PH23" s="354"/>
      <c r="PI23" s="354"/>
      <c r="PJ23" s="354"/>
      <c r="PK23" s="354"/>
      <c r="PL23" s="354"/>
      <c r="PM23" s="354"/>
      <c r="PN23" s="354"/>
      <c r="PO23" s="354"/>
      <c r="PP23" s="354"/>
      <c r="PQ23" s="354"/>
      <c r="PR23" s="354"/>
      <c r="PS23" s="354"/>
      <c r="PT23" s="354"/>
      <c r="PU23" s="354"/>
      <c r="PV23" s="354"/>
      <c r="PW23" s="354"/>
      <c r="PX23" s="354"/>
      <c r="PY23" s="354"/>
      <c r="PZ23" s="354"/>
      <c r="QA23" s="354"/>
      <c r="QB23" s="7"/>
      <c r="QC23" s="360"/>
      <c r="QD23" s="360"/>
      <c r="QE23" s="360"/>
      <c r="QF23" s="360"/>
      <c r="QG23" s="360"/>
      <c r="QH23" s="360"/>
      <c r="QI23" s="360"/>
      <c r="QJ23" s="360"/>
      <c r="QK23" s="360"/>
      <c r="QL23" s="360"/>
      <c r="QM23" s="360"/>
      <c r="QN23" s="360"/>
      <c r="QO23" s="360"/>
      <c r="QP23" s="360"/>
      <c r="QQ23" s="360"/>
      <c r="QR23" s="360"/>
      <c r="QS23" s="360"/>
      <c r="QT23" s="360"/>
      <c r="QU23" s="360"/>
      <c r="QV23" s="360"/>
      <c r="QW23" s="360"/>
      <c r="QX23" s="360"/>
      <c r="QY23" s="360"/>
      <c r="QZ23" s="360"/>
      <c r="RA23" s="360"/>
      <c r="RB23" s="360"/>
      <c r="RC23" s="360"/>
      <c r="RD23" s="360"/>
      <c r="RE23" s="360"/>
      <c r="RF23" s="360"/>
      <c r="RG23" s="7"/>
      <c r="RH23" s="439"/>
      <c r="RI23" s="439"/>
      <c r="RJ23" s="439"/>
      <c r="RK23" s="439"/>
      <c r="RL23" s="439"/>
      <c r="RM23" s="439"/>
      <c r="RN23" s="439"/>
      <c r="RO23" s="439"/>
      <c r="RP23" s="439"/>
      <c r="RQ23" s="439"/>
      <c r="RR23" s="439"/>
      <c r="RS23" s="439"/>
      <c r="RT23" s="439"/>
      <c r="RU23" s="439"/>
      <c r="RV23" s="439"/>
      <c r="RW23" s="439"/>
      <c r="RX23" s="439"/>
      <c r="RY23" s="439"/>
      <c r="RZ23" s="439"/>
      <c r="SA23" s="439"/>
      <c r="SB23" s="439"/>
      <c r="SC23" s="439"/>
      <c r="SD23" s="439"/>
      <c r="SE23" s="439"/>
      <c r="SF23" s="439"/>
      <c r="SG23" s="439"/>
      <c r="SH23" s="439"/>
      <c r="SI23" s="439"/>
      <c r="SJ23" s="439"/>
      <c r="SK23" s="439"/>
      <c r="SL23" s="439"/>
      <c r="SM23" s="7"/>
      <c r="SN23" s="439"/>
      <c r="SO23" s="439"/>
      <c r="SP23" s="439"/>
      <c r="SQ23" s="439"/>
      <c r="SR23" s="439"/>
      <c r="SS23" s="439"/>
      <c r="ST23" s="439"/>
      <c r="SU23" s="439"/>
      <c r="SV23" s="439"/>
      <c r="SW23" s="439"/>
      <c r="SX23" s="439"/>
      <c r="SY23" s="439"/>
      <c r="SZ23" s="439"/>
      <c r="TA23" s="439"/>
      <c r="TB23" s="439"/>
      <c r="TC23" s="439"/>
      <c r="TD23" s="439"/>
      <c r="TE23" s="439"/>
      <c r="TF23" s="439"/>
      <c r="TG23" s="439"/>
      <c r="TH23" s="439"/>
      <c r="TI23" s="439"/>
      <c r="TJ23" s="439"/>
      <c r="TK23" s="439"/>
      <c r="TL23" s="439"/>
      <c r="TM23" s="439"/>
      <c r="TN23" s="439"/>
      <c r="TO23" s="439"/>
      <c r="TP23" s="439"/>
      <c r="TQ23" s="439"/>
      <c r="TR23" s="7"/>
      <c r="TS23" s="439"/>
      <c r="TT23" s="439"/>
      <c r="TU23" s="439"/>
      <c r="TV23" s="439"/>
      <c r="TW23" s="439"/>
      <c r="TX23" s="439"/>
      <c r="TY23" s="439"/>
      <c r="TZ23" s="439"/>
      <c r="UA23" s="439"/>
      <c r="UB23" s="439"/>
      <c r="UC23" s="439"/>
      <c r="UD23" s="439"/>
      <c r="UE23" s="439"/>
      <c r="UF23" s="439"/>
      <c r="UG23" s="439"/>
      <c r="UH23" s="439"/>
      <c r="UI23" s="447"/>
      <c r="UJ23" s="447"/>
      <c r="UK23" s="447"/>
      <c r="UL23" s="447"/>
      <c r="UM23" s="447"/>
      <c r="UN23" s="447"/>
      <c r="UO23" s="447"/>
      <c r="UP23" s="447"/>
      <c r="UQ23" s="447"/>
      <c r="UR23" s="447"/>
      <c r="US23" s="447"/>
      <c r="UT23" s="447"/>
      <c r="UU23" s="447"/>
      <c r="UV23" s="447"/>
      <c r="UW23" s="447"/>
      <c r="UX23" s="7"/>
      <c r="UY23" s="447"/>
      <c r="UZ23" s="447"/>
      <c r="VA23" s="447"/>
      <c r="VB23" s="447"/>
      <c r="VC23" s="447"/>
      <c r="VD23" s="447"/>
      <c r="VE23" s="447"/>
      <c r="VF23" s="447"/>
      <c r="VG23" s="447"/>
      <c r="VH23" s="447"/>
      <c r="VI23" s="447"/>
      <c r="VJ23" s="447"/>
      <c r="VK23" s="447"/>
      <c r="VL23" s="447"/>
      <c r="VM23" s="447"/>
      <c r="VN23" s="447"/>
      <c r="VO23" s="447"/>
      <c r="VP23" s="447"/>
      <c r="VQ23" s="447"/>
      <c r="VR23" s="447"/>
      <c r="VS23" s="447"/>
      <c r="VT23" s="447"/>
      <c r="WD23" s="7"/>
      <c r="WF23" s="364"/>
      <c r="WG23" s="364"/>
      <c r="WH23" s="310"/>
      <c r="WI23" s="310"/>
      <c r="WJ23" s="310"/>
      <c r="WK23" s="310"/>
      <c r="WL23" s="310"/>
      <c r="WM23" s="310"/>
      <c r="WN23" s="310"/>
      <c r="WO23" s="310"/>
      <c r="WP23" s="310"/>
      <c r="WQ23" s="310"/>
      <c r="WR23" s="310"/>
      <c r="WS23" s="310"/>
      <c r="WT23" s="310"/>
      <c r="WU23" s="310"/>
      <c r="WV23" s="310"/>
      <c r="WW23" s="364"/>
      <c r="WX23" s="364"/>
      <c r="WY23" s="364"/>
      <c r="XG23" s="7"/>
      <c r="XX23" s="364"/>
      <c r="XY23" s="364"/>
      <c r="XZ23" s="364"/>
      <c r="YA23" s="364"/>
      <c r="YE23" s="314"/>
      <c r="YF23" s="314"/>
      <c r="YG23" s="136"/>
      <c r="YH23" s="314"/>
      <c r="YI23" s="314"/>
      <c r="YL23" s="314"/>
      <c r="YM23" s="7"/>
      <c r="YN23" s="364"/>
      <c r="YV23" s="364"/>
      <c r="YX23" s="364"/>
      <c r="YY23" s="364"/>
      <c r="ZF23" s="337"/>
      <c r="ZR23" s="7"/>
      <c r="ZX23" s="364"/>
      <c r="ZY23" s="364"/>
      <c r="ZZ23" s="364"/>
      <c r="AAF23" s="364"/>
      <c r="AAG23" s="364"/>
      <c r="AAH23" s="364"/>
      <c r="AAI23" s="364"/>
      <c r="AAQ23" s="337"/>
      <c r="AAR23" s="337"/>
      <c r="AAS23" s="337"/>
      <c r="AAT23" s="337"/>
      <c r="AAU23" s="337"/>
      <c r="AAX23" s="7"/>
      <c r="AAY23" s="337"/>
      <c r="ABR23" s="201"/>
      <c r="ABS23" s="201"/>
      <c r="ABT23" s="337"/>
      <c r="ABU23" s="337"/>
      <c r="ABV23" s="337"/>
      <c r="ABW23" s="337"/>
      <c r="ABX23" s="337"/>
      <c r="ABY23" s="337"/>
      <c r="ABZ23" s="337"/>
      <c r="ACA23" s="337"/>
      <c r="ACB23" s="337"/>
      <c r="ACC23" s="7"/>
      <c r="ACD23" s="337"/>
      <c r="ACE23" s="337"/>
      <c r="ACF23" s="337"/>
      <c r="ACG23" s="337"/>
      <c r="ACH23" s="337"/>
      <c r="ACI23" s="337"/>
      <c r="ACJ23" s="337"/>
      <c r="ACK23" s="337"/>
      <c r="ACL23" s="337"/>
      <c r="ACM23" s="337"/>
      <c r="ACN23" s="337"/>
      <c r="ACO23" s="337"/>
      <c r="ACP23" s="337"/>
      <c r="ACQ23" s="337"/>
      <c r="ACR23" s="337"/>
      <c r="ACS23" s="337"/>
      <c r="ACT23" s="337"/>
      <c r="ACU23" s="337"/>
      <c r="ACV23" s="704"/>
      <c r="ACW23" s="705"/>
      <c r="ACX23" s="705"/>
      <c r="ACY23" s="705"/>
      <c r="ACZ23" s="705"/>
      <c r="ADA23" s="705"/>
      <c r="ADB23" s="705"/>
      <c r="ADC23" s="705"/>
      <c r="ADD23" s="706"/>
      <c r="ADI23" s="7"/>
      <c r="ADJ23" s="314">
        <v>8</v>
      </c>
      <c r="ADK23" s="314">
        <v>11</v>
      </c>
      <c r="ADL23" s="314">
        <v>11</v>
      </c>
      <c r="ADM23" s="314">
        <v>11</v>
      </c>
      <c r="ADN23" s="314">
        <v>8</v>
      </c>
      <c r="ADO23" s="314"/>
      <c r="ADP23" s="314">
        <v>11</v>
      </c>
      <c r="ADQ23" s="314">
        <v>11</v>
      </c>
      <c r="ADR23" s="314">
        <v>11</v>
      </c>
      <c r="ADS23" s="314">
        <v>11</v>
      </c>
      <c r="ADT23" s="314">
        <v>11</v>
      </c>
      <c r="ADU23" s="314">
        <v>11</v>
      </c>
      <c r="ADV23" s="314"/>
      <c r="ADW23" s="314">
        <v>11</v>
      </c>
      <c r="ADX23" s="314"/>
      <c r="ADY23" s="314">
        <v>11</v>
      </c>
      <c r="ADZ23" s="314">
        <v>11</v>
      </c>
      <c r="AEA23" s="314">
        <v>11</v>
      </c>
      <c r="AEB23" s="314">
        <v>8</v>
      </c>
      <c r="AEC23" s="314"/>
      <c r="AED23" s="314">
        <v>11</v>
      </c>
      <c r="AEE23" s="314">
        <v>11</v>
      </c>
      <c r="AEF23" s="314">
        <v>11</v>
      </c>
      <c r="AEG23" s="314">
        <v>11</v>
      </c>
      <c r="AEH23" s="314">
        <v>11</v>
      </c>
      <c r="AEI23" s="314">
        <v>11</v>
      </c>
      <c r="AEJ23" s="314"/>
      <c r="AEK23" s="314">
        <v>11</v>
      </c>
      <c r="AEL23" s="314">
        <v>11</v>
      </c>
      <c r="AEM23" s="314">
        <v>11</v>
      </c>
      <c r="AEN23" s="314">
        <v>11</v>
      </c>
      <c r="AEO23" s="7"/>
      <c r="AEP23" s="314">
        <v>11</v>
      </c>
      <c r="AEQ23" s="314">
        <v>11</v>
      </c>
      <c r="AER23" s="314"/>
      <c r="AES23" s="314">
        <v>11</v>
      </c>
      <c r="AET23" s="314">
        <v>11</v>
      </c>
      <c r="AEU23" s="314">
        <v>11</v>
      </c>
      <c r="AEV23" s="314">
        <v>11</v>
      </c>
      <c r="AEW23" s="314">
        <v>11</v>
      </c>
      <c r="AEX23" s="314">
        <v>11</v>
      </c>
      <c r="AEY23" s="314"/>
      <c r="AEZ23" s="314">
        <v>11</v>
      </c>
      <c r="AFA23" s="314">
        <v>11</v>
      </c>
      <c r="AFB23" s="314">
        <v>11</v>
      </c>
      <c r="AFC23" s="314">
        <v>11</v>
      </c>
      <c r="AFD23" s="636">
        <v>11</v>
      </c>
      <c r="AFE23" s="314">
        <v>750</v>
      </c>
      <c r="AFG23" s="314">
        <v>34</v>
      </c>
      <c r="AFH23" s="314">
        <v>380</v>
      </c>
      <c r="AFI23" s="314">
        <v>550</v>
      </c>
      <c r="AFJ23" s="314">
        <v>700</v>
      </c>
      <c r="AFK23" s="314">
        <v>1000</v>
      </c>
      <c r="AFL23" s="314">
        <v>1000</v>
      </c>
      <c r="AFN23" s="314">
        <v>1000</v>
      </c>
      <c r="AFO23" s="314">
        <v>1000</v>
      </c>
      <c r="AFP23" s="314">
        <v>1000</v>
      </c>
      <c r="AFQ23" s="314">
        <v>1000</v>
      </c>
      <c r="AFR23" s="314">
        <v>1000</v>
      </c>
      <c r="AFS23" s="314">
        <v>1000</v>
      </c>
      <c r="AFT23" s="7"/>
      <c r="AFU23" s="314"/>
      <c r="AFV23" s="314">
        <v>1000</v>
      </c>
      <c r="AFW23" s="314">
        <v>1000</v>
      </c>
      <c r="AFX23" s="314">
        <v>1000</v>
      </c>
      <c r="AFY23" s="314">
        <v>1000</v>
      </c>
      <c r="AFZ23" s="314">
        <v>1000</v>
      </c>
      <c r="AGA23" s="314">
        <v>1000</v>
      </c>
      <c r="AGB23" s="314"/>
      <c r="AGC23" s="314">
        <v>1000</v>
      </c>
      <c r="AGD23" s="314">
        <v>1000</v>
      </c>
      <c r="AGE23" s="314">
        <v>1000</v>
      </c>
      <c r="AGF23" s="314">
        <v>1000</v>
      </c>
      <c r="AGG23" s="314">
        <v>1000</v>
      </c>
      <c r="AGH23" s="314">
        <v>1000</v>
      </c>
      <c r="AGI23" s="314"/>
      <c r="AGJ23" s="314">
        <v>1000</v>
      </c>
      <c r="AGK23" s="314">
        <v>1000</v>
      </c>
      <c r="AGL23" s="314">
        <v>1000</v>
      </c>
      <c r="AGM23" s="314">
        <v>1000</v>
      </c>
      <c r="AGN23" s="314">
        <v>1000</v>
      </c>
      <c r="AGO23" s="314">
        <v>1000</v>
      </c>
      <c r="AGP23" s="314"/>
      <c r="AGQ23" s="314">
        <v>1000</v>
      </c>
      <c r="AGR23" s="314">
        <v>1000</v>
      </c>
      <c r="AGS23" s="314">
        <v>1000</v>
      </c>
      <c r="AGT23" s="314">
        <v>1000</v>
      </c>
      <c r="AGU23" s="314">
        <v>1000</v>
      </c>
      <c r="AGV23" s="314">
        <v>1000</v>
      </c>
      <c r="AGW23" s="314"/>
      <c r="AGX23" s="314">
        <v>1000</v>
      </c>
      <c r="AGY23" s="314">
        <v>1000</v>
      </c>
      <c r="AGZ23" s="7"/>
      <c r="AHA23" s="314">
        <v>1000</v>
      </c>
      <c r="AHB23" s="314">
        <v>1000</v>
      </c>
      <c r="AHC23" s="124">
        <v>1000</v>
      </c>
      <c r="AHD23" s="314">
        <v>2500</v>
      </c>
      <c r="AHE23" s="314"/>
      <c r="AHF23" s="314">
        <v>2500</v>
      </c>
      <c r="AHG23" s="314">
        <v>2500</v>
      </c>
      <c r="AHH23" s="314">
        <v>2500</v>
      </c>
      <c r="AHI23" s="314">
        <v>2500</v>
      </c>
      <c r="AHJ23" s="314">
        <v>2500</v>
      </c>
      <c r="AHK23" s="314">
        <v>2500</v>
      </c>
      <c r="AHL23" s="314"/>
      <c r="AHM23" s="314">
        <v>2500</v>
      </c>
      <c r="AHN23" s="314">
        <v>2500</v>
      </c>
      <c r="AHO23" s="314">
        <v>2500</v>
      </c>
      <c r="AHP23" s="314">
        <v>2500</v>
      </c>
      <c r="AHQ23" s="314">
        <v>2500</v>
      </c>
      <c r="AHR23" s="314">
        <v>2500</v>
      </c>
      <c r="AHS23" s="314"/>
      <c r="AHT23" s="314">
        <v>2500</v>
      </c>
      <c r="AHU23" s="314">
        <v>2500</v>
      </c>
      <c r="AHV23" s="314">
        <v>2500</v>
      </c>
      <c r="AHW23" s="314">
        <v>2500</v>
      </c>
      <c r="AHX23" s="314">
        <v>2500</v>
      </c>
      <c r="AHY23" s="314">
        <v>2500</v>
      </c>
      <c r="AHZ23" s="314"/>
      <c r="AIA23" s="314">
        <v>2500</v>
      </c>
      <c r="AIB23" s="314">
        <v>2500</v>
      </c>
      <c r="AIC23" s="314">
        <v>2500</v>
      </c>
      <c r="AID23" s="314">
        <v>2500</v>
      </c>
      <c r="AIE23" s="7"/>
      <c r="AIF23" s="314">
        <v>2500</v>
      </c>
      <c r="AIG23" s="314">
        <v>2500</v>
      </c>
      <c r="AIH23" s="314"/>
      <c r="AII23" s="124">
        <v>2500</v>
      </c>
      <c r="AIJ23" s="314">
        <v>2500</v>
      </c>
      <c r="AIK23" s="314">
        <v>2500</v>
      </c>
      <c r="AIL23" s="314">
        <v>2500</v>
      </c>
      <c r="AIM23" s="314">
        <v>2500</v>
      </c>
      <c r="AIN23" s="314">
        <v>2500</v>
      </c>
      <c r="AIP23" s="314">
        <v>2500</v>
      </c>
      <c r="AIQ23" s="314">
        <v>2500</v>
      </c>
      <c r="AIR23" s="314">
        <v>2500</v>
      </c>
      <c r="AIS23" s="314">
        <v>2500</v>
      </c>
      <c r="AIT23" s="314">
        <v>2500</v>
      </c>
      <c r="AIU23" s="364"/>
      <c r="AIV23" s="364"/>
      <c r="AIW23" s="314">
        <v>2500</v>
      </c>
      <c r="AIX23" s="314">
        <v>2500</v>
      </c>
      <c r="AIY23" s="314">
        <v>2500</v>
      </c>
      <c r="AIZ23" s="314">
        <v>2500</v>
      </c>
      <c r="AJA23" s="314">
        <v>2500</v>
      </c>
      <c r="AJB23" s="314">
        <v>2500</v>
      </c>
      <c r="AJC23" s="314"/>
      <c r="AJD23" s="314">
        <v>2500</v>
      </c>
      <c r="AJE23" s="314">
        <v>2500</v>
      </c>
      <c r="AJF23" s="314">
        <v>2500</v>
      </c>
      <c r="AJG23" s="314">
        <v>2500</v>
      </c>
      <c r="AJH23" s="314">
        <v>2500</v>
      </c>
      <c r="AJI23" s="314">
        <v>2500</v>
      </c>
      <c r="AJJ23" s="314"/>
      <c r="AJK23" s="7"/>
      <c r="AJL23" s="314">
        <v>2250</v>
      </c>
      <c r="AJM23" s="314">
        <v>2250</v>
      </c>
      <c r="AJN23" s="314">
        <v>2250</v>
      </c>
      <c r="AJO23" s="314">
        <v>2250</v>
      </c>
      <c r="AJP23" s="314">
        <v>2250</v>
      </c>
      <c r="AJQ23" s="314">
        <v>2250</v>
      </c>
      <c r="AJR23" s="314"/>
      <c r="AJS23" s="314">
        <v>2250</v>
      </c>
      <c r="AJT23" s="314">
        <v>2250</v>
      </c>
      <c r="AJU23" s="314">
        <v>2250</v>
      </c>
      <c r="AJV23" s="314">
        <v>2250</v>
      </c>
      <c r="AJW23" s="314">
        <v>2250</v>
      </c>
      <c r="AJX23" s="314">
        <v>2250</v>
      </c>
      <c r="AJY23" s="314"/>
      <c r="AJZ23" s="314">
        <v>2250</v>
      </c>
      <c r="AKA23" s="314">
        <v>2250</v>
      </c>
      <c r="AKB23" s="314">
        <v>2250</v>
      </c>
      <c r="AKC23" s="314">
        <v>2250</v>
      </c>
      <c r="AKD23" s="314">
        <v>2250</v>
      </c>
      <c r="AKE23" s="314">
        <v>2250</v>
      </c>
      <c r="AKF23" s="314"/>
      <c r="AKG23" s="314">
        <v>2250</v>
      </c>
      <c r="AKH23" s="314">
        <v>2250</v>
      </c>
      <c r="AKI23" s="314">
        <v>2250</v>
      </c>
      <c r="AKJ23" s="314">
        <v>2250</v>
      </c>
      <c r="AKK23" s="314">
        <v>2250</v>
      </c>
      <c r="AKL23" s="314">
        <v>2250</v>
      </c>
      <c r="AKM23" s="314"/>
      <c r="AKN23" s="314">
        <v>2250</v>
      </c>
      <c r="AKO23" s="314">
        <v>2250</v>
      </c>
      <c r="AKP23" s="314">
        <v>2250</v>
      </c>
      <c r="AKQ23" s="7"/>
      <c r="AKR23" s="314">
        <v>2250</v>
      </c>
      <c r="AKS23" s="314">
        <v>2250</v>
      </c>
      <c r="AKT23" s="314">
        <v>2250</v>
      </c>
      <c r="AKU23" s="314"/>
      <c r="AKV23" s="314">
        <v>2250</v>
      </c>
      <c r="AKW23" s="314">
        <v>2250</v>
      </c>
      <c r="AKX23" s="314">
        <v>2250</v>
      </c>
      <c r="AKY23" s="314">
        <v>2250</v>
      </c>
      <c r="AKZ23" s="314">
        <v>2250</v>
      </c>
      <c r="ALA23" s="314">
        <v>2250</v>
      </c>
      <c r="ALC23" s="124">
        <v>2250</v>
      </c>
      <c r="ALD23" s="314">
        <v>2200</v>
      </c>
      <c r="ALE23" s="314">
        <v>2200</v>
      </c>
      <c r="ALF23" s="314">
        <v>2200</v>
      </c>
      <c r="ALG23" s="314">
        <v>2200</v>
      </c>
      <c r="ALH23" s="314">
        <v>2200</v>
      </c>
      <c r="ALI23" s="314"/>
      <c r="ALJ23" s="314">
        <v>2200</v>
      </c>
      <c r="ALK23" s="314">
        <v>2200</v>
      </c>
      <c r="ALL23" s="314"/>
      <c r="ALM23" s="314">
        <v>2200</v>
      </c>
      <c r="ALN23" s="314">
        <v>2200</v>
      </c>
      <c r="ALO23" s="314">
        <v>2200</v>
      </c>
      <c r="ALP23" s="314"/>
      <c r="ALQ23" s="314">
        <v>2200</v>
      </c>
      <c r="ALR23" s="314">
        <v>2200</v>
      </c>
      <c r="ALS23" s="314">
        <v>2200</v>
      </c>
      <c r="ALT23" s="7"/>
      <c r="ALU23" s="314">
        <v>2200</v>
      </c>
      <c r="ALV23" s="314">
        <v>2200</v>
      </c>
      <c r="ALW23" s="314">
        <v>2200</v>
      </c>
      <c r="ALX23" s="314"/>
      <c r="ALY23" s="314">
        <v>2200</v>
      </c>
      <c r="ALZ23" s="314">
        <v>2200</v>
      </c>
      <c r="AMA23" s="314">
        <v>2200</v>
      </c>
      <c r="AMB23" s="314">
        <v>2200</v>
      </c>
      <c r="AMC23" s="314">
        <v>2200</v>
      </c>
      <c r="AMD23" s="124">
        <v>2200</v>
      </c>
      <c r="AME23" s="314"/>
      <c r="AMF23" s="314">
        <v>1045</v>
      </c>
      <c r="AMG23" s="314">
        <v>1045</v>
      </c>
      <c r="AMH23" s="314">
        <v>1045</v>
      </c>
      <c r="AMI23" s="314">
        <v>1045</v>
      </c>
      <c r="AMJ23" s="314">
        <v>1045</v>
      </c>
      <c r="AMK23" s="314">
        <v>1045</v>
      </c>
      <c r="AML23" s="314"/>
      <c r="AMM23" s="314">
        <v>1045</v>
      </c>
      <c r="AMN23" s="314">
        <v>1045</v>
      </c>
      <c r="AMO23" s="314">
        <v>1045</v>
      </c>
      <c r="AMP23" s="314">
        <v>1045</v>
      </c>
      <c r="AMQ23" s="314">
        <v>1045</v>
      </c>
      <c r="AMR23" s="314">
        <v>1045</v>
      </c>
      <c r="AMS23" s="314"/>
      <c r="AMT23" s="314"/>
      <c r="AMU23" s="314">
        <v>1045</v>
      </c>
      <c r="AMV23" s="314">
        <v>1045</v>
      </c>
      <c r="AMW23" s="314">
        <v>1045</v>
      </c>
      <c r="AMX23" s="314">
        <v>1045</v>
      </c>
      <c r="AMY23" s="314">
        <v>1045</v>
      </c>
      <c r="AMZ23" s="7"/>
      <c r="ANA23" s="314"/>
      <c r="ANB23" s="314">
        <v>855</v>
      </c>
      <c r="ANC23" s="314">
        <v>855</v>
      </c>
      <c r="AND23" s="314">
        <v>855</v>
      </c>
      <c r="ANE23" s="314">
        <v>855</v>
      </c>
      <c r="ANF23" s="314">
        <v>855</v>
      </c>
      <c r="ANG23" s="314">
        <v>855</v>
      </c>
      <c r="ANH23" s="314">
        <v>855</v>
      </c>
      <c r="ANI23" s="314">
        <v>855</v>
      </c>
      <c r="ANJ23" s="314">
        <v>855</v>
      </c>
      <c r="ANK23" s="314">
        <v>855</v>
      </c>
      <c r="ANL23" s="314">
        <v>855</v>
      </c>
      <c r="ANM23" s="314">
        <v>855</v>
      </c>
      <c r="ANN23" s="314"/>
      <c r="ANO23" s="314"/>
      <c r="ANP23" s="314">
        <v>855</v>
      </c>
      <c r="ANQ23" s="314">
        <v>855</v>
      </c>
      <c r="ANR23" s="314">
        <v>855</v>
      </c>
      <c r="ANS23" s="314">
        <v>855</v>
      </c>
      <c r="ANT23" s="314">
        <v>855</v>
      </c>
      <c r="ANU23" s="314">
        <v>855</v>
      </c>
      <c r="ANV23" s="314">
        <v>855</v>
      </c>
      <c r="ANW23" s="314">
        <v>855</v>
      </c>
      <c r="ANX23" s="314">
        <v>855</v>
      </c>
      <c r="ANY23" s="314">
        <v>855</v>
      </c>
      <c r="ANZ23" s="314">
        <v>855</v>
      </c>
      <c r="AOA23" s="314">
        <v>855</v>
      </c>
      <c r="AOB23" s="314">
        <v>855</v>
      </c>
      <c r="AOC23" s="314"/>
      <c r="AOD23" s="124">
        <v>855</v>
      </c>
      <c r="AOE23" s="7"/>
      <c r="AOF23" s="128"/>
      <c r="AOG23" s="128"/>
      <c r="AOH23" s="128"/>
      <c r="AOI23" s="128"/>
      <c r="AOJ23" s="128"/>
      <c r="AOK23" s="128"/>
      <c r="AOL23" s="128"/>
      <c r="AOM23" s="128"/>
      <c r="AON23" s="128"/>
      <c r="AOO23" s="314">
        <v>2450</v>
      </c>
      <c r="AOP23" s="314">
        <v>2450</v>
      </c>
      <c r="AOQ23" s="314">
        <v>2450</v>
      </c>
      <c r="AOR23" s="314"/>
      <c r="AOS23" s="314">
        <v>2450</v>
      </c>
      <c r="AOT23" s="314">
        <v>2450</v>
      </c>
      <c r="AOU23" s="314">
        <v>2450</v>
      </c>
      <c r="AOV23" s="314">
        <v>2450</v>
      </c>
      <c r="AOW23" s="314">
        <v>2450</v>
      </c>
      <c r="AOX23" s="124">
        <v>2450</v>
      </c>
      <c r="AOY23" s="314"/>
      <c r="AOZ23" s="314">
        <v>2450</v>
      </c>
      <c r="APA23" s="314">
        <v>2450</v>
      </c>
      <c r="APB23" s="314">
        <v>2450</v>
      </c>
      <c r="APC23" s="314">
        <v>2450</v>
      </c>
      <c r="APD23" s="314">
        <v>2450</v>
      </c>
      <c r="APE23" s="314">
        <v>2450</v>
      </c>
      <c r="APG23" s="314">
        <v>2450</v>
      </c>
      <c r="APH23" s="314">
        <v>2450</v>
      </c>
      <c r="API23" s="314">
        <v>2450</v>
      </c>
      <c r="APJ23" s="314">
        <v>2450</v>
      </c>
      <c r="APK23" s="7"/>
      <c r="APL23" s="314">
        <v>2450</v>
      </c>
      <c r="APM23" s="314">
        <v>2450</v>
      </c>
      <c r="APN23" s="314">
        <f>245*8</f>
        <v>1960</v>
      </c>
      <c r="APO23" s="314">
        <v>2450</v>
      </c>
      <c r="APP23" s="314">
        <v>2450</v>
      </c>
      <c r="APQ23" s="314">
        <v>2450</v>
      </c>
      <c r="APR23" s="314">
        <v>2450</v>
      </c>
      <c r="APS23" s="124">
        <v>2450</v>
      </c>
      <c r="APT23" s="314">
        <v>500</v>
      </c>
      <c r="APU23" s="314"/>
      <c r="APV23" s="314">
        <v>800</v>
      </c>
      <c r="APW23" s="314">
        <v>1000</v>
      </c>
      <c r="APX23" s="314">
        <v>1000</v>
      </c>
      <c r="APY23" s="314">
        <v>1000</v>
      </c>
      <c r="APZ23" s="314">
        <v>1000</v>
      </c>
      <c r="AQA23" s="314">
        <v>1000</v>
      </c>
      <c r="AQB23" s="314"/>
      <c r="AQC23" s="314">
        <v>1000</v>
      </c>
      <c r="AQD23" s="314">
        <v>1000</v>
      </c>
      <c r="AQE23" s="314">
        <v>1000</v>
      </c>
      <c r="AQF23" s="314">
        <v>1000</v>
      </c>
      <c r="AQG23" s="314">
        <v>1000</v>
      </c>
      <c r="AQH23" s="124">
        <v>600</v>
      </c>
      <c r="AQI23" s="314">
        <v>1880</v>
      </c>
      <c r="AQJ23" s="314">
        <v>2300</v>
      </c>
      <c r="AQK23" s="314">
        <v>2300</v>
      </c>
      <c r="AQL23" s="314">
        <v>2300</v>
      </c>
      <c r="AQM23" s="314">
        <v>2300</v>
      </c>
      <c r="AQN23" s="314">
        <v>2300</v>
      </c>
      <c r="AQO23" s="314">
        <v>2300</v>
      </c>
      <c r="AQP23" s="7"/>
      <c r="AQQ23" s="314"/>
      <c r="AQR23" s="314">
        <v>2300</v>
      </c>
      <c r="AQS23" s="314">
        <v>2300</v>
      </c>
      <c r="AQT23" s="314">
        <v>2300</v>
      </c>
      <c r="AQU23" s="314">
        <v>2300</v>
      </c>
      <c r="AQV23" s="314">
        <v>2300</v>
      </c>
      <c r="AQW23" s="314">
        <v>2300</v>
      </c>
      <c r="AQX23" s="128"/>
      <c r="AQY23" s="128"/>
      <c r="AQZ23" s="128"/>
      <c r="ARA23" s="128"/>
      <c r="ARB23" s="128"/>
      <c r="ARC23" s="128"/>
      <c r="ARD23" s="128"/>
      <c r="ARE23" s="128"/>
      <c r="ARF23" s="128"/>
      <c r="ARG23" s="314">
        <v>2300</v>
      </c>
      <c r="ARH23" s="314">
        <v>2300</v>
      </c>
      <c r="ARI23" s="314">
        <v>2300</v>
      </c>
      <c r="ARJ23" s="314">
        <v>2300</v>
      </c>
      <c r="ARK23" s="314">
        <v>2300</v>
      </c>
      <c r="ARM23" s="314">
        <v>2300</v>
      </c>
      <c r="ARN23" s="314">
        <v>2300</v>
      </c>
      <c r="ARO23" s="314">
        <v>2300</v>
      </c>
      <c r="ARP23" s="314">
        <v>2300</v>
      </c>
      <c r="ARQ23" s="314">
        <v>2300</v>
      </c>
      <c r="ARR23" s="314">
        <v>2300</v>
      </c>
      <c r="ART23" s="314">
        <v>2300</v>
      </c>
      <c r="ARU23" s="314">
        <v>2300</v>
      </c>
      <c r="ARV23" s="7"/>
      <c r="ARW23" s="314">
        <v>2300</v>
      </c>
      <c r="ARX23" s="314">
        <v>2300</v>
      </c>
      <c r="ARY23" s="314">
        <v>2300</v>
      </c>
      <c r="ARZ23" s="314">
        <v>2300</v>
      </c>
      <c r="ASA23" s="364"/>
      <c r="ASB23" s="314">
        <v>2300</v>
      </c>
      <c r="ASC23" s="314">
        <v>2300</v>
      </c>
      <c r="ASD23" s="314">
        <v>2300</v>
      </c>
      <c r="ASE23" s="314">
        <v>2300</v>
      </c>
      <c r="ASF23" s="314">
        <v>2300</v>
      </c>
      <c r="ASG23" s="314">
        <v>2300</v>
      </c>
      <c r="ASH23" s="314"/>
      <c r="ASI23" s="314">
        <v>2300</v>
      </c>
      <c r="ASJ23" s="314">
        <v>2300</v>
      </c>
      <c r="ASK23" s="314"/>
      <c r="ASL23" s="314">
        <v>2300</v>
      </c>
      <c r="ASM23" s="314">
        <v>2300</v>
      </c>
      <c r="ASN23" s="314">
        <v>2300</v>
      </c>
      <c r="ASO23" s="314"/>
      <c r="ASP23" s="314">
        <v>2300</v>
      </c>
      <c r="ASQ23" s="314">
        <v>2300</v>
      </c>
      <c r="ASR23" s="314">
        <v>2300</v>
      </c>
      <c r="ASS23" s="314">
        <v>2300</v>
      </c>
      <c r="AST23" s="124">
        <v>2300</v>
      </c>
      <c r="ASU23" s="314">
        <v>2300</v>
      </c>
      <c r="ASW23" s="314">
        <v>2300</v>
      </c>
      <c r="ASX23" s="314">
        <v>2300</v>
      </c>
      <c r="ASY23" s="314">
        <v>2300</v>
      </c>
      <c r="ASZ23" s="314">
        <v>2300</v>
      </c>
      <c r="ATA23" s="314">
        <v>2300</v>
      </c>
      <c r="ATB23" s="7"/>
      <c r="ATC23" s="314">
        <v>2300</v>
      </c>
      <c r="ATD23" s="314"/>
      <c r="ATE23" s="314">
        <v>2300</v>
      </c>
      <c r="ATF23" s="314">
        <v>2300</v>
      </c>
      <c r="ATG23" s="314">
        <v>2300</v>
      </c>
      <c r="ATH23" s="314">
        <v>2300</v>
      </c>
      <c r="ATI23" s="314">
        <v>2300</v>
      </c>
      <c r="ATJ23" s="314">
        <v>2300</v>
      </c>
      <c r="ATK23" s="314"/>
      <c r="ATL23" s="314">
        <v>2300</v>
      </c>
      <c r="ATM23" s="314">
        <v>2300</v>
      </c>
      <c r="ATN23" s="314">
        <v>2300</v>
      </c>
      <c r="ATO23" s="314">
        <v>2300</v>
      </c>
      <c r="ATP23" s="314">
        <v>2300</v>
      </c>
      <c r="ATQ23" s="124">
        <v>2300</v>
      </c>
      <c r="ATR23" s="314"/>
      <c r="ATS23" s="314">
        <v>600</v>
      </c>
      <c r="ATT23" s="314">
        <v>1000</v>
      </c>
      <c r="ATU23" s="314">
        <v>1000</v>
      </c>
      <c r="ATV23" s="314">
        <v>1000</v>
      </c>
      <c r="ATW23" s="314">
        <v>1000</v>
      </c>
      <c r="ATX23" s="314">
        <v>1000</v>
      </c>
      <c r="ATY23" s="314"/>
      <c r="ATZ23" s="314">
        <v>1000</v>
      </c>
      <c r="AUA23" s="314">
        <v>1000</v>
      </c>
      <c r="AUB23" s="314">
        <v>1000</v>
      </c>
      <c r="AUC23" s="314">
        <v>1000</v>
      </c>
      <c r="AUD23" s="314">
        <v>1000</v>
      </c>
      <c r="AUE23" s="314">
        <v>1000</v>
      </c>
      <c r="AUF23" s="364"/>
      <c r="AUG23" s="7"/>
      <c r="AUH23" s="314">
        <v>1000</v>
      </c>
      <c r="AUI23" s="314">
        <v>1000</v>
      </c>
      <c r="AUJ23" s="314">
        <v>1000</v>
      </c>
      <c r="AUK23" s="314">
        <v>1000</v>
      </c>
      <c r="AUL23" s="314"/>
      <c r="AUM23" s="314">
        <v>1000</v>
      </c>
      <c r="AUN23" s="314"/>
      <c r="AUO23" s="314">
        <v>1000</v>
      </c>
      <c r="AUP23" s="314">
        <v>1000</v>
      </c>
      <c r="AUQ23" s="314">
        <v>1000</v>
      </c>
      <c r="AUR23" s="314">
        <v>1000</v>
      </c>
      <c r="AUS23" s="314">
        <v>1000</v>
      </c>
      <c r="AUT23" s="314">
        <v>1000</v>
      </c>
      <c r="AUU23" s="314"/>
      <c r="AUV23" s="314">
        <v>1000</v>
      </c>
      <c r="AUW23" s="314">
        <v>1000</v>
      </c>
      <c r="AUX23" s="314">
        <v>1000</v>
      </c>
      <c r="AUY23" s="314">
        <v>1000</v>
      </c>
      <c r="AUZ23" s="314">
        <v>1000</v>
      </c>
      <c r="AVA23" s="314">
        <v>1000</v>
      </c>
      <c r="AVB23" s="314"/>
      <c r="AVC23" s="314">
        <v>1000</v>
      </c>
      <c r="AVD23" s="314">
        <v>1000</v>
      </c>
      <c r="AVE23" s="314">
        <v>1000</v>
      </c>
      <c r="AVF23" s="314">
        <v>1000</v>
      </c>
      <c r="AVG23" s="314">
        <v>1000</v>
      </c>
      <c r="AVH23" s="314">
        <v>1000</v>
      </c>
      <c r="AVI23" s="314"/>
      <c r="AVJ23" s="314">
        <v>1000</v>
      </c>
      <c r="AVK23" s="314">
        <v>1000</v>
      </c>
      <c r="AVL23" s="314">
        <v>1000</v>
      </c>
      <c r="AVM23" s="7"/>
      <c r="AVN23" s="314">
        <v>1000</v>
      </c>
      <c r="AVO23" s="314">
        <v>1000</v>
      </c>
      <c r="AVP23" s="124">
        <v>1000</v>
      </c>
      <c r="AVQ23" s="314"/>
      <c r="AVR23" s="314"/>
      <c r="AVS23" s="314"/>
      <c r="AVT23" s="314"/>
      <c r="AVU23" s="314"/>
      <c r="AVV23" s="314"/>
      <c r="AVW23" s="314"/>
      <c r="AVX23" s="314"/>
      <c r="AVY23" s="314"/>
      <c r="AVZ23" s="314"/>
      <c r="AWA23" s="314"/>
      <c r="AWB23" s="314"/>
      <c r="AWC23" s="314"/>
      <c r="AWD23" s="314"/>
      <c r="AWE23" s="314"/>
      <c r="AWF23" s="314"/>
      <c r="AWG23" s="314"/>
      <c r="AWH23" s="314"/>
      <c r="AWI23" s="314"/>
      <c r="AWJ23" s="314"/>
      <c r="AWK23" s="314"/>
      <c r="AWL23" s="314"/>
      <c r="AWM23" s="314"/>
      <c r="AWN23" s="314"/>
      <c r="AWO23" s="314"/>
      <c r="AWP23" s="314"/>
      <c r="AWQ23" s="314"/>
      <c r="AWR23" s="7"/>
      <c r="AWS23" s="364"/>
      <c r="AWT23" s="364"/>
      <c r="AWU23" s="364"/>
      <c r="AWV23" s="364"/>
      <c r="AWW23" s="364"/>
      <c r="AWX23" s="364"/>
      <c r="AWY23" s="364"/>
      <c r="AWZ23" s="364"/>
      <c r="AXA23" s="364"/>
      <c r="AXB23" s="364"/>
      <c r="AXC23" s="364"/>
      <c r="AXD23" s="364"/>
      <c r="AXE23" s="364"/>
      <c r="AXF23" s="364"/>
      <c r="AXG23" s="364"/>
      <c r="AXH23" s="364"/>
      <c r="AXI23" s="364"/>
      <c r="AXJ23" s="364"/>
      <c r="AXK23" s="364"/>
      <c r="AXL23" s="364"/>
      <c r="AXM23" s="364"/>
      <c r="AXN23" s="364"/>
      <c r="AXO23" s="364"/>
      <c r="AXP23" s="364"/>
      <c r="AXQ23" s="364"/>
      <c r="AXR23" s="364"/>
      <c r="AXS23" s="364"/>
      <c r="AXT23" s="364"/>
      <c r="AXU23" s="364"/>
      <c r="AXV23" s="364"/>
      <c r="AXW23" s="364"/>
      <c r="AXX23" s="7"/>
    </row>
    <row r="24" spans="1:1324" s="679" customFormat="1" ht="28.5" customHeight="1" thickBot="1" x14ac:dyDescent="0.45">
      <c r="A24" s="711"/>
      <c r="B24" s="674" t="s">
        <v>19</v>
      </c>
      <c r="C24" s="675" t="s">
        <v>63</v>
      </c>
      <c r="D24" s="676"/>
      <c r="E24" s="676"/>
      <c r="F24" s="676"/>
      <c r="G24" s="676"/>
      <c r="H24" s="676"/>
      <c r="I24" s="676"/>
      <c r="J24" s="676"/>
      <c r="K24" s="676"/>
      <c r="L24" s="676"/>
      <c r="M24" s="676"/>
      <c r="N24" s="676"/>
      <c r="O24" s="676"/>
      <c r="P24" s="676"/>
      <c r="Q24" s="676"/>
      <c r="R24" s="676"/>
      <c r="S24" s="676"/>
      <c r="T24" s="676"/>
      <c r="U24" s="676"/>
      <c r="V24" s="676"/>
      <c r="W24" s="676"/>
      <c r="X24" s="676"/>
      <c r="Y24" s="676"/>
      <c r="Z24" s="676"/>
      <c r="AA24" s="676"/>
      <c r="AB24" s="676"/>
      <c r="AC24" s="676"/>
      <c r="AD24" s="676"/>
      <c r="AE24" s="675" t="s">
        <v>60</v>
      </c>
      <c r="AF24" s="676"/>
      <c r="AG24" s="676"/>
      <c r="AH24" s="677" t="s">
        <v>19</v>
      </c>
      <c r="AI24" s="675" t="s">
        <v>63</v>
      </c>
      <c r="AJ24" s="678"/>
      <c r="AK24" s="678"/>
      <c r="AL24" s="678"/>
      <c r="AM24" s="678"/>
      <c r="AN24" s="678"/>
      <c r="AO24" s="678"/>
      <c r="AP24" s="678"/>
      <c r="AQ24" s="750"/>
      <c r="AR24" s="751"/>
      <c r="AS24" s="751"/>
      <c r="AT24" s="751"/>
      <c r="AU24" s="751"/>
      <c r="AV24" s="751"/>
      <c r="AW24" s="751"/>
      <c r="AX24" s="751"/>
      <c r="AY24" s="751"/>
      <c r="AZ24" s="752"/>
      <c r="BA24" s="678" t="s">
        <v>63</v>
      </c>
      <c r="BB24" s="678"/>
      <c r="BC24" s="678"/>
      <c r="BD24" s="678"/>
      <c r="BE24" s="678"/>
      <c r="BF24" s="678"/>
      <c r="BG24" s="678"/>
      <c r="BH24" s="678"/>
      <c r="BI24" s="678"/>
      <c r="BJ24" s="678"/>
      <c r="BK24" s="675" t="s">
        <v>60</v>
      </c>
      <c r="BL24" s="678"/>
      <c r="BM24" s="678"/>
      <c r="BN24" s="674" t="s">
        <v>19</v>
      </c>
      <c r="BO24" s="678" t="s">
        <v>60</v>
      </c>
      <c r="BP24" s="676"/>
      <c r="BQ24" s="676"/>
      <c r="BR24" s="676"/>
      <c r="BS24" s="676"/>
      <c r="BT24" s="676"/>
      <c r="BU24" s="676"/>
      <c r="BV24" s="676"/>
      <c r="BW24" s="676"/>
      <c r="BX24" s="676"/>
      <c r="BY24" s="676"/>
      <c r="BZ24" s="676"/>
      <c r="CA24" s="676"/>
      <c r="CB24" s="676"/>
      <c r="CC24" s="676"/>
      <c r="CD24" s="676"/>
      <c r="CE24" s="676"/>
      <c r="CF24" s="676"/>
      <c r="CG24" s="676"/>
      <c r="CH24" s="676"/>
      <c r="CI24" s="676"/>
      <c r="CJ24" s="676"/>
      <c r="CK24" s="676"/>
      <c r="CL24" s="676"/>
      <c r="CM24" s="676"/>
      <c r="CN24" s="676"/>
      <c r="CO24" s="676"/>
      <c r="CP24" s="676"/>
      <c r="CQ24" s="676"/>
      <c r="CR24" s="676"/>
      <c r="CS24" s="674" t="s">
        <v>19</v>
      </c>
      <c r="CT24" s="678" t="s">
        <v>135</v>
      </c>
      <c r="CU24" s="678"/>
      <c r="CV24" s="678"/>
      <c r="CW24" s="678"/>
      <c r="CX24" s="678"/>
      <c r="CY24" s="678"/>
      <c r="CZ24" s="678"/>
      <c r="DA24" s="678"/>
      <c r="DB24" s="678"/>
      <c r="DC24" s="678"/>
      <c r="DD24" s="678"/>
      <c r="DE24" s="678"/>
      <c r="DF24" s="678"/>
      <c r="DG24" s="678"/>
      <c r="DH24" s="678"/>
      <c r="DI24" s="678"/>
      <c r="DJ24" s="678"/>
      <c r="DK24" s="678"/>
      <c r="DL24" s="678"/>
      <c r="DM24" s="678"/>
      <c r="DN24" s="678"/>
      <c r="DO24" s="678"/>
      <c r="DP24" s="678"/>
      <c r="DQ24" s="678"/>
      <c r="DR24" s="678"/>
      <c r="DW24" s="583"/>
      <c r="DX24" s="583"/>
      <c r="DY24" s="674" t="s">
        <v>19</v>
      </c>
      <c r="EA24" s="583"/>
      <c r="EB24" s="583"/>
      <c r="EC24" s="583"/>
      <c r="ED24" s="583"/>
      <c r="EE24" s="583"/>
      <c r="EF24" s="583"/>
      <c r="EG24" s="583"/>
      <c r="EH24" s="583"/>
      <c r="EI24" s="583"/>
      <c r="EJ24" s="583"/>
      <c r="EK24" s="583"/>
      <c r="EL24" s="680" t="s">
        <v>184</v>
      </c>
      <c r="EM24" s="680"/>
      <c r="EN24" s="680"/>
      <c r="EO24" s="680"/>
      <c r="EP24" s="675" t="s">
        <v>185</v>
      </c>
      <c r="EQ24" s="681"/>
      <c r="ER24" s="681"/>
      <c r="ES24" s="681"/>
      <c r="ET24" s="681"/>
      <c r="EU24" s="681"/>
      <c r="EV24" s="681"/>
      <c r="EW24" s="681"/>
      <c r="EX24" s="681"/>
      <c r="EY24" s="681"/>
      <c r="EZ24" s="681"/>
      <c r="FA24" s="681"/>
      <c r="FB24" s="681"/>
      <c r="FC24" s="681"/>
      <c r="FD24" s="674" t="s">
        <v>19</v>
      </c>
      <c r="FE24" s="678" t="s">
        <v>343</v>
      </c>
      <c r="FF24" s="678"/>
      <c r="FG24" s="678" t="s">
        <v>344</v>
      </c>
      <c r="FH24" s="678"/>
      <c r="FI24" s="185" t="s">
        <v>345</v>
      </c>
      <c r="FJ24" s="185"/>
      <c r="FK24" s="678"/>
      <c r="FL24" s="678"/>
      <c r="FM24" s="678"/>
      <c r="FN24" s="678"/>
      <c r="FO24" s="678"/>
      <c r="FP24" s="678"/>
      <c r="FQ24" s="678"/>
      <c r="FR24" s="678" t="s">
        <v>342</v>
      </c>
      <c r="FS24" s="678"/>
      <c r="FT24" s="185" t="s">
        <v>346</v>
      </c>
      <c r="FU24" s="682"/>
      <c r="FV24" s="678"/>
      <c r="FW24" s="678"/>
      <c r="FX24" s="678"/>
      <c r="FY24" s="678"/>
      <c r="FZ24" s="678"/>
      <c r="GA24" s="678"/>
      <c r="GB24" s="678" t="s">
        <v>347</v>
      </c>
      <c r="GC24" s="678"/>
      <c r="GD24" s="678"/>
      <c r="GE24" s="678"/>
      <c r="GF24" s="678"/>
      <c r="GG24" s="678"/>
      <c r="GH24" s="678"/>
      <c r="GI24" s="678"/>
      <c r="GJ24" s="674" t="s">
        <v>19</v>
      </c>
      <c r="GK24" s="678" t="s">
        <v>329</v>
      </c>
      <c r="GL24" s="678"/>
      <c r="GM24" s="678"/>
      <c r="GN24" s="678"/>
      <c r="GO24" s="185" t="s">
        <v>354</v>
      </c>
      <c r="GP24" s="678"/>
      <c r="GQ24" s="678"/>
      <c r="GR24" s="678"/>
      <c r="GS24" s="678"/>
      <c r="GT24" s="678"/>
      <c r="GU24" s="678"/>
      <c r="GV24" s="678"/>
      <c r="GW24" s="185" t="s">
        <v>366</v>
      </c>
      <c r="GX24" s="678"/>
      <c r="GY24" s="678"/>
      <c r="GZ24" s="185" t="s">
        <v>450</v>
      </c>
      <c r="HA24" s="678"/>
      <c r="HB24" s="678"/>
      <c r="HC24" s="678"/>
      <c r="HD24" s="185" t="s">
        <v>359</v>
      </c>
      <c r="HE24" s="185"/>
      <c r="HF24" s="678"/>
      <c r="HG24" s="678"/>
      <c r="HH24" s="678"/>
      <c r="HI24" s="678"/>
      <c r="HJ24" s="678"/>
      <c r="HK24" s="678"/>
      <c r="HL24" s="678"/>
      <c r="HM24" s="678"/>
      <c r="HN24" s="678" t="s">
        <v>354</v>
      </c>
      <c r="HO24" s="678"/>
      <c r="HP24" s="674" t="s">
        <v>19</v>
      </c>
      <c r="HQ24" s="678" t="s">
        <v>350</v>
      </c>
      <c r="HR24" s="678"/>
      <c r="HS24" s="185" t="s">
        <v>354</v>
      </c>
      <c r="HT24" s="185"/>
      <c r="HU24" s="678"/>
      <c r="HV24" s="678"/>
      <c r="HW24" s="678"/>
      <c r="HX24" s="678"/>
      <c r="HY24" s="678"/>
      <c r="HZ24" s="185" t="s">
        <v>371</v>
      </c>
      <c r="IA24" s="185"/>
      <c r="IB24" s="678"/>
      <c r="IC24" s="678"/>
      <c r="ID24" s="678"/>
      <c r="IE24" s="678"/>
      <c r="IF24" s="678"/>
      <c r="IG24" s="185" t="s">
        <v>371</v>
      </c>
      <c r="IH24" s="185"/>
      <c r="II24" s="678"/>
      <c r="IJ24" s="678"/>
      <c r="IK24" s="678"/>
      <c r="IL24" s="678"/>
      <c r="IM24" s="678"/>
      <c r="IN24" s="678"/>
      <c r="IO24" s="678"/>
      <c r="IP24" s="678"/>
      <c r="IQ24" s="678"/>
      <c r="IR24" s="678"/>
      <c r="IS24" s="678"/>
      <c r="IT24" s="674" t="s">
        <v>19</v>
      </c>
      <c r="IU24" s="678" t="s">
        <v>371</v>
      </c>
      <c r="IV24" s="678"/>
      <c r="IW24" s="678"/>
      <c r="IX24" s="678"/>
      <c r="IY24" s="678"/>
      <c r="IZ24" s="678"/>
      <c r="JA24" s="678"/>
      <c r="JB24" s="678"/>
      <c r="JC24" s="678"/>
      <c r="JD24" s="678"/>
      <c r="JE24" s="678"/>
      <c r="JF24" s="678"/>
      <c r="JG24" s="678"/>
      <c r="JH24" s="678"/>
      <c r="JI24" s="678"/>
      <c r="JJ24" s="678"/>
      <c r="JK24" s="678"/>
      <c r="JL24" s="678"/>
      <c r="JM24" s="678"/>
      <c r="JN24" s="678"/>
      <c r="JO24" s="678"/>
      <c r="JP24" s="678"/>
      <c r="JQ24" s="683" t="s">
        <v>634</v>
      </c>
      <c r="JR24" s="186"/>
      <c r="JS24" s="684"/>
      <c r="JT24" s="684"/>
      <c r="JU24" s="684"/>
      <c r="JV24" s="684"/>
      <c r="JW24" s="684"/>
      <c r="JX24" s="684"/>
      <c r="JY24" s="684"/>
      <c r="JZ24" s="674" t="s">
        <v>19</v>
      </c>
      <c r="KA24" s="185" t="s">
        <v>371</v>
      </c>
      <c r="KB24" s="185"/>
      <c r="KC24" s="678"/>
      <c r="KD24" s="678"/>
      <c r="KE24" s="678"/>
      <c r="KF24" s="678"/>
      <c r="KG24" s="678"/>
      <c r="KH24" s="678"/>
      <c r="KI24" s="678"/>
      <c r="KJ24" s="678"/>
      <c r="KK24" s="678"/>
      <c r="KL24" s="678"/>
      <c r="KM24" s="678"/>
      <c r="KN24" s="678"/>
      <c r="KO24" s="678"/>
      <c r="KP24" s="678"/>
      <c r="KQ24" s="678"/>
      <c r="KR24" s="683" t="s">
        <v>677</v>
      </c>
      <c r="KS24" s="186"/>
      <c r="KT24" s="683" t="s">
        <v>679</v>
      </c>
      <c r="KU24" s="186"/>
      <c r="KV24" s="683" t="s">
        <v>678</v>
      </c>
      <c r="KW24" s="683"/>
      <c r="KX24" s="684"/>
      <c r="KY24" s="684"/>
      <c r="KZ24" s="684"/>
      <c r="LA24" s="684"/>
      <c r="LB24" s="685"/>
      <c r="LC24" s="684"/>
      <c r="LD24" s="685"/>
      <c r="LE24" s="674" t="s">
        <v>19</v>
      </c>
      <c r="LF24" s="685" t="s">
        <v>540</v>
      </c>
      <c r="LG24" s="685"/>
      <c r="LH24" s="685"/>
      <c r="LI24" s="684"/>
      <c r="LJ24" s="684"/>
      <c r="LK24" s="684"/>
      <c r="LL24" s="684"/>
      <c r="LM24" s="684"/>
      <c r="LN24" s="185" t="s">
        <v>370</v>
      </c>
      <c r="LO24" s="185"/>
      <c r="LP24" s="678"/>
      <c r="LQ24" s="678"/>
      <c r="LR24" s="678"/>
      <c r="LS24" s="678"/>
      <c r="LT24" s="678"/>
      <c r="LU24" s="678"/>
      <c r="LV24" s="678"/>
      <c r="LW24" s="678"/>
      <c r="LX24" s="678"/>
      <c r="LY24" s="678"/>
      <c r="LZ24" s="756"/>
      <c r="MA24" s="757"/>
      <c r="MB24" s="757"/>
      <c r="MC24" s="757"/>
      <c r="MD24" s="757"/>
      <c r="ME24" s="757"/>
      <c r="MF24" s="757"/>
      <c r="MG24" s="757"/>
      <c r="MH24" s="757"/>
      <c r="MI24" s="758"/>
      <c r="MJ24" s="678" t="s">
        <v>370</v>
      </c>
      <c r="MK24" s="674" t="s">
        <v>19</v>
      </c>
      <c r="ML24" s="678" t="s">
        <v>370</v>
      </c>
      <c r="MM24" s="678"/>
      <c r="MN24" s="678"/>
      <c r="MO24" s="678"/>
      <c r="MP24" s="678"/>
      <c r="MQ24" s="678"/>
      <c r="MR24" s="678"/>
      <c r="MS24" s="678"/>
      <c r="MT24" s="678"/>
      <c r="MU24" s="678"/>
      <c r="MV24" s="678"/>
      <c r="MW24" s="678"/>
      <c r="MX24" s="678"/>
      <c r="MY24" s="678"/>
      <c r="MZ24" s="678"/>
      <c r="NA24" s="678"/>
      <c r="NB24" s="678"/>
      <c r="NC24" s="678"/>
      <c r="ND24" s="678"/>
      <c r="NE24" s="678"/>
      <c r="NF24" s="678"/>
      <c r="NG24" s="678"/>
      <c r="NH24" s="678"/>
      <c r="NI24" s="678"/>
      <c r="NJ24" s="678"/>
      <c r="NK24" s="678"/>
      <c r="NL24" s="686"/>
      <c r="NM24" s="686"/>
      <c r="NN24" s="686"/>
      <c r="NP24" s="674" t="s">
        <v>19</v>
      </c>
      <c r="NQ24" s="678" t="s">
        <v>884</v>
      </c>
      <c r="NR24" s="687"/>
      <c r="NS24" s="687"/>
      <c r="NT24" s="687"/>
      <c r="NU24" s="687"/>
      <c r="NV24" s="687"/>
      <c r="NW24" s="687"/>
      <c r="NX24" s="687"/>
      <c r="NY24" s="687"/>
      <c r="NZ24" s="687"/>
      <c r="OA24" s="687" t="s">
        <v>882</v>
      </c>
      <c r="OB24" s="687"/>
      <c r="OC24" s="687"/>
      <c r="OD24" s="687"/>
      <c r="OE24" s="687"/>
      <c r="OF24" s="687"/>
      <c r="OG24" s="687"/>
      <c r="OH24" s="687"/>
      <c r="OI24" s="687"/>
      <c r="OJ24" s="687"/>
      <c r="OK24" s="687"/>
      <c r="OL24" s="687"/>
      <c r="OM24" s="687"/>
      <c r="ON24" s="687"/>
      <c r="OO24" s="687"/>
      <c r="OP24" s="687"/>
      <c r="OQ24" s="687"/>
      <c r="OR24" s="687"/>
      <c r="OS24" s="765"/>
      <c r="OT24" s="766"/>
      <c r="OU24" s="767"/>
      <c r="OV24" s="674" t="s">
        <v>19</v>
      </c>
      <c r="OW24" s="772"/>
      <c r="OX24" s="766"/>
      <c r="OY24" s="766"/>
      <c r="OZ24" s="766"/>
      <c r="PA24" s="766"/>
      <c r="PB24" s="766"/>
      <c r="PC24" s="773"/>
      <c r="PD24" s="687" t="s">
        <v>882</v>
      </c>
      <c r="PE24" s="687"/>
      <c r="PF24" s="687"/>
      <c r="PG24" s="687"/>
      <c r="PH24" s="687"/>
      <c r="PI24" s="687"/>
      <c r="PJ24" s="687"/>
      <c r="PK24" s="687"/>
      <c r="PL24" s="687"/>
      <c r="PM24" s="687"/>
      <c r="PN24" s="687"/>
      <c r="PO24" s="687"/>
      <c r="PP24" s="687"/>
      <c r="PQ24" s="687"/>
      <c r="PR24" s="687"/>
      <c r="PS24" s="687"/>
      <c r="PT24" s="687"/>
      <c r="PU24" s="687"/>
      <c r="PV24" s="687"/>
      <c r="PW24" s="687"/>
      <c r="PX24" s="687"/>
      <c r="PY24" s="687"/>
      <c r="PZ24" s="687"/>
      <c r="QA24" s="687"/>
      <c r="QB24" s="674" t="s">
        <v>19</v>
      </c>
      <c r="QC24" s="687" t="s">
        <v>882</v>
      </c>
      <c r="QD24" s="687"/>
      <c r="QE24" s="687"/>
      <c r="QF24" s="687"/>
      <c r="QG24" s="687"/>
      <c r="QH24" s="687"/>
      <c r="QI24" s="687"/>
      <c r="QJ24" s="687"/>
      <c r="QK24" s="687"/>
      <c r="QL24" s="687"/>
      <c r="QM24" s="687"/>
      <c r="QN24" s="687"/>
      <c r="QO24" s="687"/>
      <c r="QP24" s="687"/>
      <c r="QQ24" s="687"/>
      <c r="QR24" s="687"/>
      <c r="QS24" s="687"/>
      <c r="QT24" s="687"/>
      <c r="QU24" s="687"/>
      <c r="QV24" s="687"/>
      <c r="QW24" s="687"/>
      <c r="QX24" s="687"/>
      <c r="QY24" s="687"/>
      <c r="QZ24" s="687"/>
      <c r="RA24" s="687"/>
      <c r="RB24" s="687"/>
      <c r="RC24" s="687"/>
      <c r="RD24" s="687"/>
      <c r="RE24" s="687"/>
      <c r="RF24" s="687"/>
      <c r="RG24" s="674" t="s">
        <v>19</v>
      </c>
      <c r="RH24" s="688" t="s">
        <v>1514</v>
      </c>
      <c r="RI24" s="689"/>
      <c r="RJ24" s="689"/>
      <c r="RK24" s="689"/>
      <c r="RL24" s="689"/>
      <c r="RM24" s="689"/>
      <c r="RN24" s="689"/>
      <c r="RO24" s="689"/>
      <c r="RP24" s="689"/>
      <c r="RQ24" s="689"/>
      <c r="RR24" s="689"/>
      <c r="RS24" s="689"/>
      <c r="RT24" s="689"/>
      <c r="RU24" s="689"/>
      <c r="RV24" s="689"/>
      <c r="RW24" s="688" t="s">
        <v>1520</v>
      </c>
      <c r="RX24" s="690"/>
      <c r="RY24" s="690"/>
      <c r="RZ24" s="690"/>
      <c r="SA24" s="690"/>
      <c r="SB24" s="690"/>
      <c r="SC24" s="690"/>
      <c r="SD24" s="690"/>
      <c r="SE24" s="690"/>
      <c r="SF24" s="690"/>
      <c r="SG24" s="690"/>
      <c r="SH24" s="688" t="s">
        <v>1521</v>
      </c>
      <c r="SI24" s="689"/>
      <c r="SJ24" s="689"/>
      <c r="SK24" s="689"/>
      <c r="SL24" s="689"/>
      <c r="SM24" s="674" t="s">
        <v>19</v>
      </c>
      <c r="SN24" s="691" t="s">
        <v>1542</v>
      </c>
      <c r="SO24" s="689"/>
      <c r="SP24" s="689"/>
      <c r="SQ24" s="689"/>
      <c r="SR24" s="689"/>
      <c r="SS24" s="689"/>
      <c r="ST24" s="689"/>
      <c r="SU24" s="689"/>
      <c r="SV24" s="689"/>
      <c r="SW24" s="689"/>
      <c r="SX24" s="689"/>
      <c r="SY24" s="689"/>
      <c r="SZ24" s="689"/>
      <c r="TA24" s="689"/>
      <c r="TB24" s="689"/>
      <c r="TC24" s="689"/>
      <c r="TD24" s="689"/>
      <c r="TE24" s="689"/>
      <c r="TF24" s="689"/>
      <c r="TG24" s="689"/>
      <c r="TH24" s="689"/>
      <c r="TI24" s="689"/>
      <c r="TJ24" s="689"/>
      <c r="TK24" s="689"/>
      <c r="TL24" s="689"/>
      <c r="TM24" s="689"/>
      <c r="TN24" s="689"/>
      <c r="TO24" s="689"/>
      <c r="TP24" s="689"/>
      <c r="TQ24" s="689"/>
      <c r="TR24" s="674" t="s">
        <v>19</v>
      </c>
      <c r="TS24" s="691" t="s">
        <v>1542</v>
      </c>
      <c r="TT24" s="689"/>
      <c r="TU24" s="689"/>
      <c r="TV24" s="689"/>
      <c r="TW24" s="689"/>
      <c r="TX24" s="689"/>
      <c r="TY24" s="689"/>
      <c r="TZ24" s="689"/>
      <c r="UA24" s="689"/>
      <c r="UB24" s="689"/>
      <c r="UC24" s="689"/>
      <c r="UD24" s="689"/>
      <c r="UE24" s="689"/>
      <c r="UF24" s="689"/>
      <c r="UG24" s="688" t="s">
        <v>1535</v>
      </c>
      <c r="UH24" s="690"/>
      <c r="UI24" s="690"/>
      <c r="UJ24" s="690"/>
      <c r="UK24" s="690"/>
      <c r="UL24" s="690"/>
      <c r="UM24" s="690"/>
      <c r="UN24" s="690"/>
      <c r="UO24" s="690"/>
      <c r="UP24" s="690"/>
      <c r="UQ24" s="690"/>
      <c r="UR24" s="690"/>
      <c r="US24" s="690"/>
      <c r="UT24" s="690"/>
      <c r="UU24" s="688" t="s">
        <v>1532</v>
      </c>
      <c r="UV24" s="690"/>
      <c r="UW24" s="690"/>
      <c r="UX24" s="674" t="s">
        <v>19</v>
      </c>
      <c r="UY24" s="692" t="s">
        <v>1532</v>
      </c>
      <c r="UZ24" s="690"/>
      <c r="VA24" s="690"/>
      <c r="VB24" s="690"/>
      <c r="VC24" s="690"/>
      <c r="VD24" s="690"/>
      <c r="VE24" s="690"/>
      <c r="VF24" s="690"/>
      <c r="VG24" s="690"/>
      <c r="VH24" s="690"/>
      <c r="VI24" s="690"/>
      <c r="VJ24" s="693"/>
      <c r="VK24" s="693"/>
      <c r="VL24" s="693"/>
      <c r="VM24" s="693"/>
      <c r="VN24" s="693"/>
      <c r="VO24" s="693"/>
      <c r="VP24" s="693"/>
      <c r="VQ24" s="693"/>
      <c r="VR24" s="693"/>
      <c r="VS24" s="693"/>
      <c r="VT24" s="693"/>
      <c r="WD24" s="674" t="s">
        <v>19</v>
      </c>
      <c r="XG24" s="674" t="s">
        <v>19</v>
      </c>
      <c r="YM24" s="674" t="s">
        <v>19</v>
      </c>
      <c r="ZR24" s="674" t="s">
        <v>19</v>
      </c>
      <c r="ZS24" s="583"/>
      <c r="ZT24" s="583"/>
      <c r="ZU24" s="583"/>
      <c r="ZV24" s="583"/>
      <c r="ZW24" s="583"/>
      <c r="ZX24" s="583"/>
      <c r="ZY24" s="583"/>
      <c r="ZZ24" s="583"/>
      <c r="AAA24" s="583"/>
      <c r="AAX24" s="674" t="s">
        <v>19</v>
      </c>
      <c r="ABG24" s="694"/>
      <c r="ABH24" s="694"/>
      <c r="ABI24" s="694"/>
      <c r="ABJ24" s="694"/>
      <c r="ABK24" s="694"/>
      <c r="ABL24" s="694"/>
      <c r="ABM24" s="694"/>
      <c r="ABN24" s="694"/>
      <c r="ABO24" s="694"/>
      <c r="ABP24" s="694"/>
      <c r="ABQ24" s="694"/>
      <c r="ABR24" s="694"/>
      <c r="ACC24" s="674" t="s">
        <v>19</v>
      </c>
      <c r="ACE24" s="694"/>
      <c r="ACF24" s="695">
        <v>44338</v>
      </c>
      <c r="ACG24" s="695">
        <v>44349</v>
      </c>
      <c r="ACH24" s="695">
        <v>44355</v>
      </c>
      <c r="ACI24" s="695">
        <v>44359</v>
      </c>
      <c r="ACJ24" s="695">
        <v>44362</v>
      </c>
      <c r="ACK24" s="695">
        <v>44364</v>
      </c>
      <c r="ACL24" s="695">
        <v>44368</v>
      </c>
      <c r="ACM24" s="695">
        <v>44372</v>
      </c>
      <c r="ACV24" s="707"/>
      <c r="ACW24" s="708"/>
      <c r="ACX24" s="708"/>
      <c r="ACY24" s="708"/>
      <c r="ACZ24" s="708"/>
      <c r="ADA24" s="708"/>
      <c r="ADB24" s="708"/>
      <c r="ADC24" s="708"/>
      <c r="ADD24" s="709"/>
      <c r="ADI24" s="674" t="s">
        <v>19</v>
      </c>
      <c r="ADJ24" s="678"/>
      <c r="ADK24" s="678"/>
      <c r="ADL24" s="678"/>
      <c r="ADM24" s="678"/>
      <c r="ADN24" s="678"/>
      <c r="ADO24" s="678"/>
      <c r="ADP24" s="678"/>
      <c r="ADQ24" s="678"/>
      <c r="ADR24" s="678"/>
      <c r="ADS24" s="678"/>
      <c r="ADT24" s="678"/>
      <c r="ADU24" s="678"/>
      <c r="ADV24" s="678"/>
      <c r="ADW24" s="678"/>
      <c r="ADX24" s="678"/>
      <c r="ADY24" s="678"/>
      <c r="ADZ24" s="678"/>
      <c r="AEA24" s="678"/>
      <c r="AEB24" s="678"/>
      <c r="AEC24" s="678"/>
      <c r="AED24" s="678"/>
      <c r="AEE24" s="678"/>
      <c r="AEF24" s="678"/>
      <c r="AEG24" s="678"/>
      <c r="AEH24" s="678"/>
      <c r="AEI24" s="678"/>
      <c r="AEJ24" s="678"/>
      <c r="AEK24" s="678"/>
      <c r="AEL24" s="678"/>
      <c r="AEM24" s="678"/>
      <c r="AEN24" s="678"/>
      <c r="AEO24" s="674" t="s">
        <v>19</v>
      </c>
      <c r="AEP24" s="678"/>
      <c r="AEQ24" s="678"/>
      <c r="AER24" s="678"/>
      <c r="AES24" s="678"/>
      <c r="AET24" s="678"/>
      <c r="AEU24" s="678"/>
      <c r="AEV24" s="678"/>
      <c r="AEW24" s="678"/>
      <c r="AEX24" s="678"/>
      <c r="AEY24" s="678"/>
      <c r="AEZ24" s="678"/>
      <c r="AFA24" s="678"/>
      <c r="AFB24" s="678"/>
      <c r="AFC24" s="185" t="s">
        <v>2462</v>
      </c>
      <c r="AFD24" s="185"/>
      <c r="AFE24" s="185" t="s">
        <v>2512</v>
      </c>
      <c r="AFF24" s="185"/>
      <c r="AFG24" s="678"/>
      <c r="AFH24" s="678"/>
      <c r="AFI24" s="678"/>
      <c r="AFJ24" s="678"/>
      <c r="AFK24" s="678"/>
      <c r="AFL24" s="678"/>
      <c r="AFM24" s="678"/>
      <c r="AFN24" s="678"/>
      <c r="AFO24" s="678"/>
      <c r="AFP24" s="678"/>
      <c r="AFQ24" s="678"/>
      <c r="AFR24" s="678"/>
      <c r="AFS24" s="678"/>
      <c r="AFT24" s="674" t="s">
        <v>19</v>
      </c>
      <c r="AFU24" s="678" t="s">
        <v>2512</v>
      </c>
      <c r="AFV24" s="678"/>
      <c r="AFW24" s="678"/>
      <c r="AFX24" s="678"/>
      <c r="AFY24" s="678"/>
      <c r="AFZ24" s="678"/>
      <c r="AGA24" s="678"/>
      <c r="AGB24" s="678"/>
      <c r="AGC24" s="678"/>
      <c r="AGD24" s="678"/>
      <c r="AGE24" s="678"/>
      <c r="AGF24" s="678"/>
      <c r="AGG24" s="678"/>
      <c r="AGH24" s="678"/>
      <c r="AGI24" s="678"/>
      <c r="AGJ24" s="678"/>
      <c r="AGK24" s="678"/>
      <c r="AGL24" s="678"/>
      <c r="AGM24" s="678"/>
      <c r="AGN24" s="678"/>
      <c r="AGO24" s="678"/>
      <c r="AGP24" s="678"/>
      <c r="AGQ24" s="678"/>
      <c r="AGR24" s="678"/>
      <c r="AGS24" s="678"/>
      <c r="AGT24" s="678"/>
      <c r="AGU24" s="678"/>
      <c r="AGV24" s="678"/>
      <c r="AGW24" s="678"/>
      <c r="AGX24" s="678"/>
      <c r="AGY24" s="678"/>
      <c r="AGZ24" s="674" t="s">
        <v>19</v>
      </c>
      <c r="AHA24" s="678" t="s">
        <v>2512</v>
      </c>
      <c r="AHB24" s="345" t="s">
        <v>2462</v>
      </c>
      <c r="AHC24" s="345"/>
      <c r="AHD24" s="678"/>
      <c r="AHE24" s="678"/>
      <c r="AHF24" s="678"/>
      <c r="AHG24" s="678"/>
      <c r="AHH24" s="678"/>
      <c r="AHI24" s="678"/>
      <c r="AHJ24" s="678"/>
      <c r="AHK24" s="678"/>
      <c r="AHL24" s="678"/>
      <c r="AHM24" s="678"/>
      <c r="AHN24" s="678"/>
      <c r="AHO24" s="678"/>
      <c r="AHP24" s="678"/>
      <c r="AHQ24" s="678"/>
      <c r="AHR24" s="678"/>
      <c r="AHS24" s="678"/>
      <c r="AHT24" s="678"/>
      <c r="AHU24" s="678"/>
      <c r="AHV24" s="678"/>
      <c r="AHW24" s="678"/>
      <c r="AHX24" s="678"/>
      <c r="AHY24" s="678"/>
      <c r="AHZ24" s="678"/>
      <c r="AIA24" s="678"/>
      <c r="AIB24" s="678"/>
      <c r="AIC24" s="678"/>
      <c r="AID24" s="678"/>
      <c r="AIE24" s="674" t="s">
        <v>19</v>
      </c>
      <c r="AIF24" s="352" t="s">
        <v>2462</v>
      </c>
      <c r="AIG24" s="678"/>
      <c r="AIH24" s="185" t="s">
        <v>2684</v>
      </c>
      <c r="AII24" s="185"/>
      <c r="AIJ24" s="678"/>
      <c r="AIK24" s="678"/>
      <c r="AIL24" s="678"/>
      <c r="AIM24" s="678"/>
      <c r="AIN24" s="678"/>
      <c r="AIO24" s="678"/>
      <c r="AIP24" s="678"/>
      <c r="AIQ24" s="678"/>
      <c r="AIR24" s="678"/>
      <c r="AIS24" s="678"/>
      <c r="AIT24" s="678"/>
      <c r="AIU24" s="678"/>
      <c r="AIV24" s="678"/>
      <c r="AIW24" s="678"/>
      <c r="AIX24" s="678"/>
      <c r="AIY24" s="678"/>
      <c r="AIZ24" s="678"/>
      <c r="AJA24" s="678"/>
      <c r="AJB24" s="678"/>
      <c r="AJC24" s="678"/>
      <c r="AJD24" s="678"/>
      <c r="AJE24" s="678"/>
      <c r="AJF24" s="678"/>
      <c r="AJG24" s="678"/>
      <c r="AJH24" s="678"/>
      <c r="AJI24" s="678"/>
      <c r="AJJ24" s="678"/>
      <c r="AJK24" s="674" t="s">
        <v>19</v>
      </c>
      <c r="AJL24" s="678" t="s">
        <v>2684</v>
      </c>
      <c r="AJM24" s="678"/>
      <c r="AJN24" s="678"/>
      <c r="AJO24" s="678"/>
      <c r="AJP24" s="678"/>
      <c r="AJQ24" s="678"/>
      <c r="AJR24" s="678"/>
      <c r="AJS24" s="678"/>
      <c r="AJT24" s="678"/>
      <c r="AJU24" s="678"/>
      <c r="AJV24" s="678"/>
      <c r="AJW24" s="678"/>
      <c r="AJX24" s="678"/>
      <c r="AJY24" s="678"/>
      <c r="AJZ24" s="678"/>
      <c r="AKA24" s="678"/>
      <c r="AKB24" s="678"/>
      <c r="AKC24" s="678"/>
      <c r="AKD24" s="678"/>
      <c r="AKE24" s="678"/>
      <c r="AKF24" s="678"/>
      <c r="AKG24" s="678"/>
      <c r="AKH24" s="678"/>
      <c r="AKI24" s="678"/>
      <c r="AKJ24" s="678"/>
      <c r="AKK24" s="678"/>
      <c r="AKL24" s="678"/>
      <c r="AKM24" s="678"/>
      <c r="AKN24" s="678"/>
      <c r="AKO24" s="678"/>
      <c r="AKP24" s="678"/>
      <c r="AKQ24" s="674" t="s">
        <v>19</v>
      </c>
      <c r="AKR24" s="352" t="s">
        <v>2461</v>
      </c>
      <c r="AKS24" s="352"/>
      <c r="AKT24" s="352"/>
      <c r="AKU24" s="352"/>
      <c r="AKV24" s="352"/>
      <c r="AKW24" s="352"/>
      <c r="AKX24" s="352"/>
      <c r="AKY24" s="352"/>
      <c r="AKZ24" s="352"/>
      <c r="ALA24" s="352"/>
      <c r="ALB24" s="345" t="s">
        <v>2634</v>
      </c>
      <c r="ALC24" s="345"/>
      <c r="ALD24" s="352"/>
      <c r="ALE24" s="352"/>
      <c r="ALF24" s="352"/>
      <c r="ALG24" s="352"/>
      <c r="ALH24" s="352"/>
      <c r="ALI24" s="352"/>
      <c r="ALJ24" s="352"/>
      <c r="ALK24" s="352"/>
      <c r="ALL24" s="352"/>
      <c r="ALM24" s="352"/>
      <c r="ALN24" s="352"/>
      <c r="ALO24" s="352"/>
      <c r="ALP24" s="352"/>
      <c r="ALQ24" s="352"/>
      <c r="ALR24" s="352"/>
      <c r="ALS24" s="352"/>
      <c r="ALT24" s="674" t="s">
        <v>19</v>
      </c>
      <c r="ALU24" s="678" t="s">
        <v>2634</v>
      </c>
      <c r="ALV24" s="678"/>
      <c r="ALW24" s="678"/>
      <c r="ALX24" s="678"/>
      <c r="ALY24" s="678"/>
      <c r="ALZ24" s="678"/>
      <c r="AMA24" s="678"/>
      <c r="AMB24" s="678"/>
      <c r="AMC24" s="345" t="s">
        <v>2841</v>
      </c>
      <c r="AMD24" s="345"/>
      <c r="AME24" s="352"/>
      <c r="AMF24" s="352"/>
      <c r="AMG24" s="352"/>
      <c r="AMH24" s="678"/>
      <c r="AMI24" s="678"/>
      <c r="AMJ24" s="678"/>
      <c r="AMK24" s="678"/>
      <c r="AML24" s="678"/>
      <c r="AMM24" s="678"/>
      <c r="AMN24" s="678"/>
      <c r="AMO24" s="678"/>
      <c r="AMP24" s="678"/>
      <c r="AMQ24" s="678"/>
      <c r="AMR24" s="678"/>
      <c r="AMS24" s="678"/>
      <c r="AMT24" s="678"/>
      <c r="AMU24" s="678"/>
      <c r="AMV24" s="678"/>
      <c r="AMW24" s="678"/>
      <c r="AMX24" s="678"/>
      <c r="AMY24" s="678"/>
      <c r="AMZ24" s="674" t="s">
        <v>19</v>
      </c>
      <c r="ANA24" s="678" t="s">
        <v>2841</v>
      </c>
      <c r="ANB24" s="678"/>
      <c r="ANC24" s="678"/>
      <c r="AND24" s="678"/>
      <c r="ANE24" s="678"/>
      <c r="ANF24" s="678"/>
      <c r="ANG24" s="678"/>
      <c r="ANH24" s="678"/>
      <c r="ANI24" s="678"/>
      <c r="ANJ24" s="678"/>
      <c r="ANK24" s="678"/>
      <c r="ANL24" s="678"/>
      <c r="ANM24" s="678"/>
      <c r="ANN24" s="678"/>
      <c r="ANO24" s="678"/>
      <c r="ANP24" s="678"/>
      <c r="ANQ24" s="678"/>
      <c r="ANR24" s="678"/>
      <c r="ANS24" s="678"/>
      <c r="ANT24" s="678"/>
      <c r="ANU24" s="678"/>
      <c r="ANV24" s="678"/>
      <c r="ANW24" s="678"/>
      <c r="ANX24" s="678"/>
      <c r="ANY24" s="678"/>
      <c r="ANZ24" s="678"/>
      <c r="AOA24" s="678"/>
      <c r="AOB24" s="678"/>
      <c r="AOC24" s="678"/>
      <c r="AOD24" s="678"/>
      <c r="AOE24" s="674" t="s">
        <v>19</v>
      </c>
      <c r="AOF24" s="696"/>
      <c r="AOG24" s="696"/>
      <c r="AOH24" s="696"/>
      <c r="AOI24" s="696"/>
      <c r="AOJ24" s="696"/>
      <c r="AOK24" s="696"/>
      <c r="AOL24" s="696"/>
      <c r="AOM24" s="696"/>
      <c r="AON24" s="696"/>
      <c r="AOO24" s="185" t="s">
        <v>2635</v>
      </c>
      <c r="AOP24" s="185"/>
      <c r="AOQ24" s="678"/>
      <c r="AOR24" s="678"/>
      <c r="AOS24" s="678"/>
      <c r="AOT24" s="678"/>
      <c r="AOU24" s="678"/>
      <c r="AOV24" s="678"/>
      <c r="AOW24" s="678"/>
      <c r="AOX24" s="678"/>
      <c r="AOY24" s="678"/>
      <c r="AOZ24" s="678"/>
      <c r="APA24" s="678"/>
      <c r="APB24" s="678"/>
      <c r="APC24" s="678"/>
      <c r="APD24" s="678"/>
      <c r="APE24" s="678"/>
      <c r="APF24" s="678"/>
      <c r="APG24" s="678"/>
      <c r="APH24" s="678"/>
      <c r="API24" s="678"/>
      <c r="APJ24" s="678"/>
      <c r="APK24" s="674" t="s">
        <v>19</v>
      </c>
      <c r="APL24" s="678" t="s">
        <v>2635</v>
      </c>
      <c r="APM24" s="678"/>
      <c r="APN24" s="678"/>
      <c r="APO24" s="678"/>
      <c r="APP24" s="678"/>
      <c r="APQ24" s="678"/>
      <c r="APR24" s="345" t="s">
        <v>2642</v>
      </c>
      <c r="APS24" s="345"/>
      <c r="APT24" s="678"/>
      <c r="APU24" s="678"/>
      <c r="APV24" s="678"/>
      <c r="APW24" s="678"/>
      <c r="APX24" s="678"/>
      <c r="APY24" s="678"/>
      <c r="APZ24" s="678"/>
      <c r="AQA24" s="678"/>
      <c r="AQB24" s="678"/>
      <c r="AQC24" s="678"/>
      <c r="AQD24" s="678"/>
      <c r="AQE24" s="678"/>
      <c r="AQF24" s="678"/>
      <c r="AQG24" s="345" t="s">
        <v>2864</v>
      </c>
      <c r="AQH24" s="345"/>
      <c r="AQI24" s="678"/>
      <c r="AQJ24" s="678"/>
      <c r="AQK24" s="678"/>
      <c r="AQL24" s="678"/>
      <c r="AQM24" s="678"/>
      <c r="AQN24" s="678"/>
      <c r="AQO24" s="678"/>
      <c r="AQP24" s="674" t="s">
        <v>19</v>
      </c>
      <c r="AQQ24" s="678" t="s">
        <v>2864</v>
      </c>
      <c r="AQR24" s="678"/>
      <c r="AQS24" s="678"/>
      <c r="AQT24" s="678"/>
      <c r="AQU24" s="678"/>
      <c r="AQV24" s="678"/>
      <c r="AQW24" s="678"/>
      <c r="AQX24" s="696"/>
      <c r="AQY24" s="696"/>
      <c r="AQZ24" s="696"/>
      <c r="ARA24" s="696"/>
      <c r="ARB24" s="696"/>
      <c r="ARC24" s="696"/>
      <c r="ARD24" s="696"/>
      <c r="ARE24" s="696"/>
      <c r="ARF24" s="696"/>
      <c r="ARG24" s="678" t="s">
        <v>2864</v>
      </c>
      <c r="ARH24" s="678"/>
      <c r="ARI24" s="678"/>
      <c r="ARJ24" s="678"/>
      <c r="ARK24" s="678"/>
      <c r="ARL24" s="678"/>
      <c r="ARM24" s="678"/>
      <c r="ARN24" s="678"/>
      <c r="ARO24" s="678"/>
      <c r="ARP24" s="678"/>
      <c r="ARQ24" s="678"/>
      <c r="ARR24" s="678"/>
      <c r="ARS24" s="678"/>
      <c r="ART24" s="678"/>
      <c r="ARU24" s="678"/>
      <c r="ARV24" s="674" t="s">
        <v>19</v>
      </c>
      <c r="ARW24" s="678" t="s">
        <v>2864</v>
      </c>
      <c r="ARX24" s="678"/>
      <c r="ARY24" s="678"/>
      <c r="ARZ24" s="678"/>
      <c r="ASA24" s="678"/>
      <c r="ASB24" s="678"/>
      <c r="ASC24" s="678"/>
      <c r="ASD24" s="678"/>
      <c r="ASE24" s="678"/>
      <c r="ASF24" s="678"/>
      <c r="ASG24" s="678"/>
      <c r="ASH24" s="678"/>
      <c r="ASI24" s="678"/>
      <c r="ASJ24" s="678"/>
      <c r="ASK24" s="678"/>
      <c r="ASL24" s="678"/>
      <c r="ASM24" s="678"/>
      <c r="ASN24" s="678"/>
      <c r="ASO24" s="678"/>
      <c r="ASP24" s="678"/>
      <c r="ASQ24" s="678"/>
      <c r="ASR24" s="678"/>
      <c r="ASS24" s="345" t="s">
        <v>2692</v>
      </c>
      <c r="AST24" s="345"/>
      <c r="ASU24" s="352"/>
      <c r="ASV24" s="352"/>
      <c r="ASW24" s="352"/>
      <c r="ASX24" s="352"/>
      <c r="ASY24" s="352"/>
      <c r="ASZ24" s="352"/>
      <c r="ATA24" s="352"/>
      <c r="ATB24" s="674" t="s">
        <v>19</v>
      </c>
      <c r="ATC24" s="352" t="s">
        <v>2692</v>
      </c>
      <c r="ATD24" s="352"/>
      <c r="ATE24" s="352"/>
      <c r="ATF24" s="352"/>
      <c r="ATG24" s="352"/>
      <c r="ATH24" s="352"/>
      <c r="ATI24" s="352"/>
      <c r="ATJ24" s="352"/>
      <c r="ATK24" s="352"/>
      <c r="ATL24" s="352"/>
      <c r="ATM24" s="352"/>
      <c r="ATN24" s="352"/>
      <c r="ATO24" s="352"/>
      <c r="ATP24" s="185" t="s">
        <v>2675</v>
      </c>
      <c r="ATQ24" s="185"/>
      <c r="ATR24" s="678"/>
      <c r="ATS24" s="678"/>
      <c r="ATT24" s="678"/>
      <c r="ATU24" s="678"/>
      <c r="ATV24" s="678"/>
      <c r="ATW24" s="678"/>
      <c r="ATX24" s="678"/>
      <c r="ATY24" s="678"/>
      <c r="ATZ24" s="678"/>
      <c r="AUA24" s="678"/>
      <c r="AUB24" s="678"/>
      <c r="AUC24" s="678"/>
      <c r="AUD24" s="678"/>
      <c r="AUE24" s="678"/>
      <c r="AUF24" s="678"/>
      <c r="AUG24" s="674" t="s">
        <v>19</v>
      </c>
      <c r="AUH24" s="678" t="s">
        <v>2675</v>
      </c>
      <c r="AUI24" s="678"/>
      <c r="AUJ24" s="678"/>
      <c r="AUK24" s="678"/>
      <c r="AUL24" s="678"/>
      <c r="AUM24" s="678"/>
      <c r="AUN24" s="678"/>
      <c r="AUO24" s="678"/>
      <c r="AUP24" s="678"/>
      <c r="AUQ24" s="678"/>
      <c r="AUR24" s="678"/>
      <c r="AUS24" s="678"/>
      <c r="AUT24" s="678"/>
      <c r="AUU24" s="678"/>
      <c r="AUV24" s="678"/>
      <c r="AUW24" s="678"/>
      <c r="AUX24" s="678"/>
      <c r="AUY24" s="678"/>
      <c r="AUZ24" s="678"/>
      <c r="AVA24" s="678"/>
      <c r="AVB24" s="678"/>
      <c r="AVC24" s="678"/>
      <c r="AVD24" s="678"/>
      <c r="AVE24" s="678"/>
      <c r="AVF24" s="678"/>
      <c r="AVG24" s="678"/>
      <c r="AVH24" s="678"/>
      <c r="AVI24" s="678"/>
      <c r="AVJ24" s="678"/>
      <c r="AVK24" s="678"/>
      <c r="AVL24" s="678"/>
      <c r="AVM24" s="674" t="s">
        <v>19</v>
      </c>
      <c r="AVN24" s="678" t="s">
        <v>2694</v>
      </c>
      <c r="AVO24" s="678"/>
      <c r="AVP24" s="678"/>
      <c r="AVQ24" s="583"/>
      <c r="AVR24" s="583"/>
      <c r="AVS24" s="583"/>
      <c r="AVT24" s="583"/>
      <c r="AVU24" s="583"/>
      <c r="AVV24" s="583"/>
      <c r="AVW24" s="583"/>
      <c r="AVX24" s="583"/>
      <c r="AVY24" s="583"/>
      <c r="AVZ24" s="583"/>
      <c r="AWA24" s="583"/>
      <c r="AWB24" s="583"/>
      <c r="AWC24" s="583"/>
      <c r="AWD24" s="583"/>
      <c r="AWE24" s="583"/>
      <c r="AWF24" s="583"/>
      <c r="AWG24" s="583"/>
      <c r="AWH24" s="583"/>
      <c r="AWI24" s="583"/>
      <c r="AWJ24" s="583"/>
      <c r="AWK24" s="583"/>
      <c r="AWL24" s="583"/>
      <c r="AWM24" s="583"/>
      <c r="AWN24" s="583"/>
      <c r="AWO24" s="583"/>
      <c r="AWP24" s="583"/>
      <c r="AWQ24" s="583"/>
      <c r="AWR24" s="674" t="s">
        <v>19</v>
      </c>
      <c r="AWS24" s="583"/>
      <c r="AWT24" s="583"/>
      <c r="AWU24" s="583"/>
      <c r="AWV24" s="583"/>
      <c r="AWW24" s="583"/>
      <c r="AWX24" s="583"/>
      <c r="AWY24" s="583"/>
      <c r="AWZ24" s="583"/>
      <c r="AXA24" s="583"/>
      <c r="AXB24" s="583"/>
      <c r="AXC24" s="583"/>
      <c r="AXD24" s="583"/>
      <c r="AXE24" s="583"/>
      <c r="AXF24" s="583"/>
      <c r="AXG24" s="583"/>
      <c r="AXH24" s="583"/>
      <c r="AXI24" s="583"/>
      <c r="AXJ24" s="583"/>
      <c r="AXK24" s="583"/>
      <c r="AXL24" s="583"/>
      <c r="AXM24" s="583"/>
      <c r="AXN24" s="583"/>
      <c r="AXO24" s="583"/>
      <c r="AXP24" s="583"/>
      <c r="AXQ24" s="583"/>
      <c r="AXR24" s="583"/>
      <c r="AXS24" s="583"/>
      <c r="AXT24" s="583"/>
      <c r="AXU24" s="583"/>
      <c r="AXV24" s="583"/>
      <c r="AXW24" s="583"/>
      <c r="AXX24" s="674" t="s">
        <v>19</v>
      </c>
    </row>
    <row r="25" spans="1:1324" s="191" customFormat="1" ht="20.25" customHeight="1" thickTop="1" x14ac:dyDescent="0.4">
      <c r="A25" s="711"/>
      <c r="B25" s="16"/>
      <c r="C25" s="668"/>
      <c r="D25" s="669"/>
      <c r="E25" s="669"/>
      <c r="F25" s="669"/>
      <c r="G25" s="669"/>
      <c r="H25" s="669"/>
      <c r="I25" s="669"/>
      <c r="J25" s="669"/>
      <c r="K25" s="669"/>
      <c r="L25" s="669"/>
      <c r="M25" s="669"/>
      <c r="N25" s="669"/>
      <c r="O25" s="669"/>
      <c r="P25" s="669"/>
      <c r="Q25" s="669"/>
      <c r="R25" s="669"/>
      <c r="S25" s="669"/>
      <c r="T25" s="669"/>
      <c r="U25" s="669"/>
      <c r="V25" s="669"/>
      <c r="W25" s="669"/>
      <c r="X25" s="669"/>
      <c r="Y25" s="669"/>
      <c r="Z25" s="669"/>
      <c r="AA25" s="669"/>
      <c r="AB25" s="669"/>
      <c r="AC25" s="669"/>
      <c r="AD25" s="669"/>
      <c r="AE25" s="668"/>
      <c r="AF25" s="669"/>
      <c r="AG25" s="669"/>
      <c r="AH25" s="670"/>
      <c r="AI25" s="668"/>
      <c r="AJ25" s="671"/>
      <c r="AK25" s="671"/>
      <c r="AL25" s="671"/>
      <c r="AM25" s="671"/>
      <c r="AN25" s="671"/>
      <c r="AO25" s="671"/>
      <c r="AP25" s="671"/>
      <c r="AQ25" s="672"/>
      <c r="AR25" s="672"/>
      <c r="AS25" s="672"/>
      <c r="AT25" s="672"/>
      <c r="AU25" s="672"/>
      <c r="AV25" s="672"/>
      <c r="AW25" s="672"/>
      <c r="AX25" s="672"/>
      <c r="AY25" s="672"/>
      <c r="AZ25" s="672"/>
      <c r="BA25" s="671"/>
      <c r="BB25" s="671"/>
      <c r="BC25" s="671"/>
      <c r="BD25" s="671"/>
      <c r="BE25" s="671"/>
      <c r="BF25" s="671"/>
      <c r="BG25" s="671"/>
      <c r="BH25" s="671"/>
      <c r="BI25" s="671"/>
      <c r="BJ25" s="671"/>
      <c r="BK25" s="668"/>
      <c r="BL25" s="671"/>
      <c r="BM25" s="671"/>
      <c r="BN25" s="16"/>
      <c r="BO25" s="671"/>
      <c r="BP25" s="669"/>
      <c r="BQ25" s="669"/>
      <c r="BR25" s="669"/>
      <c r="BS25" s="669"/>
      <c r="BT25" s="669"/>
      <c r="BU25" s="669"/>
      <c r="BV25" s="669"/>
      <c r="BW25" s="669"/>
      <c r="BX25" s="669"/>
      <c r="BY25" s="669"/>
      <c r="BZ25" s="669"/>
      <c r="CA25" s="669"/>
      <c r="CB25" s="669"/>
      <c r="CC25" s="669"/>
      <c r="CD25" s="669"/>
      <c r="CE25" s="669"/>
      <c r="CF25" s="669"/>
      <c r="CG25" s="669"/>
      <c r="CH25" s="669"/>
      <c r="CI25" s="669"/>
      <c r="CJ25" s="669"/>
      <c r="CK25" s="669"/>
      <c r="CL25" s="669"/>
      <c r="CM25" s="669"/>
      <c r="CN25" s="669"/>
      <c r="CO25" s="669"/>
      <c r="CP25" s="669"/>
      <c r="CQ25" s="669"/>
      <c r="CR25" s="669"/>
      <c r="CS25" s="16"/>
      <c r="CT25" s="671"/>
      <c r="CU25" s="671"/>
      <c r="CV25" s="671"/>
      <c r="CW25" s="671"/>
      <c r="CX25" s="671"/>
      <c r="CY25" s="671"/>
      <c r="CZ25" s="671"/>
      <c r="DA25" s="671"/>
      <c r="DB25" s="671"/>
      <c r="DC25" s="671"/>
      <c r="DD25" s="671"/>
      <c r="DE25" s="671"/>
      <c r="DF25" s="671"/>
      <c r="DG25" s="671"/>
      <c r="DH25" s="671"/>
      <c r="DI25" s="671"/>
      <c r="DJ25" s="671"/>
      <c r="DK25" s="671"/>
      <c r="DL25" s="671"/>
      <c r="DM25" s="671"/>
      <c r="DN25" s="671"/>
      <c r="DO25" s="671"/>
      <c r="DP25" s="671"/>
      <c r="DQ25" s="671"/>
      <c r="DR25" s="671"/>
      <c r="DU25" s="191">
        <v>-343</v>
      </c>
      <c r="DY25" s="16"/>
      <c r="EL25" s="671"/>
      <c r="EM25" s="671"/>
      <c r="EN25" s="671"/>
      <c r="EO25" s="671"/>
      <c r="EP25" s="668"/>
      <c r="EQ25" s="671"/>
      <c r="ER25" s="671"/>
      <c r="ES25" s="671"/>
      <c r="ET25" s="671"/>
      <c r="EU25" s="671"/>
      <c r="EV25" s="671"/>
      <c r="EW25" s="671"/>
      <c r="EX25" s="671"/>
      <c r="EY25" s="671"/>
      <c r="EZ25" s="671"/>
      <c r="FA25" s="213"/>
      <c r="FB25" s="213"/>
      <c r="FC25" s="671"/>
      <c r="FD25" s="16"/>
      <c r="FE25" s="671"/>
      <c r="FF25" s="671"/>
      <c r="FI25" s="671"/>
      <c r="FJ25" s="671"/>
      <c r="FT25" s="193"/>
      <c r="FU25" s="193"/>
      <c r="FV25" s="193"/>
      <c r="FW25" s="193"/>
      <c r="FX25" s="193"/>
      <c r="GJ25" s="16"/>
      <c r="HP25" s="16"/>
      <c r="IT25" s="16"/>
      <c r="JZ25" s="16"/>
      <c r="KX25" s="215"/>
      <c r="LE25" s="16"/>
      <c r="MK25" s="16"/>
      <c r="NP25" s="16"/>
      <c r="OV25" s="16"/>
      <c r="PR25" s="191">
        <v>321750</v>
      </c>
      <c r="QB25" s="16"/>
      <c r="RG25" s="16"/>
      <c r="SM25" s="16"/>
      <c r="TR25" s="16"/>
      <c r="UX25" s="16"/>
      <c r="WD25" s="16"/>
      <c r="XG25" s="16"/>
      <c r="YG25" s="213"/>
      <c r="YH25" s="213"/>
      <c r="YM25" s="16"/>
      <c r="YV25" s="213"/>
      <c r="ZA25" s="213"/>
      <c r="ZR25" s="16"/>
      <c r="AAX25" s="673"/>
      <c r="ACC25" s="16"/>
      <c r="ACF25" s="191">
        <v>10108</v>
      </c>
      <c r="ACG25" s="191">
        <v>31424</v>
      </c>
      <c r="ACH25" s="191">
        <v>23933</v>
      </c>
      <c r="ACI25" s="191">
        <v>20370</v>
      </c>
      <c r="ACJ25" s="191">
        <v>18168</v>
      </c>
      <c r="ACK25" s="191">
        <v>16541</v>
      </c>
      <c r="ACL25" s="191">
        <v>15249</v>
      </c>
      <c r="ACM25" s="191">
        <v>38992</v>
      </c>
      <c r="ACN25" s="191">
        <f>SUM(ACF25:ACM25)</f>
        <v>174785</v>
      </c>
      <c r="ADI25" s="16"/>
      <c r="AEO25" s="16"/>
      <c r="AFT25" s="16"/>
      <c r="AGZ25" s="16"/>
      <c r="AIE25" s="16"/>
      <c r="AJK25" s="16"/>
      <c r="AJY25" s="310"/>
      <c r="AJZ25" s="310"/>
      <c r="AKA25" s="310"/>
      <c r="AKB25" s="310"/>
      <c r="AKC25" s="310"/>
      <c r="AKD25" s="310"/>
      <c r="AKE25" s="310"/>
      <c r="AKF25" s="310"/>
      <c r="AKG25" s="310"/>
      <c r="AKH25" s="310"/>
      <c r="AKI25" s="310"/>
      <c r="AKJ25" s="310"/>
      <c r="AKK25" s="310"/>
      <c r="AKL25" s="310"/>
      <c r="AKM25" s="310"/>
      <c r="AKN25" s="310"/>
      <c r="AKO25" s="310"/>
      <c r="AKP25" s="310"/>
      <c r="AKQ25" s="697"/>
      <c r="AKR25" s="310"/>
      <c r="AKS25" s="310"/>
      <c r="AKT25" s="310"/>
      <c r="AKU25" s="310"/>
      <c r="AKV25" s="310"/>
      <c r="AKW25" s="310"/>
      <c r="AKX25" s="310"/>
      <c r="ALT25" s="16"/>
      <c r="AMZ25" s="16"/>
      <c r="AOE25" s="16"/>
      <c r="APK25" s="16"/>
      <c r="AQP25" s="16"/>
      <c r="ARV25" s="16"/>
      <c r="ATB25" s="16"/>
      <c r="AUG25" s="16"/>
      <c r="AVM25" s="16"/>
      <c r="AWR25" s="16"/>
      <c r="AXX25" s="16"/>
    </row>
    <row r="26" spans="1:1324" s="135" customFormat="1" ht="20.25" customHeight="1" x14ac:dyDescent="0.4">
      <c r="A26" s="711"/>
      <c r="B26" s="7"/>
      <c r="C26" s="143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3"/>
      <c r="AF26" s="144"/>
      <c r="AG26" s="144"/>
      <c r="AH26" s="47"/>
      <c r="AI26" s="143"/>
      <c r="AJ26" s="145"/>
      <c r="AK26" s="145"/>
      <c r="AL26" s="145"/>
      <c r="AM26" s="145"/>
      <c r="AN26" s="145"/>
      <c r="AO26" s="145"/>
      <c r="AP26" s="145"/>
      <c r="AQ26" s="146"/>
      <c r="AR26" s="146"/>
      <c r="AS26" s="146"/>
      <c r="AT26" s="146"/>
      <c r="AU26" s="146"/>
      <c r="AV26" s="146"/>
      <c r="AW26" s="146"/>
      <c r="AX26" s="146"/>
      <c r="AY26" s="146"/>
      <c r="AZ26" s="146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3"/>
      <c r="BL26" s="145"/>
      <c r="BM26" s="145"/>
      <c r="BN26" s="7"/>
      <c r="BO26" s="145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7"/>
      <c r="CT26" s="145"/>
      <c r="CU26" s="145"/>
      <c r="CV26" s="145"/>
      <c r="CW26" s="145"/>
      <c r="CX26" s="145"/>
      <c r="CY26" s="145"/>
      <c r="CZ26" s="145"/>
      <c r="DA26" s="145"/>
      <c r="DB26" s="145"/>
      <c r="DC26" s="145"/>
      <c r="DD26" s="145"/>
      <c r="DE26" s="145"/>
      <c r="DF26" s="145"/>
      <c r="DG26" s="145"/>
      <c r="DH26" s="145"/>
      <c r="DI26" s="145"/>
      <c r="DJ26" s="145"/>
      <c r="DK26" s="145"/>
      <c r="DL26" s="145"/>
      <c r="DM26" s="145"/>
      <c r="DN26" s="145"/>
      <c r="DO26" s="145"/>
      <c r="DP26" s="145"/>
      <c r="DQ26" s="145"/>
      <c r="DR26" s="145"/>
      <c r="DY26" s="7"/>
      <c r="EL26" s="145"/>
      <c r="EM26" s="145"/>
      <c r="EN26" s="145"/>
      <c r="EO26" s="145"/>
      <c r="EP26" s="143"/>
      <c r="EQ26" s="145"/>
      <c r="ER26" s="145"/>
      <c r="ES26" s="145"/>
      <c r="ET26" s="145"/>
      <c r="EU26" s="145"/>
      <c r="EV26" s="145"/>
      <c r="EW26" s="145"/>
      <c r="EX26" s="145"/>
      <c r="EY26" s="145"/>
      <c r="EZ26" s="145"/>
      <c r="FA26" s="136"/>
      <c r="FB26" s="136"/>
      <c r="FC26" s="145"/>
      <c r="FD26" s="188"/>
      <c r="FE26" s="145"/>
      <c r="FF26" s="145"/>
      <c r="FI26" s="145"/>
      <c r="FJ26" s="145"/>
      <c r="FT26" s="139"/>
      <c r="FU26" s="139"/>
      <c r="FV26" s="139"/>
      <c r="FW26" s="139"/>
      <c r="FX26" s="139"/>
      <c r="GJ26" s="7"/>
      <c r="GV26" s="74" t="s">
        <v>381</v>
      </c>
      <c r="GW26" s="74">
        <v>326300</v>
      </c>
      <c r="GX26" s="74"/>
      <c r="HP26" s="7"/>
      <c r="HZ26" s="135">
        <v>534034</v>
      </c>
      <c r="ID26" s="74" t="s">
        <v>381</v>
      </c>
      <c r="IE26" s="74">
        <f>207+22</f>
        <v>229</v>
      </c>
      <c r="IH26" s="135" t="s">
        <v>543</v>
      </c>
      <c r="IT26" s="7"/>
      <c r="IZ26" s="136"/>
      <c r="JA26" s="136"/>
      <c r="JB26" s="136"/>
      <c r="JC26" s="136"/>
      <c r="JD26" s="136"/>
      <c r="JE26" s="136"/>
      <c r="JF26" s="136"/>
      <c r="JH26" s="74" t="s">
        <v>381</v>
      </c>
      <c r="JI26" s="74">
        <v>249</v>
      </c>
      <c r="JJ26" s="74">
        <f>IE26+JI26</f>
        <v>478</v>
      </c>
      <c r="JK26" s="136"/>
      <c r="JL26" s="136"/>
      <c r="JM26" s="136"/>
      <c r="JN26" s="136"/>
      <c r="JO26" s="136"/>
      <c r="JP26" s="136"/>
      <c r="JQ26" s="129"/>
      <c r="JR26" s="129"/>
      <c r="JS26" s="129"/>
      <c r="JT26" s="129"/>
      <c r="JU26" s="129"/>
      <c r="JV26" s="129"/>
      <c r="JW26" s="129"/>
      <c r="JX26" s="129"/>
      <c r="JY26" s="129"/>
      <c r="JZ26" s="7"/>
      <c r="KB26" s="155" t="s">
        <v>642</v>
      </c>
      <c r="KC26" s="156"/>
      <c r="KD26" s="157"/>
      <c r="KE26" s="157"/>
      <c r="KN26" s="74" t="s">
        <v>381</v>
      </c>
      <c r="KO26" s="74">
        <v>218</v>
      </c>
      <c r="KP26" s="74">
        <f>JJ26+KO26</f>
        <v>696</v>
      </c>
      <c r="KR26" s="155" t="s">
        <v>680</v>
      </c>
      <c r="KS26" s="156"/>
      <c r="KT26" s="157"/>
      <c r="KU26" s="157"/>
      <c r="KV26" s="157"/>
      <c r="KW26" s="157"/>
      <c r="KX26" s="157"/>
      <c r="KY26" s="157"/>
      <c r="KZ26" s="157"/>
      <c r="LA26" s="157"/>
      <c r="LE26" s="7"/>
      <c r="LI26" s="74">
        <f>KP26</f>
        <v>696</v>
      </c>
      <c r="LJ26" s="74">
        <v>37</v>
      </c>
      <c r="LK26" s="74">
        <f>LI26+LJ26</f>
        <v>733</v>
      </c>
      <c r="LL26" s="74">
        <v>859</v>
      </c>
      <c r="LM26" s="220">
        <f>LK26-LL26</f>
        <v>-126</v>
      </c>
      <c r="LS26" s="74" t="s">
        <v>381</v>
      </c>
      <c r="LT26" s="74">
        <v>109</v>
      </c>
      <c r="LU26" s="74">
        <f>KP26+LT26</f>
        <v>805</v>
      </c>
      <c r="MK26" s="7"/>
      <c r="MN26" s="74" t="s">
        <v>381</v>
      </c>
      <c r="MO26" s="74">
        <v>207</v>
      </c>
      <c r="MP26" s="74">
        <f>MO26*1.015</f>
        <v>210.10499999999999</v>
      </c>
      <c r="MY26" s="74" t="s">
        <v>381</v>
      </c>
      <c r="MZ26" s="74">
        <v>266</v>
      </c>
      <c r="NA26" s="74">
        <f>LU26+MZ26</f>
        <v>1071</v>
      </c>
      <c r="NB26" s="74">
        <v>1054</v>
      </c>
      <c r="NC26" s="218">
        <f>NB26*1.015</f>
        <v>1069.81</v>
      </c>
      <c r="ND26" s="219">
        <f>NA26-NC26</f>
        <v>1.1900000000000546</v>
      </c>
      <c r="NP26" s="7"/>
      <c r="OD26" s="74" t="s">
        <v>381</v>
      </c>
      <c r="OE26" s="74">
        <v>0</v>
      </c>
      <c r="OF26" s="74">
        <f>NA26+OE26</f>
        <v>1071</v>
      </c>
      <c r="OI26" s="135">
        <v>402750</v>
      </c>
      <c r="OV26" s="7"/>
      <c r="PJ26" s="74" t="s">
        <v>381</v>
      </c>
      <c r="PK26" s="74">
        <v>270</v>
      </c>
      <c r="PL26" s="74"/>
      <c r="PR26" s="135">
        <v>50600</v>
      </c>
      <c r="QB26" s="7"/>
      <c r="QK26" s="364"/>
      <c r="QL26" s="364"/>
      <c r="QM26" s="364"/>
      <c r="QN26" s="364"/>
      <c r="QO26" s="364"/>
      <c r="QP26" s="364"/>
      <c r="QQ26" s="364"/>
      <c r="QR26" s="364"/>
      <c r="QS26" s="364"/>
      <c r="QT26" s="364"/>
      <c r="QU26" s="364"/>
      <c r="QV26" s="364"/>
      <c r="QW26" s="364"/>
      <c r="QX26" s="364"/>
      <c r="RG26" s="7"/>
      <c r="RH26" s="364"/>
      <c r="RI26" s="364"/>
      <c r="RJ26" s="364"/>
      <c r="RK26" s="364"/>
      <c r="RL26" s="364"/>
      <c r="RM26" s="364"/>
      <c r="RN26" s="364"/>
      <c r="RO26" s="364"/>
      <c r="RP26" s="364"/>
      <c r="RQ26" s="364"/>
      <c r="RR26" s="364"/>
      <c r="RS26" s="364"/>
      <c r="RT26" s="364"/>
      <c r="RU26" s="364"/>
      <c r="RV26" s="364"/>
      <c r="RW26" s="364"/>
      <c r="RX26" s="364"/>
      <c r="RY26" s="364"/>
      <c r="RZ26" s="364"/>
      <c r="SM26" s="7"/>
      <c r="TJ26" s="364"/>
      <c r="TK26" s="364"/>
      <c r="TO26" s="364"/>
      <c r="TP26" s="364"/>
      <c r="TQ26" s="364"/>
      <c r="UW26" s="314"/>
      <c r="UX26" s="7"/>
      <c r="UY26" s="314"/>
      <c r="UZ26" s="314"/>
      <c r="VA26" s="314"/>
      <c r="VB26" s="314"/>
      <c r="VC26" s="314"/>
      <c r="VD26" s="314"/>
      <c r="WD26" s="7"/>
      <c r="WE26" s="364"/>
      <c r="WF26" s="364"/>
      <c r="WG26" s="364"/>
      <c r="WH26" s="364"/>
      <c r="WI26" s="364"/>
      <c r="WJ26" s="364"/>
      <c r="WK26" s="364"/>
      <c r="WL26" s="364"/>
      <c r="WM26" s="364"/>
      <c r="WN26" s="364"/>
      <c r="WO26" s="364"/>
      <c r="WP26" s="364"/>
      <c r="WQ26" s="364"/>
      <c r="WR26" s="364"/>
      <c r="WS26" s="364"/>
      <c r="WT26" s="364"/>
      <c r="WU26" s="364"/>
      <c r="WV26" s="364"/>
      <c r="WW26" s="364"/>
      <c r="WX26" s="364"/>
      <c r="WY26" s="364"/>
      <c r="XD26" s="136"/>
      <c r="XF26" s="364"/>
      <c r="XG26" s="7"/>
      <c r="XH26" s="364"/>
      <c r="XI26" s="364"/>
      <c r="XL26" s="136"/>
      <c r="YM26" s="7"/>
      <c r="ZJ26" s="364"/>
      <c r="ZR26" s="7"/>
      <c r="ZS26" s="364"/>
      <c r="ZT26" s="364"/>
      <c r="ZU26" s="364"/>
      <c r="ZV26" s="364"/>
      <c r="ZW26" s="364"/>
      <c r="ZY26" s="364"/>
      <c r="ZZ26" s="364"/>
      <c r="AAA26" s="364"/>
      <c r="AAB26" s="364"/>
      <c r="AAC26" s="364"/>
      <c r="AAD26" s="364"/>
      <c r="AAE26" s="364"/>
      <c r="AAF26" s="364"/>
      <c r="AAG26" s="364"/>
      <c r="AAH26" s="364"/>
      <c r="AAI26" s="364"/>
      <c r="AAJ26" s="364"/>
      <c r="AAK26" s="364"/>
      <c r="AAL26" s="364"/>
      <c r="AAM26" s="364"/>
      <c r="AAN26" s="364"/>
      <c r="AAO26" s="364"/>
      <c r="AAP26" s="364"/>
      <c r="AAQ26" s="364"/>
      <c r="AAR26" s="364"/>
      <c r="AAS26" s="364"/>
      <c r="AAT26" s="364"/>
      <c r="AAU26" s="364"/>
      <c r="AAV26" s="364"/>
      <c r="AAW26" s="364"/>
      <c r="AAX26" s="7"/>
      <c r="AAY26" s="314"/>
      <c r="AAZ26" s="314"/>
      <c r="ABE26" s="364"/>
      <c r="ABF26" s="364"/>
      <c r="ABG26" s="364"/>
      <c r="ABH26" s="364"/>
      <c r="ABI26" s="364"/>
      <c r="ABJ26" s="364"/>
      <c r="ABK26" s="364"/>
      <c r="ABL26" s="364"/>
      <c r="ABM26" s="364"/>
      <c r="ABN26" s="364"/>
      <c r="ABO26" s="364"/>
      <c r="ABP26" s="364"/>
      <c r="ABQ26" s="364"/>
      <c r="ABR26" s="364"/>
      <c r="ABS26" s="364"/>
      <c r="ABT26" s="364"/>
      <c r="ABU26" s="364"/>
      <c r="ABV26" s="364"/>
      <c r="ABW26" s="364"/>
      <c r="ABX26" s="364"/>
      <c r="ABY26" s="364"/>
      <c r="ABZ26" s="364"/>
      <c r="ACA26" s="364"/>
      <c r="ACB26" s="364"/>
      <c r="ACC26" s="7"/>
      <c r="ACJ26" s="364"/>
      <c r="ACK26" s="364"/>
      <c r="ACL26" s="364"/>
      <c r="ACY26" s="364"/>
      <c r="ACZ26" s="364"/>
      <c r="ADA26" s="364"/>
      <c r="ADB26" s="364"/>
      <c r="ADC26" s="364"/>
      <c r="ADD26" s="364"/>
      <c r="ADE26" s="364"/>
      <c r="ADF26" s="364"/>
      <c r="ADG26" s="364"/>
      <c r="ADH26" s="364"/>
      <c r="ADI26" s="7"/>
      <c r="ADJ26" s="364"/>
      <c r="ADK26" s="364"/>
      <c r="ADL26" s="364"/>
      <c r="ADM26" s="364"/>
      <c r="ADN26" s="364"/>
      <c r="ADO26" s="364"/>
      <c r="ADP26" s="364"/>
      <c r="ADQ26" s="364"/>
      <c r="ADR26" s="364"/>
      <c r="ADS26" s="364"/>
      <c r="ADT26" s="364"/>
      <c r="ADU26" s="364"/>
      <c r="ADV26" s="364"/>
      <c r="ADW26" s="364"/>
      <c r="ADX26" s="364"/>
      <c r="ADY26" s="364"/>
      <c r="ADZ26" s="364"/>
      <c r="AEA26" s="364"/>
      <c r="AEB26" s="364"/>
      <c r="AEC26" s="364"/>
      <c r="AED26" s="364"/>
      <c r="AEE26" s="364"/>
      <c r="AEF26" s="364"/>
      <c r="AEG26" s="364"/>
      <c r="AEH26" s="364"/>
      <c r="AEI26" s="364"/>
      <c r="AEJ26" s="364"/>
      <c r="AEK26" s="364"/>
      <c r="AEL26" s="364"/>
      <c r="AEM26" s="364"/>
      <c r="AEN26" s="364"/>
      <c r="AEO26" s="7"/>
      <c r="AEP26" s="364"/>
      <c r="AEQ26" s="364"/>
      <c r="AER26" s="364"/>
      <c r="AEU26" s="364"/>
      <c r="AEV26" s="364"/>
      <c r="AEW26" s="364"/>
      <c r="AEX26" s="364"/>
      <c r="AEY26" s="364"/>
      <c r="AEZ26" s="364"/>
      <c r="AFA26" s="364"/>
      <c r="AFM26" s="364"/>
      <c r="AFP26" s="364"/>
      <c r="AFQ26" s="364"/>
      <c r="AFR26" s="364"/>
      <c r="AFS26" s="364"/>
      <c r="AFT26" s="7"/>
      <c r="AGB26" s="364"/>
      <c r="AGC26" s="364"/>
      <c r="AGD26" s="364"/>
      <c r="AGE26" s="364"/>
      <c r="AGF26" s="364"/>
      <c r="AGL26" s="364"/>
      <c r="AGN26" s="364"/>
      <c r="AGO26" s="364"/>
      <c r="AGP26" s="364"/>
      <c r="AGQ26" s="364"/>
      <c r="AGR26" s="364"/>
      <c r="AGS26" s="364"/>
      <c r="AGT26" s="364"/>
      <c r="AGU26" s="364"/>
      <c r="AGV26" s="364"/>
      <c r="AGW26" s="364"/>
      <c r="AGX26" s="364"/>
      <c r="AGZ26" s="7"/>
      <c r="AHB26" s="364"/>
      <c r="AHS26" s="364"/>
      <c r="AIE26" s="7"/>
      <c r="AJB26" s="364"/>
      <c r="AJC26" s="364"/>
      <c r="AJD26" s="364"/>
      <c r="AJE26" s="364"/>
      <c r="AJF26" s="364"/>
      <c r="AJG26" s="364"/>
      <c r="AJK26" s="7"/>
      <c r="AJQ26" s="364"/>
      <c r="AJV26" s="364"/>
      <c r="AJW26" s="364"/>
      <c r="AJX26" s="364"/>
      <c r="AJY26" s="364"/>
      <c r="AJZ26" s="364"/>
      <c r="AKA26" s="364"/>
      <c r="AKB26" s="364"/>
      <c r="AKC26" s="364"/>
      <c r="AKD26" s="364"/>
      <c r="AKE26" s="364"/>
      <c r="AKF26" s="364"/>
      <c r="AKG26" s="364"/>
      <c r="AKH26" s="364"/>
      <c r="AKI26" s="364"/>
      <c r="AKJ26" s="364"/>
      <c r="AKK26" s="364"/>
      <c r="AKM26" s="139"/>
      <c r="AKQ26" s="7"/>
      <c r="AKS26" s="364"/>
      <c r="AKT26" s="364"/>
      <c r="AKU26" s="364"/>
      <c r="AKV26" s="364"/>
      <c r="AKW26" s="364"/>
      <c r="AKX26" s="364"/>
      <c r="AKY26" s="364"/>
      <c r="AKZ26" s="364"/>
      <c r="ALA26" s="364"/>
      <c r="ALB26" s="364"/>
      <c r="ALC26" s="364"/>
      <c r="ALD26" s="364"/>
      <c r="ALT26" s="7"/>
      <c r="AMC26" s="364"/>
      <c r="AMZ26" s="7"/>
      <c r="AOE26" s="7"/>
      <c r="AOS26" s="364"/>
      <c r="AOT26" s="364"/>
      <c r="AOU26" s="364"/>
      <c r="AOV26" s="364"/>
      <c r="AOW26" s="364"/>
      <c r="AOX26" s="364"/>
      <c r="AOY26" s="364"/>
      <c r="AOZ26" s="364"/>
      <c r="APA26" s="364"/>
      <c r="APB26" s="364"/>
      <c r="APC26" s="364"/>
      <c r="APD26" s="364"/>
      <c r="APE26" s="364"/>
      <c r="APF26" s="364"/>
      <c r="APG26" s="364"/>
      <c r="APH26" s="364"/>
      <c r="API26" s="364"/>
      <c r="APJ26" s="364"/>
      <c r="APK26" s="7"/>
      <c r="AQP26" s="7"/>
      <c r="ARV26" s="7"/>
      <c r="ATB26" s="7"/>
      <c r="AUG26" s="7"/>
      <c r="AVM26" s="7"/>
      <c r="AWR26" s="7"/>
      <c r="AXX26" s="7"/>
    </row>
    <row r="27" spans="1:1324" s="364" customFormat="1" ht="20.25" customHeight="1" x14ac:dyDescent="0.4">
      <c r="A27" s="711"/>
      <c r="B27" s="7"/>
      <c r="C27" s="143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3"/>
      <c r="AF27" s="144"/>
      <c r="AG27" s="144"/>
      <c r="AH27" s="47"/>
      <c r="AI27" s="143"/>
      <c r="AJ27" s="145"/>
      <c r="AK27" s="145"/>
      <c r="AL27" s="145"/>
      <c r="AM27" s="145"/>
      <c r="AN27" s="145"/>
      <c r="AO27" s="145"/>
      <c r="AP27" s="145"/>
      <c r="AQ27" s="146"/>
      <c r="AR27" s="146"/>
      <c r="AS27" s="146"/>
      <c r="AT27" s="146"/>
      <c r="AU27" s="146"/>
      <c r="AV27" s="146"/>
      <c r="AW27" s="146"/>
      <c r="AX27" s="146"/>
      <c r="AY27" s="146"/>
      <c r="AZ27" s="146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143"/>
      <c r="BL27" s="145"/>
      <c r="BM27" s="145"/>
      <c r="BN27" s="7"/>
      <c r="BO27" s="145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7"/>
      <c r="CT27" s="145"/>
      <c r="CU27" s="145"/>
      <c r="CV27" s="145"/>
      <c r="CW27" s="145"/>
      <c r="CX27" s="145"/>
      <c r="CY27" s="145"/>
      <c r="CZ27" s="145"/>
      <c r="DA27" s="145"/>
      <c r="DB27" s="145"/>
      <c r="DC27" s="145"/>
      <c r="DD27" s="145"/>
      <c r="DE27" s="145"/>
      <c r="DF27" s="145"/>
      <c r="DG27" s="145"/>
      <c r="DH27" s="145"/>
      <c r="DI27" s="145"/>
      <c r="DJ27" s="145"/>
      <c r="DK27" s="145"/>
      <c r="DL27" s="145"/>
      <c r="DM27" s="145"/>
      <c r="DN27" s="145"/>
      <c r="DO27" s="145"/>
      <c r="DP27" s="145"/>
      <c r="DQ27" s="145"/>
      <c r="DR27" s="145"/>
      <c r="DY27" s="7"/>
      <c r="EL27" s="145"/>
      <c r="EM27" s="145"/>
      <c r="EN27" s="145"/>
      <c r="EO27" s="145"/>
      <c r="EP27" s="143"/>
      <c r="EQ27" s="145"/>
      <c r="ER27" s="145"/>
      <c r="ES27" s="145"/>
      <c r="ET27" s="145"/>
      <c r="EU27" s="145"/>
      <c r="EV27" s="145"/>
      <c r="EW27" s="145"/>
      <c r="EX27" s="145"/>
      <c r="EY27" s="145"/>
      <c r="EZ27" s="145"/>
      <c r="FA27" s="314"/>
      <c r="FB27" s="314"/>
      <c r="FC27" s="145"/>
      <c r="FD27" s="188"/>
      <c r="FE27" s="145"/>
      <c r="FF27" s="145"/>
      <c r="FI27" s="145"/>
      <c r="FJ27" s="145"/>
      <c r="FT27" s="139"/>
      <c r="FU27" s="139"/>
      <c r="FV27" s="139"/>
      <c r="FW27" s="139"/>
      <c r="FX27" s="139"/>
      <c r="GJ27" s="7"/>
      <c r="GV27" s="74"/>
      <c r="GW27" s="74"/>
      <c r="GX27" s="74"/>
      <c r="HP27" s="7"/>
      <c r="ID27" s="74"/>
      <c r="IE27" s="74"/>
      <c r="IT27" s="7"/>
      <c r="IZ27" s="314"/>
      <c r="JA27" s="314"/>
      <c r="JB27" s="314"/>
      <c r="JC27" s="314"/>
      <c r="JD27" s="314"/>
      <c r="JE27" s="314"/>
      <c r="JF27" s="314"/>
      <c r="JH27" s="74"/>
      <c r="JI27" s="74"/>
      <c r="JJ27" s="74"/>
      <c r="JK27" s="314"/>
      <c r="JL27" s="314"/>
      <c r="JM27" s="314"/>
      <c r="JN27" s="314"/>
      <c r="JO27" s="314"/>
      <c r="JP27" s="314"/>
      <c r="JQ27" s="359"/>
      <c r="JR27" s="359"/>
      <c r="JS27" s="359"/>
      <c r="JT27" s="359"/>
      <c r="JU27" s="359"/>
      <c r="JV27" s="359"/>
      <c r="JW27" s="359"/>
      <c r="JX27" s="359"/>
      <c r="JY27" s="359"/>
      <c r="JZ27" s="7"/>
      <c r="KB27" s="361"/>
      <c r="KC27" s="318"/>
      <c r="KD27" s="319"/>
      <c r="KE27" s="319"/>
      <c r="KN27" s="74"/>
      <c r="KO27" s="74"/>
      <c r="KP27" s="74"/>
      <c r="KR27" s="361"/>
      <c r="KS27" s="318"/>
      <c r="KT27" s="319"/>
      <c r="KU27" s="319"/>
      <c r="KV27" s="319"/>
      <c r="KW27" s="319"/>
      <c r="KX27" s="319"/>
      <c r="KY27" s="319"/>
      <c r="KZ27" s="319"/>
      <c r="LA27" s="319"/>
      <c r="LE27" s="7"/>
      <c r="LI27" s="74"/>
      <c r="LJ27" s="74"/>
      <c r="LK27" s="74"/>
      <c r="LL27" s="74"/>
      <c r="LM27" s="220"/>
      <c r="LS27" s="74"/>
      <c r="LT27" s="74"/>
      <c r="LU27" s="74"/>
      <c r="MK27" s="7"/>
      <c r="MN27" s="74"/>
      <c r="MO27" s="74"/>
      <c r="MP27" s="74"/>
      <c r="MY27" s="74"/>
      <c r="MZ27" s="74"/>
      <c r="NA27" s="74"/>
      <c r="NB27" s="74"/>
      <c r="NC27" s="218"/>
      <c r="ND27" s="219"/>
      <c r="NP27" s="7"/>
      <c r="OD27" s="74"/>
      <c r="OE27" s="74"/>
      <c r="OF27" s="74"/>
      <c r="OV27" s="7"/>
      <c r="PJ27" s="74"/>
      <c r="PK27" s="74"/>
      <c r="PL27" s="74"/>
      <c r="QB27" s="7"/>
      <c r="RG27" s="7"/>
      <c r="SM27" s="7"/>
      <c r="UW27" s="314"/>
      <c r="UX27" s="7"/>
      <c r="UY27" s="314"/>
      <c r="UZ27" s="314"/>
      <c r="VA27" s="314"/>
      <c r="VB27" s="314"/>
      <c r="VC27" s="314"/>
      <c r="VD27" s="314"/>
      <c r="WD27" s="195"/>
      <c r="XD27" s="314"/>
      <c r="XG27" s="7"/>
      <c r="XL27" s="314"/>
      <c r="YM27" s="7"/>
      <c r="ZR27" s="7"/>
      <c r="AAX27" s="7"/>
      <c r="AAY27" s="314"/>
      <c r="AAZ27" s="314"/>
      <c r="ACC27" s="7"/>
      <c r="ADI27" s="7"/>
      <c r="AEO27" s="7"/>
      <c r="AFT27" s="7"/>
      <c r="AGZ27" s="7"/>
      <c r="AIE27" s="7"/>
      <c r="AIK27" s="364">
        <v>300</v>
      </c>
      <c r="AIL27" s="364">
        <v>600</v>
      </c>
      <c r="AIM27" s="364">
        <v>900</v>
      </c>
      <c r="AIN27" s="364">
        <v>1300</v>
      </c>
      <c r="AIP27" s="364">
        <v>1430</v>
      </c>
      <c r="AIQ27" s="364">
        <v>1430</v>
      </c>
      <c r="AIR27" s="364">
        <v>1430</v>
      </c>
      <c r="AIS27" s="364">
        <v>1430</v>
      </c>
      <c r="AIT27" s="364">
        <v>1430</v>
      </c>
      <c r="AIW27" s="364">
        <v>1430</v>
      </c>
      <c r="AIX27" s="364">
        <v>1430</v>
      </c>
      <c r="AIY27" s="364">
        <v>1430</v>
      </c>
      <c r="AIZ27" s="364">
        <v>1430</v>
      </c>
      <c r="AJA27" s="364">
        <v>1430</v>
      </c>
      <c r="AJB27" s="364">
        <v>1430</v>
      </c>
      <c r="AJD27" s="364">
        <v>1430</v>
      </c>
      <c r="AJE27" s="364">
        <v>1430</v>
      </c>
      <c r="AJF27" s="364">
        <v>1430</v>
      </c>
      <c r="AJG27" s="364">
        <v>1430</v>
      </c>
      <c r="AJH27" s="364">
        <v>1430</v>
      </c>
      <c r="AJI27" s="364">
        <v>1430</v>
      </c>
      <c r="AJK27" s="7"/>
      <c r="AJL27" s="364">
        <v>1430</v>
      </c>
      <c r="AJM27" s="364">
        <v>1430</v>
      </c>
      <c r="AJN27" s="364">
        <v>1430</v>
      </c>
      <c r="AJO27" s="364">
        <v>1430</v>
      </c>
      <c r="AJP27" s="364">
        <v>1430</v>
      </c>
      <c r="AJQ27" s="364">
        <v>1430</v>
      </c>
      <c r="AJS27" s="364">
        <v>1430</v>
      </c>
      <c r="AJT27" s="364">
        <v>1430</v>
      </c>
      <c r="AJU27" s="364">
        <v>1430</v>
      </c>
      <c r="AJV27" s="364">
        <v>1430</v>
      </c>
      <c r="AJW27" s="364">
        <v>1430</v>
      </c>
      <c r="AJX27" s="364">
        <v>1430</v>
      </c>
      <c r="AJZ27" s="364">
        <v>1430</v>
      </c>
      <c r="AKA27" s="364">
        <v>1430</v>
      </c>
      <c r="AKB27" s="364">
        <v>1430</v>
      </c>
      <c r="AKC27" s="364">
        <v>1430</v>
      </c>
      <c r="AKD27" s="364">
        <v>1430</v>
      </c>
      <c r="AKQ27" s="7"/>
      <c r="ALT27" s="7"/>
      <c r="AMZ27" s="7"/>
      <c r="AOE27" s="7"/>
      <c r="APK27" s="7"/>
      <c r="AQP27" s="7"/>
      <c r="ARV27" s="7"/>
      <c r="ATB27" s="7"/>
      <c r="AUG27" s="7"/>
      <c r="AVM27" s="7"/>
      <c r="AWR27" s="7"/>
      <c r="AXX27" s="7"/>
    </row>
    <row r="28" spans="1:1324" s="125" customFormat="1" ht="20.25" customHeight="1" x14ac:dyDescent="0.4">
      <c r="A28" s="711"/>
      <c r="B28" s="589"/>
      <c r="C28" s="590"/>
      <c r="D28" s="591"/>
      <c r="E28" s="591"/>
      <c r="F28" s="591"/>
      <c r="G28" s="591"/>
      <c r="H28" s="591"/>
      <c r="I28" s="591"/>
      <c r="J28" s="591"/>
      <c r="K28" s="591"/>
      <c r="L28" s="591"/>
      <c r="M28" s="591"/>
      <c r="N28" s="591"/>
      <c r="O28" s="591"/>
      <c r="P28" s="591"/>
      <c r="Q28" s="591"/>
      <c r="R28" s="591"/>
      <c r="S28" s="591"/>
      <c r="T28" s="591"/>
      <c r="U28" s="591"/>
      <c r="V28" s="591"/>
      <c r="W28" s="591"/>
      <c r="X28" s="591"/>
      <c r="Y28" s="591"/>
      <c r="Z28" s="591"/>
      <c r="AA28" s="591"/>
      <c r="AB28" s="591"/>
      <c r="AC28" s="591"/>
      <c r="AD28" s="591"/>
      <c r="AE28" s="590"/>
      <c r="AF28" s="591"/>
      <c r="AG28" s="591"/>
      <c r="AH28" s="592"/>
      <c r="AI28" s="590"/>
      <c r="AJ28" s="119"/>
      <c r="AK28" s="119"/>
      <c r="AL28" s="119"/>
      <c r="AM28" s="119"/>
      <c r="AN28" s="119"/>
      <c r="AO28" s="119"/>
      <c r="AP28" s="119"/>
      <c r="AQ28" s="593"/>
      <c r="AR28" s="593"/>
      <c r="AS28" s="593"/>
      <c r="AT28" s="593"/>
      <c r="AU28" s="593"/>
      <c r="AV28" s="593"/>
      <c r="AW28" s="593"/>
      <c r="AX28" s="593"/>
      <c r="AY28" s="593"/>
      <c r="AZ28" s="593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590"/>
      <c r="BL28" s="119"/>
      <c r="BM28" s="119"/>
      <c r="BN28" s="589"/>
      <c r="BO28" s="119"/>
      <c r="BP28" s="591"/>
      <c r="BQ28" s="591"/>
      <c r="BR28" s="591"/>
      <c r="BS28" s="591"/>
      <c r="BT28" s="591"/>
      <c r="BU28" s="591"/>
      <c r="BV28" s="591"/>
      <c r="BW28" s="591"/>
      <c r="BX28" s="591"/>
      <c r="BY28" s="591"/>
      <c r="BZ28" s="591"/>
      <c r="CA28" s="591"/>
      <c r="CB28" s="591"/>
      <c r="CC28" s="591"/>
      <c r="CD28" s="591"/>
      <c r="CE28" s="591"/>
      <c r="CF28" s="591"/>
      <c r="CG28" s="591"/>
      <c r="CH28" s="591"/>
      <c r="CI28" s="591"/>
      <c r="CJ28" s="591"/>
      <c r="CK28" s="591"/>
      <c r="CL28" s="591"/>
      <c r="CM28" s="591"/>
      <c r="CN28" s="591"/>
      <c r="CO28" s="591"/>
      <c r="CP28" s="591"/>
      <c r="CQ28" s="591"/>
      <c r="CR28" s="591"/>
      <c r="CS28" s="589"/>
      <c r="CT28" s="119"/>
      <c r="CU28" s="119"/>
      <c r="CV28" s="119"/>
      <c r="CW28" s="119"/>
      <c r="CX28" s="119"/>
      <c r="CY28" s="119"/>
      <c r="CZ28" s="119"/>
      <c r="DA28" s="119"/>
      <c r="DB28" s="119"/>
      <c r="DC28" s="119"/>
      <c r="DD28" s="119"/>
      <c r="DE28" s="119"/>
      <c r="DF28" s="119"/>
      <c r="DG28" s="119"/>
      <c r="DH28" s="119"/>
      <c r="DI28" s="119"/>
      <c r="DJ28" s="119"/>
      <c r="DK28" s="119"/>
      <c r="DL28" s="119"/>
      <c r="DM28" s="119"/>
      <c r="DN28" s="119"/>
      <c r="DO28" s="119"/>
      <c r="DP28" s="119"/>
      <c r="DQ28" s="119"/>
      <c r="DR28" s="119"/>
      <c r="DY28" s="589"/>
      <c r="EL28" s="119"/>
      <c r="EM28" s="119"/>
      <c r="EN28" s="119"/>
      <c r="EO28" s="119"/>
      <c r="EP28" s="590"/>
      <c r="EQ28" s="119"/>
      <c r="ER28" s="119"/>
      <c r="ES28" s="119"/>
      <c r="ET28" s="119"/>
      <c r="EU28" s="119"/>
      <c r="EV28" s="119"/>
      <c r="EW28" s="119"/>
      <c r="EX28" s="119"/>
      <c r="EY28" s="119"/>
      <c r="EZ28" s="119"/>
      <c r="FA28" s="124"/>
      <c r="FB28" s="124"/>
      <c r="FC28" s="119"/>
      <c r="FD28" s="594"/>
      <c r="FE28" s="119"/>
      <c r="FF28" s="119"/>
      <c r="FI28" s="119"/>
      <c r="FJ28" s="119"/>
      <c r="FT28" s="124"/>
      <c r="FU28" s="124"/>
      <c r="FV28" s="124"/>
      <c r="FW28" s="124"/>
      <c r="FX28" s="124"/>
      <c r="GJ28" s="589"/>
      <c r="GV28" s="588" t="s">
        <v>383</v>
      </c>
      <c r="GW28" s="588"/>
      <c r="GX28" s="588"/>
      <c r="HH28" s="124"/>
      <c r="HP28" s="589"/>
      <c r="HZ28" s="125">
        <v>39650</v>
      </c>
      <c r="ID28" s="588" t="s">
        <v>383</v>
      </c>
      <c r="IE28" s="588">
        <v>113</v>
      </c>
      <c r="IT28" s="589"/>
      <c r="JC28" s="125">
        <v>530590</v>
      </c>
      <c r="JH28" s="588" t="s">
        <v>383</v>
      </c>
      <c r="JI28" s="588">
        <v>141</v>
      </c>
      <c r="JJ28" s="588">
        <f t="shared" ref="JJ28:JJ38" si="8">IE28+JI28</f>
        <v>254</v>
      </c>
      <c r="JZ28" s="589"/>
      <c r="KE28" s="125">
        <f>20*13</f>
        <v>260</v>
      </c>
      <c r="KH28" s="125">
        <v>450780</v>
      </c>
      <c r="KM28" s="595"/>
      <c r="KN28" s="588" t="s">
        <v>383</v>
      </c>
      <c r="KO28" s="588">
        <f>87+16</f>
        <v>103</v>
      </c>
      <c r="KP28" s="588">
        <f t="shared" ref="KP28:KP38" si="9">JJ28+KO28</f>
        <v>357</v>
      </c>
      <c r="KQ28" s="595"/>
      <c r="KR28" s="595"/>
      <c r="KS28" s="595"/>
      <c r="KT28" s="595"/>
      <c r="KU28" s="595"/>
      <c r="KV28" s="595"/>
      <c r="KW28" s="595"/>
      <c r="KX28" s="595"/>
      <c r="KY28" s="595"/>
      <c r="KZ28" s="595"/>
      <c r="LA28" s="595"/>
      <c r="LB28" s="595"/>
      <c r="LC28" s="595"/>
      <c r="LE28" s="589"/>
      <c r="LI28" s="588">
        <f t="shared" ref="LI28" si="10">KP28</f>
        <v>357</v>
      </c>
      <c r="LJ28" s="588">
        <v>64</v>
      </c>
      <c r="LK28" s="588">
        <f>LI28+LJ28</f>
        <v>421</v>
      </c>
      <c r="LL28" s="588">
        <v>425</v>
      </c>
      <c r="LM28" s="588">
        <f>LK28-LL28</f>
        <v>-4</v>
      </c>
      <c r="LS28" s="588" t="s">
        <v>383</v>
      </c>
      <c r="LT28" s="588">
        <f>39+27</f>
        <v>66</v>
      </c>
      <c r="LU28" s="588">
        <f t="shared" ref="LU28:LU38" si="11">KP28+LT28</f>
        <v>423</v>
      </c>
      <c r="LX28" s="125">
        <v>370285</v>
      </c>
      <c r="LY28" s="125">
        <f>16*11</f>
        <v>176</v>
      </c>
      <c r="MK28" s="589"/>
      <c r="MN28" s="588" t="s">
        <v>383</v>
      </c>
      <c r="MO28" s="588">
        <v>112</v>
      </c>
      <c r="MP28" s="588">
        <f>MO28*1.015</f>
        <v>113.67999999999999</v>
      </c>
      <c r="MY28" s="588" t="s">
        <v>383</v>
      </c>
      <c r="MZ28" s="588">
        <f>113+2</f>
        <v>115</v>
      </c>
      <c r="NA28" s="588">
        <f t="shared" ref="NA28:NA37" si="12">LU28+MZ28</f>
        <v>538</v>
      </c>
      <c r="NB28" s="588">
        <v>595</v>
      </c>
      <c r="NC28" s="596">
        <f>NB28*1.015</f>
        <v>603.92499999999995</v>
      </c>
      <c r="ND28" s="596">
        <f>NA28-NC28</f>
        <v>-65.924999999999955</v>
      </c>
      <c r="NP28" s="589"/>
      <c r="OD28" s="588" t="s">
        <v>383</v>
      </c>
      <c r="OE28" s="588">
        <v>67</v>
      </c>
      <c r="OF28" s="588">
        <f t="shared" ref="OF28:OF37" si="13">NA28+OE28</f>
        <v>605</v>
      </c>
      <c r="OI28" s="125">
        <v>42000</v>
      </c>
      <c r="OV28" s="589"/>
      <c r="PJ28" s="588" t="s">
        <v>383</v>
      </c>
      <c r="PK28" s="588">
        <f>113+67+2</f>
        <v>182</v>
      </c>
      <c r="PL28" s="588"/>
      <c r="PR28" s="125">
        <v>20</v>
      </c>
      <c r="QB28" s="589"/>
      <c r="RG28" s="589"/>
      <c r="RQ28" s="125">
        <v>64</v>
      </c>
      <c r="RR28" s="125">
        <f>9*26</f>
        <v>234</v>
      </c>
      <c r="RU28" s="125">
        <f>64+12</f>
        <v>76</v>
      </c>
      <c r="RV28" s="125">
        <v>234</v>
      </c>
      <c r="SM28" s="589"/>
      <c r="UX28" s="589"/>
      <c r="VF28" s="124"/>
      <c r="VZ28" s="124"/>
      <c r="WD28" s="597"/>
      <c r="XG28" s="589"/>
      <c r="YM28" s="589"/>
      <c r="ZR28" s="589"/>
      <c r="AAX28" s="589"/>
      <c r="ABI28" s="124"/>
      <c r="ABP28" s="124"/>
      <c r="ACC28" s="589"/>
      <c r="ADI28" s="589"/>
      <c r="ADO28" s="124"/>
      <c r="ADP28" s="124"/>
      <c r="ADV28" s="124"/>
      <c r="AEO28" s="589"/>
      <c r="AER28" s="124"/>
      <c r="AES28" s="124"/>
      <c r="AFT28" s="7"/>
      <c r="AGZ28" s="7"/>
      <c r="AIE28" s="589"/>
      <c r="AJK28" s="589"/>
      <c r="AKQ28" s="589"/>
      <c r="ALT28" s="589"/>
      <c r="AMZ28" s="589"/>
      <c r="AOE28" s="589"/>
      <c r="APK28" s="589"/>
      <c r="AQP28" s="589"/>
      <c r="ARV28" s="589"/>
      <c r="ATB28" s="589"/>
      <c r="AUG28" s="589"/>
      <c r="AVM28" s="589"/>
      <c r="AWR28" s="589"/>
      <c r="AXX28" s="589"/>
    </row>
    <row r="29" spans="1:1324" s="125" customFormat="1" ht="20.25" customHeight="1" x14ac:dyDescent="0.4">
      <c r="A29" s="711"/>
      <c r="B29" s="589"/>
      <c r="C29" s="590"/>
      <c r="D29" s="591"/>
      <c r="E29" s="591"/>
      <c r="F29" s="591"/>
      <c r="G29" s="591"/>
      <c r="H29" s="591"/>
      <c r="I29" s="591"/>
      <c r="J29" s="591"/>
      <c r="K29" s="591"/>
      <c r="L29" s="591"/>
      <c r="M29" s="591"/>
      <c r="N29" s="591"/>
      <c r="O29" s="591"/>
      <c r="P29" s="591"/>
      <c r="Q29" s="591"/>
      <c r="R29" s="591"/>
      <c r="S29" s="591"/>
      <c r="T29" s="591"/>
      <c r="U29" s="591"/>
      <c r="V29" s="591"/>
      <c r="W29" s="591"/>
      <c r="X29" s="591"/>
      <c r="Y29" s="591"/>
      <c r="Z29" s="591"/>
      <c r="AA29" s="591"/>
      <c r="AB29" s="591"/>
      <c r="AC29" s="591"/>
      <c r="AD29" s="591"/>
      <c r="AE29" s="590"/>
      <c r="AF29" s="591"/>
      <c r="AG29" s="591"/>
      <c r="AH29" s="592"/>
      <c r="AI29" s="590"/>
      <c r="AJ29" s="119"/>
      <c r="AK29" s="119"/>
      <c r="AL29" s="119"/>
      <c r="AM29" s="119"/>
      <c r="AN29" s="119"/>
      <c r="AO29" s="119"/>
      <c r="AP29" s="119"/>
      <c r="AQ29" s="593"/>
      <c r="AR29" s="593"/>
      <c r="AS29" s="593"/>
      <c r="AT29" s="593"/>
      <c r="AU29" s="593"/>
      <c r="AV29" s="593"/>
      <c r="AW29" s="593"/>
      <c r="AX29" s="593"/>
      <c r="AY29" s="593"/>
      <c r="AZ29" s="593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590"/>
      <c r="BL29" s="119"/>
      <c r="BM29" s="119"/>
      <c r="BN29" s="589"/>
      <c r="BO29" s="119"/>
      <c r="BP29" s="591"/>
      <c r="BQ29" s="591"/>
      <c r="BR29" s="591"/>
      <c r="BS29" s="591"/>
      <c r="BT29" s="591"/>
      <c r="BU29" s="591"/>
      <c r="BV29" s="591"/>
      <c r="BW29" s="591"/>
      <c r="BX29" s="591"/>
      <c r="BY29" s="591"/>
      <c r="BZ29" s="591"/>
      <c r="CA29" s="591"/>
      <c r="CB29" s="591"/>
      <c r="CC29" s="591"/>
      <c r="CD29" s="591"/>
      <c r="CE29" s="591"/>
      <c r="CF29" s="591"/>
      <c r="CG29" s="591"/>
      <c r="CH29" s="591"/>
      <c r="CI29" s="591"/>
      <c r="CJ29" s="591"/>
      <c r="CK29" s="591"/>
      <c r="CL29" s="591"/>
      <c r="CM29" s="591"/>
      <c r="CN29" s="591"/>
      <c r="CO29" s="591"/>
      <c r="CP29" s="591"/>
      <c r="CQ29" s="591"/>
      <c r="CR29" s="591"/>
      <c r="CS29" s="58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  <c r="DM29" s="119"/>
      <c r="DN29" s="119"/>
      <c r="DO29" s="119"/>
      <c r="DP29" s="119"/>
      <c r="DQ29" s="119"/>
      <c r="DR29" s="119"/>
      <c r="DY29" s="589"/>
      <c r="EL29" s="119"/>
      <c r="EM29" s="119"/>
      <c r="EN29" s="119"/>
      <c r="EO29" s="119"/>
      <c r="EP29" s="590"/>
      <c r="EQ29" s="119"/>
      <c r="ER29" s="119"/>
      <c r="ES29" s="119"/>
      <c r="ET29" s="119"/>
      <c r="EU29" s="119"/>
      <c r="EV29" s="119"/>
      <c r="EW29" s="119"/>
      <c r="EX29" s="119"/>
      <c r="EY29" s="119"/>
      <c r="EZ29" s="119"/>
      <c r="FA29" s="124"/>
      <c r="FB29" s="124"/>
      <c r="FC29" s="119"/>
      <c r="FD29" s="594"/>
      <c r="FE29" s="119"/>
      <c r="FF29" s="119"/>
      <c r="FI29" s="119"/>
      <c r="FJ29" s="119"/>
      <c r="FT29" s="124"/>
      <c r="FU29" s="124"/>
      <c r="FV29" s="124"/>
      <c r="FW29" s="124"/>
      <c r="FX29" s="124"/>
      <c r="GJ29" s="589"/>
      <c r="GV29" s="588"/>
      <c r="GW29" s="588"/>
      <c r="GX29" s="588"/>
      <c r="HH29" s="124"/>
      <c r="HP29" s="589"/>
      <c r="ID29" s="588"/>
      <c r="IE29" s="588"/>
      <c r="IT29" s="589"/>
      <c r="JH29" s="588"/>
      <c r="JI29" s="588"/>
      <c r="JJ29" s="588"/>
      <c r="JZ29" s="589"/>
      <c r="KM29" s="595"/>
      <c r="KN29" s="588"/>
      <c r="KO29" s="588"/>
      <c r="KP29" s="588"/>
      <c r="KQ29" s="595"/>
      <c r="KR29" s="595"/>
      <c r="KS29" s="595"/>
      <c r="KT29" s="595"/>
      <c r="KU29" s="595"/>
      <c r="KV29" s="595"/>
      <c r="KW29" s="595"/>
      <c r="KX29" s="595"/>
      <c r="KY29" s="595"/>
      <c r="KZ29" s="595"/>
      <c r="LA29" s="595"/>
      <c r="LB29" s="595"/>
      <c r="LC29" s="595"/>
      <c r="LE29" s="589"/>
      <c r="LI29" s="588"/>
      <c r="LJ29" s="588"/>
      <c r="LK29" s="588"/>
      <c r="LL29" s="588"/>
      <c r="LM29" s="588"/>
      <c r="LS29" s="588"/>
      <c r="LT29" s="588"/>
      <c r="LU29" s="588"/>
      <c r="MK29" s="589"/>
      <c r="MN29" s="124"/>
      <c r="MO29" s="124"/>
      <c r="MP29" s="124"/>
      <c r="MY29" s="588"/>
      <c r="MZ29" s="588"/>
      <c r="NA29" s="588"/>
      <c r="NB29" s="588"/>
      <c r="NC29" s="596"/>
      <c r="ND29" s="596"/>
      <c r="NP29" s="589"/>
      <c r="OD29" s="588"/>
      <c r="OE29" s="588"/>
      <c r="OF29" s="588"/>
      <c r="OV29" s="589"/>
      <c r="PJ29" s="588"/>
      <c r="PK29" s="588"/>
      <c r="PL29" s="588"/>
      <c r="QB29" s="589"/>
      <c r="RG29" s="589"/>
      <c r="SM29" s="589"/>
      <c r="UX29" s="589"/>
      <c r="VF29" s="124"/>
      <c r="VZ29" s="124"/>
      <c r="WD29" s="597"/>
      <c r="XG29" s="589"/>
      <c r="YM29" s="589"/>
      <c r="ZR29" s="589"/>
      <c r="AAX29" s="589"/>
      <c r="ABI29" s="124"/>
      <c r="ABP29" s="124"/>
      <c r="ACC29" s="589"/>
      <c r="ADI29" s="589"/>
      <c r="ADK29" s="124"/>
      <c r="ADL29" s="124"/>
      <c r="ADM29" s="124"/>
      <c r="ADN29" s="124"/>
      <c r="ADO29" s="124"/>
      <c r="ADP29" s="124"/>
      <c r="ADV29" s="124"/>
      <c r="AEO29" s="589"/>
      <c r="AER29" s="124"/>
      <c r="AES29" s="124"/>
      <c r="AFT29" s="7"/>
      <c r="AGZ29" s="7"/>
      <c r="AIE29" s="589"/>
      <c r="AJK29" s="589"/>
      <c r="AJT29" s="125">
        <v>20341</v>
      </c>
      <c r="AJU29" s="125">
        <v>9093</v>
      </c>
      <c r="AJV29" s="125">
        <v>13009</v>
      </c>
      <c r="AJW29" s="125">
        <v>18618</v>
      </c>
      <c r="AJX29" s="125">
        <f>SUM(AJT29:AJW29)</f>
        <v>61061</v>
      </c>
      <c r="AKQ29" s="589"/>
      <c r="ALT29" s="589"/>
      <c r="AMZ29" s="589"/>
      <c r="AOE29" s="589"/>
      <c r="APK29" s="589"/>
      <c r="AQP29" s="589"/>
      <c r="ARV29" s="589"/>
      <c r="ATB29" s="589"/>
      <c r="AUG29" s="589"/>
      <c r="AVM29" s="589"/>
      <c r="AWR29" s="589"/>
      <c r="AXX29" s="589"/>
    </row>
    <row r="30" spans="1:1324" s="125" customFormat="1" ht="20.25" customHeight="1" x14ac:dyDescent="0.4">
      <c r="A30" s="711"/>
      <c r="B30" s="589"/>
      <c r="C30" s="590"/>
      <c r="D30" s="591"/>
      <c r="E30" s="591"/>
      <c r="F30" s="591"/>
      <c r="G30" s="591"/>
      <c r="H30" s="591"/>
      <c r="I30" s="591"/>
      <c r="J30" s="591"/>
      <c r="K30" s="591"/>
      <c r="L30" s="591"/>
      <c r="M30" s="591"/>
      <c r="N30" s="591"/>
      <c r="O30" s="591"/>
      <c r="P30" s="591"/>
      <c r="Q30" s="591"/>
      <c r="R30" s="591"/>
      <c r="S30" s="591"/>
      <c r="T30" s="591"/>
      <c r="U30" s="591"/>
      <c r="V30" s="591"/>
      <c r="W30" s="591"/>
      <c r="X30" s="591"/>
      <c r="Y30" s="591"/>
      <c r="Z30" s="591"/>
      <c r="AA30" s="591"/>
      <c r="AB30" s="591"/>
      <c r="AC30" s="591"/>
      <c r="AD30" s="591"/>
      <c r="AE30" s="590"/>
      <c r="AF30" s="591"/>
      <c r="AG30" s="591"/>
      <c r="AH30" s="592"/>
      <c r="AI30" s="590"/>
      <c r="AJ30" s="119"/>
      <c r="AK30" s="119"/>
      <c r="AL30" s="119"/>
      <c r="AM30" s="119"/>
      <c r="AN30" s="119"/>
      <c r="AO30" s="119"/>
      <c r="AP30" s="119"/>
      <c r="AQ30" s="593"/>
      <c r="AR30" s="593"/>
      <c r="AS30" s="593"/>
      <c r="AT30" s="593"/>
      <c r="AU30" s="593"/>
      <c r="AV30" s="593"/>
      <c r="AW30" s="593"/>
      <c r="AX30" s="593"/>
      <c r="AY30" s="593"/>
      <c r="AZ30" s="593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590"/>
      <c r="BL30" s="119"/>
      <c r="BM30" s="119"/>
      <c r="BN30" s="589"/>
      <c r="BO30" s="119"/>
      <c r="BP30" s="591"/>
      <c r="BQ30" s="591"/>
      <c r="BR30" s="591"/>
      <c r="BS30" s="591"/>
      <c r="BT30" s="591"/>
      <c r="BU30" s="591"/>
      <c r="BV30" s="591"/>
      <c r="BW30" s="591"/>
      <c r="BX30" s="591"/>
      <c r="BY30" s="591"/>
      <c r="BZ30" s="591"/>
      <c r="CA30" s="591"/>
      <c r="CB30" s="591"/>
      <c r="CC30" s="591"/>
      <c r="CD30" s="591"/>
      <c r="CE30" s="591"/>
      <c r="CF30" s="591"/>
      <c r="CG30" s="591"/>
      <c r="CH30" s="591"/>
      <c r="CI30" s="591"/>
      <c r="CJ30" s="591"/>
      <c r="CK30" s="591"/>
      <c r="CL30" s="591"/>
      <c r="CM30" s="591"/>
      <c r="CN30" s="591"/>
      <c r="CO30" s="591"/>
      <c r="CP30" s="591"/>
      <c r="CQ30" s="591"/>
      <c r="CR30" s="591"/>
      <c r="CS30" s="589"/>
      <c r="CT30" s="119"/>
      <c r="CU30" s="119"/>
      <c r="CV30" s="119"/>
      <c r="CW30" s="119"/>
      <c r="CX30" s="119"/>
      <c r="CY30" s="119"/>
      <c r="CZ30" s="119"/>
      <c r="DA30" s="119"/>
      <c r="DB30" s="119"/>
      <c r="DC30" s="119"/>
      <c r="DD30" s="119"/>
      <c r="DE30" s="119"/>
      <c r="DF30" s="119"/>
      <c r="DG30" s="119"/>
      <c r="DH30" s="119"/>
      <c r="DI30" s="119"/>
      <c r="DJ30" s="119"/>
      <c r="DK30" s="119"/>
      <c r="DL30" s="119"/>
      <c r="DM30" s="119"/>
      <c r="DN30" s="119"/>
      <c r="DO30" s="119"/>
      <c r="DP30" s="119"/>
      <c r="DQ30" s="119"/>
      <c r="DR30" s="119"/>
      <c r="DY30" s="589"/>
      <c r="EL30" s="119"/>
      <c r="EM30" s="119"/>
      <c r="EN30" s="119"/>
      <c r="EO30" s="119"/>
      <c r="EP30" s="590"/>
      <c r="EQ30" s="119"/>
      <c r="ER30" s="119"/>
      <c r="ES30" s="119"/>
      <c r="ET30" s="119"/>
      <c r="EU30" s="119"/>
      <c r="EV30" s="119"/>
      <c r="EW30" s="119"/>
      <c r="EX30" s="119"/>
      <c r="EY30" s="119"/>
      <c r="EZ30" s="119"/>
      <c r="FA30" s="124"/>
      <c r="FB30" s="124"/>
      <c r="FC30" s="119"/>
      <c r="FD30" s="594"/>
      <c r="FE30" s="119"/>
      <c r="FF30" s="119"/>
      <c r="FI30" s="119"/>
      <c r="FJ30" s="119"/>
      <c r="FT30" s="124"/>
      <c r="FU30" s="124"/>
      <c r="FV30" s="124"/>
      <c r="FW30" s="124"/>
      <c r="FX30" s="124"/>
      <c r="GJ30" s="589"/>
      <c r="GV30" s="588"/>
      <c r="GW30" s="588"/>
      <c r="GX30" s="588"/>
      <c r="HH30" s="124"/>
      <c r="HP30" s="589"/>
      <c r="ID30" s="588"/>
      <c r="IE30" s="588"/>
      <c r="IT30" s="589"/>
      <c r="JH30" s="588"/>
      <c r="JI30" s="588"/>
      <c r="JJ30" s="588"/>
      <c r="JZ30" s="589"/>
      <c r="KM30" s="595"/>
      <c r="KN30" s="588"/>
      <c r="KO30" s="588"/>
      <c r="KP30" s="588"/>
      <c r="KQ30" s="595"/>
      <c r="KR30" s="595"/>
      <c r="KS30" s="595"/>
      <c r="KT30" s="595"/>
      <c r="KU30" s="595"/>
      <c r="KV30" s="595"/>
      <c r="KW30" s="595"/>
      <c r="KX30" s="595"/>
      <c r="KY30" s="595"/>
      <c r="KZ30" s="595"/>
      <c r="LA30" s="595"/>
      <c r="LB30" s="595"/>
      <c r="LC30" s="595"/>
      <c r="LE30" s="589"/>
      <c r="LI30" s="588"/>
      <c r="LJ30" s="588"/>
      <c r="LK30" s="588"/>
      <c r="LL30" s="588"/>
      <c r="LM30" s="588"/>
      <c r="LS30" s="588"/>
      <c r="LT30" s="588"/>
      <c r="LU30" s="588"/>
      <c r="MK30" s="589"/>
      <c r="MN30" s="124"/>
      <c r="MO30" s="124"/>
      <c r="MP30" s="124"/>
      <c r="MY30" s="588"/>
      <c r="MZ30" s="588"/>
      <c r="NA30" s="588"/>
      <c r="NB30" s="588"/>
      <c r="NC30" s="596"/>
      <c r="ND30" s="596"/>
      <c r="NP30" s="589"/>
      <c r="OD30" s="588"/>
      <c r="OE30" s="588"/>
      <c r="OF30" s="588"/>
      <c r="OV30" s="589"/>
      <c r="PJ30" s="588"/>
      <c r="PK30" s="588"/>
      <c r="PL30" s="588"/>
      <c r="QB30" s="589"/>
      <c r="RG30" s="589"/>
      <c r="SM30" s="589"/>
      <c r="UX30" s="589"/>
      <c r="VF30" s="124"/>
      <c r="VZ30" s="124"/>
      <c r="WD30" s="597"/>
      <c r="XG30" s="589"/>
      <c r="YM30" s="589"/>
      <c r="ZR30" s="589"/>
      <c r="AAX30" s="589"/>
      <c r="ABI30" s="124"/>
      <c r="ABP30" s="124"/>
      <c r="ACC30" s="589"/>
      <c r="ACT30" s="125">
        <v>2015042</v>
      </c>
      <c r="ACU30" s="125">
        <v>10884</v>
      </c>
      <c r="ACV30" s="125" t="s">
        <v>2369</v>
      </c>
      <c r="ADI30" s="589"/>
      <c r="ADK30" s="124"/>
      <c r="ADL30" s="124"/>
      <c r="ADM30" s="124"/>
      <c r="ADN30" s="124"/>
      <c r="ADO30" s="124"/>
      <c r="ADP30" s="124"/>
      <c r="ADV30" s="124"/>
      <c r="AEO30" s="589"/>
      <c r="AER30" s="124"/>
      <c r="AES30" s="124"/>
      <c r="AFT30" s="7"/>
      <c r="AGZ30" s="7"/>
      <c r="AIE30" s="589"/>
      <c r="AJK30" s="589"/>
      <c r="AJT30" s="657">
        <f>AJT29*1.03</f>
        <v>20951.23</v>
      </c>
      <c r="AJU30" s="657">
        <f t="shared" ref="AJU30:AJW30" si="14">AJU29*1.03</f>
        <v>9365.7900000000009</v>
      </c>
      <c r="AJV30" s="657">
        <f t="shared" si="14"/>
        <v>13399.27</v>
      </c>
      <c r="AJW30" s="657">
        <f t="shared" si="14"/>
        <v>19176.54</v>
      </c>
      <c r="AKQ30" s="589"/>
      <c r="ALT30" s="589"/>
      <c r="AMZ30" s="589"/>
      <c r="AOE30" s="589"/>
      <c r="APK30" s="589"/>
      <c r="AQP30" s="589"/>
      <c r="ARV30" s="589"/>
      <c r="ATB30" s="589"/>
      <c r="AUG30" s="589"/>
      <c r="AVM30" s="589"/>
      <c r="AWR30" s="589"/>
      <c r="AXX30" s="589"/>
    </row>
    <row r="31" spans="1:1324" s="125" customFormat="1" ht="20.25" customHeight="1" x14ac:dyDescent="0.4">
      <c r="A31" s="711"/>
      <c r="B31" s="589"/>
      <c r="C31" s="590"/>
      <c r="D31" s="591"/>
      <c r="E31" s="591"/>
      <c r="F31" s="591"/>
      <c r="G31" s="591"/>
      <c r="H31" s="591"/>
      <c r="I31" s="591"/>
      <c r="J31" s="591"/>
      <c r="K31" s="591"/>
      <c r="L31" s="591"/>
      <c r="M31" s="591"/>
      <c r="N31" s="591"/>
      <c r="O31" s="591"/>
      <c r="P31" s="591"/>
      <c r="Q31" s="591"/>
      <c r="R31" s="591"/>
      <c r="S31" s="591"/>
      <c r="T31" s="591"/>
      <c r="U31" s="591"/>
      <c r="V31" s="591"/>
      <c r="W31" s="591"/>
      <c r="X31" s="591"/>
      <c r="Y31" s="591"/>
      <c r="Z31" s="591"/>
      <c r="AA31" s="591"/>
      <c r="AB31" s="591"/>
      <c r="AC31" s="591"/>
      <c r="AD31" s="591"/>
      <c r="AE31" s="590"/>
      <c r="AF31" s="591"/>
      <c r="AG31" s="591"/>
      <c r="AH31" s="592"/>
      <c r="AI31" s="590"/>
      <c r="AJ31" s="119"/>
      <c r="AK31" s="119"/>
      <c r="AL31" s="119"/>
      <c r="AM31" s="119"/>
      <c r="AN31" s="119"/>
      <c r="AO31" s="119"/>
      <c r="AP31" s="119"/>
      <c r="AQ31" s="593"/>
      <c r="AR31" s="593"/>
      <c r="AS31" s="593"/>
      <c r="AT31" s="593"/>
      <c r="AU31" s="593"/>
      <c r="AV31" s="593"/>
      <c r="AW31" s="593"/>
      <c r="AX31" s="593"/>
      <c r="AY31" s="593"/>
      <c r="AZ31" s="593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590"/>
      <c r="BL31" s="119"/>
      <c r="BM31" s="119"/>
      <c r="BN31" s="589"/>
      <c r="BO31" s="119"/>
      <c r="BP31" s="591"/>
      <c r="BQ31" s="591"/>
      <c r="BR31" s="591"/>
      <c r="BS31" s="591"/>
      <c r="BT31" s="591"/>
      <c r="BU31" s="591"/>
      <c r="BV31" s="591"/>
      <c r="BW31" s="591"/>
      <c r="BX31" s="591"/>
      <c r="BY31" s="591"/>
      <c r="BZ31" s="591"/>
      <c r="CA31" s="591"/>
      <c r="CB31" s="591"/>
      <c r="CC31" s="591"/>
      <c r="CD31" s="591"/>
      <c r="CE31" s="591"/>
      <c r="CF31" s="591"/>
      <c r="CG31" s="591"/>
      <c r="CH31" s="591"/>
      <c r="CI31" s="591"/>
      <c r="CJ31" s="591"/>
      <c r="CK31" s="591"/>
      <c r="CL31" s="591"/>
      <c r="CM31" s="591"/>
      <c r="CN31" s="591"/>
      <c r="CO31" s="591"/>
      <c r="CP31" s="591"/>
      <c r="CQ31" s="591"/>
      <c r="CR31" s="591"/>
      <c r="CS31" s="589"/>
      <c r="CT31" s="119"/>
      <c r="CU31" s="119"/>
      <c r="CV31" s="119"/>
      <c r="CW31" s="119"/>
      <c r="CX31" s="119"/>
      <c r="CY31" s="119"/>
      <c r="CZ31" s="119"/>
      <c r="DA31" s="119"/>
      <c r="DB31" s="119"/>
      <c r="DC31" s="119"/>
      <c r="DD31" s="119"/>
      <c r="DE31" s="119"/>
      <c r="DF31" s="119"/>
      <c r="DG31" s="119"/>
      <c r="DH31" s="119"/>
      <c r="DI31" s="119"/>
      <c r="DJ31" s="119"/>
      <c r="DK31" s="119"/>
      <c r="DL31" s="119"/>
      <c r="DM31" s="119"/>
      <c r="DN31" s="119"/>
      <c r="DO31" s="119"/>
      <c r="DP31" s="119"/>
      <c r="DQ31" s="119"/>
      <c r="DR31" s="119"/>
      <c r="DY31" s="589"/>
      <c r="EL31" s="119"/>
      <c r="EM31" s="119"/>
      <c r="EN31" s="119"/>
      <c r="EO31" s="119"/>
      <c r="EP31" s="590"/>
      <c r="EQ31" s="119"/>
      <c r="ER31" s="119"/>
      <c r="ES31" s="119"/>
      <c r="ET31" s="119"/>
      <c r="EU31" s="119"/>
      <c r="EV31" s="119"/>
      <c r="EW31" s="119"/>
      <c r="EX31" s="119"/>
      <c r="EY31" s="119"/>
      <c r="EZ31" s="119"/>
      <c r="FA31" s="124"/>
      <c r="FB31" s="124"/>
      <c r="FC31" s="119"/>
      <c r="FD31" s="594"/>
      <c r="FE31" s="119"/>
      <c r="FF31" s="119"/>
      <c r="FI31" s="119"/>
      <c r="FJ31" s="119"/>
      <c r="FT31" s="124"/>
      <c r="FU31" s="124"/>
      <c r="FV31" s="124"/>
      <c r="FW31" s="124"/>
      <c r="FX31" s="124"/>
      <c r="GJ31" s="589"/>
      <c r="GV31" s="588"/>
      <c r="GW31" s="588"/>
      <c r="GX31" s="588"/>
      <c r="HH31" s="124"/>
      <c r="HP31" s="589"/>
      <c r="ID31" s="588"/>
      <c r="IE31" s="588"/>
      <c r="IT31" s="589"/>
      <c r="JH31" s="588"/>
      <c r="JI31" s="588"/>
      <c r="JJ31" s="588"/>
      <c r="JZ31" s="589"/>
      <c r="KM31" s="595"/>
      <c r="KN31" s="588"/>
      <c r="KO31" s="588"/>
      <c r="KP31" s="588"/>
      <c r="KQ31" s="595"/>
      <c r="KR31" s="595"/>
      <c r="KS31" s="595"/>
      <c r="KT31" s="595"/>
      <c r="KU31" s="595"/>
      <c r="KV31" s="595"/>
      <c r="KW31" s="595"/>
      <c r="KX31" s="595"/>
      <c r="KY31" s="595"/>
      <c r="KZ31" s="595"/>
      <c r="LA31" s="595"/>
      <c r="LB31" s="595"/>
      <c r="LC31" s="595"/>
      <c r="LE31" s="589"/>
      <c r="LI31" s="588"/>
      <c r="LJ31" s="588"/>
      <c r="LK31" s="588"/>
      <c r="LL31" s="588"/>
      <c r="LM31" s="588"/>
      <c r="LS31" s="588"/>
      <c r="LT31" s="588"/>
      <c r="LU31" s="588"/>
      <c r="MK31" s="589"/>
      <c r="MN31" s="124"/>
      <c r="MO31" s="124"/>
      <c r="MP31" s="124"/>
      <c r="MY31" s="588"/>
      <c r="MZ31" s="588"/>
      <c r="NA31" s="588"/>
      <c r="NB31" s="588"/>
      <c r="NC31" s="596"/>
      <c r="ND31" s="596"/>
      <c r="NP31" s="589"/>
      <c r="OD31" s="588"/>
      <c r="OE31" s="588"/>
      <c r="OF31" s="588"/>
      <c r="OV31" s="589"/>
      <c r="PJ31" s="588"/>
      <c r="PK31" s="588"/>
      <c r="PL31" s="588"/>
      <c r="QB31" s="589"/>
      <c r="RG31" s="589"/>
      <c r="SM31" s="589"/>
      <c r="UX31" s="589"/>
      <c r="VF31" s="124"/>
      <c r="VZ31" s="124"/>
      <c r="WD31" s="597"/>
      <c r="XG31" s="589"/>
      <c r="YM31" s="589"/>
      <c r="ZR31" s="589"/>
      <c r="AAX31" s="589"/>
      <c r="ABI31" s="124"/>
      <c r="ABP31" s="124"/>
      <c r="ACC31" s="589"/>
      <c r="ACT31" s="125">
        <v>2109142</v>
      </c>
      <c r="ACU31" s="125">
        <v>3342</v>
      </c>
      <c r="ADI31" s="589"/>
      <c r="ADK31" s="124"/>
      <c r="ADL31" s="124"/>
      <c r="ADM31" s="124"/>
      <c r="ADN31" s="124"/>
      <c r="ADO31" s="124"/>
      <c r="ADP31" s="124"/>
      <c r="ADV31" s="124"/>
      <c r="AEO31" s="589"/>
      <c r="AER31" s="124"/>
      <c r="AES31" s="124"/>
      <c r="AFT31" s="7"/>
      <c r="AGZ31" s="7"/>
      <c r="AIE31" s="589"/>
      <c r="AJK31" s="589"/>
      <c r="AJT31" s="135"/>
      <c r="AJU31" s="658">
        <f>AJT30+AJU30</f>
        <v>30317.02</v>
      </c>
      <c r="AJV31" s="658">
        <f>AJU31+AJV30</f>
        <v>43716.29</v>
      </c>
      <c r="AJW31" s="658">
        <f>AJV31+AJW30</f>
        <v>62892.83</v>
      </c>
      <c r="AKF31" s="136"/>
      <c r="AKQ31" s="589"/>
      <c r="ALB31" s="635"/>
      <c r="ALC31" s="635"/>
      <c r="ALD31" s="635"/>
      <c r="ALE31" s="635"/>
      <c r="ALT31" s="589"/>
      <c r="AMZ31" s="589"/>
      <c r="AOE31" s="589"/>
      <c r="APK31" s="589"/>
      <c r="AQP31" s="589"/>
      <c r="ARV31" s="589"/>
      <c r="ATB31" s="589"/>
      <c r="AUG31" s="589"/>
      <c r="AVM31" s="589"/>
      <c r="AWR31" s="589"/>
      <c r="AXX31" s="589"/>
    </row>
    <row r="32" spans="1:1324" s="125" customFormat="1" ht="20.25" customHeight="1" x14ac:dyDescent="0.4">
      <c r="A32" s="711"/>
      <c r="B32" s="589"/>
      <c r="C32" s="590"/>
      <c r="D32" s="591"/>
      <c r="E32" s="591"/>
      <c r="F32" s="591"/>
      <c r="G32" s="591"/>
      <c r="H32" s="591"/>
      <c r="I32" s="591"/>
      <c r="J32" s="591"/>
      <c r="K32" s="591"/>
      <c r="L32" s="591"/>
      <c r="M32" s="591"/>
      <c r="N32" s="591"/>
      <c r="O32" s="591"/>
      <c r="P32" s="591"/>
      <c r="Q32" s="591"/>
      <c r="R32" s="591"/>
      <c r="S32" s="591"/>
      <c r="T32" s="591"/>
      <c r="U32" s="591"/>
      <c r="V32" s="591"/>
      <c r="W32" s="591"/>
      <c r="X32" s="591"/>
      <c r="Y32" s="591"/>
      <c r="Z32" s="591"/>
      <c r="AA32" s="591"/>
      <c r="AB32" s="591"/>
      <c r="AC32" s="591"/>
      <c r="AD32" s="591"/>
      <c r="AE32" s="590"/>
      <c r="AF32" s="591"/>
      <c r="AG32" s="591"/>
      <c r="AH32" s="592"/>
      <c r="AI32" s="590"/>
      <c r="AJ32" s="119"/>
      <c r="AK32" s="119"/>
      <c r="AL32" s="119"/>
      <c r="AM32" s="119"/>
      <c r="AN32" s="119"/>
      <c r="AO32" s="119"/>
      <c r="AP32" s="119"/>
      <c r="AQ32" s="593"/>
      <c r="AR32" s="593"/>
      <c r="AS32" s="593"/>
      <c r="AT32" s="593"/>
      <c r="AU32" s="593"/>
      <c r="AV32" s="593"/>
      <c r="AW32" s="593"/>
      <c r="AX32" s="593"/>
      <c r="AY32" s="593"/>
      <c r="AZ32" s="593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590"/>
      <c r="BL32" s="119"/>
      <c r="BM32" s="119"/>
      <c r="BN32" s="589"/>
      <c r="BO32" s="119"/>
      <c r="BP32" s="591"/>
      <c r="BQ32" s="591"/>
      <c r="BR32" s="591"/>
      <c r="BS32" s="591"/>
      <c r="BT32" s="591"/>
      <c r="BU32" s="591"/>
      <c r="BV32" s="591"/>
      <c r="BW32" s="591"/>
      <c r="BX32" s="591"/>
      <c r="BY32" s="591"/>
      <c r="BZ32" s="591"/>
      <c r="CA32" s="591"/>
      <c r="CB32" s="591"/>
      <c r="CC32" s="591"/>
      <c r="CD32" s="591"/>
      <c r="CE32" s="591"/>
      <c r="CF32" s="591"/>
      <c r="CG32" s="591"/>
      <c r="CH32" s="591"/>
      <c r="CI32" s="591"/>
      <c r="CJ32" s="591"/>
      <c r="CK32" s="591"/>
      <c r="CL32" s="591"/>
      <c r="CM32" s="591"/>
      <c r="CN32" s="591"/>
      <c r="CO32" s="591"/>
      <c r="CP32" s="591"/>
      <c r="CQ32" s="591"/>
      <c r="CR32" s="591"/>
      <c r="CS32" s="589"/>
      <c r="CT32" s="119"/>
      <c r="CU32" s="119"/>
      <c r="CV32" s="119"/>
      <c r="CW32" s="119"/>
      <c r="CX32" s="119"/>
      <c r="CY32" s="119"/>
      <c r="CZ32" s="119"/>
      <c r="DA32" s="119"/>
      <c r="DB32" s="119"/>
      <c r="DC32" s="119"/>
      <c r="DD32" s="119"/>
      <c r="DE32" s="119"/>
      <c r="DF32" s="119"/>
      <c r="DG32" s="119"/>
      <c r="DH32" s="119"/>
      <c r="DI32" s="119"/>
      <c r="DJ32" s="119"/>
      <c r="DK32" s="119"/>
      <c r="DL32" s="119"/>
      <c r="DM32" s="119"/>
      <c r="DN32" s="119"/>
      <c r="DO32" s="119"/>
      <c r="DP32" s="119"/>
      <c r="DQ32" s="119"/>
      <c r="DR32" s="119"/>
      <c r="DY32" s="589"/>
      <c r="EL32" s="119"/>
      <c r="EM32" s="119"/>
      <c r="EN32" s="119"/>
      <c r="EO32" s="119"/>
      <c r="EP32" s="590"/>
      <c r="EQ32" s="119"/>
      <c r="ER32" s="119"/>
      <c r="ES32" s="119"/>
      <c r="ET32" s="119"/>
      <c r="EU32" s="119"/>
      <c r="EV32" s="119"/>
      <c r="EW32" s="119"/>
      <c r="EX32" s="119"/>
      <c r="EY32" s="119"/>
      <c r="EZ32" s="119"/>
      <c r="FA32" s="124"/>
      <c r="FB32" s="124"/>
      <c r="FC32" s="119"/>
      <c r="FD32" s="594"/>
      <c r="FE32" s="119"/>
      <c r="FF32" s="119"/>
      <c r="FI32" s="119"/>
      <c r="FJ32" s="119"/>
      <c r="FT32" s="124"/>
      <c r="FU32" s="124"/>
      <c r="FV32" s="124"/>
      <c r="FW32" s="124"/>
      <c r="FX32" s="124"/>
      <c r="GJ32" s="589"/>
      <c r="GV32" s="588"/>
      <c r="GW32" s="588"/>
      <c r="GX32" s="588"/>
      <c r="HH32" s="124"/>
      <c r="HP32" s="589"/>
      <c r="ID32" s="588"/>
      <c r="IE32" s="588"/>
      <c r="IT32" s="589"/>
      <c r="JH32" s="588"/>
      <c r="JI32" s="588"/>
      <c r="JJ32" s="588"/>
      <c r="JZ32" s="589"/>
      <c r="KM32" s="595"/>
      <c r="KN32" s="588"/>
      <c r="KO32" s="588"/>
      <c r="KP32" s="588"/>
      <c r="KQ32" s="595"/>
      <c r="KR32" s="595"/>
      <c r="KS32" s="595"/>
      <c r="KT32" s="595"/>
      <c r="KU32" s="595"/>
      <c r="KV32" s="595"/>
      <c r="KW32" s="595"/>
      <c r="KX32" s="595"/>
      <c r="KY32" s="595"/>
      <c r="KZ32" s="595"/>
      <c r="LA32" s="595"/>
      <c r="LB32" s="595"/>
      <c r="LC32" s="595"/>
      <c r="LE32" s="589"/>
      <c r="LI32" s="588"/>
      <c r="LJ32" s="588"/>
      <c r="LK32" s="588"/>
      <c r="LL32" s="588"/>
      <c r="LM32" s="588"/>
      <c r="LS32" s="588"/>
      <c r="LT32" s="588"/>
      <c r="LU32" s="588"/>
      <c r="MK32" s="589"/>
      <c r="MN32" s="124"/>
      <c r="MO32" s="124"/>
      <c r="MP32" s="124"/>
      <c r="MY32" s="588"/>
      <c r="MZ32" s="588"/>
      <c r="NA32" s="588"/>
      <c r="NB32" s="588"/>
      <c r="NC32" s="596"/>
      <c r="ND32" s="596"/>
      <c r="NP32" s="589"/>
      <c r="OD32" s="588"/>
      <c r="OE32" s="588"/>
      <c r="OF32" s="588"/>
      <c r="OV32" s="589"/>
      <c r="PJ32" s="588"/>
      <c r="PK32" s="588"/>
      <c r="PL32" s="588"/>
      <c r="QB32" s="589"/>
      <c r="RG32" s="589"/>
      <c r="SM32" s="589"/>
      <c r="UX32" s="589"/>
      <c r="VF32" s="124"/>
      <c r="VZ32" s="124"/>
      <c r="WD32" s="597"/>
      <c r="XG32" s="589"/>
      <c r="YM32" s="589"/>
      <c r="ZR32" s="589"/>
      <c r="AAX32" s="589"/>
      <c r="ABI32" s="124"/>
      <c r="ABP32" s="124"/>
      <c r="ACC32" s="589"/>
      <c r="ACT32" s="125">
        <v>2162030</v>
      </c>
      <c r="ACU32" s="125">
        <v>18612</v>
      </c>
      <c r="ACV32" s="608">
        <v>44385</v>
      </c>
      <c r="ACW32" s="125">
        <v>14700</v>
      </c>
      <c r="ACX32" s="608">
        <v>44390</v>
      </c>
      <c r="ADI32" s="589"/>
      <c r="ADV32" s="124"/>
      <c r="AEO32" s="589"/>
      <c r="AER32" s="124"/>
      <c r="AES32" s="124"/>
      <c r="AFT32" s="7"/>
      <c r="AGZ32" s="7"/>
      <c r="AIE32" s="589"/>
      <c r="AJK32" s="589"/>
      <c r="AKI32" s="139"/>
      <c r="AKJ32" s="139"/>
      <c r="AKQ32" s="589"/>
      <c r="ALT32" s="589"/>
      <c r="AMZ32" s="589"/>
      <c r="AOE32" s="589"/>
      <c r="APK32" s="589"/>
      <c r="AQP32" s="589"/>
      <c r="ARV32" s="589"/>
      <c r="ATB32" s="589"/>
      <c r="AUG32" s="589"/>
      <c r="AVM32" s="589"/>
      <c r="AWR32" s="589"/>
      <c r="AXX32" s="589"/>
    </row>
    <row r="33" spans="1:1324" s="125" customFormat="1" ht="20.25" customHeight="1" x14ac:dyDescent="0.4">
      <c r="A33" s="711"/>
      <c r="B33" s="589"/>
      <c r="C33" s="590"/>
      <c r="D33" s="591"/>
      <c r="E33" s="591"/>
      <c r="F33" s="591"/>
      <c r="G33" s="591"/>
      <c r="H33" s="591"/>
      <c r="I33" s="591"/>
      <c r="J33" s="591"/>
      <c r="K33" s="591"/>
      <c r="L33" s="591"/>
      <c r="M33" s="591"/>
      <c r="N33" s="591"/>
      <c r="O33" s="591"/>
      <c r="P33" s="591"/>
      <c r="Q33" s="591"/>
      <c r="R33" s="591"/>
      <c r="S33" s="591"/>
      <c r="T33" s="591"/>
      <c r="U33" s="591"/>
      <c r="V33" s="591"/>
      <c r="W33" s="591"/>
      <c r="X33" s="591"/>
      <c r="Y33" s="591"/>
      <c r="Z33" s="591"/>
      <c r="AA33" s="591"/>
      <c r="AB33" s="591"/>
      <c r="AC33" s="591"/>
      <c r="AD33" s="591"/>
      <c r="AE33" s="590"/>
      <c r="AF33" s="591"/>
      <c r="AG33" s="591"/>
      <c r="AH33" s="592"/>
      <c r="AI33" s="590"/>
      <c r="AJ33" s="119"/>
      <c r="AK33" s="119"/>
      <c r="AL33" s="119"/>
      <c r="AM33" s="119"/>
      <c r="AN33" s="119"/>
      <c r="AO33" s="119"/>
      <c r="AP33" s="119"/>
      <c r="AQ33" s="593"/>
      <c r="AR33" s="593"/>
      <c r="AS33" s="593"/>
      <c r="AT33" s="593"/>
      <c r="AU33" s="593"/>
      <c r="AV33" s="593"/>
      <c r="AW33" s="593"/>
      <c r="AX33" s="593"/>
      <c r="AY33" s="593"/>
      <c r="AZ33" s="593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590"/>
      <c r="BL33" s="119"/>
      <c r="BM33" s="119"/>
      <c r="BN33" s="589"/>
      <c r="BO33" s="119"/>
      <c r="BP33" s="591"/>
      <c r="BQ33" s="591"/>
      <c r="BR33" s="591"/>
      <c r="BS33" s="591"/>
      <c r="BT33" s="591"/>
      <c r="BU33" s="591"/>
      <c r="BV33" s="591"/>
      <c r="BW33" s="591"/>
      <c r="BX33" s="591"/>
      <c r="BY33" s="591"/>
      <c r="BZ33" s="591"/>
      <c r="CA33" s="591"/>
      <c r="CB33" s="591"/>
      <c r="CC33" s="591"/>
      <c r="CD33" s="591"/>
      <c r="CE33" s="591"/>
      <c r="CF33" s="591"/>
      <c r="CG33" s="591"/>
      <c r="CH33" s="591"/>
      <c r="CI33" s="591"/>
      <c r="CJ33" s="591"/>
      <c r="CK33" s="591"/>
      <c r="CL33" s="591"/>
      <c r="CM33" s="591"/>
      <c r="CN33" s="591"/>
      <c r="CO33" s="591"/>
      <c r="CP33" s="591"/>
      <c r="CQ33" s="591"/>
      <c r="CR33" s="591"/>
      <c r="CS33" s="589"/>
      <c r="CT33" s="119"/>
      <c r="CU33" s="119"/>
      <c r="CV33" s="119"/>
      <c r="CW33" s="119"/>
      <c r="CX33" s="119"/>
      <c r="CY33" s="119"/>
      <c r="CZ33" s="119"/>
      <c r="DA33" s="119"/>
      <c r="DB33" s="119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119"/>
      <c r="DO33" s="119"/>
      <c r="DP33" s="119"/>
      <c r="DQ33" s="119"/>
      <c r="DR33" s="119"/>
      <c r="DY33" s="589"/>
      <c r="EL33" s="119"/>
      <c r="EM33" s="119"/>
      <c r="EN33" s="119"/>
      <c r="EO33" s="119"/>
      <c r="EP33" s="590"/>
      <c r="EQ33" s="119"/>
      <c r="ER33" s="119"/>
      <c r="ES33" s="119"/>
      <c r="ET33" s="119"/>
      <c r="EU33" s="119"/>
      <c r="EV33" s="119"/>
      <c r="EW33" s="119"/>
      <c r="EX33" s="119"/>
      <c r="EY33" s="119"/>
      <c r="EZ33" s="119"/>
      <c r="FA33" s="124"/>
      <c r="FB33" s="124"/>
      <c r="FC33" s="119"/>
      <c r="FD33" s="594"/>
      <c r="FE33" s="119"/>
      <c r="FF33" s="119"/>
      <c r="FI33" s="119"/>
      <c r="FJ33" s="119"/>
      <c r="FT33" s="124"/>
      <c r="FU33" s="124"/>
      <c r="FV33" s="124"/>
      <c r="FW33" s="124"/>
      <c r="FX33" s="124"/>
      <c r="GJ33" s="589"/>
      <c r="GV33" s="588"/>
      <c r="GW33" s="588"/>
      <c r="GX33" s="588"/>
      <c r="HH33" s="124"/>
      <c r="HP33" s="589"/>
      <c r="ID33" s="588"/>
      <c r="IE33" s="588"/>
      <c r="IT33" s="589"/>
      <c r="JH33" s="588"/>
      <c r="JI33" s="588"/>
      <c r="JJ33" s="588"/>
      <c r="JZ33" s="589"/>
      <c r="KM33" s="595"/>
      <c r="KN33" s="588"/>
      <c r="KO33" s="588"/>
      <c r="KP33" s="588"/>
      <c r="KQ33" s="595"/>
      <c r="KR33" s="595"/>
      <c r="KS33" s="595"/>
      <c r="KT33" s="595"/>
      <c r="KU33" s="595"/>
      <c r="KV33" s="595"/>
      <c r="KW33" s="595"/>
      <c r="KX33" s="595"/>
      <c r="KY33" s="595"/>
      <c r="KZ33" s="595"/>
      <c r="LA33" s="595"/>
      <c r="LB33" s="595"/>
      <c r="LC33" s="595"/>
      <c r="LE33" s="589"/>
      <c r="LI33" s="588"/>
      <c r="LJ33" s="588"/>
      <c r="LK33" s="588"/>
      <c r="LL33" s="588"/>
      <c r="LM33" s="588"/>
      <c r="LS33" s="588"/>
      <c r="LT33" s="588"/>
      <c r="LU33" s="588"/>
      <c r="MK33" s="589"/>
      <c r="MN33" s="124"/>
      <c r="MO33" s="124"/>
      <c r="MP33" s="124"/>
      <c r="MY33" s="588"/>
      <c r="MZ33" s="588"/>
      <c r="NA33" s="588"/>
      <c r="NB33" s="588"/>
      <c r="NC33" s="596"/>
      <c r="ND33" s="596"/>
      <c r="NP33" s="589"/>
      <c r="OD33" s="588"/>
      <c r="OE33" s="588"/>
      <c r="OF33" s="588"/>
      <c r="OV33" s="589"/>
      <c r="PJ33" s="588"/>
      <c r="PK33" s="588"/>
      <c r="PL33" s="588"/>
      <c r="QB33" s="589"/>
      <c r="RG33" s="589"/>
      <c r="SM33" s="589"/>
      <c r="UX33" s="589"/>
      <c r="VF33" s="124"/>
      <c r="VZ33" s="124"/>
      <c r="WD33" s="597"/>
      <c r="XG33" s="589"/>
      <c r="YM33" s="589"/>
      <c r="ZR33" s="589"/>
      <c r="AAX33" s="589"/>
      <c r="ABI33" s="124"/>
      <c r="ABP33" s="124"/>
      <c r="ACC33" s="589"/>
      <c r="ADI33" s="589"/>
      <c r="ADV33" s="124"/>
      <c r="AEO33" s="589"/>
      <c r="AER33" s="124"/>
      <c r="AFF33" s="635"/>
      <c r="AFG33" s="635"/>
      <c r="AFH33" s="635"/>
      <c r="AFT33" s="7"/>
      <c r="AGZ33" s="7"/>
      <c r="AIE33" s="589"/>
      <c r="AJK33" s="589"/>
      <c r="AKQ33" s="589"/>
      <c r="ALT33" s="589"/>
      <c r="AMZ33" s="589"/>
      <c r="AOE33" s="589"/>
      <c r="APK33" s="589"/>
      <c r="AQP33" s="589"/>
      <c r="ARV33" s="589"/>
      <c r="ATB33" s="589"/>
      <c r="AUG33" s="589"/>
      <c r="AVM33" s="589"/>
      <c r="AWR33" s="589"/>
      <c r="AXX33" s="589"/>
    </row>
    <row r="34" spans="1:1324" s="135" customFormat="1" ht="20.25" customHeight="1" x14ac:dyDescent="0.4">
      <c r="A34" s="711"/>
      <c r="B34" s="7"/>
      <c r="C34" s="143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3"/>
      <c r="AF34" s="144"/>
      <c r="AG34" s="144"/>
      <c r="AH34" s="47"/>
      <c r="AI34" s="143"/>
      <c r="AJ34" s="145"/>
      <c r="AK34" s="145"/>
      <c r="AL34" s="145"/>
      <c r="AM34" s="145"/>
      <c r="AN34" s="145"/>
      <c r="AO34" s="145"/>
      <c r="AP34" s="145"/>
      <c r="AQ34" s="146"/>
      <c r="AR34" s="146"/>
      <c r="AS34" s="146"/>
      <c r="AT34" s="146"/>
      <c r="AU34" s="146"/>
      <c r="AV34" s="146"/>
      <c r="AW34" s="146"/>
      <c r="AX34" s="146"/>
      <c r="AY34" s="146"/>
      <c r="AZ34" s="146"/>
      <c r="BA34" s="145"/>
      <c r="BB34" s="145"/>
      <c r="BC34" s="145"/>
      <c r="BD34" s="145"/>
      <c r="BE34" s="145"/>
      <c r="BF34" s="145"/>
      <c r="BG34" s="145"/>
      <c r="BH34" s="145"/>
      <c r="BI34" s="145"/>
      <c r="BJ34" s="145"/>
      <c r="BK34" s="143"/>
      <c r="BL34" s="145"/>
      <c r="BM34" s="145"/>
      <c r="BN34" s="7"/>
      <c r="BO34" s="145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7"/>
      <c r="CT34" s="145"/>
      <c r="CU34" s="145"/>
      <c r="CV34" s="145"/>
      <c r="CW34" s="145"/>
      <c r="CX34" s="145"/>
      <c r="CY34" s="145"/>
      <c r="CZ34" s="145"/>
      <c r="DA34" s="145"/>
      <c r="DB34" s="145"/>
      <c r="DC34" s="145"/>
      <c r="DD34" s="145"/>
      <c r="DE34" s="145"/>
      <c r="DF34" s="145"/>
      <c r="DG34" s="145"/>
      <c r="DH34" s="145"/>
      <c r="DI34" s="145"/>
      <c r="DJ34" s="145"/>
      <c r="DK34" s="145"/>
      <c r="DL34" s="145"/>
      <c r="DM34" s="145"/>
      <c r="DN34" s="145"/>
      <c r="DO34" s="145"/>
      <c r="DP34" s="145"/>
      <c r="DQ34" s="145"/>
      <c r="DR34" s="145"/>
      <c r="DY34" s="7"/>
      <c r="EL34" s="145"/>
      <c r="EM34" s="145"/>
      <c r="EN34" s="145"/>
      <c r="EO34" s="145"/>
      <c r="EP34" s="143"/>
      <c r="EQ34" s="145"/>
      <c r="ER34" s="145"/>
      <c r="ES34" s="145"/>
      <c r="ET34" s="145"/>
      <c r="EU34" s="145"/>
      <c r="EV34" s="145"/>
      <c r="EW34" s="145"/>
      <c r="EX34" s="145"/>
      <c r="EY34" s="145"/>
      <c r="EZ34" s="145"/>
      <c r="FA34" s="136"/>
      <c r="FB34" s="136"/>
      <c r="FC34" s="145"/>
      <c r="FD34" s="188"/>
      <c r="FE34" s="145"/>
      <c r="FF34" s="145"/>
      <c r="FI34" s="145"/>
      <c r="FJ34" s="145"/>
      <c r="FT34" s="139"/>
      <c r="FU34" s="139"/>
      <c r="FV34" s="139"/>
      <c r="FW34" s="139"/>
      <c r="FX34" s="139"/>
      <c r="GJ34" s="7"/>
      <c r="GV34" s="74" t="s">
        <v>382</v>
      </c>
      <c r="GW34" s="74"/>
      <c r="GX34" s="74"/>
      <c r="HP34" s="7"/>
      <c r="HU34" s="135">
        <f>12*11</f>
        <v>132</v>
      </c>
      <c r="HZ34" s="135">
        <f>SUM(HZ26:HZ28)</f>
        <v>573684</v>
      </c>
      <c r="ID34" s="74" t="s">
        <v>382</v>
      </c>
      <c r="IE34" s="74">
        <v>14</v>
      </c>
      <c r="IG34" s="135" t="s">
        <v>541</v>
      </c>
      <c r="IH34" s="135" t="s">
        <v>542</v>
      </c>
      <c r="IT34" s="7"/>
      <c r="JC34" s="135">
        <v>68480</v>
      </c>
      <c r="JH34" s="74" t="s">
        <v>382</v>
      </c>
      <c r="JI34" s="74">
        <v>70</v>
      </c>
      <c r="JJ34" s="74">
        <f t="shared" si="8"/>
        <v>84</v>
      </c>
      <c r="JZ34" s="7"/>
      <c r="KE34" s="135">
        <f>6*11</f>
        <v>66</v>
      </c>
      <c r="KH34" s="135">
        <v>128830</v>
      </c>
      <c r="KN34" s="74" t="s">
        <v>382</v>
      </c>
      <c r="KO34" s="74">
        <v>67</v>
      </c>
      <c r="KP34" s="74">
        <f t="shared" si="9"/>
        <v>151</v>
      </c>
      <c r="KR34" s="155" t="s">
        <v>645</v>
      </c>
      <c r="KS34" s="156"/>
      <c r="KT34" s="157"/>
      <c r="KU34" s="157"/>
      <c r="KV34" s="157"/>
      <c r="KW34" s="157"/>
      <c r="LB34" s="129"/>
      <c r="LC34" s="129"/>
      <c r="LE34" s="7"/>
      <c r="LI34" s="74">
        <f>SUM(LI26:LI28)</f>
        <v>1053</v>
      </c>
      <c r="LJ34" s="74">
        <f>SUM(LJ26:LJ28)</f>
        <v>101</v>
      </c>
      <c r="LK34" s="74">
        <f>SUM(LK26:LK28)</f>
        <v>1154</v>
      </c>
      <c r="LL34" s="74">
        <f>SUM(LL26:LL28)</f>
        <v>1284</v>
      </c>
      <c r="LM34" s="220">
        <f>SUM(LM26:LM28)</f>
        <v>-130</v>
      </c>
      <c r="LS34" s="74" t="s">
        <v>382</v>
      </c>
      <c r="LT34" s="74">
        <v>56</v>
      </c>
      <c r="LU34" s="74">
        <f t="shared" si="11"/>
        <v>207</v>
      </c>
      <c r="LX34" s="135">
        <v>12000</v>
      </c>
      <c r="LY34" s="135">
        <f>3*9</f>
        <v>27</v>
      </c>
      <c r="MK34" s="7"/>
      <c r="MY34" s="74" t="s">
        <v>382</v>
      </c>
      <c r="MZ34" s="74">
        <v>81</v>
      </c>
      <c r="NA34" s="74">
        <f t="shared" si="12"/>
        <v>288</v>
      </c>
      <c r="NB34" s="74">
        <v>284</v>
      </c>
      <c r="NC34" s="218">
        <f>NB34*1.015</f>
        <v>288.26</v>
      </c>
      <c r="ND34" s="219">
        <f>NA34-NC34</f>
        <v>-0.25999999999999091</v>
      </c>
      <c r="NP34" s="7"/>
      <c r="OD34" s="74" t="s">
        <v>382</v>
      </c>
      <c r="OE34" s="74">
        <v>0</v>
      </c>
      <c r="OF34" s="74">
        <f t="shared" si="13"/>
        <v>288</v>
      </c>
      <c r="OI34" s="135">
        <v>22200</v>
      </c>
      <c r="OV34" s="7"/>
      <c r="PJ34" s="74" t="s">
        <v>382</v>
      </c>
      <c r="PK34" s="74">
        <v>81</v>
      </c>
      <c r="PL34" s="74"/>
      <c r="QB34" s="7"/>
      <c r="QK34" s="364"/>
      <c r="QL34" s="364"/>
      <c r="QM34" s="364"/>
      <c r="QN34" s="364"/>
      <c r="QO34" s="364"/>
      <c r="QP34" s="364"/>
      <c r="QQ34" s="364"/>
      <c r="QR34" s="364"/>
      <c r="QS34" s="364"/>
      <c r="QT34" s="364"/>
      <c r="QU34" s="364"/>
      <c r="QV34" s="364"/>
      <c r="QW34" s="364"/>
      <c r="QX34" s="364"/>
      <c r="RG34" s="7"/>
      <c r="RH34" s="364"/>
      <c r="RI34" s="364"/>
      <c r="RJ34" s="364"/>
      <c r="RK34" s="364"/>
      <c r="RL34" s="364"/>
      <c r="RM34" s="364"/>
      <c r="RN34" s="364"/>
      <c r="RO34" s="364"/>
      <c r="RP34" s="364"/>
      <c r="RQ34" s="364"/>
      <c r="RR34" s="364">
        <f>RR28-RQ28</f>
        <v>170</v>
      </c>
      <c r="RS34" s="364"/>
      <c r="RT34" s="364"/>
      <c r="RU34" s="364"/>
      <c r="RV34" s="364">
        <f>RV28-RU28</f>
        <v>158</v>
      </c>
      <c r="RW34" s="364"/>
      <c r="RX34" s="364"/>
      <c r="RY34" s="364"/>
      <c r="RZ34" s="364"/>
      <c r="SM34" s="7"/>
      <c r="SW34" s="364"/>
      <c r="SX34" s="364"/>
      <c r="SY34" s="364"/>
      <c r="SZ34" s="364"/>
      <c r="TA34" s="364"/>
      <c r="TB34" s="364"/>
      <c r="TC34" s="364"/>
      <c r="TD34" s="364"/>
      <c r="TE34" s="364"/>
      <c r="TF34" s="364"/>
      <c r="TG34" s="364"/>
      <c r="TH34" s="364"/>
      <c r="TL34" s="364"/>
      <c r="TM34" s="364"/>
      <c r="TN34" s="364"/>
      <c r="TO34" s="364"/>
      <c r="TP34" s="364"/>
      <c r="TQ34" s="314"/>
      <c r="TR34" s="7"/>
      <c r="TS34" s="364"/>
      <c r="TW34" s="364"/>
      <c r="TX34" s="364"/>
      <c r="UB34" s="364"/>
      <c r="UC34" s="364"/>
      <c r="UD34" s="364"/>
      <c r="UE34" s="364"/>
      <c r="UF34" s="364"/>
      <c r="UG34" s="364"/>
      <c r="UH34" s="364"/>
      <c r="UI34" s="364"/>
      <c r="UJ34" s="364"/>
      <c r="UK34" s="364"/>
      <c r="UL34" s="364"/>
      <c r="UM34" s="364"/>
      <c r="UQ34" s="364"/>
      <c r="UR34" s="364"/>
      <c r="UU34" s="364"/>
      <c r="UV34" s="364"/>
      <c r="UX34" s="7"/>
      <c r="VB34" s="364"/>
      <c r="VC34" s="364"/>
      <c r="VD34" s="364"/>
      <c r="VE34" s="364"/>
      <c r="VF34" s="364"/>
      <c r="VG34" s="364"/>
      <c r="VH34" s="364"/>
      <c r="VK34" s="364"/>
      <c r="VL34" s="364"/>
      <c r="VM34" s="364"/>
      <c r="VN34" s="364"/>
      <c r="VO34" s="364"/>
      <c r="VP34" s="364"/>
      <c r="VQ34" s="364"/>
      <c r="VR34" s="364"/>
      <c r="VS34" s="364"/>
      <c r="VT34" s="364"/>
      <c r="VU34" s="364"/>
      <c r="VV34" s="364"/>
      <c r="VW34" s="364"/>
      <c r="VX34" s="364"/>
      <c r="VY34" s="364"/>
      <c r="VZ34" s="364"/>
      <c r="WA34" s="364"/>
      <c r="WB34" s="364"/>
      <c r="WC34" s="364"/>
      <c r="WD34" s="195"/>
      <c r="WE34" s="364"/>
      <c r="WF34" s="364"/>
      <c r="WN34" s="364"/>
      <c r="WO34" s="364"/>
      <c r="WP34" s="364"/>
      <c r="WQ34" s="364"/>
      <c r="WR34" s="364"/>
      <c r="WS34" s="364"/>
      <c r="WT34" s="364"/>
      <c r="WU34" s="364"/>
      <c r="WV34" s="364"/>
      <c r="WW34" s="364"/>
      <c r="WX34" s="364"/>
      <c r="WY34" s="364"/>
      <c r="WZ34" s="364"/>
      <c r="XA34" s="364"/>
      <c r="XB34" s="364"/>
      <c r="XC34" s="364"/>
      <c r="XD34" s="364"/>
      <c r="XE34" s="364"/>
      <c r="XF34" s="364"/>
      <c r="XG34" s="7"/>
      <c r="XH34" s="314"/>
      <c r="XI34" s="314"/>
      <c r="XJ34" s="314"/>
      <c r="XX34" s="364"/>
      <c r="XY34" s="364"/>
      <c r="XZ34" s="364"/>
      <c r="YA34" s="364"/>
      <c r="YC34" s="364"/>
      <c r="YD34" s="364"/>
      <c r="YE34" s="364"/>
      <c r="YF34" s="364"/>
      <c r="YG34" s="364"/>
      <c r="YH34" s="364"/>
      <c r="YI34" s="364"/>
      <c r="YJ34" s="364"/>
      <c r="YK34" s="364"/>
      <c r="YL34" s="364"/>
      <c r="YM34" s="7"/>
      <c r="YQ34" s="136"/>
      <c r="ZJ34" s="364"/>
      <c r="ZL34" s="364"/>
      <c r="ZM34" s="364"/>
      <c r="ZN34" s="364"/>
      <c r="ZO34" s="364"/>
      <c r="ZP34" s="364"/>
      <c r="ZQ34" s="364"/>
      <c r="ZR34" s="7"/>
      <c r="ZX34" s="364"/>
      <c r="ZY34" s="364"/>
      <c r="ZZ34" s="364"/>
      <c r="AAA34" s="364"/>
      <c r="AAB34" s="364"/>
      <c r="AAC34" s="364"/>
      <c r="AAD34" s="364"/>
      <c r="AAE34" s="364"/>
      <c r="AAF34" s="364"/>
      <c r="AAG34" s="364"/>
      <c r="AAH34" s="364"/>
      <c r="AAI34" s="364"/>
      <c r="AAJ34" s="364"/>
      <c r="AAK34" s="364"/>
      <c r="AAL34" s="364"/>
      <c r="AAM34" s="364"/>
      <c r="AAN34" s="364"/>
      <c r="AAO34" s="364"/>
      <c r="AAP34" s="364"/>
      <c r="AAQ34" s="364"/>
      <c r="AAR34" s="364"/>
      <c r="AAS34" s="364"/>
      <c r="AAT34" s="364"/>
      <c r="AAU34" s="364"/>
      <c r="AAV34" s="364"/>
      <c r="AAW34" s="364"/>
      <c r="AAX34" s="7"/>
      <c r="ABB34" s="164"/>
      <c r="ABJ34" s="364"/>
      <c r="ABK34" s="364"/>
      <c r="ABL34" s="364"/>
      <c r="ABM34" s="364"/>
      <c r="ABN34" s="364"/>
      <c r="ABO34" s="364"/>
      <c r="ABP34" s="364"/>
      <c r="ABQ34" s="364"/>
      <c r="ABR34" s="364"/>
      <c r="ABS34" s="364"/>
      <c r="ABT34" s="364"/>
      <c r="ABU34" s="364"/>
      <c r="ABV34" s="364"/>
      <c r="ABW34" s="364"/>
      <c r="ABX34" s="364"/>
      <c r="ABY34" s="364"/>
      <c r="ABZ34" s="364"/>
      <c r="ACA34" s="364"/>
      <c r="ACB34" s="364"/>
      <c r="ACC34" s="7"/>
      <c r="ACD34" s="364"/>
      <c r="ACE34" s="364"/>
      <c r="ACF34" s="364"/>
      <c r="ACG34" s="364"/>
      <c r="ACH34" s="364"/>
      <c r="ACI34" s="364"/>
      <c r="ACJ34" s="364"/>
      <c r="ACK34" s="364"/>
      <c r="ACL34" s="364"/>
      <c r="ACM34" s="364"/>
      <c r="ACN34" s="364"/>
      <c r="ACO34" s="364"/>
      <c r="ACP34" s="364"/>
      <c r="ACQ34" s="364"/>
      <c r="ACR34" s="364"/>
      <c r="ADH34" s="364"/>
      <c r="ADI34" s="7"/>
      <c r="ADJ34" s="364"/>
      <c r="ADL34" s="364"/>
      <c r="ADM34" s="364"/>
      <c r="ADN34" s="364"/>
      <c r="ADO34" s="364"/>
      <c r="ADP34" s="364"/>
      <c r="ADQ34" s="364"/>
      <c r="ADR34" s="364"/>
      <c r="ADS34" s="364"/>
      <c r="ADT34" s="364"/>
      <c r="ADU34" s="364"/>
      <c r="ADV34" s="364"/>
      <c r="ADW34" s="364"/>
      <c r="ADZ34" s="364"/>
      <c r="AEA34" s="364"/>
      <c r="AEB34" s="364"/>
      <c r="AEC34" s="364"/>
      <c r="AEO34" s="7"/>
      <c r="AEP34" s="314"/>
      <c r="AEQ34" s="314"/>
      <c r="AER34" s="314"/>
      <c r="AEU34" s="364"/>
      <c r="AEV34" s="364"/>
      <c r="AEW34" s="364"/>
      <c r="AEX34" s="364"/>
      <c r="AEY34" s="364"/>
      <c r="AEZ34" s="364"/>
      <c r="AFA34" s="364"/>
      <c r="AFB34" s="364"/>
      <c r="AFC34" s="364"/>
      <c r="AFD34" s="364"/>
      <c r="AFE34" s="364"/>
      <c r="AFF34" s="364"/>
      <c r="AFG34" s="364"/>
      <c r="AFH34" s="364"/>
      <c r="AFI34" s="364"/>
      <c r="AFJ34" s="364"/>
      <c r="AFK34" s="364"/>
      <c r="AFL34" s="364"/>
      <c r="AFM34" s="364"/>
      <c r="AFN34" s="364"/>
      <c r="AFO34" s="364"/>
      <c r="AFP34" s="364"/>
      <c r="AFQ34" s="364"/>
      <c r="AFR34" s="364"/>
      <c r="AFS34" s="364"/>
      <c r="AFT34" s="7"/>
      <c r="AFU34" s="625"/>
      <c r="AGA34" s="364"/>
      <c r="AGB34" s="364"/>
      <c r="AGC34" s="364"/>
      <c r="AGD34" s="364"/>
      <c r="AGE34" s="364"/>
      <c r="AGF34" s="364"/>
      <c r="AGG34" s="364"/>
      <c r="AGH34" s="364"/>
      <c r="AGI34" s="364"/>
      <c r="AGJ34" s="364"/>
      <c r="AGK34" s="364"/>
      <c r="AGL34" s="364"/>
      <c r="AGM34" s="364"/>
      <c r="AGN34" s="364"/>
      <c r="AGO34" s="364"/>
      <c r="AGP34" s="364"/>
      <c r="AGQ34" s="364"/>
      <c r="AGR34" s="364"/>
      <c r="AGS34" s="364"/>
      <c r="AGT34" s="364"/>
      <c r="AGZ34" s="7"/>
      <c r="AHC34" s="364"/>
      <c r="AHD34" s="364"/>
      <c r="AHE34" s="364"/>
      <c r="AHF34" s="364"/>
      <c r="AHG34" s="364"/>
      <c r="AHH34" s="314"/>
      <c r="AHI34" s="314"/>
      <c r="AHJ34" s="314"/>
      <c r="AHK34" s="314"/>
      <c r="AHL34" s="314"/>
      <c r="AHM34" s="314"/>
      <c r="AHN34" s="314"/>
      <c r="AHO34" s="314"/>
      <c r="AHP34" s="314"/>
      <c r="AHQ34" s="314"/>
      <c r="AHR34" s="314"/>
      <c r="AHS34" s="314"/>
      <c r="AHT34" s="314"/>
      <c r="AHU34" s="314"/>
      <c r="AHV34" s="314"/>
      <c r="AHW34" s="314"/>
      <c r="AHX34" s="314"/>
      <c r="AHY34" s="314"/>
      <c r="AHZ34" s="314"/>
      <c r="AIA34" s="314"/>
      <c r="AIB34" s="314"/>
      <c r="AIC34" s="314"/>
      <c r="AID34" s="314"/>
      <c r="AIE34" s="314"/>
      <c r="AIF34" s="136"/>
      <c r="AIG34" s="314"/>
      <c r="AIJ34" s="314"/>
      <c r="AIK34" s="136"/>
      <c r="AIM34" s="364"/>
      <c r="AIN34" s="364"/>
      <c r="AIO34" s="364"/>
      <c r="AIP34" s="364"/>
      <c r="AIQ34" s="364"/>
      <c r="AIR34" s="364"/>
      <c r="AIS34" s="364"/>
      <c r="AIT34" s="364"/>
      <c r="AIU34" s="364"/>
      <c r="AIV34" s="364"/>
      <c r="AJC34" s="314"/>
      <c r="AJI34" s="364"/>
      <c r="AJJ34" s="364"/>
      <c r="AJK34" s="7"/>
      <c r="AKN34" s="364"/>
      <c r="AKO34" s="364"/>
      <c r="AKP34" s="364"/>
      <c r="AKQ34" s="7"/>
      <c r="AKR34" s="364"/>
      <c r="AKS34" s="364"/>
      <c r="AKT34" s="364"/>
      <c r="AKU34" s="364"/>
      <c r="AKV34" s="364"/>
      <c r="AKW34" s="364"/>
      <c r="AKX34" s="364"/>
      <c r="AKY34" s="364"/>
      <c r="AKZ34" s="364"/>
      <c r="ALA34" s="364"/>
      <c r="ALB34" s="364"/>
      <c r="ALC34" s="364"/>
      <c r="ALD34" s="364"/>
      <c r="ALE34" s="364"/>
      <c r="ALF34" s="364"/>
      <c r="ALG34" s="364"/>
      <c r="ALH34" s="364"/>
      <c r="ALI34" s="364"/>
      <c r="ALJ34" s="364"/>
      <c r="ALK34" s="364"/>
      <c r="ALL34" s="364"/>
      <c r="ALM34" s="364"/>
      <c r="ALN34" s="364"/>
      <c r="ALO34" s="364"/>
      <c r="ALT34" s="7"/>
      <c r="AMC34" s="364"/>
      <c r="AMZ34" s="7"/>
      <c r="AOE34" s="7"/>
      <c r="APK34" s="7"/>
      <c r="AQP34" s="7"/>
      <c r="ARV34" s="7"/>
      <c r="ATB34" s="7"/>
      <c r="AUG34" s="7"/>
      <c r="AVM34" s="7"/>
      <c r="AWR34" s="7"/>
      <c r="AXX34" s="7"/>
    </row>
    <row r="35" spans="1:1324" s="135" customFormat="1" ht="20.25" customHeight="1" x14ac:dyDescent="0.4">
      <c r="A35" s="711"/>
      <c r="B35" s="7"/>
      <c r="C35" s="143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3"/>
      <c r="AF35" s="144"/>
      <c r="AG35" s="144"/>
      <c r="AH35" s="47"/>
      <c r="AI35" s="143"/>
      <c r="AJ35" s="145"/>
      <c r="AK35" s="145"/>
      <c r="AL35" s="145"/>
      <c r="AM35" s="145"/>
      <c r="AN35" s="145"/>
      <c r="AO35" s="145"/>
      <c r="AP35" s="145"/>
      <c r="AQ35" s="146"/>
      <c r="AR35" s="146"/>
      <c r="AS35" s="146"/>
      <c r="AT35" s="146"/>
      <c r="AU35" s="146"/>
      <c r="AV35" s="146"/>
      <c r="AW35" s="146"/>
      <c r="AX35" s="146"/>
      <c r="AY35" s="146"/>
      <c r="AZ35" s="146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3"/>
      <c r="BL35" s="145"/>
      <c r="BM35" s="145"/>
      <c r="BN35" s="7"/>
      <c r="BO35" s="145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7"/>
      <c r="CT35" s="145"/>
      <c r="CU35" s="145"/>
      <c r="CV35" s="145"/>
      <c r="CW35" s="145"/>
      <c r="CX35" s="145"/>
      <c r="CY35" s="145"/>
      <c r="CZ35" s="145"/>
      <c r="DA35" s="145"/>
      <c r="DB35" s="145"/>
      <c r="DC35" s="145"/>
      <c r="DD35" s="145"/>
      <c r="DE35" s="145"/>
      <c r="DF35" s="145"/>
      <c r="DG35" s="145"/>
      <c r="DH35" s="145"/>
      <c r="DI35" s="145"/>
      <c r="DJ35" s="145"/>
      <c r="DK35" s="145"/>
      <c r="DL35" s="145"/>
      <c r="DM35" s="145"/>
      <c r="DN35" s="145"/>
      <c r="DO35" s="145"/>
      <c r="DP35" s="145"/>
      <c r="DQ35" s="145"/>
      <c r="DR35" s="145"/>
      <c r="DY35" s="7"/>
      <c r="EL35" s="145"/>
      <c r="EM35" s="145"/>
      <c r="EN35" s="145"/>
      <c r="EO35" s="145"/>
      <c r="EP35" s="143"/>
      <c r="EQ35" s="145"/>
      <c r="ER35" s="145"/>
      <c r="ES35" s="145"/>
      <c r="ET35" s="145"/>
      <c r="EU35" s="145"/>
      <c r="EV35" s="145"/>
      <c r="EW35" s="145"/>
      <c r="EX35" s="145"/>
      <c r="EY35" s="145"/>
      <c r="EZ35" s="145"/>
      <c r="FA35" s="136"/>
      <c r="FB35" s="136"/>
      <c r="FC35" s="145"/>
      <c r="FD35" s="188"/>
      <c r="FE35" s="145"/>
      <c r="FF35" s="145"/>
      <c r="FI35" s="145"/>
      <c r="FJ35" s="145"/>
      <c r="FT35" s="139"/>
      <c r="FU35" s="139"/>
      <c r="FV35" s="139"/>
      <c r="FW35" s="139"/>
      <c r="FX35" s="139"/>
      <c r="GJ35" s="7"/>
      <c r="GV35" s="74" t="s">
        <v>434</v>
      </c>
      <c r="GW35" s="74"/>
      <c r="GX35" s="74"/>
      <c r="HP35" s="7"/>
      <c r="HU35" s="135">
        <f>13*13</f>
        <v>169</v>
      </c>
      <c r="ID35" s="74" t="s">
        <v>434</v>
      </c>
      <c r="IE35" s="74"/>
      <c r="IG35" s="135">
        <v>497983</v>
      </c>
      <c r="IH35" s="135">
        <v>485270</v>
      </c>
      <c r="IT35" s="7"/>
      <c r="JC35" s="135">
        <v>78600</v>
      </c>
      <c r="JH35" s="74" t="s">
        <v>434</v>
      </c>
      <c r="JI35" s="74"/>
      <c r="JJ35" s="74">
        <f t="shared" si="8"/>
        <v>0</v>
      </c>
      <c r="JL35" s="201"/>
      <c r="JM35" s="201"/>
      <c r="JN35" s="201"/>
      <c r="JO35" s="201"/>
      <c r="JP35" s="201"/>
      <c r="JQ35" s="222"/>
      <c r="JR35" s="222"/>
      <c r="JS35" s="222"/>
      <c r="JT35" s="222"/>
      <c r="JU35" s="222"/>
      <c r="JV35" s="201"/>
      <c r="JZ35" s="7"/>
      <c r="KE35" s="135">
        <f>SUM(KE28:KE34)</f>
        <v>326</v>
      </c>
      <c r="KN35" s="74" t="s">
        <v>434</v>
      </c>
      <c r="KO35" s="74">
        <v>43</v>
      </c>
      <c r="KP35" s="74">
        <f t="shared" si="9"/>
        <v>43</v>
      </c>
      <c r="LE35" s="7"/>
      <c r="LS35" s="74" t="s">
        <v>434</v>
      </c>
      <c r="LT35" s="74">
        <v>34</v>
      </c>
      <c r="LU35" s="74">
        <f t="shared" si="11"/>
        <v>77</v>
      </c>
      <c r="LY35" s="135">
        <f>SUM(LY28:LY34)</f>
        <v>203</v>
      </c>
      <c r="MK35" s="7"/>
      <c r="MY35" s="74" t="s">
        <v>434</v>
      </c>
      <c r="MZ35" s="74"/>
      <c r="NA35" s="74">
        <f t="shared" si="12"/>
        <v>77</v>
      </c>
      <c r="NB35" s="74">
        <v>76</v>
      </c>
      <c r="NC35" s="218">
        <f>NB35*1.015</f>
        <v>77.139999999999986</v>
      </c>
      <c r="ND35" s="219">
        <f>NA35-NC35</f>
        <v>-0.13999999999998636</v>
      </c>
      <c r="NP35" s="7"/>
      <c r="OD35" s="74" t="s">
        <v>434</v>
      </c>
      <c r="OE35" s="74"/>
      <c r="OF35" s="74">
        <f t="shared" si="13"/>
        <v>77</v>
      </c>
      <c r="OI35" s="135">
        <v>26</v>
      </c>
      <c r="OV35" s="7"/>
      <c r="PJ35" s="74" t="s">
        <v>434</v>
      </c>
      <c r="PK35" s="74"/>
      <c r="PL35" s="74"/>
      <c r="QB35" s="7"/>
      <c r="QK35" s="364"/>
      <c r="QL35" s="364"/>
      <c r="QM35" s="364"/>
      <c r="QN35" s="364"/>
      <c r="QO35" s="364"/>
      <c r="QP35" s="364"/>
      <c r="QQ35" s="364"/>
      <c r="QR35" s="364"/>
      <c r="QS35" s="364"/>
      <c r="QT35" s="364"/>
      <c r="QU35" s="364"/>
      <c r="QV35" s="364"/>
      <c r="QW35" s="364"/>
      <c r="QX35" s="364"/>
      <c r="RG35" s="7"/>
      <c r="RH35" s="364"/>
      <c r="RI35" s="364"/>
      <c r="RJ35" s="364"/>
      <c r="RK35" s="364"/>
      <c r="RL35" s="364"/>
      <c r="RM35" s="364"/>
      <c r="RN35" s="364"/>
      <c r="RO35" s="364"/>
      <c r="RP35" s="364"/>
      <c r="RQ35" s="364"/>
      <c r="RR35" s="364">
        <f>RR34*2200</f>
        <v>374000</v>
      </c>
      <c r="RS35" s="364"/>
      <c r="RT35" s="364"/>
      <c r="RU35" s="364"/>
      <c r="RV35" s="364">
        <f>RV34*2200/10*8</f>
        <v>278080</v>
      </c>
      <c r="RW35" s="364"/>
      <c r="RX35" s="364"/>
      <c r="RY35" s="364"/>
      <c r="RZ35" s="364"/>
      <c r="SM35" s="7"/>
      <c r="TC35" s="364"/>
      <c r="TD35" s="364"/>
      <c r="TE35" s="364"/>
      <c r="TG35" s="364"/>
      <c r="TH35" s="364"/>
      <c r="TI35" s="364"/>
      <c r="TJ35" s="364"/>
      <c r="TK35" s="364"/>
      <c r="TL35" s="364"/>
      <c r="TM35" s="364"/>
      <c r="TN35" s="364"/>
      <c r="TO35" s="364"/>
      <c r="TP35" s="364"/>
      <c r="TR35" s="7"/>
      <c r="UB35" s="364"/>
      <c r="UC35" s="364"/>
      <c r="UD35" s="364"/>
      <c r="UE35" s="364"/>
      <c r="UF35" s="364"/>
      <c r="UG35" s="364"/>
      <c r="UH35" s="364"/>
      <c r="UI35" s="364"/>
      <c r="UJ35" s="364"/>
      <c r="UK35" s="364"/>
      <c r="UL35" s="364"/>
      <c r="UN35" s="364"/>
      <c r="UO35" s="364"/>
      <c r="UQ35" s="364"/>
      <c r="UR35" s="364"/>
      <c r="US35" s="364"/>
      <c r="UT35" s="364"/>
      <c r="UX35" s="7"/>
      <c r="UY35" s="201"/>
      <c r="VH35" s="364"/>
      <c r="VL35" s="364"/>
      <c r="VM35" s="364"/>
      <c r="VN35" s="364"/>
      <c r="VO35" s="364"/>
      <c r="VP35" s="364"/>
      <c r="VQ35" s="364"/>
      <c r="VR35" s="364"/>
      <c r="VS35" s="364"/>
      <c r="VT35" s="364"/>
      <c r="VU35" s="364"/>
      <c r="VV35" s="364"/>
      <c r="VW35" s="364"/>
      <c r="VX35" s="364"/>
      <c r="VY35" s="364"/>
      <c r="VZ35" s="364"/>
      <c r="WA35" s="364"/>
      <c r="WB35" s="364"/>
      <c r="WC35" s="364"/>
      <c r="WD35" s="195"/>
      <c r="WG35" s="364"/>
      <c r="WH35" s="364"/>
      <c r="WI35" s="364"/>
      <c r="WJ35" s="364"/>
      <c r="WK35" s="364"/>
      <c r="WL35" s="364"/>
      <c r="WM35" s="364"/>
      <c r="WO35" s="136"/>
      <c r="WR35" s="364"/>
      <c r="WS35" s="364"/>
      <c r="WT35" s="364"/>
      <c r="WU35" s="364"/>
      <c r="WV35" s="364"/>
      <c r="WW35" s="364"/>
      <c r="WX35" s="364"/>
      <c r="WY35" s="364"/>
      <c r="WZ35" s="364"/>
      <c r="XA35" s="364"/>
      <c r="XB35" s="364"/>
      <c r="XC35" s="364"/>
      <c r="XD35" s="364"/>
      <c r="XG35" s="7"/>
      <c r="XK35" s="364"/>
      <c r="XU35" s="364"/>
      <c r="XV35" s="364"/>
      <c r="XX35" s="364"/>
      <c r="XY35" s="364"/>
      <c r="XZ35" s="364"/>
      <c r="YA35" s="364"/>
      <c r="YB35" s="364"/>
      <c r="YC35" s="364"/>
      <c r="YD35" s="364"/>
      <c r="YE35" s="364"/>
      <c r="YF35" s="364"/>
      <c r="YG35" s="364"/>
      <c r="YH35" s="364"/>
      <c r="YI35" s="364"/>
      <c r="YJ35" s="364"/>
      <c r="YK35" s="364"/>
      <c r="YL35" s="364"/>
      <c r="YP35" s="364"/>
      <c r="YQ35" s="364"/>
      <c r="YR35" s="364"/>
      <c r="YS35" s="364"/>
      <c r="ZE35" s="364"/>
      <c r="ZF35" s="364"/>
      <c r="ZH35" s="364"/>
      <c r="ZI35" s="364"/>
      <c r="ZR35" s="7"/>
      <c r="ZY35" s="364"/>
      <c r="ZZ35" s="364"/>
      <c r="AAA35" s="364"/>
      <c r="AAB35" s="364"/>
      <c r="AAC35" s="364"/>
      <c r="AAD35" s="364"/>
      <c r="AAE35" s="364"/>
      <c r="AAF35" s="364"/>
      <c r="AAG35" s="364"/>
      <c r="AAH35" s="364"/>
      <c r="AAI35" s="364"/>
      <c r="AAJ35" s="364"/>
      <c r="AAK35" s="364"/>
      <c r="AAL35" s="364"/>
      <c r="AAM35" s="364"/>
      <c r="AAN35" s="364"/>
      <c r="AAO35" s="364"/>
      <c r="AAP35" s="364"/>
      <c r="AAQ35" s="364"/>
      <c r="AAR35" s="364"/>
      <c r="AAS35" s="364"/>
      <c r="AAV35" s="364"/>
      <c r="AAW35" s="364"/>
      <c r="AAX35" s="7"/>
      <c r="AAZ35" s="364"/>
      <c r="ABA35" s="364"/>
      <c r="ABB35" s="364"/>
      <c r="ABC35" s="364"/>
      <c r="ABD35" s="364"/>
      <c r="ABE35" s="364"/>
      <c r="ABF35" s="364"/>
      <c r="ABG35" s="364"/>
      <c r="ABR35" s="364"/>
      <c r="ABS35" s="364"/>
      <c r="ABT35" s="364"/>
      <c r="ABU35" s="364"/>
      <c r="ABV35" s="364"/>
      <c r="ABW35" s="364"/>
      <c r="ABX35" s="364"/>
      <c r="ABY35" s="364"/>
      <c r="ABZ35" s="364"/>
      <c r="ACA35" s="364"/>
      <c r="ACB35" s="364"/>
      <c r="ACC35" s="7"/>
      <c r="ACD35" s="364"/>
      <c r="ACE35" s="364"/>
      <c r="ACF35" s="364"/>
      <c r="ACG35" s="364"/>
      <c r="ACH35" s="364"/>
      <c r="ACI35" s="364"/>
      <c r="ACJ35" s="364"/>
      <c r="ACK35" s="364"/>
      <c r="ACL35" s="364"/>
      <c r="ACM35" s="364"/>
      <c r="ACN35" s="364"/>
      <c r="ACO35" s="364"/>
      <c r="ACP35" s="364"/>
      <c r="ACQ35" s="364"/>
      <c r="ACR35" s="364"/>
      <c r="ACU35" s="364"/>
      <c r="ACV35" s="364"/>
      <c r="ACW35" s="364"/>
      <c r="ACX35" s="364"/>
      <c r="ACY35" s="364"/>
      <c r="ACZ35" s="364"/>
      <c r="ADA35" s="364"/>
      <c r="ADB35" s="364"/>
      <c r="ADC35" s="364"/>
      <c r="ADD35" s="364"/>
      <c r="ADE35" s="364"/>
      <c r="ADF35" s="364"/>
      <c r="ADG35" s="364"/>
      <c r="ADH35" s="364"/>
      <c r="ADJ35" s="364"/>
      <c r="ADK35" s="364"/>
      <c r="ADL35" s="364"/>
      <c r="ADM35" s="364"/>
      <c r="ADN35" s="364"/>
      <c r="ADO35" s="364"/>
      <c r="ADP35" s="364"/>
      <c r="ADQ35" s="364"/>
      <c r="ADR35" s="364"/>
      <c r="ADS35" s="364"/>
      <c r="AEO35" s="7"/>
      <c r="AEU35" s="364"/>
      <c r="AEV35" s="364"/>
      <c r="AEW35" s="364"/>
      <c r="AEX35" s="364"/>
      <c r="AEY35" s="364"/>
      <c r="AEZ35" s="364"/>
      <c r="AFA35" s="364"/>
      <c r="AFB35" s="364"/>
      <c r="AFC35" s="364"/>
      <c r="AFD35" s="364"/>
      <c r="AFE35" s="364"/>
      <c r="AFI35" s="364"/>
      <c r="AFJ35" s="364"/>
      <c r="AFK35" s="364"/>
      <c r="AFL35" s="364"/>
      <c r="AFM35" s="364"/>
      <c r="AFN35" s="364"/>
      <c r="AFO35" s="364"/>
      <c r="AFP35" s="364"/>
      <c r="AFQ35" s="364"/>
      <c r="AFR35" s="364"/>
      <c r="AFS35" s="364"/>
      <c r="AFT35" s="7"/>
      <c r="AFU35" s="625"/>
      <c r="AGJ35" s="364"/>
      <c r="AGK35" s="364"/>
      <c r="AGL35" s="364"/>
      <c r="AGM35" s="364"/>
      <c r="AGN35" s="364"/>
      <c r="AGO35" s="364"/>
      <c r="AGP35" s="364"/>
      <c r="AGZ35" s="7"/>
      <c r="AHE35" s="364"/>
      <c r="AHL35" s="364"/>
      <c r="AHM35" s="364"/>
      <c r="AHN35" s="364"/>
      <c r="AHO35" s="210" t="s">
        <v>2727</v>
      </c>
      <c r="AHP35" s="210"/>
      <c r="AHQ35" s="180"/>
      <c r="AHR35" s="180"/>
      <c r="AHS35" s="180"/>
      <c r="AHT35" s="364"/>
      <c r="AHU35" s="364"/>
      <c r="AHV35" s="364"/>
      <c r="AHW35" s="364"/>
      <c r="AHX35" s="364"/>
      <c r="AHY35" s="364"/>
      <c r="AHZ35" s="364"/>
      <c r="AIA35" s="364"/>
      <c r="AIB35" s="364"/>
      <c r="AIC35" s="364"/>
      <c r="AID35" s="364"/>
      <c r="AIE35" s="364"/>
      <c r="AIF35" s="314"/>
      <c r="AIG35" s="314"/>
      <c r="AIP35" s="364"/>
      <c r="AJK35" s="7"/>
      <c r="AKB35" s="364"/>
      <c r="AKC35" s="364"/>
      <c r="AKD35" s="364"/>
      <c r="AKE35" s="364"/>
      <c r="AKF35" s="364"/>
      <c r="AKG35" s="364"/>
      <c r="AKH35" s="364"/>
      <c r="AKI35" s="364"/>
      <c r="AKJ35" s="364"/>
      <c r="AKM35" s="136"/>
      <c r="AKQ35" s="7"/>
      <c r="AKT35" s="364"/>
      <c r="AKU35" s="364"/>
      <c r="AKV35" s="364"/>
      <c r="AKW35" s="364"/>
      <c r="AKX35" s="201"/>
      <c r="AKY35" s="201"/>
      <c r="AKZ35" s="201"/>
      <c r="ALA35" s="201"/>
      <c r="ALB35" s="201"/>
      <c r="ALC35" s="201"/>
      <c r="ALD35" s="201"/>
      <c r="ALE35" s="201"/>
      <c r="ALF35" s="201"/>
      <c r="ALG35" s="201"/>
      <c r="ALH35" s="201"/>
      <c r="ALI35" s="201"/>
      <c r="ALJ35" s="201"/>
      <c r="ALK35" s="201"/>
      <c r="ALL35" s="201"/>
      <c r="ALM35" s="201"/>
      <c r="ALN35" s="201"/>
      <c r="ALO35" s="201"/>
      <c r="ALP35" s="136"/>
      <c r="ALQ35" s="314"/>
      <c r="ALR35" s="314"/>
      <c r="ALS35" s="314"/>
      <c r="ALT35" s="7"/>
      <c r="ALU35" s="314"/>
      <c r="ALV35" s="314"/>
      <c r="ALW35" s="314"/>
      <c r="ALX35" s="314"/>
      <c r="AMC35" s="314"/>
      <c r="AMJ35" s="364"/>
      <c r="AMK35" s="364"/>
      <c r="AML35" s="364"/>
      <c r="AMM35" s="364"/>
      <c r="AMN35" s="364"/>
      <c r="AMO35" s="364"/>
      <c r="AMP35" s="364"/>
      <c r="AMQ35" s="364"/>
      <c r="AMR35" s="364"/>
      <c r="AMS35" s="364"/>
      <c r="AMT35" s="364"/>
      <c r="AMU35" s="364"/>
      <c r="AMV35" s="364"/>
      <c r="AMW35" s="364"/>
      <c r="AMX35" s="364"/>
      <c r="AMZ35" s="7"/>
      <c r="ANC35" s="364"/>
      <c r="AND35" s="364"/>
      <c r="ANE35" s="364"/>
      <c r="ANF35" s="364"/>
      <c r="ANG35" s="364"/>
      <c r="ANH35" s="364"/>
      <c r="ANI35" s="364"/>
      <c r="ANJ35" s="364"/>
      <c r="AOE35" s="7"/>
      <c r="APK35" s="7"/>
      <c r="AQP35" s="7"/>
      <c r="ARV35" s="7"/>
      <c r="ATB35" s="7"/>
      <c r="AUG35" s="7"/>
      <c r="AVM35" s="7"/>
      <c r="AWR35" s="7"/>
      <c r="AXX35" s="7"/>
    </row>
    <row r="36" spans="1:1324" s="135" customFormat="1" ht="20.25" customHeight="1" x14ac:dyDescent="0.4">
      <c r="A36" s="711"/>
      <c r="B36" s="7"/>
      <c r="C36" s="143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3"/>
      <c r="AF36" s="144"/>
      <c r="AG36" s="144"/>
      <c r="AH36" s="47"/>
      <c r="AI36" s="143"/>
      <c r="AJ36" s="145"/>
      <c r="AK36" s="145"/>
      <c r="AL36" s="145"/>
      <c r="AM36" s="145"/>
      <c r="AN36" s="145"/>
      <c r="AO36" s="145"/>
      <c r="AP36" s="145"/>
      <c r="AQ36" s="146"/>
      <c r="AR36" s="146"/>
      <c r="AS36" s="146"/>
      <c r="AT36" s="146"/>
      <c r="AU36" s="146"/>
      <c r="AV36" s="146"/>
      <c r="AW36" s="146"/>
      <c r="AX36" s="146"/>
      <c r="AY36" s="146"/>
      <c r="AZ36" s="146"/>
      <c r="BA36" s="145"/>
      <c r="BB36" s="145"/>
      <c r="BC36" s="145"/>
      <c r="BD36" s="145"/>
      <c r="BE36" s="145"/>
      <c r="BF36" s="145"/>
      <c r="BG36" s="145"/>
      <c r="BH36" s="145"/>
      <c r="BI36" s="145"/>
      <c r="BJ36" s="145"/>
      <c r="BK36" s="143"/>
      <c r="BL36" s="145"/>
      <c r="BM36" s="145"/>
      <c r="BN36" s="7"/>
      <c r="BO36" s="145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7"/>
      <c r="CT36" s="145"/>
      <c r="CU36" s="145"/>
      <c r="CV36" s="145"/>
      <c r="CW36" s="145"/>
      <c r="CX36" s="145"/>
      <c r="CY36" s="145"/>
      <c r="CZ36" s="145"/>
      <c r="DA36" s="145"/>
      <c r="DB36" s="145"/>
      <c r="DC36" s="145"/>
      <c r="DD36" s="145"/>
      <c r="DE36" s="145"/>
      <c r="DF36" s="145"/>
      <c r="DG36" s="145"/>
      <c r="DH36" s="145"/>
      <c r="DI36" s="145"/>
      <c r="DJ36" s="145"/>
      <c r="DK36" s="145"/>
      <c r="DL36" s="145"/>
      <c r="DM36" s="145"/>
      <c r="DY36" s="7"/>
      <c r="EL36" s="145"/>
      <c r="EM36" s="145"/>
      <c r="FE36" s="145"/>
      <c r="FF36" s="145"/>
      <c r="FI36" s="145"/>
      <c r="FJ36" s="145"/>
      <c r="FT36" s="139"/>
      <c r="FU36" s="139"/>
      <c r="FV36" s="139"/>
      <c r="FW36" s="139"/>
      <c r="FX36" s="139"/>
      <c r="GJ36" s="7"/>
      <c r="GV36" s="74" t="s">
        <v>141</v>
      </c>
      <c r="GW36" s="74">
        <v>68140</v>
      </c>
      <c r="GX36" s="74"/>
      <c r="HP36" s="7"/>
      <c r="HU36" s="135">
        <f>SUM(HU34:HU35)</f>
        <v>301</v>
      </c>
      <c r="HV36" s="135">
        <f>HU36/25</f>
        <v>12.04</v>
      </c>
      <c r="ID36" s="74" t="s">
        <v>141</v>
      </c>
      <c r="IE36" s="74">
        <v>37</v>
      </c>
      <c r="IG36" s="135">
        <v>37700</v>
      </c>
      <c r="IH36" s="135">
        <v>39730</v>
      </c>
      <c r="IT36" s="7"/>
      <c r="JH36" s="74" t="s">
        <v>141</v>
      </c>
      <c r="JI36" s="74">
        <v>72</v>
      </c>
      <c r="JJ36" s="74">
        <f t="shared" si="8"/>
        <v>109</v>
      </c>
      <c r="JZ36" s="7"/>
      <c r="KE36" s="135">
        <f>KE35/26</f>
        <v>12.538461538461538</v>
      </c>
      <c r="KN36" s="74" t="s">
        <v>141</v>
      </c>
      <c r="KO36" s="74"/>
      <c r="KP36" s="74">
        <f t="shared" si="9"/>
        <v>109</v>
      </c>
      <c r="LE36" s="7"/>
      <c r="LI36" s="74">
        <f>LI26</f>
        <v>696</v>
      </c>
      <c r="LJ36" s="74">
        <v>174</v>
      </c>
      <c r="LK36" s="74">
        <f>LI36+LJ36</f>
        <v>870</v>
      </c>
      <c r="LL36" s="74"/>
      <c r="LS36" s="74" t="s">
        <v>141</v>
      </c>
      <c r="LT36" s="74"/>
      <c r="LU36" s="74">
        <f t="shared" si="11"/>
        <v>109</v>
      </c>
      <c r="LY36" s="135">
        <f>LY35/19</f>
        <v>10.684210526315789</v>
      </c>
      <c r="MK36" s="7"/>
      <c r="MY36" s="74" t="s">
        <v>141</v>
      </c>
      <c r="MZ36" s="74"/>
      <c r="NA36" s="74">
        <f t="shared" si="12"/>
        <v>109</v>
      </c>
      <c r="NB36" s="74"/>
      <c r="NC36" s="74"/>
      <c r="ND36" s="220"/>
      <c r="NP36" s="7"/>
      <c r="OD36" s="74" t="s">
        <v>141</v>
      </c>
      <c r="OE36" s="74"/>
      <c r="OF36" s="74">
        <f t="shared" si="13"/>
        <v>109</v>
      </c>
      <c r="OV36" s="7"/>
      <c r="PJ36" s="74" t="s">
        <v>141</v>
      </c>
      <c r="PK36" s="74"/>
      <c r="PL36" s="74"/>
      <c r="QB36" s="7"/>
      <c r="QK36" s="364"/>
      <c r="QL36" s="364"/>
      <c r="QM36" s="364"/>
      <c r="QN36" s="364"/>
      <c r="QO36" s="364"/>
      <c r="QP36" s="364"/>
      <c r="QQ36" s="364"/>
      <c r="QR36" s="364"/>
      <c r="QS36" s="364"/>
      <c r="QT36" s="364"/>
      <c r="QU36" s="364"/>
      <c r="QV36" s="364"/>
      <c r="QW36" s="364"/>
      <c r="QX36" s="364"/>
      <c r="RG36" s="7"/>
      <c r="RO36" s="201"/>
      <c r="RP36" s="201"/>
      <c r="RQ36" s="201"/>
      <c r="RR36" s="201"/>
      <c r="RS36" s="201"/>
      <c r="RT36" s="201"/>
      <c r="RU36" s="201"/>
      <c r="RV36" s="201"/>
      <c r="RW36" s="201"/>
      <c r="RX36" s="201"/>
      <c r="RY36" s="201"/>
      <c r="RZ36" s="201"/>
      <c r="SA36" s="201"/>
      <c r="SB36" s="201"/>
      <c r="SC36" s="201"/>
      <c r="SD36" s="201"/>
      <c r="SE36" s="201"/>
      <c r="SK36" s="364"/>
      <c r="SL36" s="364"/>
      <c r="SM36" s="364">
        <v>2</v>
      </c>
      <c r="SN36" s="364"/>
      <c r="SO36" s="364"/>
      <c r="SS36" s="364"/>
      <c r="TD36" s="364"/>
      <c r="TE36" s="364"/>
      <c r="TK36" s="364"/>
      <c r="TN36" s="364"/>
      <c r="TP36" s="136"/>
      <c r="TR36" s="7"/>
      <c r="TS36" s="364"/>
      <c r="TT36" s="364"/>
      <c r="TU36" s="364"/>
      <c r="TV36" s="364"/>
      <c r="TW36" s="364"/>
      <c r="TZ36" s="364"/>
      <c r="UB36" s="364"/>
      <c r="UE36" s="364"/>
      <c r="UF36" s="364"/>
      <c r="UG36" s="364"/>
      <c r="UH36" s="364"/>
      <c r="UI36" s="364"/>
      <c r="UJ36" s="364"/>
      <c r="UK36" s="364"/>
      <c r="UL36" s="364"/>
      <c r="UM36" s="364"/>
      <c r="UN36" s="364"/>
      <c r="UW36" s="364"/>
      <c r="UX36" s="364"/>
      <c r="UY36" s="364"/>
      <c r="UZ36" s="364"/>
      <c r="VT36" s="136"/>
      <c r="WA36" s="136"/>
      <c r="WC36" s="364"/>
      <c r="WD36" s="195"/>
      <c r="WE36" s="314"/>
      <c r="WF36" s="314"/>
      <c r="WG36" s="314"/>
      <c r="WM36" s="314"/>
      <c r="WP36" s="314"/>
      <c r="WQ36" s="314"/>
      <c r="XG36" s="7"/>
      <c r="XN36" s="136"/>
      <c r="XX36" s="364"/>
      <c r="XY36" s="364"/>
      <c r="XZ36" s="364"/>
      <c r="YA36" s="364"/>
      <c r="YL36" s="364"/>
      <c r="YM36" s="7"/>
      <c r="ZK36" s="364"/>
      <c r="ZL36" s="364"/>
      <c r="ZO36" s="364"/>
      <c r="ZP36" s="364"/>
      <c r="ZQ36" s="364"/>
      <c r="ZR36" s="7"/>
      <c r="ZW36" s="364"/>
      <c r="ZX36" s="364"/>
      <c r="ZY36" s="364"/>
      <c r="ZZ36" s="364"/>
      <c r="AAA36" s="364"/>
      <c r="AAB36" s="364"/>
      <c r="AAC36" s="364"/>
      <c r="AAD36" s="364"/>
      <c r="AAE36" s="364"/>
      <c r="AAF36" s="364"/>
      <c r="AAG36" s="364"/>
      <c r="AAH36" s="364"/>
      <c r="AAI36" s="364"/>
      <c r="AAJ36" s="364"/>
      <c r="AAK36" s="364"/>
      <c r="AAL36" s="364"/>
      <c r="AAM36" s="364"/>
      <c r="AAN36" s="364"/>
      <c r="AAP36" s="364"/>
      <c r="AAQ36" s="364"/>
      <c r="AAR36" s="364"/>
      <c r="AAS36" s="364"/>
      <c r="AAT36" s="364"/>
      <c r="AAU36" s="364"/>
      <c r="AAV36" s="364"/>
      <c r="AAW36" s="364"/>
      <c r="AAX36" s="7"/>
      <c r="AAY36" s="364"/>
      <c r="ABD36" s="364"/>
      <c r="ABE36" s="364"/>
      <c r="ABF36" s="364"/>
      <c r="ABG36" s="364"/>
      <c r="ABH36" s="364"/>
      <c r="ABI36" s="364"/>
      <c r="ABJ36" s="364"/>
      <c r="ABK36" s="364"/>
      <c r="ABL36" s="364"/>
      <c r="ABM36" s="364"/>
      <c r="ABN36" s="364"/>
      <c r="ABO36" s="364"/>
      <c r="ABP36" s="364"/>
      <c r="ABQ36" s="364"/>
      <c r="ABR36" s="364"/>
      <c r="ABS36" s="364"/>
      <c r="ABT36" s="364"/>
      <c r="ABU36" s="364"/>
      <c r="ABV36" s="364"/>
      <c r="ABW36" s="364"/>
      <c r="ABX36" s="364"/>
      <c r="ACC36" s="364"/>
      <c r="ACF36" s="364"/>
      <c r="ACG36" s="364"/>
      <c r="ACH36" s="364"/>
      <c r="ACI36" s="364"/>
      <c r="ACJ36" s="364"/>
      <c r="ACK36" s="364"/>
      <c r="ACL36" s="364"/>
      <c r="ACM36" s="364"/>
      <c r="ACN36" s="364"/>
      <c r="ACO36" s="364"/>
      <c r="ACP36" s="364"/>
      <c r="ACQ36" s="364"/>
      <c r="ACR36" s="364"/>
      <c r="ACW36" s="364"/>
      <c r="ACX36" s="364"/>
      <c r="ACY36" s="364"/>
      <c r="ACZ36" s="364"/>
      <c r="ADA36" s="364"/>
      <c r="ADB36" s="364"/>
      <c r="ADC36" s="364"/>
      <c r="ADD36" s="364"/>
      <c r="ADE36" s="364"/>
      <c r="ADF36" s="364"/>
      <c r="ADG36" s="364"/>
      <c r="ADH36" s="364"/>
      <c r="ADI36" s="364"/>
      <c r="ADJ36" s="364"/>
      <c r="ADK36" s="364"/>
      <c r="ADL36" s="364"/>
      <c r="ADM36" s="364"/>
      <c r="ADN36" s="364"/>
      <c r="ADO36" s="364"/>
      <c r="ADP36" s="364"/>
      <c r="ADQ36" s="364"/>
      <c r="ADR36" s="364"/>
      <c r="ADS36" s="364"/>
      <c r="ADY36" s="364"/>
      <c r="ADZ36" s="364"/>
      <c r="AEA36" s="364"/>
      <c r="AEB36" s="364"/>
      <c r="AEC36" s="364"/>
      <c r="AED36" s="364"/>
      <c r="AEH36" s="364"/>
      <c r="AEI36" s="364"/>
      <c r="AEJ36" s="364"/>
      <c r="AEK36" s="364"/>
      <c r="AEO36" s="314"/>
      <c r="AEU36" s="364"/>
      <c r="AEV36" s="364"/>
      <c r="AEW36" s="364"/>
      <c r="AEX36" s="364"/>
      <c r="AEY36" s="364"/>
      <c r="AEZ36" s="364"/>
      <c r="AFA36" s="364"/>
      <c r="AFB36" s="364"/>
      <c r="AFC36" s="364"/>
      <c r="AFD36" s="364"/>
      <c r="AFE36" s="364"/>
      <c r="AFF36" s="364"/>
      <c r="AFG36" s="364"/>
      <c r="AFH36" s="364"/>
      <c r="AFI36" s="364"/>
      <c r="AFJ36" s="364"/>
      <c r="AFK36" s="364"/>
      <c r="AFL36" s="364"/>
      <c r="AFM36" s="136"/>
      <c r="AFN36" s="314"/>
      <c r="AFO36" s="314"/>
      <c r="AFP36" s="314"/>
      <c r="AFQ36" s="314"/>
      <c r="AFR36" s="314"/>
      <c r="AFS36" s="314"/>
      <c r="AFT36" s="7"/>
      <c r="AFU36" s="314"/>
      <c r="AFV36" s="314"/>
      <c r="AFX36" s="364"/>
      <c r="AFY36" s="364"/>
      <c r="AFZ36" s="364"/>
      <c r="AGA36" s="364"/>
      <c r="AGB36" s="364"/>
      <c r="AGC36" s="364"/>
      <c r="AGD36" s="364"/>
      <c r="AGH36" s="364"/>
      <c r="AGI36" s="364"/>
      <c r="AGJ36" s="364"/>
      <c r="AGK36" s="364"/>
      <c r="AGL36" s="364"/>
      <c r="AGM36" s="364"/>
      <c r="AGN36" s="364"/>
      <c r="AGO36" s="364"/>
      <c r="AGP36" s="364"/>
      <c r="AGQ36" s="364"/>
      <c r="AGR36" s="364"/>
      <c r="AGS36" s="364"/>
      <c r="AGT36" s="364"/>
      <c r="AGU36" s="364"/>
      <c r="AGV36" s="364"/>
      <c r="AGW36" s="364"/>
      <c r="AGX36" s="364"/>
      <c r="AGY36" s="364"/>
      <c r="AGZ36" s="7"/>
      <c r="AHA36" s="314"/>
      <c r="AHB36" s="314"/>
      <c r="AHC36" s="314"/>
      <c r="AHL36" s="364"/>
      <c r="AHQ36" s="314">
        <v>600</v>
      </c>
      <c r="AHR36" s="136">
        <v>1200</v>
      </c>
      <c r="AHS36" s="314">
        <v>1980</v>
      </c>
      <c r="AHT36" s="136"/>
      <c r="AHU36" s="314">
        <v>1980</v>
      </c>
      <c r="AHV36" s="314">
        <v>1980</v>
      </c>
      <c r="AHW36" s="124">
        <v>1980</v>
      </c>
      <c r="AHX36" s="314">
        <v>700</v>
      </c>
      <c r="AHY36" s="314">
        <v>1100</v>
      </c>
      <c r="AHZ36" s="136">
        <v>1500</v>
      </c>
      <c r="AIA36" s="124">
        <v>1300</v>
      </c>
      <c r="AIF36" s="136"/>
      <c r="AIG36" s="314"/>
      <c r="AIH36" s="136"/>
      <c r="AII36" s="136"/>
      <c r="AIJ36" s="136"/>
      <c r="AIK36" s="314"/>
      <c r="AIL36" s="314"/>
      <c r="AIM36" s="314"/>
      <c r="AIN36" s="314"/>
      <c r="AIO36" s="136"/>
      <c r="AIR36" s="314"/>
      <c r="AIS36" s="314"/>
      <c r="AIU36" s="136"/>
      <c r="AIV36" s="314"/>
      <c r="AIW36" s="314"/>
      <c r="AJC36" s="136"/>
      <c r="AJJ36" s="136"/>
      <c r="AJK36" s="7"/>
      <c r="AJR36" s="136"/>
      <c r="AKI36" s="364"/>
      <c r="AKJ36" s="364"/>
      <c r="AKK36" s="364"/>
      <c r="AKL36" s="364"/>
      <c r="AKM36" s="364"/>
      <c r="AKN36" s="364"/>
      <c r="AKO36" s="364"/>
      <c r="AKP36" s="364"/>
      <c r="AKQ36" s="7"/>
      <c r="AKR36" s="364"/>
      <c r="AKS36" s="364"/>
      <c r="AKT36" s="364"/>
      <c r="AKU36" s="364"/>
      <c r="AKV36" s="364"/>
      <c r="AKW36" s="364"/>
      <c r="AKX36" s="364"/>
      <c r="AKY36" s="364"/>
      <c r="AKZ36" s="364"/>
      <c r="ALA36" s="364"/>
      <c r="ALB36" s="364"/>
      <c r="ALC36" s="364"/>
      <c r="ALD36" s="364"/>
      <c r="ALE36" s="364"/>
      <c r="ALF36" s="364"/>
      <c r="ALG36" s="364"/>
      <c r="ALH36" s="364"/>
      <c r="ALI36" s="364"/>
      <c r="ALJ36" s="364"/>
      <c r="ALK36" s="364"/>
      <c r="AMJ36" s="364"/>
      <c r="AMK36" s="364"/>
      <c r="AML36" s="364"/>
      <c r="AMM36" s="364"/>
      <c r="AMN36" s="364"/>
      <c r="AMO36" s="364"/>
      <c r="AMP36" s="364"/>
      <c r="AMQ36" s="364"/>
      <c r="AMR36" s="364"/>
      <c r="AMS36" s="364"/>
      <c r="AMT36" s="364"/>
      <c r="AMU36" s="364"/>
      <c r="AMV36" s="364"/>
      <c r="AMW36" s="364"/>
      <c r="AMX36" s="364"/>
      <c r="AMY36" s="364"/>
      <c r="AMZ36" s="7"/>
      <c r="ANA36" s="136"/>
      <c r="ANE36" s="364"/>
      <c r="ANF36" s="364"/>
      <c r="ANG36" s="364"/>
      <c r="ANH36" s="364"/>
      <c r="ANI36" s="364"/>
      <c r="AOE36" s="7"/>
      <c r="AOF36" s="638">
        <v>44682</v>
      </c>
      <c r="AOG36" s="135" t="str">
        <f>TEXT(AOF36,"DDD")</f>
        <v>Sun</v>
      </c>
      <c r="APK36" s="7"/>
      <c r="APM36" s="361" t="s">
        <v>2848</v>
      </c>
      <c r="APN36" s="318"/>
      <c r="APO36" s="319"/>
      <c r="APP36" s="319"/>
      <c r="APQ36" s="319"/>
      <c r="APR36" s="319"/>
      <c r="AQP36" s="7"/>
      <c r="ARV36" s="7"/>
      <c r="ATB36" s="7"/>
      <c r="AUG36" s="7"/>
      <c r="AVK36" s="364"/>
      <c r="AVL36" s="364"/>
      <c r="AVM36" s="7"/>
      <c r="AWR36" s="7"/>
      <c r="AXX36" s="7"/>
    </row>
    <row r="37" spans="1:1324" s="201" customFormat="1" ht="20.25" customHeight="1" x14ac:dyDescent="0.4">
      <c r="A37" s="746"/>
      <c r="B37" s="195"/>
      <c r="C37" s="196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  <c r="AA37" s="197"/>
      <c r="AB37" s="197"/>
      <c r="AC37" s="197"/>
      <c r="AD37" s="197"/>
      <c r="AE37" s="196"/>
      <c r="AF37" s="197"/>
      <c r="AG37" s="197"/>
      <c r="AH37" s="198"/>
      <c r="AI37" s="196"/>
      <c r="AJ37" s="199"/>
      <c r="AK37" s="199"/>
      <c r="AL37" s="199"/>
      <c r="AM37" s="199"/>
      <c r="AN37" s="199"/>
      <c r="AO37" s="199"/>
      <c r="AP37" s="199"/>
      <c r="AQ37" s="200"/>
      <c r="AR37" s="200"/>
      <c r="AS37" s="200"/>
      <c r="AT37" s="200"/>
      <c r="AU37" s="200"/>
      <c r="AV37" s="200"/>
      <c r="AW37" s="200"/>
      <c r="AX37" s="200"/>
      <c r="AY37" s="200"/>
      <c r="AZ37" s="200"/>
      <c r="BA37" s="199"/>
      <c r="BB37" s="199"/>
      <c r="BC37" s="199"/>
      <c r="BD37" s="199"/>
      <c r="BE37" s="199"/>
      <c r="BF37" s="199"/>
      <c r="BG37" s="199"/>
      <c r="BH37" s="199"/>
      <c r="BI37" s="199"/>
      <c r="BJ37" s="199"/>
      <c r="BK37" s="196"/>
      <c r="BL37" s="199"/>
      <c r="BM37" s="199"/>
      <c r="BN37" s="195"/>
      <c r="BO37" s="199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5"/>
      <c r="CT37" s="199"/>
      <c r="CU37" s="199"/>
      <c r="CV37" s="199"/>
      <c r="CW37" s="199"/>
      <c r="CX37" s="199"/>
      <c r="CY37" s="199"/>
      <c r="CZ37" s="199"/>
      <c r="DA37" s="199"/>
      <c r="DB37" s="199"/>
      <c r="DC37" s="199"/>
      <c r="DD37" s="199"/>
      <c r="DE37" s="199"/>
      <c r="DF37" s="199"/>
      <c r="DG37" s="199"/>
      <c r="DH37" s="199"/>
      <c r="DI37" s="199"/>
      <c r="DJ37" s="199"/>
      <c r="DK37" s="199"/>
      <c r="DL37" s="199"/>
      <c r="DM37" s="199"/>
      <c r="DY37" s="195"/>
      <c r="EL37" s="199"/>
      <c r="EM37" s="199"/>
      <c r="FE37" s="199"/>
      <c r="FF37" s="199"/>
      <c r="FI37" s="199"/>
      <c r="FJ37" s="199"/>
      <c r="FT37" s="202"/>
      <c r="FU37" s="202"/>
      <c r="FV37" s="202"/>
      <c r="FW37" s="202"/>
      <c r="FX37" s="202"/>
      <c r="GJ37" s="195"/>
      <c r="GV37" s="74"/>
      <c r="GW37" s="74"/>
      <c r="GX37" s="74"/>
      <c r="HP37" s="195"/>
      <c r="ID37" s="74"/>
      <c r="IE37" s="74"/>
      <c r="II37" s="135"/>
      <c r="IJ37" s="135"/>
      <c r="IK37" s="135"/>
      <c r="IO37" s="135"/>
      <c r="IP37" s="135"/>
      <c r="IQ37" s="135"/>
      <c r="IR37" s="135"/>
      <c r="IS37" s="135"/>
      <c r="IT37" s="195"/>
      <c r="JH37" s="74" t="s">
        <v>31</v>
      </c>
      <c r="JI37" s="74">
        <v>30</v>
      </c>
      <c r="JJ37" s="74">
        <f t="shared" si="8"/>
        <v>30</v>
      </c>
      <c r="JZ37" s="195"/>
      <c r="KN37" s="74" t="s">
        <v>31</v>
      </c>
      <c r="KO37" s="74">
        <v>58</v>
      </c>
      <c r="KP37" s="74">
        <f t="shared" si="9"/>
        <v>88</v>
      </c>
      <c r="LE37" s="195"/>
      <c r="LI37" s="74">
        <f>LI28</f>
        <v>357</v>
      </c>
      <c r="LJ37" s="74">
        <v>31</v>
      </c>
      <c r="LK37" s="74">
        <f>LI37+LJ37</f>
        <v>388</v>
      </c>
      <c r="LL37" s="74"/>
      <c r="LS37" s="74" t="s">
        <v>31</v>
      </c>
      <c r="LT37" s="74">
        <v>44</v>
      </c>
      <c r="LU37" s="74">
        <f t="shared" si="11"/>
        <v>132</v>
      </c>
      <c r="MK37" s="195"/>
      <c r="MY37" s="74" t="s">
        <v>31</v>
      </c>
      <c r="MZ37" s="74"/>
      <c r="NA37" s="74">
        <f t="shared" si="12"/>
        <v>132</v>
      </c>
      <c r="NB37" s="74"/>
      <c r="NC37" s="74"/>
      <c r="ND37" s="220"/>
      <c r="NP37" s="195"/>
      <c r="OD37" s="74" t="s">
        <v>31</v>
      </c>
      <c r="OE37" s="74">
        <v>62</v>
      </c>
      <c r="OF37" s="74">
        <f t="shared" si="13"/>
        <v>194</v>
      </c>
      <c r="OV37" s="195"/>
      <c r="PJ37" s="74" t="s">
        <v>31</v>
      </c>
      <c r="PK37" s="74"/>
      <c r="PL37" s="74"/>
      <c r="QB37" s="195"/>
      <c r="RG37" s="195"/>
      <c r="TB37" s="135"/>
      <c r="TC37" s="135"/>
      <c r="TR37" s="7"/>
      <c r="TS37" s="364"/>
      <c r="TT37" s="364"/>
      <c r="TU37" s="364"/>
      <c r="TV37" s="364"/>
      <c r="TW37" s="364"/>
      <c r="TX37" s="364"/>
      <c r="TY37" s="364"/>
      <c r="TZ37" s="364"/>
      <c r="UA37" s="364"/>
      <c r="UB37" s="364"/>
      <c r="WD37" s="195"/>
      <c r="XF37" s="364"/>
      <c r="XG37" s="195"/>
      <c r="YM37" s="7"/>
      <c r="ZR37" s="195"/>
      <c r="AAX37" s="7"/>
      <c r="ACC37" s="7"/>
      <c r="ADI37" s="195"/>
      <c r="AEO37" s="195"/>
      <c r="AFT37" s="7"/>
      <c r="AGZ37" s="7"/>
      <c r="AHO37" s="361" t="s">
        <v>2742</v>
      </c>
      <c r="AHP37" s="361"/>
      <c r="AHQ37" s="316"/>
      <c r="AHR37" s="316"/>
      <c r="AHS37" s="316"/>
      <c r="AHT37" s="316"/>
      <c r="AHU37" s="316"/>
      <c r="AHX37" s="361" t="s">
        <v>2759</v>
      </c>
      <c r="AHY37" s="361"/>
      <c r="AHZ37" s="316"/>
      <c r="AIF37" s="314"/>
      <c r="AIG37" s="314"/>
      <c r="AIH37" s="314"/>
      <c r="AJK37" s="195"/>
      <c r="AKQ37" s="195"/>
      <c r="AKR37" s="364"/>
      <c r="AKS37" s="364"/>
      <c r="AKT37" s="364"/>
      <c r="AKU37" s="364"/>
      <c r="AMZ37" s="195"/>
      <c r="AOE37" s="195"/>
      <c r="APK37" s="195"/>
      <c r="AQP37" s="195"/>
      <c r="ARV37" s="195"/>
      <c r="ATB37" s="195"/>
      <c r="AUG37" s="195"/>
      <c r="AVM37" s="195"/>
      <c r="AWR37" s="195"/>
      <c r="AXX37" s="195"/>
    </row>
    <row r="38" spans="1:1324" s="201" customFormat="1" ht="20.25" customHeight="1" thickBot="1" x14ac:dyDescent="0.45">
      <c r="A38" s="746"/>
      <c r="B38" s="195"/>
      <c r="C38" s="196"/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6"/>
      <c r="AF38" s="197"/>
      <c r="AG38" s="197"/>
      <c r="AH38" s="198"/>
      <c r="AI38" s="196"/>
      <c r="AJ38" s="199"/>
      <c r="AK38" s="199"/>
      <c r="AL38" s="199"/>
      <c r="AM38" s="199"/>
      <c r="AN38" s="199"/>
      <c r="AO38" s="199"/>
      <c r="AP38" s="199"/>
      <c r="AQ38" s="200"/>
      <c r="AR38" s="200"/>
      <c r="AS38" s="200"/>
      <c r="AT38" s="200"/>
      <c r="AU38" s="200"/>
      <c r="AV38" s="200"/>
      <c r="AW38" s="200"/>
      <c r="AX38" s="200"/>
      <c r="AY38" s="200"/>
      <c r="AZ38" s="200"/>
      <c r="BA38" s="199"/>
      <c r="BB38" s="199"/>
      <c r="BC38" s="199"/>
      <c r="BD38" s="199"/>
      <c r="BE38" s="199"/>
      <c r="BF38" s="199"/>
      <c r="BG38" s="199"/>
      <c r="BH38" s="199"/>
      <c r="BI38" s="199"/>
      <c r="BJ38" s="199"/>
      <c r="BK38" s="196"/>
      <c r="BL38" s="199"/>
      <c r="BM38" s="199"/>
      <c r="BN38" s="195"/>
      <c r="BO38" s="199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5"/>
      <c r="CT38" s="199"/>
      <c r="CU38" s="199"/>
      <c r="CV38" s="199"/>
      <c r="CW38" s="199"/>
      <c r="CX38" s="199"/>
      <c r="CY38" s="199"/>
      <c r="CZ38" s="199"/>
      <c r="DA38" s="199"/>
      <c r="DB38" s="199"/>
      <c r="DC38" s="199"/>
      <c r="DD38" s="199"/>
      <c r="DE38" s="199"/>
      <c r="DF38" s="199"/>
      <c r="DG38" s="199"/>
      <c r="DH38" s="199"/>
      <c r="DI38" s="199"/>
      <c r="DJ38" s="199"/>
      <c r="DK38" s="199"/>
      <c r="DL38" s="199"/>
      <c r="DM38" s="199"/>
      <c r="DY38" s="195"/>
      <c r="EL38" s="199"/>
      <c r="EM38" s="199"/>
      <c r="FE38" s="199"/>
      <c r="FF38" s="199"/>
      <c r="FI38" s="199"/>
      <c r="FJ38" s="199"/>
      <c r="FT38" s="202"/>
      <c r="FU38" s="202"/>
      <c r="FV38" s="202"/>
      <c r="FW38" s="202"/>
      <c r="FX38" s="202"/>
      <c r="GJ38" s="195"/>
      <c r="GV38" s="74" t="s">
        <v>293</v>
      </c>
      <c r="GW38" s="74">
        <f>SUM(GW26:GW36)</f>
        <v>394440</v>
      </c>
      <c r="GX38" s="74"/>
      <c r="HP38" s="195"/>
      <c r="ID38" s="74" t="s">
        <v>293</v>
      </c>
      <c r="IE38" s="74">
        <f>SUM(IE26:IE36)</f>
        <v>393</v>
      </c>
      <c r="IP38" s="135"/>
      <c r="IQ38" s="135"/>
      <c r="IR38" s="135"/>
      <c r="IT38" s="195"/>
      <c r="JH38" s="74" t="s">
        <v>293</v>
      </c>
      <c r="JI38" s="74">
        <f>SUM(JI26:JI37)</f>
        <v>562</v>
      </c>
      <c r="JJ38" s="74">
        <f t="shared" si="8"/>
        <v>955</v>
      </c>
      <c r="JZ38" s="195"/>
      <c r="KN38" s="74" t="s">
        <v>293</v>
      </c>
      <c r="KO38" s="74">
        <f>SUM(KO26:KO37)</f>
        <v>489</v>
      </c>
      <c r="KP38" s="74">
        <f t="shared" si="9"/>
        <v>1444</v>
      </c>
      <c r="LE38" s="195"/>
      <c r="LS38" s="74" t="s">
        <v>293</v>
      </c>
      <c r="LT38" s="74">
        <f>SUM(LT26:LT37)</f>
        <v>309</v>
      </c>
      <c r="LU38" s="74">
        <f t="shared" si="11"/>
        <v>1753</v>
      </c>
      <c r="MK38" s="195"/>
      <c r="MY38" s="74" t="s">
        <v>293</v>
      </c>
      <c r="MZ38" s="74">
        <f>SUM(MZ26:MZ36)</f>
        <v>462</v>
      </c>
      <c r="NA38" s="74">
        <f>SUM(NA26:NA36)</f>
        <v>2083</v>
      </c>
      <c r="NB38" s="74">
        <f>SUM(NB26:NB36)</f>
        <v>2009</v>
      </c>
      <c r="NC38" s="74">
        <f>SUM(NC26:NC36)</f>
        <v>2039.1349999999998</v>
      </c>
      <c r="ND38" s="220">
        <f>SUM(ND26:ND36)</f>
        <v>-65.134999999999877</v>
      </c>
      <c r="NP38" s="195"/>
      <c r="OD38" s="74" t="s">
        <v>293</v>
      </c>
      <c r="OE38" s="74">
        <f>SUM(OE26:OE37)</f>
        <v>129</v>
      </c>
      <c r="OF38" s="74">
        <f>SUM(OF26:OF36)</f>
        <v>2150</v>
      </c>
      <c r="OV38" s="195"/>
      <c r="PJ38" s="74" t="s">
        <v>293</v>
      </c>
      <c r="PK38" s="74">
        <f>SUM(PK26:PK36)</f>
        <v>533</v>
      </c>
      <c r="PL38" s="74">
        <f>SUM(PL26:PL36)</f>
        <v>0</v>
      </c>
      <c r="QB38" s="195"/>
      <c r="RG38" s="195"/>
      <c r="TT38" s="195"/>
      <c r="UC38" s="136"/>
      <c r="UD38" s="314"/>
      <c r="UE38" s="314"/>
      <c r="UX38" s="195"/>
      <c r="WD38" s="195"/>
      <c r="XG38" s="195"/>
      <c r="YM38" s="195"/>
      <c r="ZR38" s="195"/>
      <c r="AAX38" s="195"/>
      <c r="ACC38" s="195"/>
      <c r="ADI38" s="195"/>
      <c r="AEO38" s="195"/>
      <c r="AFT38" s="195"/>
      <c r="AGZ38" s="195"/>
      <c r="AJK38" s="195"/>
      <c r="AKQ38" s="195"/>
      <c r="ALT38" s="195"/>
      <c r="AMZ38" s="195"/>
      <c r="AOE38" s="195"/>
      <c r="APK38" s="195"/>
      <c r="AQP38" s="195"/>
      <c r="ARV38" s="195"/>
      <c r="ATB38" s="195"/>
      <c r="AUG38" s="195"/>
      <c r="AVM38" s="195"/>
      <c r="AWR38" s="195"/>
      <c r="AXX38" s="195"/>
    </row>
    <row r="39" spans="1:1324" s="94" customFormat="1" ht="23.25" customHeight="1" thickTop="1" x14ac:dyDescent="0.3">
      <c r="B39" s="95" t="s">
        <v>1</v>
      </c>
      <c r="C39" s="96">
        <v>1</v>
      </c>
      <c r="D39" s="97">
        <f t="shared" ref="D39:AG39" si="15">C39+1</f>
        <v>2</v>
      </c>
      <c r="E39" s="97">
        <f t="shared" si="15"/>
        <v>3</v>
      </c>
      <c r="F39" s="97">
        <f t="shared" si="15"/>
        <v>4</v>
      </c>
      <c r="G39" s="97">
        <f t="shared" si="15"/>
        <v>5</v>
      </c>
      <c r="H39" s="97">
        <f t="shared" si="15"/>
        <v>6</v>
      </c>
      <c r="I39" s="97">
        <f t="shared" si="15"/>
        <v>7</v>
      </c>
      <c r="J39" s="97">
        <f t="shared" si="15"/>
        <v>8</v>
      </c>
      <c r="K39" s="97">
        <f t="shared" si="15"/>
        <v>9</v>
      </c>
      <c r="L39" s="97">
        <f t="shared" si="15"/>
        <v>10</v>
      </c>
      <c r="M39" s="97">
        <f t="shared" si="15"/>
        <v>11</v>
      </c>
      <c r="N39" s="97">
        <f t="shared" si="15"/>
        <v>12</v>
      </c>
      <c r="O39" s="97">
        <f t="shared" si="15"/>
        <v>13</v>
      </c>
      <c r="P39" s="97">
        <f t="shared" si="15"/>
        <v>14</v>
      </c>
      <c r="Q39" s="97">
        <f t="shared" si="15"/>
        <v>15</v>
      </c>
      <c r="R39" s="97">
        <f t="shared" si="15"/>
        <v>16</v>
      </c>
      <c r="S39" s="97">
        <f t="shared" si="15"/>
        <v>17</v>
      </c>
      <c r="T39" s="97">
        <f t="shared" si="15"/>
        <v>18</v>
      </c>
      <c r="U39" s="97">
        <f t="shared" si="15"/>
        <v>19</v>
      </c>
      <c r="V39" s="97">
        <f t="shared" si="15"/>
        <v>20</v>
      </c>
      <c r="W39" s="97">
        <f t="shared" si="15"/>
        <v>21</v>
      </c>
      <c r="X39" s="97">
        <f t="shared" si="15"/>
        <v>22</v>
      </c>
      <c r="Y39" s="97">
        <f t="shared" si="15"/>
        <v>23</v>
      </c>
      <c r="Z39" s="97">
        <f t="shared" si="15"/>
        <v>24</v>
      </c>
      <c r="AA39" s="97">
        <f t="shared" si="15"/>
        <v>25</v>
      </c>
      <c r="AB39" s="97">
        <f t="shared" si="15"/>
        <v>26</v>
      </c>
      <c r="AC39" s="97">
        <f t="shared" si="15"/>
        <v>27</v>
      </c>
      <c r="AD39" s="97">
        <f t="shared" si="15"/>
        <v>28</v>
      </c>
      <c r="AE39" s="97">
        <f t="shared" si="15"/>
        <v>29</v>
      </c>
      <c r="AF39" s="97">
        <f t="shared" si="15"/>
        <v>30</v>
      </c>
      <c r="AG39" s="97">
        <f t="shared" si="15"/>
        <v>31</v>
      </c>
      <c r="AH39" s="98" t="s">
        <v>1</v>
      </c>
      <c r="AI39" s="99">
        <v>1</v>
      </c>
      <c r="AJ39" s="97">
        <f t="shared" ref="AJ39:BM39" si="16">AI39+1</f>
        <v>2</v>
      </c>
      <c r="AK39" s="97">
        <f t="shared" si="16"/>
        <v>3</v>
      </c>
      <c r="AL39" s="97">
        <f t="shared" si="16"/>
        <v>4</v>
      </c>
      <c r="AM39" s="97">
        <f t="shared" si="16"/>
        <v>5</v>
      </c>
      <c r="AN39" s="97">
        <f t="shared" si="16"/>
        <v>6</v>
      </c>
      <c r="AO39" s="97">
        <f t="shared" si="16"/>
        <v>7</v>
      </c>
      <c r="AP39" s="97">
        <f t="shared" si="16"/>
        <v>8</v>
      </c>
      <c r="AQ39" s="97">
        <f t="shared" si="16"/>
        <v>9</v>
      </c>
      <c r="AR39" s="97">
        <f t="shared" si="16"/>
        <v>10</v>
      </c>
      <c r="AS39" s="97">
        <f t="shared" si="16"/>
        <v>11</v>
      </c>
      <c r="AT39" s="97">
        <f t="shared" si="16"/>
        <v>12</v>
      </c>
      <c r="AU39" s="97">
        <f t="shared" si="16"/>
        <v>13</v>
      </c>
      <c r="AV39" s="97">
        <f t="shared" si="16"/>
        <v>14</v>
      </c>
      <c r="AW39" s="97">
        <f t="shared" si="16"/>
        <v>15</v>
      </c>
      <c r="AX39" s="97">
        <f t="shared" si="16"/>
        <v>16</v>
      </c>
      <c r="AY39" s="97">
        <f t="shared" si="16"/>
        <v>17</v>
      </c>
      <c r="AZ39" s="97">
        <f t="shared" si="16"/>
        <v>18</v>
      </c>
      <c r="BA39" s="97">
        <f t="shared" si="16"/>
        <v>19</v>
      </c>
      <c r="BB39" s="97">
        <f t="shared" si="16"/>
        <v>20</v>
      </c>
      <c r="BC39" s="97">
        <f t="shared" si="16"/>
        <v>21</v>
      </c>
      <c r="BD39" s="97">
        <f t="shared" si="16"/>
        <v>22</v>
      </c>
      <c r="BE39" s="97">
        <f t="shared" si="16"/>
        <v>23</v>
      </c>
      <c r="BF39" s="97">
        <f t="shared" si="16"/>
        <v>24</v>
      </c>
      <c r="BG39" s="97">
        <f t="shared" si="16"/>
        <v>25</v>
      </c>
      <c r="BH39" s="97">
        <f t="shared" si="16"/>
        <v>26</v>
      </c>
      <c r="BI39" s="97">
        <f t="shared" si="16"/>
        <v>27</v>
      </c>
      <c r="BJ39" s="97">
        <f t="shared" si="16"/>
        <v>28</v>
      </c>
      <c r="BK39" s="97">
        <f t="shared" si="16"/>
        <v>29</v>
      </c>
      <c r="BL39" s="97">
        <f t="shared" si="16"/>
        <v>30</v>
      </c>
      <c r="BM39" s="97">
        <f t="shared" si="16"/>
        <v>31</v>
      </c>
      <c r="BN39" s="95" t="s">
        <v>1</v>
      </c>
      <c r="BO39" s="96">
        <v>1</v>
      </c>
      <c r="BP39" s="97">
        <f t="shared" ref="BP39:CR39" si="17">BO39+1</f>
        <v>2</v>
      </c>
      <c r="BQ39" s="97">
        <f t="shared" si="17"/>
        <v>3</v>
      </c>
      <c r="BR39" s="97">
        <f t="shared" si="17"/>
        <v>4</v>
      </c>
      <c r="BS39" s="97">
        <f t="shared" si="17"/>
        <v>5</v>
      </c>
      <c r="BT39" s="97">
        <f t="shared" si="17"/>
        <v>6</v>
      </c>
      <c r="BU39" s="97">
        <f t="shared" si="17"/>
        <v>7</v>
      </c>
      <c r="BV39" s="97">
        <f t="shared" si="17"/>
        <v>8</v>
      </c>
      <c r="BW39" s="97">
        <f t="shared" si="17"/>
        <v>9</v>
      </c>
      <c r="BX39" s="97">
        <f t="shared" si="17"/>
        <v>10</v>
      </c>
      <c r="BY39" s="97">
        <f t="shared" si="17"/>
        <v>11</v>
      </c>
      <c r="BZ39" s="97">
        <f t="shared" si="17"/>
        <v>12</v>
      </c>
      <c r="CA39" s="97">
        <f t="shared" si="17"/>
        <v>13</v>
      </c>
      <c r="CB39" s="97">
        <f t="shared" si="17"/>
        <v>14</v>
      </c>
      <c r="CC39" s="97">
        <f t="shared" si="17"/>
        <v>15</v>
      </c>
      <c r="CD39" s="97">
        <f t="shared" si="17"/>
        <v>16</v>
      </c>
      <c r="CE39" s="97">
        <f t="shared" si="17"/>
        <v>17</v>
      </c>
      <c r="CF39" s="97">
        <f t="shared" si="17"/>
        <v>18</v>
      </c>
      <c r="CG39" s="97">
        <f t="shared" si="17"/>
        <v>19</v>
      </c>
      <c r="CH39" s="97">
        <f t="shared" si="17"/>
        <v>20</v>
      </c>
      <c r="CI39" s="97">
        <f t="shared" si="17"/>
        <v>21</v>
      </c>
      <c r="CJ39" s="97">
        <f t="shared" si="17"/>
        <v>22</v>
      </c>
      <c r="CK39" s="97">
        <f t="shared" si="17"/>
        <v>23</v>
      </c>
      <c r="CL39" s="97">
        <f t="shared" si="17"/>
        <v>24</v>
      </c>
      <c r="CM39" s="97">
        <f t="shared" si="17"/>
        <v>25</v>
      </c>
      <c r="CN39" s="97">
        <f t="shared" si="17"/>
        <v>26</v>
      </c>
      <c r="CO39" s="97">
        <f t="shared" si="17"/>
        <v>27</v>
      </c>
      <c r="CP39" s="97">
        <f t="shared" si="17"/>
        <v>28</v>
      </c>
      <c r="CQ39" s="97">
        <f t="shared" si="17"/>
        <v>29</v>
      </c>
      <c r="CR39" s="97">
        <f t="shared" si="17"/>
        <v>30</v>
      </c>
      <c r="CS39" s="95" t="s">
        <v>1</v>
      </c>
      <c r="CT39" s="96">
        <v>1</v>
      </c>
      <c r="CU39" s="97">
        <f t="shared" ref="CU39:DX39" si="18">CT39+1</f>
        <v>2</v>
      </c>
      <c r="CV39" s="97">
        <f t="shared" si="18"/>
        <v>3</v>
      </c>
      <c r="CW39" s="97">
        <f t="shared" si="18"/>
        <v>4</v>
      </c>
      <c r="CX39" s="97">
        <f t="shared" si="18"/>
        <v>5</v>
      </c>
      <c r="CY39" s="97">
        <f t="shared" si="18"/>
        <v>6</v>
      </c>
      <c r="CZ39" s="97">
        <f t="shared" si="18"/>
        <v>7</v>
      </c>
      <c r="DA39" s="97">
        <f t="shared" si="18"/>
        <v>8</v>
      </c>
      <c r="DB39" s="97">
        <f t="shared" si="18"/>
        <v>9</v>
      </c>
      <c r="DC39" s="97">
        <f t="shared" si="18"/>
        <v>10</v>
      </c>
      <c r="DD39" s="97">
        <f t="shared" si="18"/>
        <v>11</v>
      </c>
      <c r="DE39" s="97">
        <f t="shared" si="18"/>
        <v>12</v>
      </c>
      <c r="DF39" s="97">
        <f t="shared" si="18"/>
        <v>13</v>
      </c>
      <c r="DG39" s="97">
        <f t="shared" si="18"/>
        <v>14</v>
      </c>
      <c r="DH39" s="97">
        <f t="shared" si="18"/>
        <v>15</v>
      </c>
      <c r="DI39" s="97">
        <f t="shared" si="18"/>
        <v>16</v>
      </c>
      <c r="DJ39" s="97">
        <f t="shared" si="18"/>
        <v>17</v>
      </c>
      <c r="DK39" s="97">
        <f t="shared" si="18"/>
        <v>18</v>
      </c>
      <c r="DL39" s="97">
        <f t="shared" si="18"/>
        <v>19</v>
      </c>
      <c r="DM39" s="97">
        <f t="shared" si="18"/>
        <v>20</v>
      </c>
      <c r="DN39" s="97">
        <f t="shared" si="18"/>
        <v>21</v>
      </c>
      <c r="DO39" s="97">
        <f t="shared" si="18"/>
        <v>22</v>
      </c>
      <c r="DP39" s="97">
        <f t="shared" si="18"/>
        <v>23</v>
      </c>
      <c r="DQ39" s="97">
        <f t="shared" si="18"/>
        <v>24</v>
      </c>
      <c r="DR39" s="97">
        <f t="shared" si="18"/>
        <v>25</v>
      </c>
      <c r="DS39" s="97">
        <f t="shared" si="18"/>
        <v>26</v>
      </c>
      <c r="DT39" s="97">
        <f t="shared" si="18"/>
        <v>27</v>
      </c>
      <c r="DU39" s="97">
        <f t="shared" si="18"/>
        <v>28</v>
      </c>
      <c r="DV39" s="97">
        <f t="shared" si="18"/>
        <v>29</v>
      </c>
      <c r="DW39" s="97">
        <f t="shared" si="18"/>
        <v>30</v>
      </c>
      <c r="DX39" s="97">
        <f t="shared" si="18"/>
        <v>31</v>
      </c>
      <c r="DY39" s="95" t="s">
        <v>1</v>
      </c>
      <c r="DZ39" s="100">
        <v>1</v>
      </c>
      <c r="EA39" s="100">
        <v>2</v>
      </c>
      <c r="EB39" s="100">
        <v>3</v>
      </c>
      <c r="EC39" s="100">
        <v>4</v>
      </c>
      <c r="ED39" s="100">
        <v>5</v>
      </c>
      <c r="EE39" s="100">
        <v>6</v>
      </c>
      <c r="EF39" s="100">
        <v>7</v>
      </c>
      <c r="EG39" s="100">
        <v>8</v>
      </c>
      <c r="EH39" s="100">
        <v>9</v>
      </c>
      <c r="EI39" s="100">
        <v>10</v>
      </c>
      <c r="EJ39" s="100">
        <v>11</v>
      </c>
      <c r="EK39" s="100">
        <v>12</v>
      </c>
      <c r="EL39" s="100">
        <v>13</v>
      </c>
      <c r="EM39" s="100">
        <v>14</v>
      </c>
      <c r="EN39" s="100">
        <v>15</v>
      </c>
      <c r="EO39" s="100">
        <v>16</v>
      </c>
      <c r="EP39" s="100">
        <v>17</v>
      </c>
      <c r="EQ39" s="100">
        <v>18</v>
      </c>
      <c r="ER39" s="100">
        <v>19</v>
      </c>
      <c r="ES39" s="100">
        <v>20</v>
      </c>
      <c r="ET39" s="100">
        <v>21</v>
      </c>
      <c r="EU39" s="100">
        <v>22</v>
      </c>
      <c r="EV39" s="100">
        <v>23</v>
      </c>
      <c r="EW39" s="100">
        <v>24</v>
      </c>
      <c r="EX39" s="100">
        <v>25</v>
      </c>
      <c r="EY39" s="100">
        <v>26</v>
      </c>
      <c r="EZ39" s="100">
        <v>27</v>
      </c>
      <c r="FA39" s="100">
        <v>28</v>
      </c>
      <c r="FB39" s="100">
        <v>29</v>
      </c>
      <c r="FC39" s="100">
        <v>30</v>
      </c>
      <c r="FD39" s="95" t="s">
        <v>1</v>
      </c>
      <c r="FE39" s="100">
        <v>1</v>
      </c>
      <c r="FF39" s="100">
        <v>2</v>
      </c>
      <c r="FG39" s="100">
        <v>3</v>
      </c>
      <c r="FH39" s="100">
        <v>4</v>
      </c>
      <c r="FI39" s="100">
        <v>5</v>
      </c>
      <c r="FJ39" s="100">
        <v>6</v>
      </c>
      <c r="FK39" s="100">
        <v>7</v>
      </c>
      <c r="FL39" s="100">
        <v>8</v>
      </c>
      <c r="FM39" s="100">
        <v>9</v>
      </c>
      <c r="FN39" s="100">
        <v>10</v>
      </c>
      <c r="FO39" s="100">
        <v>11</v>
      </c>
      <c r="FP39" s="100">
        <v>12</v>
      </c>
      <c r="FQ39" s="100">
        <v>13</v>
      </c>
      <c r="FR39" s="100">
        <v>14</v>
      </c>
      <c r="FS39" s="100">
        <v>15</v>
      </c>
      <c r="FT39" s="100">
        <v>16</v>
      </c>
      <c r="FU39" s="100">
        <v>17</v>
      </c>
      <c r="FV39" s="100">
        <v>18</v>
      </c>
      <c r="FW39" s="100">
        <v>19</v>
      </c>
      <c r="FX39" s="100">
        <v>20</v>
      </c>
      <c r="FY39" s="100">
        <v>21</v>
      </c>
      <c r="FZ39" s="100">
        <v>22</v>
      </c>
      <c r="GA39" s="100">
        <v>23</v>
      </c>
      <c r="GB39" s="100">
        <v>24</v>
      </c>
      <c r="GC39" s="100">
        <v>25</v>
      </c>
      <c r="GD39" s="100">
        <v>26</v>
      </c>
      <c r="GE39" s="100">
        <v>27</v>
      </c>
      <c r="GF39" s="100">
        <v>28</v>
      </c>
      <c r="GG39" s="100">
        <v>29</v>
      </c>
      <c r="GH39" s="100">
        <v>30</v>
      </c>
      <c r="GI39" s="100">
        <v>31</v>
      </c>
      <c r="GJ39" s="95" t="s">
        <v>1</v>
      </c>
      <c r="GK39" s="100">
        <v>1</v>
      </c>
      <c r="GL39" s="100">
        <v>2</v>
      </c>
      <c r="GM39" s="100">
        <v>3</v>
      </c>
      <c r="GN39" s="100">
        <v>4</v>
      </c>
      <c r="GO39" s="100">
        <v>5</v>
      </c>
      <c r="GP39" s="100">
        <v>6</v>
      </c>
      <c r="GQ39" s="100">
        <v>7</v>
      </c>
      <c r="GR39" s="100">
        <v>8</v>
      </c>
      <c r="GS39" s="100">
        <v>9</v>
      </c>
      <c r="GT39" s="100">
        <v>10</v>
      </c>
      <c r="GU39" s="100">
        <v>11</v>
      </c>
      <c r="GV39" s="100">
        <v>12</v>
      </c>
      <c r="GW39" s="100">
        <v>13</v>
      </c>
      <c r="GX39" s="100">
        <v>14</v>
      </c>
      <c r="GY39" s="100">
        <v>15</v>
      </c>
      <c r="GZ39" s="100">
        <v>16</v>
      </c>
      <c r="HA39" s="100">
        <v>17</v>
      </c>
      <c r="HB39" s="100">
        <v>18</v>
      </c>
      <c r="HC39" s="100">
        <v>19</v>
      </c>
      <c r="HD39" s="100">
        <v>20</v>
      </c>
      <c r="HE39" s="100">
        <v>21</v>
      </c>
      <c r="HF39" s="100">
        <v>22</v>
      </c>
      <c r="HG39" s="100">
        <v>23</v>
      </c>
      <c r="HH39" s="100">
        <v>24</v>
      </c>
      <c r="HI39" s="100">
        <v>25</v>
      </c>
      <c r="HJ39" s="100">
        <v>26</v>
      </c>
      <c r="HK39" s="100">
        <v>27</v>
      </c>
      <c r="HL39" s="100">
        <v>28</v>
      </c>
      <c r="HM39" s="100">
        <v>29</v>
      </c>
      <c r="HN39" s="100">
        <v>30</v>
      </c>
      <c r="HO39" s="100">
        <v>31</v>
      </c>
      <c r="HP39" s="95" t="s">
        <v>1</v>
      </c>
      <c r="HQ39" s="100">
        <v>1</v>
      </c>
      <c r="HR39" s="100">
        <v>2</v>
      </c>
      <c r="HS39" s="100">
        <v>3</v>
      </c>
      <c r="HT39" s="100">
        <v>4</v>
      </c>
      <c r="HU39" s="100">
        <v>5</v>
      </c>
      <c r="HV39" s="100">
        <v>6</v>
      </c>
      <c r="HW39" s="100">
        <v>7</v>
      </c>
      <c r="HX39" s="100">
        <v>8</v>
      </c>
      <c r="HY39" s="100">
        <v>9</v>
      </c>
      <c r="HZ39" s="100">
        <v>10</v>
      </c>
      <c r="IA39" s="100">
        <v>11</v>
      </c>
      <c r="IB39" s="100">
        <v>12</v>
      </c>
      <c r="IC39" s="100">
        <v>13</v>
      </c>
      <c r="ID39" s="100">
        <v>14</v>
      </c>
      <c r="IE39" s="100">
        <v>15</v>
      </c>
      <c r="IF39" s="100">
        <v>16</v>
      </c>
      <c r="IG39" s="100">
        <v>17</v>
      </c>
      <c r="IH39" s="100">
        <v>18</v>
      </c>
      <c r="II39" s="100">
        <v>19</v>
      </c>
      <c r="IJ39" s="100">
        <v>20</v>
      </c>
      <c r="IK39" s="100">
        <v>21</v>
      </c>
      <c r="IL39" s="100">
        <v>22</v>
      </c>
      <c r="IM39" s="100">
        <v>23</v>
      </c>
      <c r="IN39" s="100">
        <v>24</v>
      </c>
      <c r="IO39" s="100">
        <v>25</v>
      </c>
      <c r="IP39" s="100">
        <v>26</v>
      </c>
      <c r="IQ39" s="100">
        <v>27</v>
      </c>
      <c r="IR39" s="100">
        <v>28</v>
      </c>
      <c r="IS39" s="100">
        <v>29</v>
      </c>
      <c r="IT39" s="95" t="s">
        <v>1</v>
      </c>
      <c r="IU39" s="100">
        <v>1</v>
      </c>
      <c r="IV39" s="100">
        <v>2</v>
      </c>
      <c r="IW39" s="100">
        <v>3</v>
      </c>
      <c r="IX39" s="100">
        <v>4</v>
      </c>
      <c r="IY39" s="100">
        <v>5</v>
      </c>
      <c r="IZ39" s="100">
        <v>6</v>
      </c>
      <c r="JA39" s="100">
        <v>7</v>
      </c>
      <c r="JB39" s="100">
        <v>8</v>
      </c>
      <c r="JC39" s="100">
        <v>9</v>
      </c>
      <c r="JD39" s="100">
        <v>10</v>
      </c>
      <c r="JE39" s="100">
        <v>11</v>
      </c>
      <c r="JF39" s="100">
        <v>12</v>
      </c>
      <c r="JG39" s="100">
        <v>13</v>
      </c>
      <c r="JH39" s="100">
        <v>14</v>
      </c>
      <c r="JI39" s="100">
        <v>15</v>
      </c>
      <c r="JJ39" s="100">
        <v>16</v>
      </c>
      <c r="JK39" s="100">
        <v>17</v>
      </c>
      <c r="JL39" s="100">
        <v>18</v>
      </c>
      <c r="JM39" s="100">
        <v>19</v>
      </c>
      <c r="JN39" s="100">
        <v>20</v>
      </c>
      <c r="JO39" s="100">
        <v>21</v>
      </c>
      <c r="JP39" s="100">
        <v>22</v>
      </c>
      <c r="JQ39" s="100">
        <v>23</v>
      </c>
      <c r="JR39" s="100">
        <v>24</v>
      </c>
      <c r="JS39" s="100">
        <v>25</v>
      </c>
      <c r="JT39" s="100">
        <v>26</v>
      </c>
      <c r="JU39" s="100">
        <v>27</v>
      </c>
      <c r="JV39" s="100">
        <v>28</v>
      </c>
      <c r="JW39" s="100">
        <v>29</v>
      </c>
      <c r="JX39" s="100">
        <v>30</v>
      </c>
      <c r="JY39" s="100">
        <v>31</v>
      </c>
      <c r="JZ39" s="95" t="s">
        <v>1</v>
      </c>
      <c r="KA39" s="100">
        <v>1</v>
      </c>
      <c r="KB39" s="100">
        <v>2</v>
      </c>
      <c r="KC39" s="100">
        <v>3</v>
      </c>
      <c r="KD39" s="100">
        <v>4</v>
      </c>
      <c r="KE39" s="100">
        <v>5</v>
      </c>
      <c r="KF39" s="100">
        <v>6</v>
      </c>
      <c r="KG39" s="100">
        <v>7</v>
      </c>
      <c r="KH39" s="100">
        <v>8</v>
      </c>
      <c r="KI39" s="100">
        <v>9</v>
      </c>
      <c r="KJ39" s="100">
        <v>10</v>
      </c>
      <c r="KK39" s="100">
        <v>11</v>
      </c>
      <c r="KL39" s="100">
        <v>12</v>
      </c>
      <c r="KM39" s="100">
        <v>13</v>
      </c>
      <c r="KN39" s="100">
        <v>14</v>
      </c>
      <c r="KO39" s="100">
        <v>15</v>
      </c>
      <c r="KP39" s="100">
        <v>16</v>
      </c>
      <c r="KQ39" s="100">
        <v>17</v>
      </c>
      <c r="KR39" s="100">
        <v>18</v>
      </c>
      <c r="KS39" s="100">
        <v>19</v>
      </c>
      <c r="KT39" s="100">
        <v>20</v>
      </c>
      <c r="KU39" s="100">
        <v>21</v>
      </c>
      <c r="KV39" s="100">
        <v>22</v>
      </c>
      <c r="KW39" s="101">
        <v>23</v>
      </c>
      <c r="KX39" s="101">
        <v>24</v>
      </c>
      <c r="KY39" s="102">
        <v>25</v>
      </c>
      <c r="KZ39" s="102">
        <v>26</v>
      </c>
      <c r="LA39" s="102">
        <v>27</v>
      </c>
      <c r="LB39" s="102">
        <v>28</v>
      </c>
      <c r="LC39" s="102">
        <v>29</v>
      </c>
      <c r="LD39" s="102">
        <v>30</v>
      </c>
      <c r="LE39" s="103" t="s">
        <v>1</v>
      </c>
      <c r="LF39" s="102">
        <v>1</v>
      </c>
      <c r="LG39" s="102">
        <v>2</v>
      </c>
      <c r="LH39" s="102">
        <v>3</v>
      </c>
      <c r="LI39" s="102">
        <v>4</v>
      </c>
      <c r="LJ39" s="102">
        <v>5</v>
      </c>
      <c r="LK39" s="102">
        <v>6</v>
      </c>
      <c r="LL39" s="102">
        <v>7</v>
      </c>
      <c r="LM39" s="102">
        <v>8</v>
      </c>
      <c r="LN39" s="102">
        <v>9</v>
      </c>
      <c r="LO39" s="102">
        <v>10</v>
      </c>
      <c r="LP39" s="102">
        <v>11</v>
      </c>
      <c r="LQ39" s="102">
        <v>12</v>
      </c>
      <c r="LR39" s="102">
        <v>13</v>
      </c>
      <c r="LS39" s="102">
        <v>14</v>
      </c>
      <c r="LT39" s="102">
        <v>15</v>
      </c>
      <c r="LU39" s="102">
        <v>16</v>
      </c>
      <c r="LV39" s="102">
        <v>17</v>
      </c>
      <c r="LW39" s="102">
        <v>18</v>
      </c>
      <c r="LX39" s="102">
        <v>19</v>
      </c>
      <c r="LY39" s="102">
        <v>20</v>
      </c>
      <c r="LZ39" s="100">
        <v>21</v>
      </c>
      <c r="MA39" s="100">
        <v>22</v>
      </c>
      <c r="MB39" s="100">
        <v>23</v>
      </c>
      <c r="MC39" s="100">
        <v>24</v>
      </c>
      <c r="MD39" s="100">
        <v>25</v>
      </c>
      <c r="ME39" s="100">
        <v>26</v>
      </c>
      <c r="MF39" s="100">
        <v>27</v>
      </c>
      <c r="MG39" s="100">
        <v>28</v>
      </c>
      <c r="MH39" s="100">
        <v>29</v>
      </c>
      <c r="MI39" s="100">
        <v>30</v>
      </c>
      <c r="MJ39" s="100">
        <v>31</v>
      </c>
      <c r="MK39" s="95" t="s">
        <v>1</v>
      </c>
      <c r="ML39" s="100">
        <v>1</v>
      </c>
      <c r="MM39" s="100">
        <v>2</v>
      </c>
      <c r="MN39" s="100">
        <v>3</v>
      </c>
      <c r="MO39" s="100">
        <v>4</v>
      </c>
      <c r="MP39" s="100">
        <v>5</v>
      </c>
      <c r="MQ39" s="100">
        <v>6</v>
      </c>
      <c r="MR39" s="100">
        <v>7</v>
      </c>
      <c r="MS39" s="100">
        <v>8</v>
      </c>
      <c r="MT39" s="100">
        <v>9</v>
      </c>
      <c r="MU39" s="100">
        <v>10</v>
      </c>
      <c r="MV39" s="100">
        <v>11</v>
      </c>
      <c r="MW39" s="100">
        <v>12</v>
      </c>
      <c r="MX39" s="100">
        <v>13</v>
      </c>
      <c r="MY39" s="100">
        <v>14</v>
      </c>
      <c r="MZ39" s="100">
        <v>15</v>
      </c>
      <c r="NA39" s="100">
        <v>16</v>
      </c>
      <c r="NB39" s="100">
        <v>17</v>
      </c>
      <c r="NC39" s="100">
        <v>18</v>
      </c>
      <c r="ND39" s="100">
        <v>19</v>
      </c>
      <c r="NE39" s="100">
        <v>20</v>
      </c>
      <c r="NF39" s="100">
        <v>21</v>
      </c>
      <c r="NG39" s="100">
        <v>22</v>
      </c>
      <c r="NH39" s="100">
        <v>23</v>
      </c>
      <c r="NI39" s="100">
        <v>24</v>
      </c>
      <c r="NJ39" s="100">
        <v>25</v>
      </c>
      <c r="NK39" s="100">
        <v>25</v>
      </c>
      <c r="NL39" s="100">
        <v>27</v>
      </c>
      <c r="NM39" s="100">
        <v>28</v>
      </c>
      <c r="NN39" s="100">
        <v>29</v>
      </c>
      <c r="NO39" s="100">
        <v>30</v>
      </c>
      <c r="NP39" s="95" t="s">
        <v>1</v>
      </c>
      <c r="NQ39" s="100">
        <v>1</v>
      </c>
      <c r="NR39" s="100">
        <v>2</v>
      </c>
      <c r="NS39" s="100">
        <v>3</v>
      </c>
      <c r="NT39" s="100">
        <v>4</v>
      </c>
      <c r="NU39" s="100">
        <v>5</v>
      </c>
      <c r="NV39" s="100">
        <v>6</v>
      </c>
      <c r="NW39" s="100">
        <v>7</v>
      </c>
      <c r="NX39" s="100">
        <v>8</v>
      </c>
      <c r="NY39" s="100">
        <v>9</v>
      </c>
      <c r="NZ39" s="221">
        <v>10</v>
      </c>
      <c r="OA39" s="100">
        <v>11</v>
      </c>
      <c r="OB39" s="100">
        <v>12</v>
      </c>
      <c r="OC39" s="100">
        <v>13</v>
      </c>
      <c r="OD39" s="100">
        <v>14</v>
      </c>
      <c r="OE39" s="100">
        <v>15</v>
      </c>
      <c r="OF39" s="100">
        <v>16</v>
      </c>
      <c r="OG39" s="100">
        <v>17</v>
      </c>
      <c r="OH39" s="100">
        <v>18</v>
      </c>
      <c r="OI39" s="100">
        <v>19</v>
      </c>
      <c r="OJ39" s="100">
        <v>20</v>
      </c>
      <c r="OK39" s="100">
        <v>21</v>
      </c>
      <c r="OL39" s="100">
        <v>22</v>
      </c>
      <c r="OM39" s="100">
        <v>23</v>
      </c>
      <c r="ON39" s="221">
        <v>24</v>
      </c>
      <c r="OO39" s="100">
        <v>25</v>
      </c>
      <c r="OP39" s="100">
        <v>26</v>
      </c>
      <c r="OQ39" s="100">
        <v>27</v>
      </c>
      <c r="OR39" s="100">
        <v>28</v>
      </c>
      <c r="OS39" s="100">
        <v>29</v>
      </c>
      <c r="OT39" s="100">
        <v>30</v>
      </c>
      <c r="OU39" s="100">
        <v>31</v>
      </c>
      <c r="OV39" s="95" t="s">
        <v>1</v>
      </c>
      <c r="OW39" s="94">
        <v>1</v>
      </c>
      <c r="OX39" s="94">
        <v>2</v>
      </c>
      <c r="OY39" s="94">
        <v>3</v>
      </c>
      <c r="OZ39" s="94">
        <v>4</v>
      </c>
      <c r="PA39" s="94">
        <v>5</v>
      </c>
      <c r="PB39" s="94">
        <v>6</v>
      </c>
      <c r="PC39" s="94">
        <v>7</v>
      </c>
      <c r="PD39" s="94">
        <v>8</v>
      </c>
      <c r="PE39" s="94">
        <v>9</v>
      </c>
      <c r="PF39" s="94">
        <v>10</v>
      </c>
      <c r="PG39" s="94">
        <v>11</v>
      </c>
      <c r="PH39" s="94">
        <v>12</v>
      </c>
      <c r="PI39" s="94">
        <v>13</v>
      </c>
      <c r="PJ39" s="94">
        <v>14</v>
      </c>
      <c r="PK39" s="94">
        <v>15</v>
      </c>
      <c r="PL39" s="94">
        <v>16</v>
      </c>
      <c r="PM39" s="94">
        <v>17</v>
      </c>
      <c r="PN39" s="94">
        <v>18</v>
      </c>
      <c r="PO39" s="94">
        <v>19</v>
      </c>
      <c r="PP39" s="94">
        <v>20</v>
      </c>
      <c r="PQ39" s="94">
        <v>21</v>
      </c>
      <c r="PR39" s="94">
        <v>22</v>
      </c>
      <c r="PS39" s="94">
        <v>23</v>
      </c>
      <c r="PT39" s="94">
        <v>24</v>
      </c>
      <c r="PU39" s="94">
        <v>25</v>
      </c>
      <c r="PV39" s="94">
        <v>26</v>
      </c>
      <c r="PW39" s="94">
        <v>27</v>
      </c>
      <c r="PX39" s="94">
        <v>28</v>
      </c>
      <c r="PY39" s="94">
        <v>29</v>
      </c>
      <c r="PZ39" s="94">
        <v>30</v>
      </c>
      <c r="QA39" s="94">
        <v>31</v>
      </c>
      <c r="QB39" s="95" t="s">
        <v>1</v>
      </c>
      <c r="QC39" s="94">
        <v>1</v>
      </c>
      <c r="QD39" s="94">
        <v>2</v>
      </c>
      <c r="QE39" s="94">
        <v>3</v>
      </c>
      <c r="QF39" s="94">
        <v>4</v>
      </c>
      <c r="QG39" s="94">
        <v>5</v>
      </c>
      <c r="QH39" s="94">
        <v>6</v>
      </c>
      <c r="QI39" s="94">
        <v>7</v>
      </c>
      <c r="QJ39" s="94">
        <v>8</v>
      </c>
      <c r="QK39" s="94">
        <v>9</v>
      </c>
      <c r="QL39" s="94">
        <v>10</v>
      </c>
      <c r="QM39" s="94">
        <v>11</v>
      </c>
      <c r="QN39" s="94">
        <v>12</v>
      </c>
      <c r="QO39" s="94">
        <v>13</v>
      </c>
      <c r="QP39" s="94">
        <v>14</v>
      </c>
      <c r="QQ39" s="94">
        <v>15</v>
      </c>
      <c r="QR39" s="94">
        <v>16</v>
      </c>
      <c r="QS39" s="94">
        <v>17</v>
      </c>
      <c r="QT39" s="94">
        <v>18</v>
      </c>
      <c r="QU39" s="94">
        <v>19</v>
      </c>
      <c r="QV39" s="94">
        <v>20</v>
      </c>
      <c r="QW39" s="94">
        <v>21</v>
      </c>
      <c r="QX39" s="94">
        <v>22</v>
      </c>
      <c r="QY39" s="94">
        <v>23</v>
      </c>
      <c r="QZ39" s="94">
        <v>24</v>
      </c>
      <c r="RA39" s="94">
        <v>25</v>
      </c>
      <c r="RB39" s="94">
        <v>26</v>
      </c>
      <c r="RC39" s="94">
        <v>27</v>
      </c>
      <c r="RD39" s="94">
        <v>28</v>
      </c>
      <c r="RE39" s="94">
        <v>29</v>
      </c>
      <c r="RF39" s="94">
        <v>30</v>
      </c>
      <c r="RG39" s="95" t="s">
        <v>1</v>
      </c>
      <c r="RH39" s="94">
        <v>1</v>
      </c>
      <c r="RI39" s="94">
        <v>2</v>
      </c>
      <c r="RJ39" s="94">
        <v>3</v>
      </c>
      <c r="RK39" s="94">
        <v>4</v>
      </c>
      <c r="RL39" s="94">
        <v>5</v>
      </c>
      <c r="RM39" s="94">
        <v>6</v>
      </c>
      <c r="RN39" s="94">
        <v>7</v>
      </c>
      <c r="RO39" s="94">
        <v>8</v>
      </c>
      <c r="RP39" s="94">
        <v>9</v>
      </c>
      <c r="RQ39" s="94">
        <v>10</v>
      </c>
      <c r="RR39" s="94">
        <v>11</v>
      </c>
      <c r="RS39" s="94">
        <v>12</v>
      </c>
      <c r="RT39" s="94">
        <v>13</v>
      </c>
      <c r="RU39" s="94">
        <v>14</v>
      </c>
      <c r="RV39" s="94">
        <v>15</v>
      </c>
      <c r="RW39" s="94">
        <v>16</v>
      </c>
      <c r="RX39" s="94">
        <v>17</v>
      </c>
      <c r="RY39" s="94">
        <v>18</v>
      </c>
      <c r="RZ39" s="94">
        <v>19</v>
      </c>
      <c r="SA39" s="94">
        <v>20</v>
      </c>
      <c r="SB39" s="94">
        <v>21</v>
      </c>
      <c r="SC39" s="94">
        <v>22</v>
      </c>
      <c r="SD39" s="94">
        <v>23</v>
      </c>
      <c r="SE39" s="94">
        <v>24</v>
      </c>
      <c r="SF39" s="94">
        <v>25</v>
      </c>
      <c r="SG39" s="94">
        <v>26</v>
      </c>
      <c r="SH39" s="94">
        <v>27</v>
      </c>
      <c r="SI39" s="94">
        <v>28</v>
      </c>
      <c r="SJ39" s="94">
        <v>29</v>
      </c>
      <c r="SK39" s="94">
        <v>30</v>
      </c>
      <c r="SL39" s="94">
        <v>31</v>
      </c>
      <c r="SM39" s="95" t="s">
        <v>1</v>
      </c>
      <c r="SN39" s="94">
        <v>1</v>
      </c>
      <c r="SO39" s="94">
        <v>2</v>
      </c>
      <c r="SP39" s="94">
        <v>3</v>
      </c>
      <c r="SQ39" s="94">
        <v>4</v>
      </c>
      <c r="SR39" s="94">
        <v>5</v>
      </c>
      <c r="SS39" s="94">
        <v>6</v>
      </c>
      <c r="ST39" s="94">
        <v>7</v>
      </c>
      <c r="SU39" s="94">
        <v>8</v>
      </c>
      <c r="SV39" s="94">
        <v>9</v>
      </c>
      <c r="SW39" s="94">
        <v>10</v>
      </c>
      <c r="SX39" s="94">
        <v>11</v>
      </c>
      <c r="SY39" s="94">
        <v>12</v>
      </c>
      <c r="SZ39" s="94">
        <v>13</v>
      </c>
      <c r="TA39" s="94">
        <v>14</v>
      </c>
      <c r="TB39" s="94">
        <v>15</v>
      </c>
      <c r="TC39" s="94">
        <v>16</v>
      </c>
      <c r="TD39" s="94">
        <v>17</v>
      </c>
      <c r="TE39" s="94">
        <v>18</v>
      </c>
      <c r="TF39" s="94">
        <v>19</v>
      </c>
      <c r="TG39" s="94">
        <v>20</v>
      </c>
      <c r="TH39" s="94">
        <v>21</v>
      </c>
      <c r="TI39" s="94">
        <v>22</v>
      </c>
      <c r="TJ39" s="94">
        <v>23</v>
      </c>
      <c r="TK39" s="94">
        <v>24</v>
      </c>
      <c r="TL39" s="94">
        <v>25</v>
      </c>
      <c r="TM39" s="94">
        <v>26</v>
      </c>
      <c r="TN39" s="94">
        <v>27</v>
      </c>
      <c r="TO39" s="94">
        <v>28</v>
      </c>
      <c r="TP39" s="94">
        <v>29</v>
      </c>
      <c r="TQ39" s="94">
        <v>30</v>
      </c>
      <c r="TR39" s="95" t="s">
        <v>1</v>
      </c>
      <c r="TS39" s="94">
        <v>1</v>
      </c>
      <c r="TT39" s="94">
        <v>2</v>
      </c>
      <c r="TU39" s="94">
        <v>3</v>
      </c>
      <c r="TV39" s="94">
        <v>4</v>
      </c>
      <c r="TW39" s="94">
        <v>5</v>
      </c>
      <c r="TX39" s="94">
        <v>6</v>
      </c>
      <c r="TY39" s="94">
        <v>7</v>
      </c>
      <c r="TZ39" s="94">
        <v>8</v>
      </c>
      <c r="UA39" s="94">
        <v>9</v>
      </c>
      <c r="UB39" s="94">
        <v>10</v>
      </c>
      <c r="UC39" s="94">
        <v>11</v>
      </c>
      <c r="UD39" s="94">
        <v>12</v>
      </c>
      <c r="UE39" s="94">
        <v>13</v>
      </c>
      <c r="UF39" s="94">
        <v>14</v>
      </c>
      <c r="UG39" s="94">
        <v>15</v>
      </c>
      <c r="UH39" s="94">
        <v>16</v>
      </c>
      <c r="UI39" s="94">
        <v>17</v>
      </c>
      <c r="UJ39" s="94">
        <v>18</v>
      </c>
      <c r="UK39" s="94">
        <v>19</v>
      </c>
      <c r="UL39" s="94">
        <v>20</v>
      </c>
      <c r="UM39" s="94">
        <v>21</v>
      </c>
      <c r="UN39" s="94">
        <v>22</v>
      </c>
      <c r="UO39" s="94">
        <v>23</v>
      </c>
      <c r="UP39" s="94">
        <v>24</v>
      </c>
      <c r="UQ39" s="94">
        <v>25</v>
      </c>
      <c r="UR39" s="94">
        <v>26</v>
      </c>
      <c r="US39" s="94">
        <v>27</v>
      </c>
      <c r="UT39" s="94">
        <v>28</v>
      </c>
      <c r="UU39" s="94">
        <v>29</v>
      </c>
      <c r="UV39" s="94">
        <v>30</v>
      </c>
      <c r="UW39" s="94">
        <v>31</v>
      </c>
      <c r="UX39" s="95" t="s">
        <v>1</v>
      </c>
      <c r="UY39" s="94">
        <v>1</v>
      </c>
      <c r="UZ39" s="94">
        <v>2</v>
      </c>
      <c r="VA39" s="94">
        <v>3</v>
      </c>
      <c r="VB39" s="94">
        <v>4</v>
      </c>
      <c r="VC39" s="94">
        <v>5</v>
      </c>
      <c r="VD39" s="94">
        <v>6</v>
      </c>
      <c r="VE39" s="94">
        <v>7</v>
      </c>
      <c r="VF39" s="94">
        <v>8</v>
      </c>
      <c r="VG39" s="94">
        <v>9</v>
      </c>
      <c r="VH39" s="94">
        <v>10</v>
      </c>
      <c r="VI39" s="94">
        <v>11</v>
      </c>
      <c r="VJ39" s="94">
        <v>12</v>
      </c>
      <c r="VK39" s="94">
        <v>13</v>
      </c>
      <c r="VL39" s="94">
        <v>14</v>
      </c>
      <c r="VM39" s="94">
        <v>15</v>
      </c>
      <c r="VN39" s="94">
        <v>16</v>
      </c>
      <c r="VO39" s="94">
        <v>17</v>
      </c>
      <c r="VP39" s="94">
        <v>18</v>
      </c>
      <c r="VQ39" s="94">
        <v>19</v>
      </c>
      <c r="VR39" s="94">
        <v>20</v>
      </c>
      <c r="VS39" s="94">
        <v>21</v>
      </c>
      <c r="VT39" s="94">
        <v>22</v>
      </c>
      <c r="VU39" s="94">
        <v>23</v>
      </c>
      <c r="VV39" s="94">
        <v>24</v>
      </c>
      <c r="VW39" s="94">
        <v>25</v>
      </c>
      <c r="VX39" s="94">
        <v>26</v>
      </c>
      <c r="VY39" s="94">
        <v>27</v>
      </c>
      <c r="VZ39" s="94">
        <v>28</v>
      </c>
      <c r="WA39" s="94">
        <v>29</v>
      </c>
      <c r="WB39" s="94">
        <v>30</v>
      </c>
      <c r="WC39" s="94">
        <v>31</v>
      </c>
      <c r="WD39" s="95" t="s">
        <v>1</v>
      </c>
      <c r="WE39" s="94">
        <v>1</v>
      </c>
      <c r="WF39" s="94">
        <v>2</v>
      </c>
      <c r="WG39" s="94">
        <v>3</v>
      </c>
      <c r="WH39" s="94">
        <v>4</v>
      </c>
      <c r="WI39" s="94">
        <v>5</v>
      </c>
      <c r="WJ39" s="94">
        <v>6</v>
      </c>
      <c r="WK39" s="94">
        <v>7</v>
      </c>
      <c r="WL39" s="94">
        <v>8</v>
      </c>
      <c r="WM39" s="94">
        <v>9</v>
      </c>
      <c r="WN39" s="94">
        <v>10</v>
      </c>
      <c r="WO39" s="94">
        <v>11</v>
      </c>
      <c r="WP39" s="94">
        <v>12</v>
      </c>
      <c r="WQ39" s="94">
        <v>13</v>
      </c>
      <c r="WR39" s="94">
        <v>14</v>
      </c>
      <c r="WS39" s="94">
        <v>15</v>
      </c>
      <c r="WT39" s="94">
        <v>16</v>
      </c>
      <c r="WU39" s="94">
        <v>17</v>
      </c>
      <c r="WV39" s="94">
        <v>18</v>
      </c>
      <c r="WW39" s="94">
        <v>19</v>
      </c>
      <c r="WX39" s="94">
        <v>20</v>
      </c>
      <c r="WY39" s="469">
        <v>21</v>
      </c>
      <c r="WZ39" s="94">
        <v>22</v>
      </c>
      <c r="XA39" s="94">
        <v>23</v>
      </c>
      <c r="XB39" s="94">
        <v>24</v>
      </c>
      <c r="XC39" s="94">
        <v>25</v>
      </c>
      <c r="XD39" s="94">
        <v>26</v>
      </c>
      <c r="XE39" s="94">
        <v>27</v>
      </c>
      <c r="XF39" s="94">
        <v>28</v>
      </c>
      <c r="XG39" s="95" t="s">
        <v>1</v>
      </c>
      <c r="XH39" s="94">
        <v>1</v>
      </c>
      <c r="XI39" s="94">
        <v>2</v>
      </c>
      <c r="XJ39" s="94">
        <v>3</v>
      </c>
      <c r="XK39" s="94">
        <v>4</v>
      </c>
      <c r="XL39" s="94">
        <v>5</v>
      </c>
      <c r="XM39" s="94">
        <v>6</v>
      </c>
      <c r="XN39" s="94">
        <v>7</v>
      </c>
      <c r="XO39" s="94">
        <v>8</v>
      </c>
      <c r="XP39" s="94">
        <v>9</v>
      </c>
      <c r="XQ39" s="94">
        <v>10</v>
      </c>
      <c r="XR39" s="94">
        <v>11</v>
      </c>
      <c r="XS39" s="94">
        <v>12</v>
      </c>
      <c r="XT39" s="94">
        <v>13</v>
      </c>
      <c r="XU39" s="94">
        <v>14</v>
      </c>
      <c r="XV39" s="94">
        <v>15</v>
      </c>
      <c r="XW39" s="94">
        <v>16</v>
      </c>
      <c r="XX39" s="94">
        <v>17</v>
      </c>
      <c r="XY39" s="94">
        <v>18</v>
      </c>
      <c r="XZ39" s="575">
        <v>19</v>
      </c>
      <c r="YA39" s="94">
        <v>20</v>
      </c>
      <c r="YB39" s="94">
        <v>21</v>
      </c>
      <c r="YC39" s="94">
        <v>22</v>
      </c>
      <c r="YD39" s="94">
        <v>23</v>
      </c>
      <c r="YE39" s="94">
        <v>24</v>
      </c>
      <c r="YF39" s="94">
        <v>25</v>
      </c>
      <c r="YG39" s="94">
        <v>26</v>
      </c>
      <c r="YH39" s="94">
        <v>27</v>
      </c>
      <c r="YI39" s="94">
        <v>28</v>
      </c>
      <c r="YJ39" s="94">
        <v>29</v>
      </c>
      <c r="YK39" s="469">
        <v>30</v>
      </c>
      <c r="YL39" s="94">
        <v>31</v>
      </c>
      <c r="YM39" s="95" t="s">
        <v>1</v>
      </c>
      <c r="YN39" s="94">
        <v>1</v>
      </c>
      <c r="YO39" s="470">
        <v>2</v>
      </c>
      <c r="YP39" s="94">
        <v>3</v>
      </c>
      <c r="YQ39" s="94">
        <v>4</v>
      </c>
      <c r="YR39" s="94">
        <v>5</v>
      </c>
      <c r="YS39" s="94">
        <v>6</v>
      </c>
      <c r="YT39" s="94">
        <v>7</v>
      </c>
      <c r="YU39" s="94">
        <v>8</v>
      </c>
      <c r="YV39" s="94">
        <v>9</v>
      </c>
      <c r="YW39" s="94">
        <v>10</v>
      </c>
      <c r="YX39" s="94">
        <v>11</v>
      </c>
      <c r="YY39" s="94">
        <v>12</v>
      </c>
      <c r="YZ39" s="94">
        <v>13</v>
      </c>
      <c r="ZA39" s="469">
        <v>14</v>
      </c>
      <c r="ZB39" s="94">
        <v>15</v>
      </c>
      <c r="ZC39" s="469">
        <v>16</v>
      </c>
      <c r="ZD39" s="94">
        <v>17</v>
      </c>
      <c r="ZE39" s="94">
        <v>18</v>
      </c>
      <c r="ZF39" s="94">
        <v>19</v>
      </c>
      <c r="ZG39" s="94">
        <v>20</v>
      </c>
      <c r="ZH39" s="94">
        <v>21</v>
      </c>
      <c r="ZI39" s="94">
        <v>22</v>
      </c>
      <c r="ZJ39" s="94">
        <v>23</v>
      </c>
      <c r="ZK39" s="94">
        <v>24</v>
      </c>
      <c r="ZL39" s="94">
        <v>25</v>
      </c>
      <c r="ZM39" s="94">
        <v>26</v>
      </c>
      <c r="ZN39" s="94">
        <v>27</v>
      </c>
      <c r="ZO39" s="94">
        <v>28</v>
      </c>
      <c r="ZP39" s="94">
        <v>29</v>
      </c>
      <c r="ZQ39" s="94">
        <v>30</v>
      </c>
      <c r="ZR39" s="95" t="s">
        <v>1</v>
      </c>
      <c r="ZS39" s="469">
        <v>1</v>
      </c>
      <c r="ZT39" s="94">
        <v>2</v>
      </c>
      <c r="ZU39" s="94">
        <v>3</v>
      </c>
      <c r="ZV39" s="94">
        <v>4</v>
      </c>
      <c r="ZW39" s="94">
        <v>5</v>
      </c>
      <c r="ZX39" s="94">
        <v>6</v>
      </c>
      <c r="ZY39" s="470">
        <v>7</v>
      </c>
      <c r="ZZ39" s="94">
        <v>8</v>
      </c>
      <c r="AAA39" s="94">
        <v>9</v>
      </c>
      <c r="AAB39" s="94">
        <v>10</v>
      </c>
      <c r="AAC39" s="94">
        <v>11</v>
      </c>
      <c r="AAD39" s="94">
        <v>12</v>
      </c>
      <c r="AAE39" s="94">
        <v>13</v>
      </c>
      <c r="AAF39" s="94">
        <v>14</v>
      </c>
      <c r="AAG39" s="94">
        <v>15</v>
      </c>
      <c r="AAH39" s="94">
        <v>16</v>
      </c>
      <c r="AAI39" s="94">
        <v>17</v>
      </c>
      <c r="AAJ39" s="94">
        <v>18</v>
      </c>
      <c r="AAK39" s="94">
        <v>19</v>
      </c>
      <c r="AAL39" s="94">
        <v>20</v>
      </c>
      <c r="AAM39" s="94">
        <v>21</v>
      </c>
      <c r="AAN39" s="94">
        <v>22</v>
      </c>
      <c r="AAO39" s="94">
        <v>23</v>
      </c>
      <c r="AAP39" s="94">
        <v>24</v>
      </c>
      <c r="AAQ39" s="94">
        <v>25</v>
      </c>
      <c r="AAR39" s="94">
        <v>26</v>
      </c>
      <c r="AAS39" s="94">
        <v>27</v>
      </c>
      <c r="AAT39" s="94">
        <v>28</v>
      </c>
      <c r="AAU39" s="94">
        <v>29</v>
      </c>
      <c r="AAV39" s="94">
        <v>30</v>
      </c>
      <c r="AAW39" s="94">
        <v>31</v>
      </c>
      <c r="AAX39" s="95" t="s">
        <v>1</v>
      </c>
      <c r="AAY39" s="94">
        <v>1</v>
      </c>
      <c r="AAZ39" s="94">
        <v>2</v>
      </c>
      <c r="ABA39" s="94">
        <v>3</v>
      </c>
      <c r="ABB39" s="94">
        <v>3</v>
      </c>
      <c r="ABC39" s="94">
        <v>5</v>
      </c>
      <c r="ABD39" s="94">
        <v>6</v>
      </c>
      <c r="ABE39" s="94">
        <v>7</v>
      </c>
      <c r="ABF39" s="94">
        <v>8</v>
      </c>
      <c r="ABG39" s="94">
        <v>9</v>
      </c>
      <c r="ABH39" s="94">
        <v>10</v>
      </c>
      <c r="ABI39" s="94">
        <v>10</v>
      </c>
      <c r="ABJ39" s="94">
        <v>12</v>
      </c>
      <c r="ABK39" s="94">
        <v>13</v>
      </c>
      <c r="ABL39" s="94">
        <v>14</v>
      </c>
      <c r="ABM39" s="94">
        <v>15</v>
      </c>
      <c r="ABN39" s="94">
        <v>16</v>
      </c>
      <c r="ABO39" s="94">
        <v>17</v>
      </c>
      <c r="ABP39" s="470">
        <v>18</v>
      </c>
      <c r="ABQ39" s="94">
        <v>19</v>
      </c>
      <c r="ABR39" s="94">
        <v>20</v>
      </c>
      <c r="ABS39" s="94">
        <v>21</v>
      </c>
      <c r="ABT39" s="94">
        <v>22</v>
      </c>
      <c r="ABU39" s="94">
        <v>23</v>
      </c>
      <c r="ABV39" s="94">
        <v>24</v>
      </c>
      <c r="ABW39" s="94">
        <v>24</v>
      </c>
      <c r="ABX39" s="94">
        <v>26</v>
      </c>
      <c r="ABY39" s="94">
        <v>27</v>
      </c>
      <c r="ABZ39" s="94">
        <v>28</v>
      </c>
      <c r="ACA39" s="94">
        <v>29</v>
      </c>
      <c r="ACB39" s="94">
        <v>30</v>
      </c>
      <c r="ACC39" s="95" t="s">
        <v>1</v>
      </c>
      <c r="ACD39" s="94">
        <v>1</v>
      </c>
      <c r="ACE39" s="470">
        <v>2</v>
      </c>
      <c r="ACF39" s="94">
        <v>3</v>
      </c>
      <c r="ACG39" s="94">
        <v>4</v>
      </c>
      <c r="ACH39" s="94">
        <v>5</v>
      </c>
      <c r="ACI39" s="94">
        <v>6</v>
      </c>
      <c r="ACJ39" s="94">
        <v>7</v>
      </c>
      <c r="ACK39" s="94">
        <v>8</v>
      </c>
      <c r="ACL39" s="94">
        <v>9</v>
      </c>
      <c r="ACM39" s="94">
        <v>10</v>
      </c>
      <c r="ACN39" s="94">
        <v>11</v>
      </c>
      <c r="ACO39" s="94">
        <v>12</v>
      </c>
      <c r="ACP39" s="94">
        <v>13</v>
      </c>
      <c r="ACQ39" s="94">
        <v>14</v>
      </c>
      <c r="ACR39" s="94">
        <v>15</v>
      </c>
      <c r="ACS39" s="470">
        <v>16</v>
      </c>
      <c r="ACT39" s="94">
        <v>17</v>
      </c>
      <c r="ACU39" s="94">
        <v>18</v>
      </c>
      <c r="ACV39" s="94">
        <v>19</v>
      </c>
      <c r="ACW39" s="94">
        <v>20</v>
      </c>
      <c r="ACX39" s="94">
        <v>21</v>
      </c>
      <c r="ACY39" s="94">
        <v>22</v>
      </c>
      <c r="ACZ39" s="94">
        <v>23</v>
      </c>
      <c r="ADA39" s="94">
        <v>24</v>
      </c>
      <c r="ADB39" s="94">
        <v>25</v>
      </c>
      <c r="ADC39" s="94">
        <v>26</v>
      </c>
      <c r="ADD39" s="94">
        <v>27</v>
      </c>
      <c r="ADE39" s="94">
        <v>28</v>
      </c>
      <c r="ADF39" s="94">
        <v>29</v>
      </c>
      <c r="ADG39" s="94">
        <v>30</v>
      </c>
      <c r="ADH39" s="94">
        <v>31</v>
      </c>
      <c r="ADI39" s="611" t="s">
        <v>1</v>
      </c>
      <c r="ADJ39" s="94">
        <v>1</v>
      </c>
      <c r="ADK39" s="94">
        <v>2</v>
      </c>
      <c r="ADL39" s="94">
        <v>3</v>
      </c>
      <c r="ADM39" s="94">
        <v>4</v>
      </c>
      <c r="ADN39" s="94">
        <v>5</v>
      </c>
      <c r="ADO39" s="94">
        <v>6</v>
      </c>
      <c r="ADP39" s="94">
        <v>7</v>
      </c>
      <c r="ADQ39" s="94">
        <v>8</v>
      </c>
      <c r="ADR39" s="94">
        <v>9</v>
      </c>
      <c r="ADS39" s="94">
        <v>10</v>
      </c>
      <c r="ADT39" s="94">
        <v>11</v>
      </c>
      <c r="ADU39" s="94">
        <v>12</v>
      </c>
      <c r="ADV39" s="94">
        <v>13</v>
      </c>
      <c r="ADW39" s="94">
        <v>14</v>
      </c>
      <c r="ADX39" s="94">
        <v>15</v>
      </c>
      <c r="ADY39" s="94">
        <v>16</v>
      </c>
      <c r="ADZ39" s="94">
        <v>17</v>
      </c>
      <c r="AEA39" s="94">
        <v>18</v>
      </c>
      <c r="AEB39" s="94">
        <v>19</v>
      </c>
      <c r="AEC39" s="94">
        <v>20</v>
      </c>
      <c r="AED39" s="94">
        <v>21</v>
      </c>
      <c r="AEE39" s="94">
        <v>22</v>
      </c>
      <c r="AEF39" s="94">
        <v>23</v>
      </c>
      <c r="AEG39" s="94">
        <v>24</v>
      </c>
      <c r="AEH39" s="94">
        <v>25</v>
      </c>
      <c r="AEI39" s="94">
        <v>26</v>
      </c>
      <c r="AEJ39" s="94">
        <v>27</v>
      </c>
      <c r="AEK39" s="94">
        <v>28</v>
      </c>
      <c r="AEL39" s="94">
        <v>29</v>
      </c>
      <c r="AEM39" s="94">
        <v>30</v>
      </c>
      <c r="AEN39" s="94">
        <v>31</v>
      </c>
      <c r="AEO39" s="95" t="s">
        <v>1</v>
      </c>
      <c r="AEP39" s="94">
        <v>1</v>
      </c>
      <c r="AEQ39" s="94">
        <v>2</v>
      </c>
      <c r="AER39" s="94">
        <v>3</v>
      </c>
      <c r="AES39" s="94">
        <v>4</v>
      </c>
      <c r="AET39" s="94">
        <v>5</v>
      </c>
      <c r="AEU39" s="94">
        <v>6</v>
      </c>
      <c r="AEV39" s="94">
        <v>7</v>
      </c>
      <c r="AEW39" s="94">
        <v>8</v>
      </c>
      <c r="AEX39" s="94">
        <v>9</v>
      </c>
      <c r="AEY39" s="94">
        <v>10</v>
      </c>
      <c r="AEZ39" s="94">
        <v>11</v>
      </c>
      <c r="AFA39" s="94">
        <v>12</v>
      </c>
      <c r="AFB39" s="94">
        <v>13</v>
      </c>
      <c r="AFC39" s="94">
        <v>14</v>
      </c>
      <c r="AFD39" s="94">
        <v>15</v>
      </c>
      <c r="AFE39" s="94">
        <v>16</v>
      </c>
      <c r="AFF39" s="94">
        <v>17</v>
      </c>
      <c r="AFG39" s="94">
        <v>18</v>
      </c>
      <c r="AFH39" s="94">
        <v>19</v>
      </c>
      <c r="AFI39" s="94">
        <v>20</v>
      </c>
      <c r="AFJ39" s="94">
        <v>21</v>
      </c>
      <c r="AFK39" s="94">
        <v>22</v>
      </c>
      <c r="AFL39" s="94">
        <v>23</v>
      </c>
      <c r="AFM39" s="94">
        <v>24</v>
      </c>
      <c r="AFN39" s="94">
        <v>25</v>
      </c>
      <c r="AFO39" s="94">
        <v>26</v>
      </c>
      <c r="AFP39" s="94">
        <v>27</v>
      </c>
      <c r="AFQ39" s="94">
        <v>28</v>
      </c>
      <c r="AFR39" s="94">
        <v>29</v>
      </c>
      <c r="AFS39" s="94">
        <v>30</v>
      </c>
      <c r="AFT39" s="95" t="s">
        <v>1</v>
      </c>
      <c r="AFU39" s="94">
        <v>1</v>
      </c>
      <c r="AFV39" s="94">
        <v>2</v>
      </c>
      <c r="AFW39" s="94">
        <v>3</v>
      </c>
      <c r="AFX39" s="94">
        <v>4</v>
      </c>
      <c r="AFY39" s="94">
        <v>5</v>
      </c>
      <c r="AFZ39" s="94">
        <v>6</v>
      </c>
      <c r="AGA39" s="94">
        <v>7</v>
      </c>
      <c r="AGB39" s="94">
        <v>8</v>
      </c>
      <c r="AGC39" s="94">
        <v>9</v>
      </c>
      <c r="AGD39" s="94">
        <v>10</v>
      </c>
      <c r="AGE39" s="94">
        <v>11</v>
      </c>
      <c r="AGF39" s="94">
        <v>12</v>
      </c>
      <c r="AGG39" s="94">
        <v>13</v>
      </c>
      <c r="AGH39" s="94">
        <v>14</v>
      </c>
      <c r="AGI39" s="94">
        <v>15</v>
      </c>
      <c r="AGJ39" s="94">
        <v>16</v>
      </c>
      <c r="AGK39" s="94">
        <v>17</v>
      </c>
      <c r="AGL39" s="94">
        <v>18</v>
      </c>
      <c r="AGM39" s="94">
        <v>19</v>
      </c>
      <c r="AGN39" s="94">
        <v>20</v>
      </c>
      <c r="AGO39" s="94">
        <v>21</v>
      </c>
      <c r="AGP39" s="94">
        <v>22</v>
      </c>
      <c r="AGQ39" s="94">
        <v>23</v>
      </c>
      <c r="AGR39" s="94">
        <v>24</v>
      </c>
      <c r="AGS39" s="94">
        <v>25</v>
      </c>
      <c r="AGT39" s="94">
        <v>26</v>
      </c>
      <c r="AGU39" s="94">
        <v>27</v>
      </c>
      <c r="AGV39" s="94">
        <v>28</v>
      </c>
      <c r="AGW39" s="94">
        <v>29</v>
      </c>
      <c r="AGX39" s="94">
        <v>30</v>
      </c>
      <c r="AGY39" s="94">
        <v>31</v>
      </c>
      <c r="AGZ39" s="95" t="s">
        <v>1</v>
      </c>
      <c r="AHA39" s="94">
        <v>1</v>
      </c>
      <c r="AHB39" s="94">
        <v>2</v>
      </c>
      <c r="AHC39" s="94">
        <v>3</v>
      </c>
      <c r="AHD39" s="94">
        <v>4</v>
      </c>
      <c r="AHE39" s="94">
        <v>5</v>
      </c>
      <c r="AHF39" s="94">
        <v>6</v>
      </c>
      <c r="AHG39" s="94">
        <v>7</v>
      </c>
      <c r="AHH39" s="94">
        <v>8</v>
      </c>
      <c r="AHI39" s="94">
        <v>9</v>
      </c>
      <c r="AHJ39" s="94">
        <v>10</v>
      </c>
      <c r="AHK39" s="94">
        <v>11</v>
      </c>
      <c r="AHL39" s="94">
        <v>12</v>
      </c>
      <c r="AHM39" s="94">
        <v>13</v>
      </c>
      <c r="AHN39" s="94">
        <v>14</v>
      </c>
      <c r="AHO39" s="94">
        <v>15</v>
      </c>
      <c r="AHP39" s="94">
        <v>16</v>
      </c>
      <c r="AHQ39" s="94">
        <v>17</v>
      </c>
      <c r="AHR39" s="94">
        <v>18</v>
      </c>
      <c r="AHS39" s="94">
        <v>19</v>
      </c>
      <c r="AHT39" s="94">
        <v>20</v>
      </c>
      <c r="AHU39" s="94">
        <v>21</v>
      </c>
      <c r="AHV39" s="94">
        <v>22</v>
      </c>
      <c r="AHW39" s="94">
        <v>23</v>
      </c>
      <c r="AHX39" s="94">
        <v>24</v>
      </c>
      <c r="AHY39" s="94">
        <v>25</v>
      </c>
      <c r="AHZ39" s="94">
        <v>26</v>
      </c>
      <c r="AIA39" s="94">
        <v>27</v>
      </c>
      <c r="AIB39" s="94">
        <v>28</v>
      </c>
      <c r="AIC39" s="94">
        <v>29</v>
      </c>
      <c r="AID39" s="94">
        <v>30</v>
      </c>
      <c r="AIE39" s="95" t="s">
        <v>1</v>
      </c>
      <c r="AIF39" s="94">
        <v>1</v>
      </c>
      <c r="AIG39" s="94">
        <v>2</v>
      </c>
      <c r="AIH39" s="94">
        <v>3</v>
      </c>
      <c r="AII39" s="94">
        <v>4</v>
      </c>
      <c r="AIJ39" s="94">
        <v>5</v>
      </c>
      <c r="AIK39" s="94">
        <v>6</v>
      </c>
      <c r="AIL39" s="94">
        <v>7</v>
      </c>
      <c r="AIM39" s="94">
        <v>8</v>
      </c>
      <c r="AIN39" s="94">
        <v>9</v>
      </c>
      <c r="AIO39" s="94">
        <v>10</v>
      </c>
      <c r="AIP39" s="94">
        <v>11</v>
      </c>
      <c r="AIQ39" s="94">
        <v>12</v>
      </c>
      <c r="AIR39" s="94">
        <v>13</v>
      </c>
      <c r="AIS39" s="94">
        <v>14</v>
      </c>
      <c r="AIT39" s="94">
        <v>15</v>
      </c>
      <c r="AIU39" s="94">
        <v>16</v>
      </c>
      <c r="AIV39" s="94">
        <v>17</v>
      </c>
      <c r="AIW39" s="94">
        <v>18</v>
      </c>
      <c r="AIX39" s="94">
        <v>19</v>
      </c>
      <c r="AIY39" s="94">
        <v>20</v>
      </c>
      <c r="AIZ39" s="94">
        <v>21</v>
      </c>
      <c r="AJA39" s="94">
        <v>22</v>
      </c>
      <c r="AJB39" s="94">
        <v>23</v>
      </c>
      <c r="AJC39" s="94">
        <v>24</v>
      </c>
      <c r="AJD39" s="94">
        <v>25</v>
      </c>
      <c r="AJE39" s="94">
        <v>26</v>
      </c>
      <c r="AJF39" s="94">
        <v>27</v>
      </c>
      <c r="AJG39" s="94">
        <v>28</v>
      </c>
      <c r="AJH39" s="94">
        <v>29</v>
      </c>
      <c r="AJI39" s="94">
        <v>30</v>
      </c>
      <c r="AJJ39" s="94">
        <v>31</v>
      </c>
      <c r="AJK39" s="95" t="s">
        <v>1</v>
      </c>
      <c r="AJL39" s="94">
        <v>1</v>
      </c>
      <c r="AJM39" s="94">
        <v>2</v>
      </c>
      <c r="AJN39" s="94">
        <v>3</v>
      </c>
      <c r="AJO39" s="94">
        <v>4</v>
      </c>
      <c r="AJP39" s="94">
        <v>5</v>
      </c>
      <c r="AJQ39" s="94">
        <v>6</v>
      </c>
      <c r="AJR39" s="94">
        <v>7</v>
      </c>
      <c r="AJS39" s="94">
        <v>8</v>
      </c>
      <c r="AJT39" s="94">
        <v>9</v>
      </c>
      <c r="AJU39" s="94">
        <v>10</v>
      </c>
      <c r="AJV39" s="94">
        <v>11</v>
      </c>
      <c r="AJW39" s="94">
        <v>12</v>
      </c>
      <c r="AJX39" s="94">
        <v>13</v>
      </c>
      <c r="AJY39" s="94">
        <v>14</v>
      </c>
      <c r="AJZ39" s="94">
        <v>15</v>
      </c>
      <c r="AKA39" s="94">
        <v>16</v>
      </c>
      <c r="AKB39" s="94">
        <v>17</v>
      </c>
      <c r="AKC39" s="94">
        <v>18</v>
      </c>
      <c r="AKD39" s="94">
        <v>19</v>
      </c>
      <c r="AKE39" s="94">
        <v>20</v>
      </c>
      <c r="AKF39" s="94">
        <v>21</v>
      </c>
      <c r="AKG39" s="94">
        <v>22</v>
      </c>
      <c r="AKH39" s="94">
        <v>23</v>
      </c>
      <c r="AKI39" s="94">
        <v>24</v>
      </c>
      <c r="AKJ39" s="94">
        <v>25</v>
      </c>
      <c r="AKK39" s="94">
        <v>26</v>
      </c>
      <c r="AKL39" s="94">
        <v>27</v>
      </c>
      <c r="AKM39" s="94">
        <v>28</v>
      </c>
      <c r="AKN39" s="94">
        <v>29</v>
      </c>
      <c r="AKO39" s="94">
        <v>30</v>
      </c>
      <c r="AKP39" s="94">
        <v>31</v>
      </c>
      <c r="AKQ39" s="95" t="s">
        <v>1</v>
      </c>
      <c r="AKR39" s="94">
        <v>1</v>
      </c>
      <c r="AKS39" s="94">
        <v>2</v>
      </c>
      <c r="AKT39" s="94">
        <v>3</v>
      </c>
      <c r="AKU39" s="94">
        <v>4</v>
      </c>
      <c r="AKV39" s="94">
        <v>5</v>
      </c>
      <c r="AKW39" s="94">
        <v>6</v>
      </c>
      <c r="AKX39" s="94">
        <v>7</v>
      </c>
      <c r="AKY39" s="94">
        <v>8</v>
      </c>
      <c r="AKZ39" s="94">
        <v>9</v>
      </c>
      <c r="ALA39" s="94">
        <v>10</v>
      </c>
      <c r="ALB39" s="94">
        <v>11</v>
      </c>
      <c r="ALC39" s="94">
        <v>12</v>
      </c>
      <c r="ALD39" s="94">
        <v>13</v>
      </c>
      <c r="ALE39" s="94">
        <v>14</v>
      </c>
      <c r="ALF39" s="94">
        <v>15</v>
      </c>
      <c r="ALG39" s="94">
        <v>16</v>
      </c>
      <c r="ALH39" s="94">
        <v>17</v>
      </c>
      <c r="ALI39" s="94">
        <v>18</v>
      </c>
      <c r="ALJ39" s="94">
        <v>19</v>
      </c>
      <c r="ALK39" s="94">
        <v>20</v>
      </c>
      <c r="ALL39" s="94">
        <v>21</v>
      </c>
      <c r="ALM39" s="94">
        <v>22</v>
      </c>
      <c r="ALN39" s="94">
        <v>23</v>
      </c>
      <c r="ALO39" s="94">
        <v>24</v>
      </c>
      <c r="ALP39" s="94">
        <v>25</v>
      </c>
      <c r="ALQ39" s="94">
        <v>26</v>
      </c>
      <c r="ALR39" s="94">
        <v>27</v>
      </c>
      <c r="ALS39" s="94">
        <v>28</v>
      </c>
      <c r="ALT39" s="95" t="s">
        <v>1</v>
      </c>
      <c r="ALU39" s="94">
        <v>1</v>
      </c>
      <c r="ALV39" s="94">
        <v>2</v>
      </c>
      <c r="ALW39" s="94">
        <v>3</v>
      </c>
      <c r="ALX39" s="94">
        <v>4</v>
      </c>
      <c r="ALY39" s="94">
        <v>5</v>
      </c>
      <c r="ALZ39" s="94">
        <v>6</v>
      </c>
      <c r="AMA39" s="94">
        <v>7</v>
      </c>
      <c r="AMB39" s="94">
        <v>8</v>
      </c>
      <c r="AMC39" s="94">
        <v>9</v>
      </c>
      <c r="AMD39" s="94">
        <v>10</v>
      </c>
      <c r="AME39" s="94">
        <v>11</v>
      </c>
      <c r="AMF39" s="94">
        <v>12</v>
      </c>
      <c r="AMG39" s="94">
        <v>13</v>
      </c>
      <c r="AMH39" s="94">
        <v>14</v>
      </c>
      <c r="AMI39" s="94">
        <v>15</v>
      </c>
      <c r="AMJ39" s="94">
        <v>16</v>
      </c>
      <c r="AMK39" s="94">
        <v>17</v>
      </c>
      <c r="AML39" s="94">
        <v>18</v>
      </c>
      <c r="AMM39" s="94">
        <v>19</v>
      </c>
      <c r="AMN39" s="94">
        <v>20</v>
      </c>
      <c r="AMO39" s="94">
        <v>21</v>
      </c>
      <c r="AMP39" s="94">
        <v>22</v>
      </c>
      <c r="AMQ39" s="94">
        <v>23</v>
      </c>
      <c r="AMR39" s="94">
        <v>24</v>
      </c>
      <c r="AMS39" s="94">
        <v>25</v>
      </c>
      <c r="AMT39" s="94">
        <v>26</v>
      </c>
      <c r="AMU39" s="94">
        <v>27</v>
      </c>
      <c r="AMV39" s="94">
        <v>28</v>
      </c>
      <c r="AMW39" s="94">
        <v>29</v>
      </c>
      <c r="AMX39" s="94">
        <v>30</v>
      </c>
      <c r="AMY39" s="94">
        <v>31</v>
      </c>
      <c r="AMZ39" s="95" t="s">
        <v>1</v>
      </c>
      <c r="ANA39" s="94">
        <v>1</v>
      </c>
      <c r="ANB39" s="94">
        <v>2</v>
      </c>
      <c r="ANC39" s="605">
        <v>3</v>
      </c>
      <c r="AND39" s="605">
        <v>4</v>
      </c>
      <c r="ANE39" s="605">
        <v>5</v>
      </c>
      <c r="ANF39" s="605">
        <v>6</v>
      </c>
      <c r="ANG39" s="605">
        <v>7</v>
      </c>
      <c r="ANH39" s="470">
        <v>8</v>
      </c>
      <c r="ANI39" s="605">
        <v>9</v>
      </c>
      <c r="ANJ39" s="605">
        <v>10</v>
      </c>
      <c r="ANK39" s="605">
        <v>11</v>
      </c>
      <c r="ANL39" s="605">
        <v>12</v>
      </c>
      <c r="ANM39" s="605">
        <v>13</v>
      </c>
      <c r="ANN39" s="605">
        <v>14</v>
      </c>
      <c r="ANO39" s="605">
        <v>15</v>
      </c>
      <c r="ANP39" s="605">
        <v>16</v>
      </c>
      <c r="ANQ39" s="605">
        <v>17</v>
      </c>
      <c r="ANR39" s="605">
        <v>18</v>
      </c>
      <c r="ANS39" s="605">
        <v>19</v>
      </c>
      <c r="ANT39" s="605">
        <v>20</v>
      </c>
      <c r="ANU39" s="605">
        <v>21</v>
      </c>
      <c r="ANV39" s="470">
        <v>22</v>
      </c>
      <c r="ANW39" s="605">
        <v>23</v>
      </c>
      <c r="ANX39" s="605">
        <v>24</v>
      </c>
      <c r="ANY39" s="605">
        <v>25</v>
      </c>
      <c r="ANZ39" s="605">
        <v>26</v>
      </c>
      <c r="AOA39" s="605">
        <v>27</v>
      </c>
      <c r="AOB39" s="605">
        <v>28</v>
      </c>
      <c r="AOC39" s="602">
        <v>29</v>
      </c>
      <c r="AOD39" s="605">
        <v>30</v>
      </c>
      <c r="AOE39" s="95" t="s">
        <v>1</v>
      </c>
      <c r="AOF39" s="94">
        <v>1</v>
      </c>
      <c r="AOG39" s="94">
        <v>2</v>
      </c>
      <c r="AOH39" s="598">
        <v>3</v>
      </c>
      <c r="AOI39" s="94">
        <v>4</v>
      </c>
      <c r="AOJ39" s="94">
        <v>5</v>
      </c>
      <c r="AOK39" s="94">
        <v>6</v>
      </c>
      <c r="AOL39" s="94">
        <v>7</v>
      </c>
      <c r="AOM39" s="94">
        <v>8</v>
      </c>
      <c r="AON39" s="94">
        <v>9</v>
      </c>
      <c r="AOO39" s="94">
        <v>10</v>
      </c>
      <c r="AOP39" s="94">
        <v>11</v>
      </c>
      <c r="AOQ39" s="94">
        <v>12</v>
      </c>
      <c r="AOR39" s="94">
        <v>13</v>
      </c>
      <c r="AOS39" s="94">
        <v>14</v>
      </c>
      <c r="AOT39" s="94">
        <v>15</v>
      </c>
      <c r="AOU39" s="94">
        <v>16</v>
      </c>
      <c r="AOV39" s="94">
        <v>17</v>
      </c>
      <c r="AOW39" s="94">
        <v>18</v>
      </c>
      <c r="AOX39" s="94">
        <v>19</v>
      </c>
      <c r="AOY39" s="94">
        <v>20</v>
      </c>
      <c r="AOZ39" s="94">
        <v>21</v>
      </c>
      <c r="APA39" s="94">
        <v>22</v>
      </c>
      <c r="APB39" s="94">
        <v>23</v>
      </c>
      <c r="APC39" s="94">
        <v>24</v>
      </c>
      <c r="APD39" s="94">
        <v>25</v>
      </c>
      <c r="APE39" s="94">
        <v>26</v>
      </c>
      <c r="APF39" s="94">
        <v>27</v>
      </c>
      <c r="APG39" s="94">
        <v>28</v>
      </c>
      <c r="APH39" s="94">
        <v>29</v>
      </c>
      <c r="API39" s="94">
        <v>30</v>
      </c>
      <c r="APJ39" s="94">
        <v>31</v>
      </c>
      <c r="APK39" s="95" t="s">
        <v>1</v>
      </c>
      <c r="APL39" s="94">
        <v>1</v>
      </c>
      <c r="APM39" s="94">
        <v>2</v>
      </c>
      <c r="APN39" s="470">
        <v>3</v>
      </c>
      <c r="APO39" s="94">
        <v>4</v>
      </c>
      <c r="APP39" s="94">
        <v>5</v>
      </c>
      <c r="APQ39" s="94">
        <v>6</v>
      </c>
      <c r="APR39" s="94">
        <v>7</v>
      </c>
      <c r="APS39" s="94">
        <v>8</v>
      </c>
      <c r="APT39" s="94">
        <v>9</v>
      </c>
      <c r="APU39" s="94">
        <v>10</v>
      </c>
      <c r="APV39" s="94">
        <v>11</v>
      </c>
      <c r="APW39" s="94">
        <v>12</v>
      </c>
      <c r="APX39" s="94">
        <v>13</v>
      </c>
      <c r="APY39" s="94">
        <v>14</v>
      </c>
      <c r="APZ39" s="94">
        <v>15</v>
      </c>
      <c r="AQA39" s="94">
        <v>16</v>
      </c>
      <c r="AQB39" s="94">
        <v>17</v>
      </c>
      <c r="AQC39" s="94">
        <v>18</v>
      </c>
      <c r="AQD39" s="94">
        <v>19</v>
      </c>
      <c r="AQE39" s="94">
        <v>20</v>
      </c>
      <c r="AQF39" s="94">
        <v>21</v>
      </c>
      <c r="AQG39" s="94">
        <v>22</v>
      </c>
      <c r="AQH39" s="94">
        <v>23</v>
      </c>
      <c r="AQI39" s="470">
        <v>24</v>
      </c>
      <c r="AQJ39" s="94">
        <v>25</v>
      </c>
      <c r="AQK39" s="94">
        <v>26</v>
      </c>
      <c r="AQL39" s="94">
        <v>27</v>
      </c>
      <c r="AQM39" s="94">
        <v>28</v>
      </c>
      <c r="AQN39" s="94">
        <v>29</v>
      </c>
      <c r="AQO39" s="94">
        <v>30</v>
      </c>
      <c r="AQP39" s="95" t="s">
        <v>1</v>
      </c>
      <c r="AQQ39" s="94">
        <v>1</v>
      </c>
      <c r="AQR39" s="94">
        <v>2</v>
      </c>
      <c r="AQS39" s="94">
        <v>3</v>
      </c>
      <c r="AQT39" s="94">
        <v>4</v>
      </c>
      <c r="AQU39" s="94">
        <v>5</v>
      </c>
      <c r="AQV39" s="94">
        <v>6</v>
      </c>
      <c r="AQW39" s="94">
        <v>7</v>
      </c>
      <c r="AQX39" s="607">
        <v>8</v>
      </c>
      <c r="AQY39" s="607">
        <v>9</v>
      </c>
      <c r="AQZ39" s="607">
        <v>10</v>
      </c>
      <c r="ARA39" s="607">
        <v>11</v>
      </c>
      <c r="ARB39" s="607">
        <v>12</v>
      </c>
      <c r="ARC39" s="607">
        <v>13</v>
      </c>
      <c r="ARD39" s="607">
        <v>14</v>
      </c>
      <c r="ARE39" s="607">
        <v>15</v>
      </c>
      <c r="ARF39" s="607">
        <v>16</v>
      </c>
      <c r="ARG39" s="94">
        <v>17</v>
      </c>
      <c r="ARH39" s="94">
        <v>18</v>
      </c>
      <c r="ARI39" s="94">
        <v>19</v>
      </c>
      <c r="ARJ39" s="94">
        <v>20</v>
      </c>
      <c r="ARK39" s="94">
        <v>21</v>
      </c>
      <c r="ARL39" s="94">
        <v>22</v>
      </c>
      <c r="ARM39" s="94">
        <v>23</v>
      </c>
      <c r="ARN39" s="94">
        <v>24</v>
      </c>
      <c r="ARO39" s="94">
        <v>25</v>
      </c>
      <c r="ARP39" s="94">
        <v>26</v>
      </c>
      <c r="ARQ39" s="94">
        <v>27</v>
      </c>
      <c r="ARR39" s="94">
        <v>28</v>
      </c>
      <c r="ARS39" s="94">
        <v>29</v>
      </c>
      <c r="ART39" s="94">
        <v>30</v>
      </c>
      <c r="ARU39" s="94">
        <v>31</v>
      </c>
      <c r="ARV39" s="95" t="s">
        <v>1</v>
      </c>
      <c r="ARW39" s="94">
        <v>1</v>
      </c>
      <c r="ARX39" s="94">
        <v>2</v>
      </c>
      <c r="ARY39" s="94">
        <v>3</v>
      </c>
      <c r="ARZ39" s="94">
        <v>4</v>
      </c>
      <c r="ASA39" s="94">
        <v>5</v>
      </c>
      <c r="ASB39" s="94">
        <v>6</v>
      </c>
      <c r="ASC39" s="94">
        <v>7</v>
      </c>
      <c r="ASD39" s="94">
        <v>8</v>
      </c>
      <c r="ASE39" s="94">
        <v>9</v>
      </c>
      <c r="ASF39" s="94">
        <v>10</v>
      </c>
      <c r="ASG39" s="94">
        <v>11</v>
      </c>
      <c r="ASH39" s="94">
        <v>12</v>
      </c>
      <c r="ASI39" s="94">
        <v>13</v>
      </c>
      <c r="ASJ39" s="94">
        <v>14</v>
      </c>
      <c r="ASK39" s="469">
        <v>15</v>
      </c>
      <c r="ASL39" s="94">
        <v>16</v>
      </c>
      <c r="ASM39" s="94">
        <v>17</v>
      </c>
      <c r="ASN39" s="94">
        <v>18</v>
      </c>
      <c r="ASO39" s="94">
        <v>19</v>
      </c>
      <c r="ASP39" s="94">
        <v>20</v>
      </c>
      <c r="ASQ39" s="94">
        <v>21</v>
      </c>
      <c r="ASR39" s="94">
        <v>22</v>
      </c>
      <c r="ASS39" s="94">
        <v>23</v>
      </c>
      <c r="AST39" s="94">
        <v>24</v>
      </c>
      <c r="ASU39" s="94">
        <v>25</v>
      </c>
      <c r="ASV39" s="94">
        <v>26</v>
      </c>
      <c r="ASW39" s="94">
        <v>27</v>
      </c>
      <c r="ASX39" s="94">
        <v>28</v>
      </c>
      <c r="ASY39" s="94">
        <v>29</v>
      </c>
      <c r="ASZ39" s="94">
        <v>30</v>
      </c>
      <c r="ATA39" s="94">
        <v>31</v>
      </c>
      <c r="ATB39" s="95" t="s">
        <v>1</v>
      </c>
      <c r="ATC39" s="94">
        <v>1</v>
      </c>
      <c r="ATD39" s="94">
        <v>2</v>
      </c>
      <c r="ATE39" s="94">
        <v>3</v>
      </c>
      <c r="ATF39" s="94">
        <v>4</v>
      </c>
      <c r="ATG39" s="94">
        <v>5</v>
      </c>
      <c r="ATH39" s="94">
        <v>6</v>
      </c>
      <c r="ATI39" s="94">
        <v>7</v>
      </c>
      <c r="ATJ39" s="94">
        <v>8</v>
      </c>
      <c r="ATK39" s="94">
        <v>9</v>
      </c>
      <c r="ATL39" s="94">
        <v>10</v>
      </c>
      <c r="ATM39" s="94">
        <v>11</v>
      </c>
      <c r="ATN39" s="94">
        <v>12</v>
      </c>
      <c r="ATO39" s="94">
        <v>13</v>
      </c>
      <c r="ATP39" s="94">
        <v>14</v>
      </c>
      <c r="ATQ39" s="94">
        <v>15</v>
      </c>
      <c r="ATR39" s="94">
        <v>16</v>
      </c>
      <c r="ATS39" s="94">
        <v>17</v>
      </c>
      <c r="ATT39" s="94">
        <v>18</v>
      </c>
      <c r="ATU39" s="94">
        <v>19</v>
      </c>
      <c r="ATV39" s="94">
        <v>20</v>
      </c>
      <c r="ATW39" s="94">
        <v>21</v>
      </c>
      <c r="ATX39" s="94">
        <v>22</v>
      </c>
      <c r="ATY39" s="94">
        <v>23</v>
      </c>
      <c r="ATZ39" s="94">
        <v>24</v>
      </c>
      <c r="AUA39" s="94">
        <v>25</v>
      </c>
      <c r="AUB39" s="94">
        <v>26</v>
      </c>
      <c r="AUC39" s="94">
        <v>27</v>
      </c>
      <c r="AUD39" s="94">
        <v>28</v>
      </c>
      <c r="AUE39" s="94">
        <v>29</v>
      </c>
      <c r="AUF39" s="94">
        <v>30</v>
      </c>
      <c r="AUG39" s="95" t="s">
        <v>1</v>
      </c>
      <c r="AUH39" s="94">
        <v>1</v>
      </c>
      <c r="AUI39" s="94">
        <v>2</v>
      </c>
      <c r="AUJ39" s="94">
        <v>3</v>
      </c>
      <c r="AUK39" s="94">
        <v>4</v>
      </c>
      <c r="AUL39" s="469">
        <v>5</v>
      </c>
      <c r="AUM39" s="94">
        <v>6</v>
      </c>
      <c r="AUN39" s="94">
        <v>7</v>
      </c>
      <c r="AUO39" s="94">
        <v>8</v>
      </c>
      <c r="AUP39" s="94">
        <v>9</v>
      </c>
      <c r="AUQ39" s="94">
        <v>10</v>
      </c>
      <c r="AUR39" s="94">
        <v>11</v>
      </c>
      <c r="AUS39" s="94">
        <v>12</v>
      </c>
      <c r="AUT39" s="94">
        <v>13</v>
      </c>
      <c r="AUU39" s="94">
        <v>14</v>
      </c>
      <c r="AUV39" s="94">
        <v>15</v>
      </c>
      <c r="AUW39" s="94">
        <v>16</v>
      </c>
      <c r="AUX39" s="94">
        <v>17</v>
      </c>
      <c r="AUY39" s="94">
        <v>18</v>
      </c>
      <c r="AUZ39" s="94">
        <v>19</v>
      </c>
      <c r="AVA39" s="94">
        <v>20</v>
      </c>
      <c r="AVB39" s="94">
        <v>21</v>
      </c>
      <c r="AVC39" s="94">
        <v>22</v>
      </c>
      <c r="AVD39" s="94">
        <v>23</v>
      </c>
      <c r="AVE39" s="94">
        <v>24</v>
      </c>
      <c r="AVF39" s="94">
        <v>25</v>
      </c>
      <c r="AVG39" s="94">
        <v>26</v>
      </c>
      <c r="AVH39" s="94">
        <v>27</v>
      </c>
      <c r="AVI39" s="94">
        <v>28</v>
      </c>
      <c r="AVJ39" s="94">
        <v>29</v>
      </c>
      <c r="AVK39" s="94">
        <v>30</v>
      </c>
      <c r="AVL39" s="94">
        <v>31</v>
      </c>
      <c r="AVM39" s="95" t="s">
        <v>1</v>
      </c>
      <c r="AWR39" s="95" t="s">
        <v>1</v>
      </c>
      <c r="AXX39" s="95" t="s">
        <v>1</v>
      </c>
    </row>
    <row r="40" spans="1:1324" s="104" customFormat="1" ht="8.25" customHeight="1" thickBot="1" x14ac:dyDescent="0.35">
      <c r="B40" s="2" t="s">
        <v>2</v>
      </c>
      <c r="C40" s="21" t="s">
        <v>8</v>
      </c>
      <c r="D40" s="2" t="s">
        <v>9</v>
      </c>
      <c r="E40" s="2" t="s">
        <v>3</v>
      </c>
      <c r="F40" s="2" t="s">
        <v>4</v>
      </c>
      <c r="G40" s="2" t="s">
        <v>5</v>
      </c>
      <c r="H40" s="2" t="s">
        <v>6</v>
      </c>
      <c r="I40" s="2" t="s">
        <v>7</v>
      </c>
      <c r="J40" s="21" t="s">
        <v>8</v>
      </c>
      <c r="K40" s="2" t="s">
        <v>9</v>
      </c>
      <c r="L40" s="2" t="s">
        <v>3</v>
      </c>
      <c r="M40" s="2" t="s">
        <v>4</v>
      </c>
      <c r="N40" s="2" t="s">
        <v>5</v>
      </c>
      <c r="O40" s="2" t="s">
        <v>6</v>
      </c>
      <c r="P40" s="2" t="s">
        <v>7</v>
      </c>
      <c r="Q40" s="21" t="s">
        <v>8</v>
      </c>
      <c r="R40" s="2" t="s">
        <v>9</v>
      </c>
      <c r="S40" s="2" t="s">
        <v>3</v>
      </c>
      <c r="T40" s="2" t="s">
        <v>4</v>
      </c>
      <c r="U40" s="2" t="s">
        <v>5</v>
      </c>
      <c r="V40" s="2" t="s">
        <v>6</v>
      </c>
      <c r="W40" s="2" t="s">
        <v>7</v>
      </c>
      <c r="X40" s="21" t="s">
        <v>8</v>
      </c>
      <c r="Y40" s="2" t="s">
        <v>9</v>
      </c>
      <c r="Z40" s="2" t="s">
        <v>3</v>
      </c>
      <c r="AA40" s="2" t="s">
        <v>4</v>
      </c>
      <c r="AB40" s="2" t="s">
        <v>5</v>
      </c>
      <c r="AC40" s="2" t="s">
        <v>6</v>
      </c>
      <c r="AD40" s="2" t="s">
        <v>7</v>
      </c>
      <c r="AE40" s="2" t="s">
        <v>8</v>
      </c>
      <c r="AF40" s="2" t="s">
        <v>9</v>
      </c>
      <c r="AG40" s="2" t="s">
        <v>3</v>
      </c>
      <c r="AH40" s="46" t="s">
        <v>2</v>
      </c>
      <c r="AI40" s="53" t="s">
        <v>4</v>
      </c>
      <c r="AJ40" s="2" t="s">
        <v>5</v>
      </c>
      <c r="AK40" s="2" t="s">
        <v>6</v>
      </c>
      <c r="AL40" s="2" t="s">
        <v>7</v>
      </c>
      <c r="AM40" s="2" t="s">
        <v>8</v>
      </c>
      <c r="AN40" s="2" t="s">
        <v>9</v>
      </c>
      <c r="AO40" s="21" t="s">
        <v>3</v>
      </c>
      <c r="AP40" s="2" t="s">
        <v>4</v>
      </c>
      <c r="AQ40" s="2" t="s">
        <v>5</v>
      </c>
      <c r="AR40" s="2" t="s">
        <v>6</v>
      </c>
      <c r="AS40" s="2" t="s">
        <v>7</v>
      </c>
      <c r="AT40" s="2" t="s">
        <v>8</v>
      </c>
      <c r="AU40" s="2" t="s">
        <v>9</v>
      </c>
      <c r="AV40" s="21" t="s">
        <v>3</v>
      </c>
      <c r="AW40" s="2" t="s">
        <v>4</v>
      </c>
      <c r="AX40" s="2" t="s">
        <v>5</v>
      </c>
      <c r="AY40" s="2" t="s">
        <v>6</v>
      </c>
      <c r="AZ40" s="2" t="s">
        <v>7</v>
      </c>
      <c r="BA40" s="2" t="s">
        <v>8</v>
      </c>
      <c r="BB40" s="2" t="s">
        <v>9</v>
      </c>
      <c r="BC40" s="21" t="s">
        <v>3</v>
      </c>
      <c r="BD40" s="2" t="s">
        <v>4</v>
      </c>
      <c r="BE40" s="2" t="s">
        <v>5</v>
      </c>
      <c r="BF40" s="2" t="s">
        <v>6</v>
      </c>
      <c r="BG40" s="2" t="s">
        <v>7</v>
      </c>
      <c r="BH40" s="2" t="s">
        <v>8</v>
      </c>
      <c r="BI40" s="2" t="s">
        <v>9</v>
      </c>
      <c r="BJ40" s="2" t="s">
        <v>3</v>
      </c>
      <c r="BK40" s="2" t="s">
        <v>4</v>
      </c>
      <c r="BL40" s="2" t="s">
        <v>5</v>
      </c>
      <c r="BM40" s="2" t="s">
        <v>6</v>
      </c>
      <c r="BN40" s="2" t="s">
        <v>2</v>
      </c>
      <c r="BO40" s="2" t="s">
        <v>7</v>
      </c>
      <c r="BP40" s="2" t="s">
        <v>8</v>
      </c>
      <c r="BQ40" s="2" t="s">
        <v>9</v>
      </c>
      <c r="BR40" s="2" t="s">
        <v>3</v>
      </c>
      <c r="BS40" s="2" t="s">
        <v>4</v>
      </c>
      <c r="BT40" s="2" t="s">
        <v>5</v>
      </c>
      <c r="BU40" s="21" t="s">
        <v>6</v>
      </c>
      <c r="BV40" s="2" t="s">
        <v>7</v>
      </c>
      <c r="BW40" s="2" t="s">
        <v>8</v>
      </c>
      <c r="BX40" s="2" t="s">
        <v>9</v>
      </c>
      <c r="BY40" s="2" t="s">
        <v>3</v>
      </c>
      <c r="BZ40" s="2" t="s">
        <v>4</v>
      </c>
      <c r="CA40" s="2" t="s">
        <v>5</v>
      </c>
      <c r="CB40" s="21" t="s">
        <v>6</v>
      </c>
      <c r="CC40" s="2" t="s">
        <v>7</v>
      </c>
      <c r="CD40" s="2" t="s">
        <v>8</v>
      </c>
      <c r="CE40" s="2" t="s">
        <v>9</v>
      </c>
      <c r="CF40" s="2" t="s">
        <v>3</v>
      </c>
      <c r="CG40" s="2" t="s">
        <v>4</v>
      </c>
      <c r="CH40" s="2" t="s">
        <v>5</v>
      </c>
      <c r="CI40" s="21" t="s">
        <v>6</v>
      </c>
      <c r="CJ40" s="2" t="s">
        <v>7</v>
      </c>
      <c r="CK40" s="2" t="s">
        <v>8</v>
      </c>
      <c r="CL40" s="2" t="s">
        <v>9</v>
      </c>
      <c r="CM40" s="2" t="s">
        <v>3</v>
      </c>
      <c r="CN40" s="2" t="s">
        <v>4</v>
      </c>
      <c r="CO40" s="2" t="s">
        <v>5</v>
      </c>
      <c r="CP40" s="21" t="s">
        <v>6</v>
      </c>
      <c r="CQ40" s="2" t="s">
        <v>7</v>
      </c>
      <c r="CR40" s="2" t="s">
        <v>8</v>
      </c>
      <c r="CS40" s="2" t="s">
        <v>2</v>
      </c>
      <c r="CT40" s="2" t="s">
        <v>9</v>
      </c>
      <c r="CU40" s="2" t="s">
        <v>3</v>
      </c>
      <c r="CV40" s="2" t="s">
        <v>4</v>
      </c>
      <c r="CW40" s="2" t="s">
        <v>5</v>
      </c>
      <c r="CX40" s="21" t="s">
        <v>6</v>
      </c>
      <c r="CY40" s="2" t="s">
        <v>7</v>
      </c>
      <c r="CZ40" s="2" t="s">
        <v>8</v>
      </c>
      <c r="DA40" s="2" t="s">
        <v>9</v>
      </c>
      <c r="DB40" s="2" t="s">
        <v>3</v>
      </c>
      <c r="DC40" s="2" t="s">
        <v>4</v>
      </c>
      <c r="DD40" s="2" t="s">
        <v>5</v>
      </c>
      <c r="DE40" s="21" t="s">
        <v>6</v>
      </c>
      <c r="DF40" s="2" t="s">
        <v>7</v>
      </c>
      <c r="DG40" s="2" t="s">
        <v>8</v>
      </c>
      <c r="DH40" s="2" t="s">
        <v>9</v>
      </c>
      <c r="DI40" s="2" t="s">
        <v>3</v>
      </c>
      <c r="DJ40" s="2" t="s">
        <v>4</v>
      </c>
      <c r="DK40" s="2" t="s">
        <v>5</v>
      </c>
      <c r="DL40" s="21" t="s">
        <v>6</v>
      </c>
      <c r="DM40" s="2" t="s">
        <v>7</v>
      </c>
      <c r="DN40" s="2" t="s">
        <v>8</v>
      </c>
      <c r="DO40" s="2" t="s">
        <v>9</v>
      </c>
      <c r="DP40" s="2" t="s">
        <v>3</v>
      </c>
      <c r="DQ40" s="2" t="s">
        <v>4</v>
      </c>
      <c r="DR40" s="2" t="s">
        <v>5</v>
      </c>
      <c r="DS40" s="21" t="s">
        <v>6</v>
      </c>
      <c r="DT40" s="2" t="s">
        <v>7</v>
      </c>
      <c r="DU40" s="2" t="s">
        <v>8</v>
      </c>
      <c r="DV40" s="2" t="s">
        <v>9</v>
      </c>
      <c r="DW40" s="2" t="s">
        <v>3</v>
      </c>
      <c r="DX40" s="2" t="s">
        <v>4</v>
      </c>
      <c r="DY40" s="2" t="s">
        <v>2</v>
      </c>
      <c r="DZ40" s="2" t="s">
        <v>5</v>
      </c>
      <c r="EA40" s="21" t="s">
        <v>6</v>
      </c>
      <c r="EB40" s="2" t="s">
        <v>7</v>
      </c>
      <c r="EC40" s="2" t="s">
        <v>8</v>
      </c>
      <c r="ED40" s="2" t="s">
        <v>9</v>
      </c>
      <c r="EE40" s="2" t="s">
        <v>3</v>
      </c>
      <c r="EF40" s="2" t="s">
        <v>4</v>
      </c>
      <c r="EG40" s="21" t="s">
        <v>5</v>
      </c>
      <c r="EH40" s="2" t="s">
        <v>6</v>
      </c>
      <c r="EI40" s="2" t="s">
        <v>7</v>
      </c>
      <c r="EJ40" s="2" t="s">
        <v>8</v>
      </c>
      <c r="EK40" s="2" t="s">
        <v>9</v>
      </c>
      <c r="EL40" s="2" t="s">
        <v>3</v>
      </c>
      <c r="EM40" s="21" t="s">
        <v>4</v>
      </c>
      <c r="EN40" s="2" t="s">
        <v>5</v>
      </c>
      <c r="EO40" s="2" t="s">
        <v>6</v>
      </c>
      <c r="EP40" s="2" t="s">
        <v>7</v>
      </c>
      <c r="EQ40" s="2" t="s">
        <v>8</v>
      </c>
      <c r="ER40" s="2" t="s">
        <v>9</v>
      </c>
      <c r="ES40" s="21" t="s">
        <v>3</v>
      </c>
      <c r="ET40" s="2" t="s">
        <v>4</v>
      </c>
      <c r="EU40" s="2" t="s">
        <v>5</v>
      </c>
      <c r="EV40" s="2" t="s">
        <v>6</v>
      </c>
      <c r="EW40" s="2" t="s">
        <v>7</v>
      </c>
      <c r="EX40" s="2" t="s">
        <v>8</v>
      </c>
      <c r="EY40" s="21" t="s">
        <v>9</v>
      </c>
      <c r="EZ40" s="2" t="s">
        <v>3</v>
      </c>
      <c r="FA40" s="2" t="s">
        <v>4</v>
      </c>
      <c r="FB40" s="2" t="s">
        <v>5</v>
      </c>
      <c r="FC40" s="2" t="s">
        <v>6</v>
      </c>
      <c r="FD40" s="2" t="s">
        <v>2</v>
      </c>
      <c r="FE40" s="2" t="s">
        <v>7</v>
      </c>
      <c r="FF40" s="2" t="s">
        <v>8</v>
      </c>
      <c r="FG40" s="21" t="s">
        <v>9</v>
      </c>
      <c r="FH40" s="2" t="s">
        <v>3</v>
      </c>
      <c r="FI40" s="2" t="s">
        <v>4</v>
      </c>
      <c r="FJ40" s="2" t="s">
        <v>5</v>
      </c>
      <c r="FK40" s="2" t="s">
        <v>6</v>
      </c>
      <c r="FL40" s="2" t="s">
        <v>7</v>
      </c>
      <c r="FM40" s="2" t="s">
        <v>8</v>
      </c>
      <c r="FN40" s="2" t="s">
        <v>9</v>
      </c>
      <c r="FO40" s="2" t="s">
        <v>3</v>
      </c>
      <c r="FP40" s="2" t="s">
        <v>4</v>
      </c>
      <c r="FQ40" s="3" t="s">
        <v>5</v>
      </c>
      <c r="FR40" s="3" t="s">
        <v>6</v>
      </c>
      <c r="FS40" s="3" t="s">
        <v>7</v>
      </c>
      <c r="FT40" s="3" t="s">
        <v>8</v>
      </c>
      <c r="FU40" s="2" t="s">
        <v>9</v>
      </c>
      <c r="FV40" s="2" t="s">
        <v>3</v>
      </c>
      <c r="FW40" s="2" t="s">
        <v>4</v>
      </c>
      <c r="FX40" s="2" t="s">
        <v>5</v>
      </c>
      <c r="FY40" s="2" t="s">
        <v>6</v>
      </c>
      <c r="FZ40" s="2" t="s">
        <v>7</v>
      </c>
      <c r="GA40" s="2" t="s">
        <v>8</v>
      </c>
      <c r="GB40" s="2" t="s">
        <v>9</v>
      </c>
      <c r="GC40" s="2" t="s">
        <v>3</v>
      </c>
      <c r="GD40" s="2" t="s">
        <v>4</v>
      </c>
      <c r="GE40" s="2" t="s">
        <v>5</v>
      </c>
      <c r="GF40" s="2" t="s">
        <v>6</v>
      </c>
      <c r="GG40" s="2" t="s">
        <v>7</v>
      </c>
      <c r="GH40" s="2" t="s">
        <v>8</v>
      </c>
      <c r="GI40" s="2" t="s">
        <v>9</v>
      </c>
      <c r="GJ40" s="2" t="s">
        <v>2</v>
      </c>
      <c r="GK40" s="2" t="s">
        <v>3</v>
      </c>
      <c r="GL40" s="2" t="s">
        <v>4</v>
      </c>
      <c r="GM40" s="2" t="s">
        <v>5</v>
      </c>
      <c r="GN40" s="2" t="s">
        <v>6</v>
      </c>
      <c r="GO40" s="2" t="s">
        <v>7</v>
      </c>
      <c r="GP40" s="2" t="s">
        <v>8</v>
      </c>
      <c r="GQ40" s="2" t="s">
        <v>9</v>
      </c>
      <c r="GR40" s="2" t="s">
        <v>3</v>
      </c>
      <c r="GS40" s="2" t="s">
        <v>4</v>
      </c>
      <c r="GT40" s="2" t="s">
        <v>5</v>
      </c>
      <c r="GU40" s="2" t="s">
        <v>6</v>
      </c>
      <c r="GV40" s="2" t="s">
        <v>7</v>
      </c>
      <c r="GW40" s="2" t="s">
        <v>8</v>
      </c>
      <c r="GX40" s="2" t="s">
        <v>9</v>
      </c>
      <c r="GY40" s="2" t="s">
        <v>3</v>
      </c>
      <c r="GZ40" s="2" t="s">
        <v>4</v>
      </c>
      <c r="HA40" s="2" t="s">
        <v>5</v>
      </c>
      <c r="HB40" s="2" t="s">
        <v>6</v>
      </c>
      <c r="HC40" s="2" t="s">
        <v>7</v>
      </c>
      <c r="HD40" s="2" t="s">
        <v>8</v>
      </c>
      <c r="HE40" s="2" t="s">
        <v>9</v>
      </c>
      <c r="HF40" s="2" t="s">
        <v>3</v>
      </c>
      <c r="HG40" s="2" t="s">
        <v>4</v>
      </c>
      <c r="HH40" s="2" t="s">
        <v>5</v>
      </c>
      <c r="HI40" s="2" t="s">
        <v>6</v>
      </c>
      <c r="HJ40" s="2" t="s">
        <v>7</v>
      </c>
      <c r="HK40" s="2" t="s">
        <v>8</v>
      </c>
      <c r="HL40" s="2" t="s">
        <v>9</v>
      </c>
      <c r="HM40" s="2" t="s">
        <v>3</v>
      </c>
      <c r="HN40" s="2" t="s">
        <v>4</v>
      </c>
      <c r="HO40" s="2" t="s">
        <v>5</v>
      </c>
      <c r="HP40" s="2" t="s">
        <v>2</v>
      </c>
      <c r="HQ40" s="2" t="s">
        <v>6</v>
      </c>
      <c r="HR40" s="2" t="s">
        <v>7</v>
      </c>
      <c r="HS40" s="2" t="s">
        <v>8</v>
      </c>
      <c r="HT40" s="2" t="s">
        <v>9</v>
      </c>
      <c r="HU40" s="2" t="s">
        <v>3</v>
      </c>
      <c r="HV40" s="2" t="s">
        <v>4</v>
      </c>
      <c r="HW40" s="2" t="s">
        <v>5</v>
      </c>
      <c r="HX40" s="2" t="s">
        <v>6</v>
      </c>
      <c r="HY40" s="2" t="s">
        <v>7</v>
      </c>
      <c r="HZ40" s="2" t="s">
        <v>8</v>
      </c>
      <c r="IA40" s="2" t="s">
        <v>9</v>
      </c>
      <c r="IB40" s="2" t="s">
        <v>3</v>
      </c>
      <c r="IC40" s="2" t="s">
        <v>4</v>
      </c>
      <c r="ID40" s="2" t="s">
        <v>5</v>
      </c>
      <c r="IE40" s="2" t="s">
        <v>6</v>
      </c>
      <c r="IF40" s="2" t="s">
        <v>7</v>
      </c>
      <c r="IG40" s="2" t="s">
        <v>8</v>
      </c>
      <c r="IH40" s="2" t="s">
        <v>9</v>
      </c>
      <c r="II40" s="2" t="s">
        <v>3</v>
      </c>
      <c r="IJ40" s="2" t="s">
        <v>4</v>
      </c>
      <c r="IK40" s="2" t="s">
        <v>5</v>
      </c>
      <c r="IL40" s="2" t="s">
        <v>6</v>
      </c>
      <c r="IM40" s="2" t="s">
        <v>7</v>
      </c>
      <c r="IN40" s="2" t="s">
        <v>8</v>
      </c>
      <c r="IO40" s="2" t="s">
        <v>9</v>
      </c>
      <c r="IP40" s="2" t="s">
        <v>3</v>
      </c>
      <c r="IQ40" s="2" t="s">
        <v>4</v>
      </c>
      <c r="IR40" s="2" t="s">
        <v>5</v>
      </c>
      <c r="IS40" s="2" t="s">
        <v>6</v>
      </c>
      <c r="IT40" s="2" t="s">
        <v>2</v>
      </c>
      <c r="IU40" s="2" t="s">
        <v>7</v>
      </c>
      <c r="IV40" s="2" t="s">
        <v>8</v>
      </c>
      <c r="IW40" s="2" t="s">
        <v>9</v>
      </c>
      <c r="IX40" s="2" t="s">
        <v>3</v>
      </c>
      <c r="IY40" s="2" t="s">
        <v>4</v>
      </c>
      <c r="IZ40" s="2" t="s">
        <v>5</v>
      </c>
      <c r="JA40" s="2" t="s">
        <v>6</v>
      </c>
      <c r="JB40" s="2" t="s">
        <v>7</v>
      </c>
      <c r="JC40" s="2" t="s">
        <v>8</v>
      </c>
      <c r="JD40" s="2" t="s">
        <v>9</v>
      </c>
      <c r="JE40" s="2" t="s">
        <v>3</v>
      </c>
      <c r="JF40" s="2" t="s">
        <v>4</v>
      </c>
      <c r="JG40" s="2" t="s">
        <v>5</v>
      </c>
      <c r="JH40" s="2" t="s">
        <v>6</v>
      </c>
      <c r="JI40" s="2" t="s">
        <v>7</v>
      </c>
      <c r="JJ40" s="2" t="s">
        <v>8</v>
      </c>
      <c r="JK40" s="2" t="s">
        <v>9</v>
      </c>
      <c r="JL40" s="2" t="s">
        <v>3</v>
      </c>
      <c r="JM40" s="2" t="s">
        <v>4</v>
      </c>
      <c r="JN40" s="2" t="s">
        <v>5</v>
      </c>
      <c r="JO40" s="2" t="s">
        <v>6</v>
      </c>
      <c r="JP40" s="2" t="s">
        <v>7</v>
      </c>
      <c r="JQ40" s="2" t="s">
        <v>8</v>
      </c>
      <c r="JR40" s="2" t="s">
        <v>9</v>
      </c>
      <c r="JS40" s="2" t="s">
        <v>3</v>
      </c>
      <c r="JT40" s="3" t="s">
        <v>4</v>
      </c>
      <c r="JU40" s="2" t="s">
        <v>5</v>
      </c>
      <c r="JV40" s="2" t="s">
        <v>6</v>
      </c>
      <c r="JW40" s="2" t="s">
        <v>7</v>
      </c>
      <c r="JX40" s="2" t="s">
        <v>8</v>
      </c>
      <c r="JY40" s="2" t="s">
        <v>9</v>
      </c>
      <c r="JZ40" s="2" t="s">
        <v>2</v>
      </c>
      <c r="KA40" s="2" t="s">
        <v>317</v>
      </c>
      <c r="KB40" s="2" t="s">
        <v>318</v>
      </c>
      <c r="KC40" s="2" t="s">
        <v>319</v>
      </c>
      <c r="KD40" s="2" t="s">
        <v>320</v>
      </c>
      <c r="KE40" s="2" t="s">
        <v>321</v>
      </c>
      <c r="KF40" s="2" t="s">
        <v>322</v>
      </c>
      <c r="KG40" s="2" t="s">
        <v>323</v>
      </c>
      <c r="KH40" s="3" t="s">
        <v>317</v>
      </c>
      <c r="KI40" s="2" t="s">
        <v>318</v>
      </c>
      <c r="KJ40" s="2" t="s">
        <v>319</v>
      </c>
      <c r="KK40" s="2" t="s">
        <v>320</v>
      </c>
      <c r="KL40" s="2" t="s">
        <v>321</v>
      </c>
      <c r="KM40" s="2" t="s">
        <v>322</v>
      </c>
      <c r="KN40" s="3" t="s">
        <v>323</v>
      </c>
      <c r="KO40" s="2" t="s">
        <v>317</v>
      </c>
      <c r="KP40" s="2" t="s">
        <v>318</v>
      </c>
      <c r="KQ40" s="2" t="s">
        <v>319</v>
      </c>
      <c r="KR40" s="2" t="s">
        <v>320</v>
      </c>
      <c r="KS40" s="2" t="s">
        <v>321</v>
      </c>
      <c r="KT40" s="2" t="s">
        <v>322</v>
      </c>
      <c r="KU40" s="2" t="s">
        <v>323</v>
      </c>
      <c r="KV40" s="2" t="s">
        <v>317</v>
      </c>
      <c r="KW40" s="2" t="s">
        <v>318</v>
      </c>
      <c r="KX40" s="2" t="s">
        <v>319</v>
      </c>
      <c r="KY40" s="2" t="s">
        <v>320</v>
      </c>
      <c r="KZ40" s="2" t="s">
        <v>321</v>
      </c>
      <c r="LA40" s="2" t="s">
        <v>322</v>
      </c>
      <c r="LB40" s="2" t="s">
        <v>323</v>
      </c>
      <c r="LC40" s="2" t="s">
        <v>317</v>
      </c>
      <c r="LD40" s="2" t="s">
        <v>318</v>
      </c>
      <c r="LE40" s="2" t="s">
        <v>2</v>
      </c>
      <c r="LF40" s="2" t="s">
        <v>319</v>
      </c>
      <c r="LG40" s="2" t="s">
        <v>320</v>
      </c>
      <c r="LH40" s="2" t="s">
        <v>321</v>
      </c>
      <c r="LI40" s="2" t="s">
        <v>322</v>
      </c>
      <c r="LJ40" s="2" t="s">
        <v>323</v>
      </c>
      <c r="LK40" s="2" t="s">
        <v>317</v>
      </c>
      <c r="LL40" s="2" t="s">
        <v>318</v>
      </c>
      <c r="LM40" s="2" t="s">
        <v>319</v>
      </c>
      <c r="LN40" s="2" t="s">
        <v>320</v>
      </c>
      <c r="LO40" s="2" t="s">
        <v>321</v>
      </c>
      <c r="LP40" s="2" t="s">
        <v>322</v>
      </c>
      <c r="LQ40" s="2" t="s">
        <v>323</v>
      </c>
      <c r="LR40" s="2" t="s">
        <v>317</v>
      </c>
      <c r="LS40" s="2" t="s">
        <v>318</v>
      </c>
      <c r="LT40" s="2" t="s">
        <v>319</v>
      </c>
      <c r="LU40" s="2" t="s">
        <v>320</v>
      </c>
      <c r="LV40" s="2" t="s">
        <v>321</v>
      </c>
      <c r="LW40" s="2" t="s">
        <v>322</v>
      </c>
      <c r="LX40" s="2" t="s">
        <v>323</v>
      </c>
      <c r="LY40" s="2" t="s">
        <v>317</v>
      </c>
      <c r="LZ40" s="2" t="s">
        <v>318</v>
      </c>
      <c r="MA40" s="2" t="s">
        <v>319</v>
      </c>
      <c r="MB40" s="2" t="s">
        <v>320</v>
      </c>
      <c r="MC40" s="2" t="s">
        <v>321</v>
      </c>
      <c r="MD40" s="2" t="s">
        <v>322</v>
      </c>
      <c r="ME40" s="2" t="s">
        <v>323</v>
      </c>
      <c r="MF40" s="2" t="s">
        <v>317</v>
      </c>
      <c r="MG40" s="2" t="s">
        <v>318</v>
      </c>
      <c r="MH40" s="2" t="s">
        <v>319</v>
      </c>
      <c r="MI40" s="2" t="s">
        <v>320</v>
      </c>
      <c r="MJ40" s="2" t="s">
        <v>321</v>
      </c>
      <c r="MK40" s="2" t="s">
        <v>2</v>
      </c>
      <c r="ML40" s="2" t="s">
        <v>322</v>
      </c>
      <c r="MM40" s="2" t="s">
        <v>323</v>
      </c>
      <c r="MN40" s="2" t="s">
        <v>317</v>
      </c>
      <c r="MO40" s="2" t="s">
        <v>318</v>
      </c>
      <c r="MP40" s="2" t="s">
        <v>319</v>
      </c>
      <c r="MQ40" s="2" t="s">
        <v>320</v>
      </c>
      <c r="MR40" s="2" t="s">
        <v>321</v>
      </c>
      <c r="MS40" s="2" t="s">
        <v>322</v>
      </c>
      <c r="MT40" s="2" t="s">
        <v>323</v>
      </c>
      <c r="MU40" s="2" t="s">
        <v>317</v>
      </c>
      <c r="MV40" s="2" t="s">
        <v>318</v>
      </c>
      <c r="MW40" s="2" t="s">
        <v>319</v>
      </c>
      <c r="MX40" s="2" t="s">
        <v>320</v>
      </c>
      <c r="MY40" s="2" t="s">
        <v>321</v>
      </c>
      <c r="MZ40" s="2" t="s">
        <v>322</v>
      </c>
      <c r="NA40" s="2" t="s">
        <v>323</v>
      </c>
      <c r="NB40" s="2" t="s">
        <v>317</v>
      </c>
      <c r="NC40" s="2" t="s">
        <v>318</v>
      </c>
      <c r="ND40" s="2" t="s">
        <v>319</v>
      </c>
      <c r="NE40" s="2" t="s">
        <v>320</v>
      </c>
      <c r="NF40" s="2" t="s">
        <v>321</v>
      </c>
      <c r="NG40" s="2" t="s">
        <v>322</v>
      </c>
      <c r="NH40" s="2" t="s">
        <v>323</v>
      </c>
      <c r="NI40" s="2" t="s">
        <v>317</v>
      </c>
      <c r="NJ40" s="2" t="s">
        <v>318</v>
      </c>
      <c r="NK40" s="2" t="s">
        <v>319</v>
      </c>
      <c r="NL40" s="2" t="s">
        <v>320</v>
      </c>
      <c r="NM40" s="2" t="s">
        <v>321</v>
      </c>
      <c r="NN40" s="2" t="s">
        <v>322</v>
      </c>
      <c r="NO40" s="2" t="s">
        <v>323</v>
      </c>
      <c r="NP40" s="2" t="s">
        <v>2</v>
      </c>
      <c r="NQ40" s="2" t="s">
        <v>317</v>
      </c>
      <c r="NR40" s="2" t="s">
        <v>318</v>
      </c>
      <c r="NS40" s="2" t="s">
        <v>319</v>
      </c>
      <c r="NT40" s="2" t="s">
        <v>320</v>
      </c>
      <c r="NU40" s="2" t="s">
        <v>321</v>
      </c>
      <c r="NV40" s="2" t="s">
        <v>322</v>
      </c>
      <c r="NW40" s="2" t="s">
        <v>323</v>
      </c>
      <c r="NX40" s="2" t="s">
        <v>317</v>
      </c>
      <c r="NY40" s="2" t="s">
        <v>318</v>
      </c>
      <c r="NZ40" s="2" t="s">
        <v>319</v>
      </c>
      <c r="OA40" s="2" t="s">
        <v>320</v>
      </c>
      <c r="OB40" s="2" t="s">
        <v>321</v>
      </c>
      <c r="OC40" s="2" t="s">
        <v>322</v>
      </c>
      <c r="OD40" s="2" t="s">
        <v>323</v>
      </c>
      <c r="OE40" s="2" t="s">
        <v>317</v>
      </c>
      <c r="OF40" s="2" t="s">
        <v>318</v>
      </c>
      <c r="OG40" s="2" t="s">
        <v>319</v>
      </c>
      <c r="OH40" s="2" t="s">
        <v>320</v>
      </c>
      <c r="OI40" s="2" t="s">
        <v>321</v>
      </c>
      <c r="OJ40" s="2" t="s">
        <v>322</v>
      </c>
      <c r="OK40" s="2" t="s">
        <v>323</v>
      </c>
      <c r="OL40" s="2" t="s">
        <v>317</v>
      </c>
      <c r="OM40" s="2" t="s">
        <v>318</v>
      </c>
      <c r="ON40" s="2" t="s">
        <v>319</v>
      </c>
      <c r="OO40" s="2" t="s">
        <v>320</v>
      </c>
      <c r="OP40" s="2" t="s">
        <v>321</v>
      </c>
      <c r="OQ40" s="2" t="s">
        <v>322</v>
      </c>
      <c r="OR40" s="2" t="s">
        <v>323</v>
      </c>
      <c r="OS40" s="2" t="s">
        <v>317</v>
      </c>
      <c r="OT40" s="2" t="s">
        <v>318</v>
      </c>
      <c r="OU40" s="2" t="s">
        <v>319</v>
      </c>
      <c r="OV40" s="2" t="s">
        <v>2</v>
      </c>
      <c r="OW40" s="2" t="s">
        <v>320</v>
      </c>
      <c r="OX40" s="2" t="s">
        <v>321</v>
      </c>
      <c r="OY40" s="2" t="s">
        <v>322</v>
      </c>
      <c r="OZ40" s="2" t="s">
        <v>323</v>
      </c>
      <c r="PA40" s="2" t="s">
        <v>317</v>
      </c>
      <c r="PB40" s="2" t="s">
        <v>318</v>
      </c>
      <c r="PC40" s="2" t="s">
        <v>319</v>
      </c>
      <c r="PD40" s="2" t="s">
        <v>320</v>
      </c>
      <c r="PE40" s="2" t="s">
        <v>321</v>
      </c>
      <c r="PF40" s="2" t="s">
        <v>322</v>
      </c>
      <c r="PG40" s="2" t="s">
        <v>323</v>
      </c>
      <c r="PH40" s="2" t="s">
        <v>317</v>
      </c>
      <c r="PI40" s="2" t="s">
        <v>318</v>
      </c>
      <c r="PJ40" s="2" t="s">
        <v>319</v>
      </c>
      <c r="PK40" s="223" t="s">
        <v>320</v>
      </c>
      <c r="PL40" s="2" t="s">
        <v>321</v>
      </c>
      <c r="PM40" s="2" t="s">
        <v>322</v>
      </c>
      <c r="PN40" s="2" t="s">
        <v>323</v>
      </c>
      <c r="PO40" s="2" t="s">
        <v>317</v>
      </c>
      <c r="PP40" s="2" t="s">
        <v>318</v>
      </c>
      <c r="PQ40" s="2" t="s">
        <v>319</v>
      </c>
      <c r="PR40" s="2" t="s">
        <v>320</v>
      </c>
      <c r="PS40" s="2" t="s">
        <v>321</v>
      </c>
      <c r="PT40" s="2" t="s">
        <v>322</v>
      </c>
      <c r="PU40" s="2" t="s">
        <v>323</v>
      </c>
      <c r="PV40" s="2" t="s">
        <v>317</v>
      </c>
      <c r="PW40" s="2" t="s">
        <v>318</v>
      </c>
      <c r="PX40" s="2" t="s">
        <v>319</v>
      </c>
      <c r="PY40" s="2" t="s">
        <v>320</v>
      </c>
      <c r="PZ40" s="2" t="s">
        <v>321</v>
      </c>
      <c r="QA40" s="2" t="s">
        <v>322</v>
      </c>
      <c r="QB40" s="2" t="s">
        <v>2</v>
      </c>
      <c r="QC40" s="2" t="s">
        <v>323</v>
      </c>
      <c r="QD40" s="2" t="s">
        <v>317</v>
      </c>
      <c r="QE40" s="2" t="s">
        <v>318</v>
      </c>
      <c r="QF40" s="2" t="s">
        <v>319</v>
      </c>
      <c r="QG40" s="2" t="s">
        <v>320</v>
      </c>
      <c r="QH40" s="2" t="s">
        <v>321</v>
      </c>
      <c r="QI40" s="2" t="s">
        <v>322</v>
      </c>
      <c r="QJ40" s="2" t="s">
        <v>323</v>
      </c>
      <c r="QK40" s="2" t="s">
        <v>317</v>
      </c>
      <c r="QL40" s="2" t="s">
        <v>318</v>
      </c>
      <c r="QM40" s="2" t="s">
        <v>319</v>
      </c>
      <c r="QN40" s="2" t="s">
        <v>320</v>
      </c>
      <c r="QO40" s="2" t="s">
        <v>321</v>
      </c>
      <c r="QP40" s="2" t="s">
        <v>322</v>
      </c>
      <c r="QQ40" s="2" t="s">
        <v>323</v>
      </c>
      <c r="QR40" s="2" t="s">
        <v>317</v>
      </c>
      <c r="QS40" s="2" t="s">
        <v>318</v>
      </c>
      <c r="QT40" s="2" t="s">
        <v>319</v>
      </c>
      <c r="QU40" s="2" t="s">
        <v>320</v>
      </c>
      <c r="QV40" s="2" t="s">
        <v>321</v>
      </c>
      <c r="QW40" s="2" t="s">
        <v>322</v>
      </c>
      <c r="QX40" s="2" t="s">
        <v>323</v>
      </c>
      <c r="QY40" s="2" t="s">
        <v>317</v>
      </c>
      <c r="QZ40" s="2" t="s">
        <v>318</v>
      </c>
      <c r="RA40" s="2" t="s">
        <v>319</v>
      </c>
      <c r="RB40" s="2" t="s">
        <v>320</v>
      </c>
      <c r="RC40" s="2" t="s">
        <v>321</v>
      </c>
      <c r="RD40" s="2" t="s">
        <v>322</v>
      </c>
      <c r="RE40" s="2" t="s">
        <v>323</v>
      </c>
      <c r="RF40" s="2" t="s">
        <v>317</v>
      </c>
      <c r="RG40" s="2" t="s">
        <v>2</v>
      </c>
      <c r="RH40" s="2" t="s">
        <v>318</v>
      </c>
      <c r="RI40" s="2" t="s">
        <v>319</v>
      </c>
      <c r="RJ40" s="2" t="s">
        <v>320</v>
      </c>
      <c r="RK40" s="2" t="s">
        <v>321</v>
      </c>
      <c r="RL40" s="2" t="s">
        <v>322</v>
      </c>
      <c r="RM40" s="2" t="s">
        <v>323</v>
      </c>
      <c r="RN40" s="2" t="s">
        <v>317</v>
      </c>
      <c r="RO40" s="2" t="s">
        <v>318</v>
      </c>
      <c r="RP40" s="2" t="s">
        <v>319</v>
      </c>
      <c r="RQ40" s="2" t="s">
        <v>320</v>
      </c>
      <c r="RR40" s="2" t="s">
        <v>321</v>
      </c>
      <c r="RS40" s="2" t="s">
        <v>322</v>
      </c>
      <c r="RT40" s="2" t="s">
        <v>323</v>
      </c>
      <c r="RU40" s="2" t="s">
        <v>317</v>
      </c>
      <c r="RV40" s="2" t="s">
        <v>318</v>
      </c>
      <c r="RW40" s="2" t="s">
        <v>319</v>
      </c>
      <c r="RX40" s="2" t="s">
        <v>320</v>
      </c>
      <c r="RY40" s="2" t="s">
        <v>321</v>
      </c>
      <c r="RZ40" s="2" t="s">
        <v>322</v>
      </c>
      <c r="SA40" s="2" t="s">
        <v>323</v>
      </c>
      <c r="SB40" s="2" t="s">
        <v>317</v>
      </c>
      <c r="SC40" s="2" t="s">
        <v>318</v>
      </c>
      <c r="SD40" s="2" t="s">
        <v>319</v>
      </c>
      <c r="SE40" s="2" t="s">
        <v>320</v>
      </c>
      <c r="SF40" s="2" t="s">
        <v>321</v>
      </c>
      <c r="SG40" s="2" t="s">
        <v>322</v>
      </c>
      <c r="SH40" s="2" t="s">
        <v>323</v>
      </c>
      <c r="SI40" s="2" t="s">
        <v>317</v>
      </c>
      <c r="SJ40" s="2" t="s">
        <v>318</v>
      </c>
      <c r="SK40" s="2" t="s">
        <v>319</v>
      </c>
      <c r="SL40" s="2" t="s">
        <v>320</v>
      </c>
      <c r="SM40" s="2" t="s">
        <v>2</v>
      </c>
      <c r="SN40" s="2" t="s">
        <v>321</v>
      </c>
      <c r="SO40" s="2" t="s">
        <v>322</v>
      </c>
      <c r="SP40" s="2" t="s">
        <v>323</v>
      </c>
      <c r="SQ40" s="2" t="s">
        <v>317</v>
      </c>
      <c r="SR40" s="2" t="s">
        <v>318</v>
      </c>
      <c r="SS40" s="2" t="s">
        <v>319</v>
      </c>
      <c r="ST40" s="2" t="s">
        <v>320</v>
      </c>
      <c r="SU40" s="2" t="s">
        <v>321</v>
      </c>
      <c r="SV40" s="2" t="s">
        <v>322</v>
      </c>
      <c r="SW40" s="2" t="s">
        <v>323</v>
      </c>
      <c r="SX40" s="2" t="s">
        <v>317</v>
      </c>
      <c r="SY40" s="2" t="s">
        <v>318</v>
      </c>
      <c r="SZ40" s="2" t="s">
        <v>319</v>
      </c>
      <c r="TA40" s="2" t="s">
        <v>320</v>
      </c>
      <c r="TB40" s="2" t="s">
        <v>321</v>
      </c>
      <c r="TC40" s="2" t="s">
        <v>322</v>
      </c>
      <c r="TD40" s="2" t="s">
        <v>323</v>
      </c>
      <c r="TE40" s="2" t="s">
        <v>317</v>
      </c>
      <c r="TF40" s="2" t="s">
        <v>318</v>
      </c>
      <c r="TG40" s="2" t="s">
        <v>319</v>
      </c>
      <c r="TH40" s="2" t="s">
        <v>320</v>
      </c>
      <c r="TI40" s="2" t="s">
        <v>321</v>
      </c>
      <c r="TJ40" s="2" t="s">
        <v>322</v>
      </c>
      <c r="TK40" s="2" t="s">
        <v>323</v>
      </c>
      <c r="TL40" s="2" t="s">
        <v>317</v>
      </c>
      <c r="TM40" s="2" t="s">
        <v>318</v>
      </c>
      <c r="TN40" s="2" t="s">
        <v>319</v>
      </c>
      <c r="TO40" s="2" t="s">
        <v>320</v>
      </c>
      <c r="TP40" s="2" t="s">
        <v>321</v>
      </c>
      <c r="TQ40" s="2" t="s">
        <v>322</v>
      </c>
      <c r="TR40" s="2" t="s">
        <v>2</v>
      </c>
      <c r="TS40" s="2" t="s">
        <v>323</v>
      </c>
      <c r="TT40" s="2" t="s">
        <v>317</v>
      </c>
      <c r="TU40" s="2" t="s">
        <v>318</v>
      </c>
      <c r="TV40" s="2" t="s">
        <v>319</v>
      </c>
      <c r="TW40" s="2" t="s">
        <v>320</v>
      </c>
      <c r="TX40" s="2" t="s">
        <v>321</v>
      </c>
      <c r="TY40" s="2" t="s">
        <v>322</v>
      </c>
      <c r="TZ40" s="2" t="s">
        <v>323</v>
      </c>
      <c r="UA40" s="2" t="s">
        <v>317</v>
      </c>
      <c r="UB40" s="2" t="s">
        <v>318</v>
      </c>
      <c r="UC40" s="2" t="s">
        <v>319</v>
      </c>
      <c r="UD40" s="2" t="s">
        <v>320</v>
      </c>
      <c r="UE40" s="2" t="s">
        <v>321</v>
      </c>
      <c r="UF40" s="2" t="s">
        <v>322</v>
      </c>
      <c r="UG40" s="2" t="s">
        <v>323</v>
      </c>
      <c r="UH40" s="223" t="s">
        <v>317</v>
      </c>
      <c r="UI40" s="2" t="s">
        <v>318</v>
      </c>
      <c r="UJ40" s="2" t="s">
        <v>319</v>
      </c>
      <c r="UK40" s="2" t="s">
        <v>320</v>
      </c>
      <c r="UL40" s="2" t="s">
        <v>321</v>
      </c>
      <c r="UM40" s="2" t="s">
        <v>322</v>
      </c>
      <c r="UN40" s="2" t="s">
        <v>323</v>
      </c>
      <c r="UO40" s="2" t="s">
        <v>317</v>
      </c>
      <c r="UP40" s="2" t="s">
        <v>318</v>
      </c>
      <c r="UQ40" s="2" t="s">
        <v>319</v>
      </c>
      <c r="UR40" s="2" t="s">
        <v>320</v>
      </c>
      <c r="US40" s="2" t="s">
        <v>321</v>
      </c>
      <c r="UT40" s="2" t="s">
        <v>322</v>
      </c>
      <c r="UU40" s="2" t="s">
        <v>323</v>
      </c>
      <c r="UV40" s="2" t="s">
        <v>317</v>
      </c>
      <c r="UW40" s="2" t="s">
        <v>318</v>
      </c>
      <c r="UX40" s="2" t="s">
        <v>2</v>
      </c>
      <c r="UY40" s="2" t="s">
        <v>319</v>
      </c>
      <c r="UZ40" s="2" t="s">
        <v>320</v>
      </c>
      <c r="VA40" s="2" t="s">
        <v>321</v>
      </c>
      <c r="VB40" s="2" t="s">
        <v>322</v>
      </c>
      <c r="VC40" s="2" t="s">
        <v>323</v>
      </c>
      <c r="VD40" s="2" t="s">
        <v>317</v>
      </c>
      <c r="VE40" s="2" t="s">
        <v>318</v>
      </c>
      <c r="VF40" s="2" t="s">
        <v>319</v>
      </c>
      <c r="VG40" s="2" t="s">
        <v>320</v>
      </c>
      <c r="VH40" s="2" t="s">
        <v>321</v>
      </c>
      <c r="VI40" s="2" t="s">
        <v>322</v>
      </c>
      <c r="VJ40" s="2" t="s">
        <v>323</v>
      </c>
      <c r="VK40" s="2" t="s">
        <v>317</v>
      </c>
      <c r="VL40" s="2" t="s">
        <v>318</v>
      </c>
      <c r="VM40" s="2" t="s">
        <v>319</v>
      </c>
      <c r="VN40" s="2" t="s">
        <v>320</v>
      </c>
      <c r="VO40" s="2" t="s">
        <v>321</v>
      </c>
      <c r="VP40" s="2" t="s">
        <v>322</v>
      </c>
      <c r="VQ40" s="2" t="s">
        <v>323</v>
      </c>
      <c r="VR40" s="2" t="s">
        <v>317</v>
      </c>
      <c r="VS40" s="2" t="s">
        <v>318</v>
      </c>
      <c r="VT40" s="2" t="s">
        <v>319</v>
      </c>
      <c r="VU40" s="2" t="s">
        <v>320</v>
      </c>
      <c r="VV40" s="2" t="s">
        <v>321</v>
      </c>
      <c r="VW40" s="2" t="s">
        <v>322</v>
      </c>
      <c r="VX40" s="2" t="s">
        <v>323</v>
      </c>
      <c r="VY40" s="2" t="s">
        <v>317</v>
      </c>
      <c r="VZ40" s="2" t="s">
        <v>318</v>
      </c>
      <c r="WA40" s="2" t="s">
        <v>319</v>
      </c>
      <c r="WB40" s="2" t="s">
        <v>320</v>
      </c>
      <c r="WC40" s="2" t="s">
        <v>321</v>
      </c>
      <c r="WD40" s="2" t="s">
        <v>2</v>
      </c>
      <c r="WE40" s="2" t="s">
        <v>322</v>
      </c>
      <c r="WF40" s="2" t="s">
        <v>323</v>
      </c>
      <c r="WG40" s="2" t="s">
        <v>317</v>
      </c>
      <c r="WH40" s="2" t="s">
        <v>318</v>
      </c>
      <c r="WI40" s="2" t="s">
        <v>319</v>
      </c>
      <c r="WJ40" s="2" t="s">
        <v>320</v>
      </c>
      <c r="WK40" s="2" t="s">
        <v>321</v>
      </c>
      <c r="WL40" s="2" t="s">
        <v>322</v>
      </c>
      <c r="WM40" s="2" t="s">
        <v>323</v>
      </c>
      <c r="WN40" s="2" t="s">
        <v>317</v>
      </c>
      <c r="WO40" s="2" t="s">
        <v>318</v>
      </c>
      <c r="WP40" s="2" t="s">
        <v>319</v>
      </c>
      <c r="WQ40" s="2" t="s">
        <v>320</v>
      </c>
      <c r="WR40" s="2" t="s">
        <v>321</v>
      </c>
      <c r="WS40" s="2" t="s">
        <v>322</v>
      </c>
      <c r="WT40" s="2" t="s">
        <v>323</v>
      </c>
      <c r="WU40" s="2" t="s">
        <v>317</v>
      </c>
      <c r="WV40" s="2" t="s">
        <v>318</v>
      </c>
      <c r="WW40" s="2" t="s">
        <v>319</v>
      </c>
      <c r="WX40" s="2" t="s">
        <v>320</v>
      </c>
      <c r="WY40" s="2" t="s">
        <v>321</v>
      </c>
      <c r="WZ40" s="2" t="s">
        <v>322</v>
      </c>
      <c r="XA40" s="2" t="s">
        <v>323</v>
      </c>
      <c r="XB40" s="2" t="s">
        <v>317</v>
      </c>
      <c r="XC40" s="2" t="s">
        <v>318</v>
      </c>
      <c r="XD40" s="2" t="s">
        <v>319</v>
      </c>
      <c r="XE40" s="2" t="s">
        <v>320</v>
      </c>
      <c r="XF40" s="2" t="s">
        <v>321</v>
      </c>
      <c r="XG40" s="2" t="s">
        <v>2</v>
      </c>
      <c r="XH40" s="2" t="s">
        <v>322</v>
      </c>
      <c r="XI40" s="2" t="s">
        <v>323</v>
      </c>
      <c r="XJ40" s="2" t="s">
        <v>317</v>
      </c>
      <c r="XK40" s="2" t="s">
        <v>318</v>
      </c>
      <c r="XL40" s="2" t="s">
        <v>319</v>
      </c>
      <c r="XM40" s="2" t="s">
        <v>320</v>
      </c>
      <c r="XN40" s="2" t="s">
        <v>321</v>
      </c>
      <c r="XO40" s="2" t="s">
        <v>322</v>
      </c>
      <c r="XP40" s="2" t="s">
        <v>323</v>
      </c>
      <c r="XQ40" s="2" t="s">
        <v>317</v>
      </c>
      <c r="XR40" s="2" t="s">
        <v>318</v>
      </c>
      <c r="XS40" s="2" t="s">
        <v>319</v>
      </c>
      <c r="XT40" s="2" t="s">
        <v>320</v>
      </c>
      <c r="XU40" s="2" t="s">
        <v>321</v>
      </c>
      <c r="XV40" s="2" t="s">
        <v>322</v>
      </c>
      <c r="XW40" s="2" t="s">
        <v>323</v>
      </c>
      <c r="XX40" s="2" t="s">
        <v>317</v>
      </c>
      <c r="XY40" s="2" t="s">
        <v>318</v>
      </c>
      <c r="XZ40" s="2" t="s">
        <v>319</v>
      </c>
      <c r="YA40" s="2" t="s">
        <v>320</v>
      </c>
      <c r="YB40" s="2" t="s">
        <v>321</v>
      </c>
      <c r="YC40" s="2" t="s">
        <v>322</v>
      </c>
      <c r="YD40" s="2" t="s">
        <v>323</v>
      </c>
      <c r="YE40" s="2" t="s">
        <v>317</v>
      </c>
      <c r="YF40" s="2" t="s">
        <v>318</v>
      </c>
      <c r="YG40" s="2" t="s">
        <v>319</v>
      </c>
      <c r="YH40" s="2" t="s">
        <v>320</v>
      </c>
      <c r="YI40" s="2" t="s">
        <v>321</v>
      </c>
      <c r="YJ40" s="2" t="s">
        <v>322</v>
      </c>
      <c r="YK40" s="2" t="s">
        <v>323</v>
      </c>
      <c r="YL40" s="2" t="s">
        <v>317</v>
      </c>
      <c r="YM40" s="2" t="s">
        <v>2</v>
      </c>
      <c r="YN40" s="2" t="s">
        <v>318</v>
      </c>
      <c r="YO40" s="2" t="s">
        <v>319</v>
      </c>
      <c r="YP40" s="2" t="s">
        <v>320</v>
      </c>
      <c r="YQ40" s="2" t="s">
        <v>321</v>
      </c>
      <c r="YR40" s="2" t="s">
        <v>322</v>
      </c>
      <c r="YS40" s="2" t="s">
        <v>323</v>
      </c>
      <c r="YT40" s="2" t="s">
        <v>317</v>
      </c>
      <c r="YU40" s="2" t="s">
        <v>318</v>
      </c>
      <c r="YV40" s="2" t="s">
        <v>319</v>
      </c>
      <c r="YW40" s="2" t="s">
        <v>320</v>
      </c>
      <c r="YX40" s="2" t="s">
        <v>321</v>
      </c>
      <c r="YY40" s="2" t="s">
        <v>322</v>
      </c>
      <c r="YZ40" s="2" t="s">
        <v>323</v>
      </c>
      <c r="ZA40" s="2" t="s">
        <v>317</v>
      </c>
      <c r="ZB40" s="2" t="s">
        <v>318</v>
      </c>
      <c r="ZC40" s="2" t="s">
        <v>319</v>
      </c>
      <c r="ZD40" s="2" t="s">
        <v>320</v>
      </c>
      <c r="ZE40" s="2" t="s">
        <v>321</v>
      </c>
      <c r="ZF40" s="2" t="s">
        <v>322</v>
      </c>
      <c r="ZG40" s="2" t="s">
        <v>323</v>
      </c>
      <c r="ZH40" s="2" t="s">
        <v>317</v>
      </c>
      <c r="ZI40" s="2" t="s">
        <v>318</v>
      </c>
      <c r="ZJ40" s="2" t="s">
        <v>319</v>
      </c>
      <c r="ZK40" s="2" t="s">
        <v>320</v>
      </c>
      <c r="ZL40" s="2" t="s">
        <v>321</v>
      </c>
      <c r="ZM40" s="2" t="s">
        <v>322</v>
      </c>
      <c r="ZN40" s="2" t="s">
        <v>323</v>
      </c>
      <c r="ZO40" s="2" t="s">
        <v>317</v>
      </c>
      <c r="ZP40" s="2" t="s">
        <v>318</v>
      </c>
      <c r="ZQ40" s="2" t="s">
        <v>319</v>
      </c>
      <c r="ZR40" s="2" t="s">
        <v>2</v>
      </c>
      <c r="ZS40" s="2" t="s">
        <v>320</v>
      </c>
      <c r="ZT40" s="2" t="s">
        <v>321</v>
      </c>
      <c r="ZU40" s="2" t="s">
        <v>322</v>
      </c>
      <c r="ZV40" s="2" t="s">
        <v>323</v>
      </c>
      <c r="ZW40" s="2" t="s">
        <v>317</v>
      </c>
      <c r="ZX40" s="2" t="s">
        <v>318</v>
      </c>
      <c r="ZY40" s="2" t="s">
        <v>319</v>
      </c>
      <c r="ZZ40" s="2" t="s">
        <v>320</v>
      </c>
      <c r="AAA40" s="2" t="s">
        <v>321</v>
      </c>
      <c r="AAB40" s="2" t="s">
        <v>322</v>
      </c>
      <c r="AAC40" s="2" t="s">
        <v>323</v>
      </c>
      <c r="AAD40" s="2" t="s">
        <v>317</v>
      </c>
      <c r="AAE40" s="2" t="s">
        <v>318</v>
      </c>
      <c r="AAF40" s="2" t="s">
        <v>319</v>
      </c>
      <c r="AAG40" s="2" t="s">
        <v>320</v>
      </c>
      <c r="AAH40" s="2" t="s">
        <v>321</v>
      </c>
      <c r="AAI40" s="2" t="s">
        <v>322</v>
      </c>
      <c r="AAJ40" s="2" t="s">
        <v>323</v>
      </c>
      <c r="AAK40" s="2" t="s">
        <v>317</v>
      </c>
      <c r="AAL40" s="2" t="s">
        <v>318</v>
      </c>
      <c r="AAM40" s="2" t="s">
        <v>319</v>
      </c>
      <c r="AAN40" s="2" t="s">
        <v>320</v>
      </c>
      <c r="AAO40" s="2" t="s">
        <v>321</v>
      </c>
      <c r="AAP40" s="2" t="s">
        <v>322</v>
      </c>
      <c r="AAQ40" s="2" t="s">
        <v>323</v>
      </c>
      <c r="AAR40" s="2" t="s">
        <v>317</v>
      </c>
      <c r="AAS40" s="2" t="s">
        <v>318</v>
      </c>
      <c r="AAT40" s="2" t="s">
        <v>319</v>
      </c>
      <c r="AAU40" s="2" t="s">
        <v>320</v>
      </c>
      <c r="AAV40" s="2" t="s">
        <v>321</v>
      </c>
      <c r="AAW40" s="2" t="s">
        <v>322</v>
      </c>
      <c r="AAX40" s="2" t="s">
        <v>2</v>
      </c>
      <c r="AAY40" s="2" t="s">
        <v>323</v>
      </c>
      <c r="AAZ40" s="2" t="s">
        <v>317</v>
      </c>
      <c r="ABA40" s="2" t="s">
        <v>318</v>
      </c>
      <c r="ABB40" s="2" t="s">
        <v>319</v>
      </c>
      <c r="ABC40" s="2" t="s">
        <v>320</v>
      </c>
      <c r="ABD40" s="2" t="s">
        <v>321</v>
      </c>
      <c r="ABE40" s="2" t="s">
        <v>322</v>
      </c>
      <c r="ABF40" s="2" t="s">
        <v>323</v>
      </c>
      <c r="ABG40" s="2" t="s">
        <v>317</v>
      </c>
      <c r="ABH40" s="2" t="s">
        <v>318</v>
      </c>
      <c r="ABI40" s="2" t="s">
        <v>319</v>
      </c>
      <c r="ABJ40" s="2" t="s">
        <v>320</v>
      </c>
      <c r="ABK40" s="2" t="s">
        <v>321</v>
      </c>
      <c r="ABL40" s="2" t="s">
        <v>322</v>
      </c>
      <c r="ABM40" s="2" t="s">
        <v>323</v>
      </c>
      <c r="ABN40" s="2" t="s">
        <v>317</v>
      </c>
      <c r="ABO40" s="2" t="s">
        <v>318</v>
      </c>
      <c r="ABP40" s="2" t="s">
        <v>319</v>
      </c>
      <c r="ABQ40" s="2" t="s">
        <v>320</v>
      </c>
      <c r="ABR40" s="2" t="s">
        <v>321</v>
      </c>
      <c r="ABS40" s="2" t="s">
        <v>322</v>
      </c>
      <c r="ABT40" s="2" t="s">
        <v>323</v>
      </c>
      <c r="ABU40" s="2" t="s">
        <v>317</v>
      </c>
      <c r="ABV40" s="2" t="s">
        <v>318</v>
      </c>
      <c r="ABW40" s="2" t="s">
        <v>319</v>
      </c>
      <c r="ABX40" s="2" t="s">
        <v>320</v>
      </c>
      <c r="ABY40" s="2" t="s">
        <v>321</v>
      </c>
      <c r="ABZ40" s="2" t="s">
        <v>322</v>
      </c>
      <c r="ACA40" s="2" t="s">
        <v>323</v>
      </c>
      <c r="ACB40" s="2" t="s">
        <v>317</v>
      </c>
      <c r="ACC40" s="2" t="s">
        <v>2</v>
      </c>
      <c r="ACD40" s="2" t="s">
        <v>318</v>
      </c>
      <c r="ACE40" s="2" t="s">
        <v>319</v>
      </c>
      <c r="ACF40" s="2" t="s">
        <v>320</v>
      </c>
      <c r="ACG40" s="2" t="s">
        <v>321</v>
      </c>
      <c r="ACH40" s="2" t="s">
        <v>322</v>
      </c>
      <c r="ACI40" s="2" t="s">
        <v>323</v>
      </c>
      <c r="ACJ40" s="2" t="s">
        <v>317</v>
      </c>
      <c r="ACK40" s="2" t="s">
        <v>318</v>
      </c>
      <c r="ACL40" s="2" t="s">
        <v>319</v>
      </c>
      <c r="ACM40" s="2" t="s">
        <v>320</v>
      </c>
      <c r="ACN40" s="2" t="s">
        <v>321</v>
      </c>
      <c r="ACO40" s="2" t="s">
        <v>322</v>
      </c>
      <c r="ACP40" s="2" t="s">
        <v>323</v>
      </c>
      <c r="ACQ40" s="2" t="s">
        <v>317</v>
      </c>
      <c r="ACR40" s="2" t="s">
        <v>318</v>
      </c>
      <c r="ACS40" s="2" t="s">
        <v>319</v>
      </c>
      <c r="ACT40" s="2" t="s">
        <v>320</v>
      </c>
      <c r="ACU40" s="2" t="s">
        <v>321</v>
      </c>
      <c r="ACV40" s="2" t="s">
        <v>322</v>
      </c>
      <c r="ACW40" s="2" t="s">
        <v>323</v>
      </c>
      <c r="ACX40" s="2" t="s">
        <v>317</v>
      </c>
      <c r="ACY40" s="2" t="s">
        <v>318</v>
      </c>
      <c r="ACZ40" s="2" t="s">
        <v>319</v>
      </c>
      <c r="ADA40" s="2" t="s">
        <v>320</v>
      </c>
      <c r="ADB40" s="2" t="s">
        <v>321</v>
      </c>
      <c r="ADC40" s="2" t="s">
        <v>322</v>
      </c>
      <c r="ADD40" s="2" t="s">
        <v>323</v>
      </c>
      <c r="ADE40" s="2" t="s">
        <v>317</v>
      </c>
      <c r="ADF40" s="2" t="s">
        <v>318</v>
      </c>
      <c r="ADG40" s="2" t="s">
        <v>319</v>
      </c>
      <c r="ADH40" s="46" t="s">
        <v>320</v>
      </c>
      <c r="ADI40" s="2" t="s">
        <v>2</v>
      </c>
      <c r="ADJ40" s="53" t="s">
        <v>321</v>
      </c>
      <c r="ADK40" s="2" t="s">
        <v>322</v>
      </c>
      <c r="ADL40" s="2" t="s">
        <v>323</v>
      </c>
      <c r="ADM40" s="2" t="s">
        <v>317</v>
      </c>
      <c r="ADN40" s="2" t="s">
        <v>318</v>
      </c>
      <c r="ADO40" s="2" t="s">
        <v>319</v>
      </c>
      <c r="ADP40" s="2" t="s">
        <v>320</v>
      </c>
      <c r="ADQ40" s="2" t="s">
        <v>321</v>
      </c>
      <c r="ADR40" s="2" t="s">
        <v>322</v>
      </c>
      <c r="ADS40" s="2" t="s">
        <v>323</v>
      </c>
      <c r="ADT40" s="2" t="s">
        <v>317</v>
      </c>
      <c r="ADU40" s="2" t="s">
        <v>318</v>
      </c>
      <c r="ADV40" s="2" t="s">
        <v>319</v>
      </c>
      <c r="ADW40" s="2" t="s">
        <v>320</v>
      </c>
      <c r="ADX40" s="3" t="s">
        <v>321</v>
      </c>
      <c r="ADY40" s="2" t="s">
        <v>322</v>
      </c>
      <c r="ADZ40" s="2" t="s">
        <v>323</v>
      </c>
      <c r="AEA40" s="2" t="s">
        <v>317</v>
      </c>
      <c r="AEB40" s="2" t="s">
        <v>318</v>
      </c>
      <c r="AEC40" s="2" t="s">
        <v>319</v>
      </c>
      <c r="AED40" s="2" t="s">
        <v>320</v>
      </c>
      <c r="AEE40" s="2" t="s">
        <v>321</v>
      </c>
      <c r="AEF40" s="2" t="s">
        <v>322</v>
      </c>
      <c r="AEG40" s="2" t="s">
        <v>323</v>
      </c>
      <c r="AEH40" s="2" t="s">
        <v>317</v>
      </c>
      <c r="AEI40" s="2" t="s">
        <v>318</v>
      </c>
      <c r="AEJ40" s="2" t="s">
        <v>319</v>
      </c>
      <c r="AEK40" s="2" t="s">
        <v>320</v>
      </c>
      <c r="AEL40" s="2" t="s">
        <v>321</v>
      </c>
      <c r="AEM40" s="2" t="s">
        <v>322</v>
      </c>
      <c r="AEN40" s="2" t="s">
        <v>323</v>
      </c>
      <c r="AEO40" s="2" t="s">
        <v>2</v>
      </c>
      <c r="AEP40" s="2" t="s">
        <v>317</v>
      </c>
      <c r="AEQ40" s="2" t="s">
        <v>318</v>
      </c>
      <c r="AER40" s="2" t="s">
        <v>319</v>
      </c>
      <c r="AES40" s="2" t="s">
        <v>320</v>
      </c>
      <c r="AET40" s="2" t="s">
        <v>321</v>
      </c>
      <c r="AEU40" s="2" t="s">
        <v>322</v>
      </c>
      <c r="AEV40" s="2" t="s">
        <v>323</v>
      </c>
      <c r="AEW40" s="2" t="s">
        <v>317</v>
      </c>
      <c r="AEX40" s="2" t="s">
        <v>318</v>
      </c>
      <c r="AEY40" s="2" t="s">
        <v>319</v>
      </c>
      <c r="AEZ40" s="2" t="s">
        <v>320</v>
      </c>
      <c r="AFA40" s="2" t="s">
        <v>321</v>
      </c>
      <c r="AFB40" s="2" t="s">
        <v>322</v>
      </c>
      <c r="AFC40" s="2" t="s">
        <v>323</v>
      </c>
      <c r="AFD40" s="2" t="s">
        <v>317</v>
      </c>
      <c r="AFE40" s="2" t="s">
        <v>318</v>
      </c>
      <c r="AFF40" s="2" t="s">
        <v>319</v>
      </c>
      <c r="AFG40" s="2" t="s">
        <v>320</v>
      </c>
      <c r="AFH40" s="2" t="s">
        <v>321</v>
      </c>
      <c r="AFI40" s="2" t="s">
        <v>322</v>
      </c>
      <c r="AFJ40" s="2" t="s">
        <v>323</v>
      </c>
      <c r="AFK40" s="2" t="s">
        <v>317</v>
      </c>
      <c r="AFL40" s="2" t="s">
        <v>318</v>
      </c>
      <c r="AFM40" s="2" t="s">
        <v>319</v>
      </c>
      <c r="AFN40" s="2" t="s">
        <v>320</v>
      </c>
      <c r="AFO40" s="2" t="s">
        <v>321</v>
      </c>
      <c r="AFP40" s="2" t="s">
        <v>322</v>
      </c>
      <c r="AFQ40" s="2" t="s">
        <v>323</v>
      </c>
      <c r="AFR40" s="2" t="s">
        <v>317</v>
      </c>
      <c r="AFS40" s="2" t="s">
        <v>318</v>
      </c>
      <c r="AFT40" s="2" t="s">
        <v>2</v>
      </c>
      <c r="AFU40" s="2" t="s">
        <v>319</v>
      </c>
      <c r="AFV40" s="2" t="s">
        <v>320</v>
      </c>
      <c r="AFW40" s="2" t="s">
        <v>321</v>
      </c>
      <c r="AFX40" s="2" t="s">
        <v>322</v>
      </c>
      <c r="AFY40" s="2" t="s">
        <v>323</v>
      </c>
      <c r="AFZ40" s="2" t="s">
        <v>317</v>
      </c>
      <c r="AGA40" s="2" t="s">
        <v>318</v>
      </c>
      <c r="AGB40" s="2" t="s">
        <v>319</v>
      </c>
      <c r="AGC40" s="2" t="s">
        <v>320</v>
      </c>
      <c r="AGD40" s="2" t="s">
        <v>321</v>
      </c>
      <c r="AGE40" s="2" t="s">
        <v>322</v>
      </c>
      <c r="AGF40" s="2" t="s">
        <v>323</v>
      </c>
      <c r="AGG40" s="2" t="s">
        <v>317</v>
      </c>
      <c r="AGH40" s="2" t="s">
        <v>318</v>
      </c>
      <c r="AGI40" s="2" t="s">
        <v>319</v>
      </c>
      <c r="AGJ40" s="2" t="s">
        <v>320</v>
      </c>
      <c r="AGK40" s="2" t="s">
        <v>321</v>
      </c>
      <c r="AGL40" s="2" t="s">
        <v>322</v>
      </c>
      <c r="AGM40" s="2" t="s">
        <v>323</v>
      </c>
      <c r="AGN40" s="2" t="s">
        <v>317</v>
      </c>
      <c r="AGO40" s="2" t="s">
        <v>318</v>
      </c>
      <c r="AGP40" s="2" t="s">
        <v>319</v>
      </c>
      <c r="AGQ40" s="2" t="s">
        <v>320</v>
      </c>
      <c r="AGR40" s="2" t="s">
        <v>321</v>
      </c>
      <c r="AGS40" s="2" t="s">
        <v>322</v>
      </c>
      <c r="AGT40" s="2" t="s">
        <v>323</v>
      </c>
      <c r="AGU40" s="2" t="s">
        <v>317</v>
      </c>
      <c r="AGV40" s="2" t="s">
        <v>318</v>
      </c>
      <c r="AGW40" s="2" t="s">
        <v>319</v>
      </c>
      <c r="AGX40" s="2" t="s">
        <v>320</v>
      </c>
      <c r="AGY40" s="2" t="s">
        <v>321</v>
      </c>
      <c r="AGZ40" s="2" t="s">
        <v>2</v>
      </c>
      <c r="AHA40" s="2" t="s">
        <v>322</v>
      </c>
      <c r="AHB40" s="2" t="s">
        <v>323</v>
      </c>
      <c r="AHC40" s="2" t="s">
        <v>317</v>
      </c>
      <c r="AHD40" s="2" t="s">
        <v>318</v>
      </c>
      <c r="AHE40" s="2" t="s">
        <v>319</v>
      </c>
      <c r="AHF40" s="2" t="s">
        <v>320</v>
      </c>
      <c r="AHG40" s="2" t="s">
        <v>321</v>
      </c>
      <c r="AHH40" s="2" t="s">
        <v>322</v>
      </c>
      <c r="AHI40" s="2" t="s">
        <v>323</v>
      </c>
      <c r="AHJ40" s="2" t="s">
        <v>317</v>
      </c>
      <c r="AHK40" s="2" t="s">
        <v>318</v>
      </c>
      <c r="AHL40" s="2" t="s">
        <v>319</v>
      </c>
      <c r="AHM40" s="2" t="s">
        <v>320</v>
      </c>
      <c r="AHN40" s="2" t="s">
        <v>321</v>
      </c>
      <c r="AHO40" s="2" t="s">
        <v>322</v>
      </c>
      <c r="AHP40" s="2" t="s">
        <v>323</v>
      </c>
      <c r="AHQ40" s="2" t="s">
        <v>317</v>
      </c>
      <c r="AHR40" s="2" t="s">
        <v>318</v>
      </c>
      <c r="AHS40" s="2" t="s">
        <v>319</v>
      </c>
      <c r="AHT40" s="2" t="s">
        <v>320</v>
      </c>
      <c r="AHU40" s="2" t="s">
        <v>321</v>
      </c>
      <c r="AHV40" s="2" t="s">
        <v>322</v>
      </c>
      <c r="AHW40" s="2" t="s">
        <v>323</v>
      </c>
      <c r="AHX40" s="2" t="s">
        <v>317</v>
      </c>
      <c r="AHY40" s="2" t="s">
        <v>318</v>
      </c>
      <c r="AHZ40" s="2" t="s">
        <v>319</v>
      </c>
      <c r="AIA40" s="2" t="s">
        <v>320</v>
      </c>
      <c r="AIB40" s="2" t="s">
        <v>321</v>
      </c>
      <c r="AIC40" s="2" t="s">
        <v>322</v>
      </c>
      <c r="AID40" s="2" t="s">
        <v>323</v>
      </c>
      <c r="AIE40" s="2" t="s">
        <v>2</v>
      </c>
      <c r="AIF40" s="2" t="s">
        <v>317</v>
      </c>
      <c r="AIG40" s="2" t="s">
        <v>318</v>
      </c>
      <c r="AIH40" s="2" t="s">
        <v>319</v>
      </c>
      <c r="AII40" s="2" t="s">
        <v>320</v>
      </c>
      <c r="AIJ40" s="2" t="s">
        <v>321</v>
      </c>
      <c r="AIK40" s="2" t="s">
        <v>322</v>
      </c>
      <c r="AIL40" s="2" t="s">
        <v>323</v>
      </c>
      <c r="AIM40" s="2" t="s">
        <v>317</v>
      </c>
      <c r="AIN40" s="2" t="s">
        <v>318</v>
      </c>
      <c r="AIO40" s="2" t="s">
        <v>319</v>
      </c>
      <c r="AIP40" s="2" t="s">
        <v>320</v>
      </c>
      <c r="AIQ40" s="2" t="s">
        <v>321</v>
      </c>
      <c r="AIR40" s="2" t="s">
        <v>322</v>
      </c>
      <c r="AIS40" s="2" t="s">
        <v>323</v>
      </c>
      <c r="AIT40" s="2" t="s">
        <v>317</v>
      </c>
      <c r="AIU40" s="3" t="s">
        <v>318</v>
      </c>
      <c r="AIV40" s="2" t="s">
        <v>319</v>
      </c>
      <c r="AIW40" s="2" t="s">
        <v>320</v>
      </c>
      <c r="AIX40" s="2" t="s">
        <v>321</v>
      </c>
      <c r="AIY40" s="2" t="s">
        <v>322</v>
      </c>
      <c r="AIZ40" s="2" t="s">
        <v>323</v>
      </c>
      <c r="AJA40" s="2" t="s">
        <v>317</v>
      </c>
      <c r="AJB40" s="2" t="s">
        <v>318</v>
      </c>
      <c r="AJC40" s="2" t="s">
        <v>319</v>
      </c>
      <c r="AJD40" s="2" t="s">
        <v>320</v>
      </c>
      <c r="AJE40" s="2" t="s">
        <v>321</v>
      </c>
      <c r="AJF40" s="2" t="s">
        <v>322</v>
      </c>
      <c r="AJG40" s="2" t="s">
        <v>323</v>
      </c>
      <c r="AJH40" s="2" t="s">
        <v>317</v>
      </c>
      <c r="AJI40" s="2" t="s">
        <v>318</v>
      </c>
      <c r="AJJ40" s="2" t="s">
        <v>319</v>
      </c>
      <c r="AJK40" s="2" t="s">
        <v>2</v>
      </c>
      <c r="AJL40" s="2" t="s">
        <v>320</v>
      </c>
      <c r="AJM40" s="2" t="s">
        <v>321</v>
      </c>
      <c r="AJN40" s="2" t="s">
        <v>322</v>
      </c>
      <c r="AJO40" s="2" t="s">
        <v>323</v>
      </c>
      <c r="AJP40" s="2" t="s">
        <v>317</v>
      </c>
      <c r="AJQ40" s="2" t="s">
        <v>318</v>
      </c>
      <c r="AJR40" s="2" t="s">
        <v>319</v>
      </c>
      <c r="AJS40" s="2" t="s">
        <v>320</v>
      </c>
      <c r="AJT40" s="2" t="s">
        <v>321</v>
      </c>
      <c r="AJU40" s="2" t="s">
        <v>322</v>
      </c>
      <c r="AJV40" s="2" t="s">
        <v>323</v>
      </c>
      <c r="AJW40" s="2" t="s">
        <v>317</v>
      </c>
      <c r="AJX40" s="2" t="s">
        <v>318</v>
      </c>
      <c r="AJY40" s="2" t="s">
        <v>319</v>
      </c>
      <c r="AJZ40" s="2" t="s">
        <v>320</v>
      </c>
      <c r="AKA40" s="2" t="s">
        <v>321</v>
      </c>
      <c r="AKB40" s="2" t="s">
        <v>322</v>
      </c>
      <c r="AKC40" s="2" t="s">
        <v>323</v>
      </c>
      <c r="AKD40" s="2" t="s">
        <v>317</v>
      </c>
      <c r="AKE40" s="2" t="s">
        <v>318</v>
      </c>
      <c r="AKF40" s="2" t="s">
        <v>319</v>
      </c>
      <c r="AKG40" s="2" t="s">
        <v>320</v>
      </c>
      <c r="AKH40" s="2" t="s">
        <v>321</v>
      </c>
      <c r="AKI40" s="2" t="s">
        <v>322</v>
      </c>
      <c r="AKJ40" s="2" t="s">
        <v>323</v>
      </c>
      <c r="AKK40" s="2" t="s">
        <v>317</v>
      </c>
      <c r="AKL40" s="2" t="s">
        <v>318</v>
      </c>
      <c r="AKM40" s="2" t="s">
        <v>319</v>
      </c>
      <c r="AKN40" s="2" t="s">
        <v>320</v>
      </c>
      <c r="AKO40" s="2" t="s">
        <v>321</v>
      </c>
      <c r="AKP40" s="2" t="s">
        <v>322</v>
      </c>
      <c r="AKQ40" s="2" t="s">
        <v>2</v>
      </c>
      <c r="AKR40" s="2" t="s">
        <v>323</v>
      </c>
      <c r="AKS40" s="2" t="s">
        <v>317</v>
      </c>
      <c r="AKT40" s="2" t="s">
        <v>318</v>
      </c>
      <c r="AKU40" s="2" t="s">
        <v>319</v>
      </c>
      <c r="AKV40" s="2" t="s">
        <v>320</v>
      </c>
      <c r="AKW40" s="2" t="s">
        <v>321</v>
      </c>
      <c r="AKX40" s="2" t="s">
        <v>322</v>
      </c>
      <c r="AKY40" s="2" t="s">
        <v>323</v>
      </c>
      <c r="AKZ40" s="2" t="s">
        <v>317</v>
      </c>
      <c r="ALA40" s="2" t="s">
        <v>318</v>
      </c>
      <c r="ALB40" s="2" t="s">
        <v>319</v>
      </c>
      <c r="ALC40" s="2" t="s">
        <v>320</v>
      </c>
      <c r="ALD40" s="2" t="s">
        <v>321</v>
      </c>
      <c r="ALE40" s="2" t="s">
        <v>322</v>
      </c>
      <c r="ALF40" s="2" t="s">
        <v>323</v>
      </c>
      <c r="ALG40" s="2" t="s">
        <v>317</v>
      </c>
      <c r="ALH40" s="2" t="s">
        <v>318</v>
      </c>
      <c r="ALI40" s="2" t="s">
        <v>319</v>
      </c>
      <c r="ALJ40" s="2" t="s">
        <v>320</v>
      </c>
      <c r="ALK40" s="2" t="s">
        <v>321</v>
      </c>
      <c r="ALL40" s="3" t="s">
        <v>322</v>
      </c>
      <c r="ALM40" s="2" t="s">
        <v>323</v>
      </c>
      <c r="ALN40" s="2" t="s">
        <v>317</v>
      </c>
      <c r="ALO40" s="2" t="s">
        <v>318</v>
      </c>
      <c r="ALP40" s="2" t="s">
        <v>319</v>
      </c>
      <c r="ALQ40" s="2" t="s">
        <v>320</v>
      </c>
      <c r="ALR40" s="2" t="s">
        <v>321</v>
      </c>
      <c r="ALS40" s="2" t="s">
        <v>322</v>
      </c>
      <c r="ALT40" s="2" t="s">
        <v>2</v>
      </c>
      <c r="ALU40" s="2" t="s">
        <v>323</v>
      </c>
      <c r="ALV40" s="2" t="s">
        <v>317</v>
      </c>
      <c r="ALW40" s="2" t="s">
        <v>318</v>
      </c>
      <c r="ALX40" s="2" t="s">
        <v>319</v>
      </c>
      <c r="ALY40" s="2" t="s">
        <v>320</v>
      </c>
      <c r="ALZ40" s="2" t="s">
        <v>321</v>
      </c>
      <c r="AMA40" s="2" t="s">
        <v>322</v>
      </c>
      <c r="AMB40" s="2" t="s">
        <v>323</v>
      </c>
      <c r="AMC40" s="2" t="s">
        <v>317</v>
      </c>
      <c r="AMD40" s="2" t="s">
        <v>318</v>
      </c>
      <c r="AME40" s="2" t="s">
        <v>319</v>
      </c>
      <c r="AMF40" s="2" t="s">
        <v>320</v>
      </c>
      <c r="AMG40" s="2" t="s">
        <v>321</v>
      </c>
      <c r="AMH40" s="2" t="s">
        <v>322</v>
      </c>
      <c r="AMI40" s="2" t="s">
        <v>323</v>
      </c>
      <c r="AMJ40" s="2" t="s">
        <v>317</v>
      </c>
      <c r="AMK40" s="2" t="s">
        <v>318</v>
      </c>
      <c r="AML40" s="2" t="s">
        <v>319</v>
      </c>
      <c r="AMM40" s="2" t="s">
        <v>320</v>
      </c>
      <c r="AMN40" s="2" t="s">
        <v>321</v>
      </c>
      <c r="AMO40" s="2" t="s">
        <v>322</v>
      </c>
      <c r="AMP40" s="2" t="s">
        <v>323</v>
      </c>
      <c r="AMQ40" s="2" t="s">
        <v>317</v>
      </c>
      <c r="AMR40" s="2" t="s">
        <v>318</v>
      </c>
      <c r="AMS40" s="2" t="s">
        <v>319</v>
      </c>
      <c r="AMT40" s="3" t="s">
        <v>320</v>
      </c>
      <c r="AMU40" s="2" t="s">
        <v>321</v>
      </c>
      <c r="AMV40" s="2" t="s">
        <v>322</v>
      </c>
      <c r="AMW40" s="2" t="s">
        <v>323</v>
      </c>
      <c r="AMX40" s="2" t="s">
        <v>317</v>
      </c>
      <c r="AMY40" s="2" t="s">
        <v>318</v>
      </c>
      <c r="AMZ40" s="2" t="s">
        <v>2</v>
      </c>
      <c r="ANA40" s="2" t="s">
        <v>319</v>
      </c>
      <c r="ANB40" s="2" t="s">
        <v>320</v>
      </c>
      <c r="ANC40" s="2" t="s">
        <v>321</v>
      </c>
      <c r="AND40" s="2" t="s">
        <v>322</v>
      </c>
      <c r="ANE40" s="2" t="s">
        <v>323</v>
      </c>
      <c r="ANF40" s="2" t="s">
        <v>317</v>
      </c>
      <c r="ANG40" s="2" t="s">
        <v>318</v>
      </c>
      <c r="ANH40" s="2" t="s">
        <v>319</v>
      </c>
      <c r="ANI40" s="2" t="s">
        <v>320</v>
      </c>
      <c r="ANJ40" s="2" t="s">
        <v>321</v>
      </c>
      <c r="ANK40" s="2" t="s">
        <v>322</v>
      </c>
      <c r="ANL40" s="2" t="s">
        <v>323</v>
      </c>
      <c r="ANM40" s="2" t="s">
        <v>317</v>
      </c>
      <c r="ANN40" s="3" t="s">
        <v>318</v>
      </c>
      <c r="ANO40" s="2" t="s">
        <v>319</v>
      </c>
      <c r="ANP40" s="2" t="s">
        <v>320</v>
      </c>
      <c r="ANQ40" s="2" t="s">
        <v>321</v>
      </c>
      <c r="ANR40" s="2" t="s">
        <v>322</v>
      </c>
      <c r="ANS40" s="2" t="s">
        <v>323</v>
      </c>
      <c r="ANT40" s="2" t="s">
        <v>317</v>
      </c>
      <c r="ANU40" s="2" t="s">
        <v>318</v>
      </c>
      <c r="ANV40" s="2" t="s">
        <v>319</v>
      </c>
      <c r="ANW40" s="2" t="s">
        <v>320</v>
      </c>
      <c r="ANX40" s="2" t="s">
        <v>321</v>
      </c>
      <c r="ANY40" s="2" t="s">
        <v>322</v>
      </c>
      <c r="ANZ40" s="2" t="s">
        <v>323</v>
      </c>
      <c r="AOA40" s="2" t="s">
        <v>317</v>
      </c>
      <c r="AOB40" s="2" t="s">
        <v>318</v>
      </c>
      <c r="AOC40" s="2" t="s">
        <v>319</v>
      </c>
      <c r="AOD40" s="2" t="s">
        <v>320</v>
      </c>
      <c r="AOE40" s="2" t="s">
        <v>2</v>
      </c>
      <c r="AOF40" s="223" t="s">
        <v>321</v>
      </c>
      <c r="AOG40" s="2" t="s">
        <v>322</v>
      </c>
      <c r="AOH40" s="2" t="s">
        <v>323</v>
      </c>
      <c r="AOI40" s="2" t="s">
        <v>317</v>
      </c>
      <c r="AOJ40" s="2" t="s">
        <v>318</v>
      </c>
      <c r="AOK40" s="2" t="s">
        <v>319</v>
      </c>
      <c r="AOL40" s="2" t="s">
        <v>320</v>
      </c>
      <c r="AOM40" s="2" t="s">
        <v>321</v>
      </c>
      <c r="AON40" s="2" t="s">
        <v>322</v>
      </c>
      <c r="AOO40" s="2" t="s">
        <v>323</v>
      </c>
      <c r="AOP40" s="2" t="s">
        <v>317</v>
      </c>
      <c r="AOQ40" s="2" t="s">
        <v>318</v>
      </c>
      <c r="AOR40" s="2" t="s">
        <v>319</v>
      </c>
      <c r="AOS40" s="2" t="s">
        <v>320</v>
      </c>
      <c r="AOT40" s="2" t="s">
        <v>321</v>
      </c>
      <c r="AOU40" s="2" t="s">
        <v>322</v>
      </c>
      <c r="AOV40" s="2" t="s">
        <v>323</v>
      </c>
      <c r="AOW40" s="2" t="s">
        <v>317</v>
      </c>
      <c r="AOX40" s="2" t="s">
        <v>318</v>
      </c>
      <c r="AOY40" s="2" t="s">
        <v>319</v>
      </c>
      <c r="AOZ40" s="2" t="s">
        <v>320</v>
      </c>
      <c r="APA40" s="2" t="s">
        <v>321</v>
      </c>
      <c r="APB40" s="2" t="s">
        <v>322</v>
      </c>
      <c r="APC40" s="2" t="s">
        <v>323</v>
      </c>
      <c r="APD40" s="2" t="s">
        <v>317</v>
      </c>
      <c r="APE40" s="2" t="s">
        <v>318</v>
      </c>
      <c r="APF40" s="2" t="s">
        <v>319</v>
      </c>
      <c r="APG40" s="2" t="s">
        <v>320</v>
      </c>
      <c r="APH40" s="2" t="s">
        <v>321</v>
      </c>
      <c r="API40" s="2" t="s">
        <v>322</v>
      </c>
      <c r="APJ40" s="2" t="s">
        <v>323</v>
      </c>
      <c r="APK40" s="2" t="s">
        <v>2</v>
      </c>
      <c r="APL40" s="2" t="s">
        <v>317</v>
      </c>
      <c r="APM40" s="2" t="s">
        <v>318</v>
      </c>
      <c r="APN40" s="2" t="s">
        <v>319</v>
      </c>
      <c r="APO40" s="2" t="s">
        <v>320</v>
      </c>
      <c r="APP40" s="2" t="s">
        <v>321</v>
      </c>
      <c r="APQ40" s="2" t="s">
        <v>322</v>
      </c>
      <c r="APR40" s="2" t="s">
        <v>323</v>
      </c>
      <c r="APS40" s="2" t="s">
        <v>317</v>
      </c>
      <c r="APT40" s="2" t="s">
        <v>318</v>
      </c>
      <c r="APU40" s="2" t="s">
        <v>319</v>
      </c>
      <c r="APV40" s="2" t="s">
        <v>320</v>
      </c>
      <c r="APW40" s="2" t="s">
        <v>321</v>
      </c>
      <c r="APX40" s="2" t="s">
        <v>322</v>
      </c>
      <c r="APY40" s="2" t="s">
        <v>323</v>
      </c>
      <c r="APZ40" s="2" t="s">
        <v>317</v>
      </c>
      <c r="AQA40" s="2" t="s">
        <v>318</v>
      </c>
      <c r="AQB40" s="2" t="s">
        <v>319</v>
      </c>
      <c r="AQC40" s="2" t="s">
        <v>320</v>
      </c>
      <c r="AQD40" s="2" t="s">
        <v>321</v>
      </c>
      <c r="AQE40" s="2" t="s">
        <v>322</v>
      </c>
      <c r="AQF40" s="2" t="s">
        <v>323</v>
      </c>
      <c r="AQG40" s="2" t="s">
        <v>317</v>
      </c>
      <c r="AQH40" s="2" t="s">
        <v>318</v>
      </c>
      <c r="AQI40" s="2" t="s">
        <v>319</v>
      </c>
      <c r="AQJ40" s="2" t="s">
        <v>320</v>
      </c>
      <c r="AQK40" s="2" t="s">
        <v>321</v>
      </c>
      <c r="AQL40" s="2" t="s">
        <v>322</v>
      </c>
      <c r="AQM40" s="2" t="s">
        <v>323</v>
      </c>
      <c r="AQN40" s="2" t="s">
        <v>317</v>
      </c>
      <c r="AQO40" s="2" t="s">
        <v>318</v>
      </c>
      <c r="AQP40" s="2" t="s">
        <v>2</v>
      </c>
      <c r="AQQ40" s="2" t="s">
        <v>319</v>
      </c>
      <c r="AQR40" s="2" t="s">
        <v>320</v>
      </c>
      <c r="AQS40" s="2" t="s">
        <v>321</v>
      </c>
      <c r="AQT40" s="2" t="s">
        <v>322</v>
      </c>
      <c r="AQU40" s="2" t="s">
        <v>323</v>
      </c>
      <c r="AQV40" s="2" t="s">
        <v>317</v>
      </c>
      <c r="AQW40" s="2" t="s">
        <v>318</v>
      </c>
      <c r="AQX40" s="2" t="s">
        <v>319</v>
      </c>
      <c r="AQY40" s="2" t="s">
        <v>320</v>
      </c>
      <c r="AQZ40" s="2" t="s">
        <v>321</v>
      </c>
      <c r="ARA40" s="2" t="s">
        <v>322</v>
      </c>
      <c r="ARB40" s="2" t="s">
        <v>323</v>
      </c>
      <c r="ARC40" s="2" t="s">
        <v>317</v>
      </c>
      <c r="ARD40" s="2" t="s">
        <v>318</v>
      </c>
      <c r="ARE40" s="2" t="s">
        <v>319</v>
      </c>
      <c r="ARF40" s="2" t="s">
        <v>320</v>
      </c>
      <c r="ARG40" s="2" t="s">
        <v>321</v>
      </c>
      <c r="ARH40" s="2" t="s">
        <v>322</v>
      </c>
      <c r="ARI40" s="2" t="s">
        <v>323</v>
      </c>
      <c r="ARJ40" s="2" t="s">
        <v>317</v>
      </c>
      <c r="ARK40" s="2" t="s">
        <v>318</v>
      </c>
      <c r="ARL40" s="2" t="s">
        <v>319</v>
      </c>
      <c r="ARM40" s="2" t="s">
        <v>320</v>
      </c>
      <c r="ARN40" s="2" t="s">
        <v>321</v>
      </c>
      <c r="ARO40" s="2" t="s">
        <v>322</v>
      </c>
      <c r="ARP40" s="2" t="s">
        <v>323</v>
      </c>
      <c r="ARQ40" s="2" t="s">
        <v>317</v>
      </c>
      <c r="ARR40" s="2" t="s">
        <v>318</v>
      </c>
      <c r="ARS40" s="2" t="s">
        <v>319</v>
      </c>
      <c r="ART40" s="2" t="s">
        <v>320</v>
      </c>
      <c r="ARU40" s="2" t="s">
        <v>321</v>
      </c>
      <c r="ARV40" s="2" t="s">
        <v>2</v>
      </c>
      <c r="ARW40" s="2" t="s">
        <v>322</v>
      </c>
      <c r="ARX40" s="2" t="s">
        <v>323</v>
      </c>
      <c r="ARY40" s="2" t="s">
        <v>317</v>
      </c>
      <c r="ARZ40" s="2" t="s">
        <v>318</v>
      </c>
      <c r="ASA40" s="2" t="s">
        <v>319</v>
      </c>
      <c r="ASB40" s="2" t="s">
        <v>320</v>
      </c>
      <c r="ASC40" s="2" t="s">
        <v>321</v>
      </c>
      <c r="ASD40" s="2" t="s">
        <v>322</v>
      </c>
      <c r="ASE40" s="2" t="s">
        <v>323</v>
      </c>
      <c r="ASF40" s="2" t="s">
        <v>317</v>
      </c>
      <c r="ASG40" s="2" t="s">
        <v>318</v>
      </c>
      <c r="ASH40" s="2" t="s">
        <v>319</v>
      </c>
      <c r="ASI40" s="2" t="s">
        <v>320</v>
      </c>
      <c r="ASJ40" s="2" t="s">
        <v>321</v>
      </c>
      <c r="ASK40" s="2" t="s">
        <v>322</v>
      </c>
      <c r="ASL40" s="2" t="s">
        <v>323</v>
      </c>
      <c r="ASM40" s="2" t="s">
        <v>317</v>
      </c>
      <c r="ASN40" s="2" t="s">
        <v>318</v>
      </c>
      <c r="ASO40" s="2" t="s">
        <v>319</v>
      </c>
      <c r="ASP40" s="2" t="s">
        <v>320</v>
      </c>
      <c r="ASQ40" s="2" t="s">
        <v>321</v>
      </c>
      <c r="ASR40" s="2" t="s">
        <v>322</v>
      </c>
      <c r="ASS40" s="2" t="s">
        <v>323</v>
      </c>
      <c r="AST40" s="2" t="s">
        <v>317</v>
      </c>
      <c r="ASU40" s="2" t="s">
        <v>318</v>
      </c>
      <c r="ASV40" s="2" t="s">
        <v>319</v>
      </c>
      <c r="ASW40" s="2" t="s">
        <v>320</v>
      </c>
      <c r="ASX40" s="2" t="s">
        <v>321</v>
      </c>
      <c r="ASY40" s="2" t="s">
        <v>322</v>
      </c>
      <c r="ASZ40" s="2" t="s">
        <v>323</v>
      </c>
      <c r="ATA40" s="2" t="s">
        <v>317</v>
      </c>
      <c r="ATB40" s="2" t="s">
        <v>2</v>
      </c>
      <c r="ATC40" s="2" t="s">
        <v>318</v>
      </c>
      <c r="ATD40" s="2" t="s">
        <v>319</v>
      </c>
      <c r="ATE40" s="2" t="s">
        <v>320</v>
      </c>
      <c r="ATF40" s="2" t="s">
        <v>321</v>
      </c>
      <c r="ATG40" s="2" t="s">
        <v>322</v>
      </c>
      <c r="ATH40" s="2" t="s">
        <v>323</v>
      </c>
      <c r="ATI40" s="2" t="s">
        <v>317</v>
      </c>
      <c r="ATJ40" s="2" t="s">
        <v>318</v>
      </c>
      <c r="ATK40" s="2" t="s">
        <v>319</v>
      </c>
      <c r="ATL40" s="2" t="s">
        <v>320</v>
      </c>
      <c r="ATM40" s="2" t="s">
        <v>321</v>
      </c>
      <c r="ATN40" s="2" t="s">
        <v>322</v>
      </c>
      <c r="ATO40" s="2" t="s">
        <v>323</v>
      </c>
      <c r="ATP40" s="2" t="s">
        <v>317</v>
      </c>
      <c r="ATQ40" s="2" t="s">
        <v>318</v>
      </c>
      <c r="ATR40" s="2" t="s">
        <v>319</v>
      </c>
      <c r="ATS40" s="2" t="s">
        <v>320</v>
      </c>
      <c r="ATT40" s="2" t="s">
        <v>321</v>
      </c>
      <c r="ATU40" s="2" t="s">
        <v>322</v>
      </c>
      <c r="ATV40" s="2" t="s">
        <v>323</v>
      </c>
      <c r="ATW40" s="2" t="s">
        <v>317</v>
      </c>
      <c r="ATX40" s="2" t="s">
        <v>318</v>
      </c>
      <c r="ATY40" s="2" t="s">
        <v>319</v>
      </c>
      <c r="ATZ40" s="2" t="s">
        <v>320</v>
      </c>
      <c r="AUA40" s="2" t="s">
        <v>321</v>
      </c>
      <c r="AUB40" s="2" t="s">
        <v>322</v>
      </c>
      <c r="AUC40" s="2" t="s">
        <v>323</v>
      </c>
      <c r="AUD40" s="2" t="s">
        <v>317</v>
      </c>
      <c r="AUE40" s="2" t="s">
        <v>318</v>
      </c>
      <c r="AUF40" s="2" t="s">
        <v>319</v>
      </c>
      <c r="AUG40" s="2" t="s">
        <v>2</v>
      </c>
      <c r="AUH40" s="2" t="s">
        <v>320</v>
      </c>
      <c r="AUI40" s="2" t="s">
        <v>321</v>
      </c>
      <c r="AUJ40" s="2" t="s">
        <v>322</v>
      </c>
      <c r="AUK40" s="2" t="s">
        <v>323</v>
      </c>
      <c r="AUL40" s="2" t="s">
        <v>317</v>
      </c>
      <c r="AUM40" s="2" t="s">
        <v>318</v>
      </c>
      <c r="AUN40" s="2" t="s">
        <v>319</v>
      </c>
      <c r="AUO40" s="2" t="s">
        <v>320</v>
      </c>
      <c r="AUP40" s="2" t="s">
        <v>321</v>
      </c>
      <c r="AUQ40" s="2" t="s">
        <v>322</v>
      </c>
      <c r="AUR40" s="2" t="s">
        <v>323</v>
      </c>
      <c r="AUS40" s="2" t="s">
        <v>317</v>
      </c>
      <c r="AUT40" s="2" t="s">
        <v>318</v>
      </c>
      <c r="AUU40" s="2" t="s">
        <v>319</v>
      </c>
      <c r="AUV40" s="2" t="s">
        <v>320</v>
      </c>
      <c r="AUW40" s="2" t="s">
        <v>321</v>
      </c>
      <c r="AUX40" s="2" t="s">
        <v>322</v>
      </c>
      <c r="AUY40" s="2" t="s">
        <v>323</v>
      </c>
      <c r="AUZ40" s="2" t="s">
        <v>317</v>
      </c>
      <c r="AVA40" s="2" t="s">
        <v>318</v>
      </c>
      <c r="AVB40" s="2" t="s">
        <v>319</v>
      </c>
      <c r="AVC40" s="2" t="s">
        <v>320</v>
      </c>
      <c r="AVD40" s="2" t="s">
        <v>321</v>
      </c>
      <c r="AVE40" s="2" t="s">
        <v>322</v>
      </c>
      <c r="AVF40" s="2" t="s">
        <v>323</v>
      </c>
      <c r="AVG40" s="2" t="s">
        <v>317</v>
      </c>
      <c r="AVH40" s="2" t="s">
        <v>318</v>
      </c>
      <c r="AVI40" s="2" t="s">
        <v>319</v>
      </c>
      <c r="AVJ40" s="2" t="s">
        <v>320</v>
      </c>
      <c r="AVK40" s="2" t="s">
        <v>321</v>
      </c>
      <c r="AVL40" s="2" t="s">
        <v>322</v>
      </c>
      <c r="AVM40" s="2" t="s">
        <v>2</v>
      </c>
      <c r="AWR40" s="2" t="s">
        <v>2</v>
      </c>
      <c r="AXX40" s="2" t="s">
        <v>2</v>
      </c>
    </row>
    <row r="41" spans="1:1324" s="105" customFormat="1" ht="8.25" customHeight="1" thickTop="1" thickBot="1" x14ac:dyDescent="0.35">
      <c r="B41" s="106" t="s">
        <v>10</v>
      </c>
      <c r="C41" s="107">
        <f t="shared" ref="C41:AG41" si="19">IF(C40="Fri",0,10)</f>
        <v>10</v>
      </c>
      <c r="D41" s="108">
        <f t="shared" si="19"/>
        <v>10</v>
      </c>
      <c r="E41" s="108">
        <f t="shared" si="19"/>
        <v>10</v>
      </c>
      <c r="F41" s="108">
        <f t="shared" si="19"/>
        <v>10</v>
      </c>
      <c r="G41" s="108">
        <f t="shared" si="19"/>
        <v>0</v>
      </c>
      <c r="H41" s="108">
        <f t="shared" si="19"/>
        <v>10</v>
      </c>
      <c r="I41" s="108">
        <f t="shared" si="19"/>
        <v>10</v>
      </c>
      <c r="J41" s="108">
        <f t="shared" si="19"/>
        <v>10</v>
      </c>
      <c r="K41" s="108">
        <f t="shared" si="19"/>
        <v>10</v>
      </c>
      <c r="L41" s="108">
        <f t="shared" si="19"/>
        <v>10</v>
      </c>
      <c r="M41" s="108">
        <f t="shared" si="19"/>
        <v>10</v>
      </c>
      <c r="N41" s="108">
        <f t="shared" si="19"/>
        <v>0</v>
      </c>
      <c r="O41" s="108">
        <f t="shared" si="19"/>
        <v>10</v>
      </c>
      <c r="P41" s="108">
        <f t="shared" si="19"/>
        <v>10</v>
      </c>
      <c r="Q41" s="108">
        <f t="shared" si="19"/>
        <v>10</v>
      </c>
      <c r="R41" s="108">
        <f t="shared" si="19"/>
        <v>10</v>
      </c>
      <c r="S41" s="108">
        <f t="shared" si="19"/>
        <v>10</v>
      </c>
      <c r="T41" s="108">
        <f t="shared" si="19"/>
        <v>10</v>
      </c>
      <c r="U41" s="108">
        <f t="shared" si="19"/>
        <v>0</v>
      </c>
      <c r="V41" s="108">
        <f t="shared" si="19"/>
        <v>10</v>
      </c>
      <c r="W41" s="108">
        <f t="shared" si="19"/>
        <v>10</v>
      </c>
      <c r="X41" s="108">
        <f t="shared" si="19"/>
        <v>10</v>
      </c>
      <c r="Y41" s="108">
        <f t="shared" si="19"/>
        <v>10</v>
      </c>
      <c r="Z41" s="108">
        <f t="shared" si="19"/>
        <v>10</v>
      </c>
      <c r="AA41" s="108">
        <f t="shared" si="19"/>
        <v>10</v>
      </c>
      <c r="AB41" s="108">
        <f t="shared" si="19"/>
        <v>0</v>
      </c>
      <c r="AC41" s="108">
        <f t="shared" si="19"/>
        <v>10</v>
      </c>
      <c r="AD41" s="108">
        <f t="shared" si="19"/>
        <v>10</v>
      </c>
      <c r="AE41" s="108">
        <f t="shared" si="19"/>
        <v>10</v>
      </c>
      <c r="AF41" s="108">
        <f t="shared" si="19"/>
        <v>10</v>
      </c>
      <c r="AG41" s="108">
        <f t="shared" si="19"/>
        <v>10</v>
      </c>
      <c r="AH41" s="109" t="s">
        <v>10</v>
      </c>
      <c r="AI41" s="110">
        <f t="shared" ref="AI41:BM41" si="20">IF(AI40="Fri",0,10)</f>
        <v>10</v>
      </c>
      <c r="AJ41" s="108">
        <f t="shared" si="20"/>
        <v>0</v>
      </c>
      <c r="AK41" s="108">
        <f t="shared" si="20"/>
        <v>10</v>
      </c>
      <c r="AL41" s="108">
        <f t="shared" si="20"/>
        <v>10</v>
      </c>
      <c r="AM41" s="108">
        <f t="shared" si="20"/>
        <v>10</v>
      </c>
      <c r="AN41" s="108">
        <f t="shared" si="20"/>
        <v>10</v>
      </c>
      <c r="AO41" s="108">
        <f t="shared" si="20"/>
        <v>10</v>
      </c>
      <c r="AP41" s="108">
        <f t="shared" si="20"/>
        <v>10</v>
      </c>
      <c r="AQ41" s="108">
        <f t="shared" si="20"/>
        <v>0</v>
      </c>
      <c r="AR41" s="108">
        <f t="shared" si="20"/>
        <v>10</v>
      </c>
      <c r="AS41" s="108">
        <f t="shared" si="20"/>
        <v>10</v>
      </c>
      <c r="AT41" s="108">
        <f t="shared" si="20"/>
        <v>10</v>
      </c>
      <c r="AU41" s="108">
        <f t="shared" si="20"/>
        <v>10</v>
      </c>
      <c r="AV41" s="108">
        <f t="shared" si="20"/>
        <v>10</v>
      </c>
      <c r="AW41" s="108">
        <f t="shared" si="20"/>
        <v>10</v>
      </c>
      <c r="AX41" s="108">
        <f t="shared" si="20"/>
        <v>0</v>
      </c>
      <c r="AY41" s="108">
        <f t="shared" si="20"/>
        <v>10</v>
      </c>
      <c r="AZ41" s="108">
        <f t="shared" si="20"/>
        <v>10</v>
      </c>
      <c r="BA41" s="108">
        <f t="shared" si="20"/>
        <v>10</v>
      </c>
      <c r="BB41" s="108">
        <f t="shared" si="20"/>
        <v>10</v>
      </c>
      <c r="BC41" s="108">
        <f t="shared" si="20"/>
        <v>10</v>
      </c>
      <c r="BD41" s="108">
        <f t="shared" si="20"/>
        <v>10</v>
      </c>
      <c r="BE41" s="108">
        <f t="shared" si="20"/>
        <v>0</v>
      </c>
      <c r="BF41" s="108">
        <f t="shared" si="20"/>
        <v>10</v>
      </c>
      <c r="BG41" s="108">
        <f t="shared" si="20"/>
        <v>10</v>
      </c>
      <c r="BH41" s="108">
        <f t="shared" si="20"/>
        <v>10</v>
      </c>
      <c r="BI41" s="108">
        <f t="shared" si="20"/>
        <v>10</v>
      </c>
      <c r="BJ41" s="108">
        <f t="shared" si="20"/>
        <v>10</v>
      </c>
      <c r="BK41" s="108">
        <f t="shared" si="20"/>
        <v>10</v>
      </c>
      <c r="BL41" s="108">
        <f t="shared" si="20"/>
        <v>0</v>
      </c>
      <c r="BM41" s="108">
        <f t="shared" si="20"/>
        <v>10</v>
      </c>
      <c r="BN41" s="106" t="s">
        <v>10</v>
      </c>
      <c r="BO41" s="107">
        <f t="shared" ref="BO41:CR41" si="21">IF(BO40="Fri",0,10)</f>
        <v>10</v>
      </c>
      <c r="BP41" s="108">
        <f t="shared" si="21"/>
        <v>10</v>
      </c>
      <c r="BQ41" s="108">
        <f t="shared" si="21"/>
        <v>10</v>
      </c>
      <c r="BR41" s="108">
        <f t="shared" si="21"/>
        <v>10</v>
      </c>
      <c r="BS41" s="108">
        <f t="shared" si="21"/>
        <v>10</v>
      </c>
      <c r="BT41" s="108">
        <f t="shared" si="21"/>
        <v>0</v>
      </c>
      <c r="BU41" s="108">
        <f t="shared" si="21"/>
        <v>10</v>
      </c>
      <c r="BV41" s="108">
        <f t="shared" si="21"/>
        <v>10</v>
      </c>
      <c r="BW41" s="108">
        <f t="shared" si="21"/>
        <v>10</v>
      </c>
      <c r="BX41" s="108">
        <f t="shared" si="21"/>
        <v>10</v>
      </c>
      <c r="BY41" s="108">
        <f t="shared" si="21"/>
        <v>10</v>
      </c>
      <c r="BZ41" s="108">
        <f t="shared" si="21"/>
        <v>10</v>
      </c>
      <c r="CA41" s="108">
        <f t="shared" si="21"/>
        <v>0</v>
      </c>
      <c r="CB41" s="108">
        <f t="shared" si="21"/>
        <v>10</v>
      </c>
      <c r="CC41" s="108">
        <f t="shared" si="21"/>
        <v>10</v>
      </c>
      <c r="CD41" s="108">
        <f t="shared" si="21"/>
        <v>10</v>
      </c>
      <c r="CE41" s="108">
        <f t="shared" si="21"/>
        <v>10</v>
      </c>
      <c r="CF41" s="108">
        <f t="shared" si="21"/>
        <v>10</v>
      </c>
      <c r="CG41" s="108">
        <f t="shared" si="21"/>
        <v>10</v>
      </c>
      <c r="CH41" s="108">
        <f t="shared" si="21"/>
        <v>0</v>
      </c>
      <c r="CI41" s="108">
        <f t="shared" si="21"/>
        <v>10</v>
      </c>
      <c r="CJ41" s="108">
        <f t="shared" si="21"/>
        <v>10</v>
      </c>
      <c r="CK41" s="108">
        <f t="shared" si="21"/>
        <v>10</v>
      </c>
      <c r="CL41" s="108">
        <f t="shared" si="21"/>
        <v>10</v>
      </c>
      <c r="CM41" s="108">
        <f t="shared" si="21"/>
        <v>10</v>
      </c>
      <c r="CN41" s="108">
        <f t="shared" si="21"/>
        <v>10</v>
      </c>
      <c r="CO41" s="108">
        <f t="shared" si="21"/>
        <v>0</v>
      </c>
      <c r="CP41" s="108">
        <f t="shared" si="21"/>
        <v>10</v>
      </c>
      <c r="CQ41" s="108">
        <f t="shared" si="21"/>
        <v>10</v>
      </c>
      <c r="CR41" s="108">
        <f t="shared" si="21"/>
        <v>10</v>
      </c>
      <c r="CS41" s="106" t="s">
        <v>10</v>
      </c>
      <c r="CT41" s="107">
        <f t="shared" ref="CT41:DX41" si="22">IF(CT40="Fri",0,10)</f>
        <v>10</v>
      </c>
      <c r="CU41" s="108">
        <f t="shared" si="22"/>
        <v>10</v>
      </c>
      <c r="CV41" s="108">
        <f t="shared" si="22"/>
        <v>10</v>
      </c>
      <c r="CW41" s="108">
        <f t="shared" si="22"/>
        <v>0</v>
      </c>
      <c r="CX41" s="108">
        <f t="shared" si="22"/>
        <v>10</v>
      </c>
      <c r="CY41" s="108">
        <f t="shared" si="22"/>
        <v>10</v>
      </c>
      <c r="CZ41" s="108">
        <f t="shared" si="22"/>
        <v>10</v>
      </c>
      <c r="DA41" s="108">
        <f t="shared" si="22"/>
        <v>10</v>
      </c>
      <c r="DB41" s="108">
        <f t="shared" si="22"/>
        <v>10</v>
      </c>
      <c r="DC41" s="108">
        <f t="shared" si="22"/>
        <v>10</v>
      </c>
      <c r="DD41" s="108">
        <f t="shared" si="22"/>
        <v>0</v>
      </c>
      <c r="DE41" s="108">
        <f t="shared" si="22"/>
        <v>10</v>
      </c>
      <c r="DF41" s="108">
        <f t="shared" si="22"/>
        <v>10</v>
      </c>
      <c r="DG41" s="108">
        <f t="shared" si="22"/>
        <v>10</v>
      </c>
      <c r="DH41" s="108">
        <f t="shared" si="22"/>
        <v>10</v>
      </c>
      <c r="DI41" s="108">
        <f t="shared" si="22"/>
        <v>10</v>
      </c>
      <c r="DJ41" s="108">
        <f t="shared" si="22"/>
        <v>10</v>
      </c>
      <c r="DK41" s="108">
        <f t="shared" si="22"/>
        <v>0</v>
      </c>
      <c r="DL41" s="108">
        <f t="shared" si="22"/>
        <v>10</v>
      </c>
      <c r="DM41" s="108">
        <f t="shared" si="22"/>
        <v>10</v>
      </c>
      <c r="DN41" s="108">
        <f t="shared" si="22"/>
        <v>10</v>
      </c>
      <c r="DO41" s="108">
        <f t="shared" si="22"/>
        <v>10</v>
      </c>
      <c r="DP41" s="108">
        <f t="shared" si="22"/>
        <v>10</v>
      </c>
      <c r="DQ41" s="108">
        <f t="shared" si="22"/>
        <v>10</v>
      </c>
      <c r="DR41" s="108">
        <f t="shared" si="22"/>
        <v>0</v>
      </c>
      <c r="DS41" s="108">
        <f t="shared" si="22"/>
        <v>10</v>
      </c>
      <c r="DT41" s="108">
        <f t="shared" si="22"/>
        <v>10</v>
      </c>
      <c r="DU41" s="108">
        <f t="shared" si="22"/>
        <v>10</v>
      </c>
      <c r="DV41" s="108">
        <f t="shared" si="22"/>
        <v>10</v>
      </c>
      <c r="DW41" s="108">
        <f t="shared" si="22"/>
        <v>10</v>
      </c>
      <c r="DX41" s="108">
        <f t="shared" si="22"/>
        <v>10</v>
      </c>
      <c r="DY41" s="106" t="s">
        <v>10</v>
      </c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  <c r="EL41" s="111"/>
      <c r="EM41" s="111"/>
      <c r="EN41" s="111"/>
      <c r="EO41" s="111"/>
      <c r="EP41" s="111"/>
      <c r="EQ41" s="111"/>
      <c r="ER41" s="111"/>
      <c r="ES41" s="111"/>
      <c r="ET41" s="111"/>
      <c r="EU41" s="111"/>
      <c r="EV41" s="111"/>
      <c r="EW41" s="111"/>
      <c r="EX41" s="111"/>
      <c r="EY41" s="111"/>
      <c r="EZ41" s="111"/>
      <c r="FA41" s="111"/>
      <c r="FB41" s="111"/>
      <c r="FC41" s="111"/>
      <c r="FD41" s="106" t="s">
        <v>10</v>
      </c>
      <c r="FE41" s="111"/>
      <c r="FF41" s="111"/>
      <c r="FG41" s="111"/>
      <c r="FH41" s="111"/>
      <c r="FI41" s="111"/>
      <c r="FJ41" s="111"/>
      <c r="FK41" s="111"/>
      <c r="FL41" s="111"/>
      <c r="FM41" s="111"/>
      <c r="FN41" s="111"/>
      <c r="FO41" s="111"/>
      <c r="FP41" s="111"/>
      <c r="FQ41" s="111"/>
      <c r="FR41" s="111"/>
      <c r="FS41" s="111"/>
      <c r="FT41" s="111"/>
      <c r="FU41" s="111"/>
      <c r="FV41" s="111"/>
      <c r="FW41" s="111"/>
      <c r="FX41" s="111"/>
      <c r="FY41" s="111"/>
      <c r="FZ41" s="111"/>
      <c r="GA41" s="111"/>
      <c r="GB41" s="111"/>
      <c r="GC41" s="111"/>
      <c r="GD41" s="111"/>
      <c r="GE41" s="111"/>
      <c r="GF41" s="111"/>
      <c r="GG41" s="111"/>
      <c r="GH41" s="111"/>
      <c r="GI41" s="111"/>
      <c r="GJ41" s="106" t="s">
        <v>10</v>
      </c>
      <c r="GK41" s="111"/>
      <c r="GL41" s="111"/>
      <c r="GM41" s="111"/>
      <c r="GN41" s="111"/>
      <c r="GO41" s="111"/>
      <c r="GP41" s="111"/>
      <c r="GQ41" s="111"/>
      <c r="GR41" s="111"/>
      <c r="GS41" s="111"/>
      <c r="GT41" s="111"/>
      <c r="GU41" s="111"/>
      <c r="GV41" s="111"/>
      <c r="GW41" s="111"/>
      <c r="GX41" s="111"/>
      <c r="GY41" s="111"/>
      <c r="GZ41" s="111"/>
      <c r="HA41" s="111"/>
      <c r="HB41" s="111"/>
      <c r="HC41" s="111"/>
      <c r="HD41" s="111"/>
      <c r="HE41" s="111"/>
      <c r="HF41" s="111"/>
      <c r="HG41" s="111"/>
      <c r="HH41" s="111"/>
      <c r="HI41" s="111"/>
      <c r="HJ41" s="111"/>
      <c r="HK41" s="111"/>
      <c r="HL41" s="111"/>
      <c r="HM41" s="111"/>
      <c r="HN41" s="111"/>
      <c r="HO41" s="111"/>
      <c r="HP41" s="106" t="s">
        <v>10</v>
      </c>
      <c r="HQ41" s="111"/>
      <c r="HR41" s="111"/>
      <c r="HS41" s="111"/>
      <c r="HT41" s="111"/>
      <c r="HU41" s="111"/>
      <c r="HV41" s="111"/>
      <c r="HW41" s="111"/>
      <c r="HX41" s="111"/>
      <c r="HY41" s="111"/>
      <c r="HZ41" s="111"/>
      <c r="IA41" s="111"/>
      <c r="IB41" s="111"/>
      <c r="IC41" s="111"/>
      <c r="ID41" s="111"/>
      <c r="IE41" s="111"/>
      <c r="IF41" s="111"/>
      <c r="IG41" s="111"/>
      <c r="IH41" s="111"/>
      <c r="II41" s="111"/>
      <c r="IJ41" s="111"/>
      <c r="IK41" s="111"/>
      <c r="IL41" s="111"/>
      <c r="IM41" s="111"/>
      <c r="IN41" s="111"/>
      <c r="IO41" s="111"/>
      <c r="IP41" s="111"/>
      <c r="IQ41" s="111"/>
      <c r="IR41" s="111"/>
      <c r="IS41" s="111"/>
      <c r="IT41" s="106" t="s">
        <v>10</v>
      </c>
      <c r="IU41" s="111"/>
      <c r="IV41" s="111"/>
      <c r="IW41" s="111"/>
      <c r="IX41" s="111"/>
      <c r="IY41" s="111"/>
      <c r="IZ41" s="111"/>
      <c r="JA41" s="111"/>
      <c r="JB41" s="111"/>
      <c r="JC41" s="111"/>
      <c r="JD41" s="111"/>
      <c r="JE41" s="111"/>
      <c r="JF41" s="111"/>
      <c r="JG41" s="111"/>
      <c r="JH41" s="111"/>
      <c r="JI41" s="111"/>
      <c r="JJ41" s="111"/>
      <c r="JK41" s="111"/>
      <c r="JL41" s="111"/>
      <c r="JM41" s="111"/>
      <c r="JN41" s="111"/>
      <c r="JO41" s="111"/>
      <c r="JP41" s="111"/>
      <c r="JQ41" s="111"/>
      <c r="JR41" s="111"/>
      <c r="JS41" s="111"/>
      <c r="JT41" s="111"/>
      <c r="JU41" s="111"/>
      <c r="JV41" s="273"/>
      <c r="JW41" s="273"/>
      <c r="JX41" s="273"/>
      <c r="JY41" s="273"/>
      <c r="JZ41" s="190" t="s">
        <v>10</v>
      </c>
      <c r="KA41" s="273"/>
      <c r="KB41" s="273"/>
      <c r="KC41" s="273"/>
      <c r="KD41" s="273"/>
      <c r="KE41" s="273"/>
      <c r="KF41" s="273"/>
      <c r="KG41" s="273"/>
      <c r="KH41" s="273"/>
      <c r="KI41" s="273"/>
      <c r="KJ41" s="273"/>
      <c r="KK41" s="273"/>
      <c r="KL41" s="273"/>
      <c r="KM41" s="273"/>
      <c r="KN41" s="273"/>
      <c r="KO41" s="273"/>
      <c r="KP41" s="273"/>
      <c r="KQ41" s="273"/>
      <c r="KR41" s="273"/>
      <c r="KS41" s="273"/>
      <c r="KT41" s="273"/>
      <c r="KU41" s="273"/>
      <c r="KV41" s="273"/>
      <c r="KW41" s="273"/>
      <c r="KX41" s="273"/>
      <c r="KY41" s="273"/>
      <c r="KZ41" s="111"/>
      <c r="LA41" s="111"/>
      <c r="LB41" s="111"/>
      <c r="LC41" s="111"/>
      <c r="LD41" s="111"/>
      <c r="LE41" s="106" t="s">
        <v>10</v>
      </c>
      <c r="LF41" s="111"/>
      <c r="LG41" s="111"/>
      <c r="LH41" s="111"/>
      <c r="LI41" s="111"/>
      <c r="LJ41" s="111"/>
      <c r="LK41" s="111"/>
      <c r="LL41" s="111"/>
      <c r="LM41" s="111"/>
      <c r="LN41" s="111"/>
      <c r="LO41" s="111"/>
      <c r="LP41" s="111"/>
      <c r="LQ41" s="111"/>
      <c r="LR41" s="111"/>
      <c r="LS41" s="111"/>
      <c r="LT41" s="111"/>
      <c r="LU41" s="111"/>
      <c r="LV41" s="111"/>
      <c r="LW41" s="111"/>
      <c r="LX41" s="111"/>
      <c r="LY41" s="111"/>
      <c r="LZ41" s="273"/>
      <c r="MA41" s="273"/>
      <c r="MB41" s="273"/>
      <c r="MC41" s="273"/>
      <c r="MD41" s="273"/>
      <c r="ME41" s="273"/>
      <c r="MF41" s="273"/>
      <c r="MG41" s="273"/>
      <c r="MH41" s="273"/>
      <c r="MI41" s="273"/>
      <c r="MJ41" s="273"/>
      <c r="MK41" s="106" t="s">
        <v>10</v>
      </c>
      <c r="ML41" s="111"/>
      <c r="MM41" s="111"/>
      <c r="MN41" s="111"/>
      <c r="MO41" s="111"/>
      <c r="MP41" s="111"/>
      <c r="MQ41" s="111"/>
      <c r="MR41" s="111"/>
      <c r="MS41" s="111"/>
      <c r="MT41" s="111"/>
      <c r="MU41" s="111"/>
      <c r="MV41" s="111"/>
      <c r="MW41" s="111"/>
      <c r="MX41" s="111"/>
      <c r="MY41" s="111"/>
      <c r="MZ41" s="111"/>
      <c r="NA41" s="111"/>
      <c r="NB41" s="111"/>
      <c r="NC41" s="111"/>
      <c r="ND41" s="111"/>
      <c r="NE41" s="111"/>
      <c r="NF41" s="111"/>
      <c r="NG41" s="111"/>
      <c r="NH41" s="111"/>
      <c r="NI41" s="111"/>
      <c r="NJ41" s="111"/>
      <c r="NK41" s="111"/>
      <c r="NL41" s="111"/>
      <c r="NM41" s="111"/>
      <c r="NN41" s="111"/>
      <c r="NO41" s="111"/>
      <c r="NP41" s="106" t="s">
        <v>10</v>
      </c>
      <c r="NQ41" s="111"/>
      <c r="OS41" s="189"/>
      <c r="OT41" s="189"/>
      <c r="OU41" s="189"/>
      <c r="OV41" s="190" t="s">
        <v>10</v>
      </c>
      <c r="OW41" s="189"/>
      <c r="OX41" s="189"/>
      <c r="OY41" s="189"/>
      <c r="OZ41" s="189"/>
      <c r="PA41" s="189"/>
      <c r="PB41" s="189"/>
      <c r="PC41" s="189"/>
      <c r="PD41" s="189"/>
      <c r="QB41" s="106" t="s">
        <v>10</v>
      </c>
      <c r="RG41" s="106" t="s">
        <v>10</v>
      </c>
      <c r="SM41" s="106" t="s">
        <v>10</v>
      </c>
      <c r="TR41" s="106" t="s">
        <v>10</v>
      </c>
      <c r="UX41" s="106" t="s">
        <v>10</v>
      </c>
      <c r="WD41" s="106" t="s">
        <v>10</v>
      </c>
      <c r="XG41" s="106" t="s">
        <v>10</v>
      </c>
      <c r="YM41" s="106" t="s">
        <v>10</v>
      </c>
      <c r="ZR41" s="106" t="s">
        <v>10</v>
      </c>
      <c r="AAD41" s="189"/>
      <c r="AAE41" s="189"/>
      <c r="AAF41" s="189"/>
      <c r="AAG41" s="189"/>
      <c r="AAH41" s="189"/>
      <c r="AAI41" s="189"/>
      <c r="AAJ41" s="189"/>
      <c r="AAK41" s="189"/>
      <c r="AAL41" s="189"/>
      <c r="AAM41" s="189"/>
      <c r="AAX41" s="106" t="s">
        <v>10</v>
      </c>
      <c r="ACC41" s="106" t="s">
        <v>10</v>
      </c>
      <c r="ACG41" s="148"/>
      <c r="ACV41" s="189"/>
      <c r="ACW41" s="189"/>
      <c r="ACX41" s="189"/>
      <c r="ACY41" s="189"/>
      <c r="ACZ41" s="189"/>
      <c r="ADA41" s="189"/>
      <c r="ADB41" s="189"/>
      <c r="ADC41" s="189"/>
      <c r="ADD41" s="189"/>
      <c r="ADE41" s="189"/>
      <c r="ADF41" s="189"/>
      <c r="ADG41" s="189"/>
      <c r="ADH41" s="189"/>
      <c r="ADI41" s="2" t="s">
        <v>10</v>
      </c>
      <c r="ADJ41" s="189"/>
      <c r="ADK41" s="189"/>
      <c r="ADL41" s="189"/>
      <c r="ADM41" s="189"/>
      <c r="ADN41" s="189"/>
      <c r="ADO41" s="189"/>
      <c r="ADP41" s="189"/>
      <c r="ADQ41" s="189"/>
      <c r="ADR41" s="189"/>
      <c r="ADS41" s="189"/>
      <c r="ADT41" s="189"/>
      <c r="ADU41" s="189"/>
      <c r="ADV41" s="189"/>
      <c r="ADW41" s="189"/>
      <c r="ADX41" s="189"/>
      <c r="ADY41" s="189"/>
      <c r="ADZ41" s="189"/>
      <c r="AEA41" s="189"/>
      <c r="AEB41" s="189"/>
      <c r="AEC41" s="189"/>
      <c r="AED41" s="189"/>
      <c r="AEE41" s="189"/>
      <c r="AEF41" s="189"/>
      <c r="AEG41" s="189"/>
      <c r="AEH41" s="189"/>
      <c r="AEI41" s="189"/>
      <c r="AEJ41" s="189"/>
      <c r="AEK41" s="189"/>
      <c r="AEL41" s="189"/>
      <c r="AEM41" s="189"/>
      <c r="AEN41" s="189"/>
      <c r="AEO41" s="190" t="s">
        <v>10</v>
      </c>
      <c r="AEP41" s="189"/>
      <c r="AEQ41" s="189"/>
      <c r="AER41" s="189"/>
      <c r="AES41" s="189"/>
      <c r="AET41" s="189"/>
      <c r="AEU41" s="189"/>
      <c r="AEV41" s="189"/>
      <c r="AEW41" s="189"/>
      <c r="AEX41" s="189"/>
      <c r="AEY41" s="189"/>
      <c r="AEZ41" s="189"/>
      <c r="AFA41" s="189"/>
      <c r="AFB41" s="189"/>
      <c r="AFC41" s="189"/>
      <c r="AFD41" s="189"/>
      <c r="AFE41" s="189"/>
      <c r="AFF41" s="189"/>
      <c r="AFG41" s="189"/>
      <c r="AFH41" s="189"/>
      <c r="AFI41" s="189"/>
      <c r="AFJ41" s="189"/>
      <c r="AFK41" s="189"/>
      <c r="AFL41" s="189"/>
      <c r="AFM41" s="189"/>
      <c r="AFN41" s="189"/>
      <c r="AFO41" s="189"/>
      <c r="AFP41" s="189"/>
      <c r="AFQ41" s="189"/>
      <c r="AFR41" s="189"/>
      <c r="AFS41" s="189"/>
      <c r="AFT41" s="190" t="s">
        <v>10</v>
      </c>
      <c r="AFU41" s="189"/>
      <c r="AFV41" s="189"/>
      <c r="AFW41" s="189"/>
      <c r="AFX41" s="189"/>
      <c r="AFY41" s="189"/>
      <c r="AFZ41" s="189"/>
      <c r="AGA41" s="189"/>
      <c r="AGB41" s="189"/>
      <c r="AGC41" s="189"/>
      <c r="AGD41" s="189"/>
      <c r="AGE41" s="189"/>
      <c r="AGF41" s="189"/>
      <c r="AGG41" s="189"/>
      <c r="AGH41" s="189"/>
      <c r="AGI41" s="189"/>
      <c r="AGJ41" s="189"/>
      <c r="AGK41" s="189"/>
      <c r="AGL41" s="189"/>
      <c r="AGM41" s="189"/>
      <c r="AGN41" s="189"/>
      <c r="AGO41" s="189"/>
      <c r="AGP41" s="189"/>
      <c r="AGQ41" s="189"/>
      <c r="AGR41" s="189"/>
      <c r="AGS41" s="189"/>
      <c r="AGT41" s="189"/>
      <c r="AGU41" s="189"/>
      <c r="AGV41" s="189"/>
      <c r="AGW41" s="189"/>
      <c r="AGX41" s="189"/>
      <c r="AGY41" s="189"/>
      <c r="AGZ41" s="190" t="s">
        <v>10</v>
      </c>
      <c r="AHA41" s="189"/>
      <c r="AHB41" s="189"/>
      <c r="AHC41" s="189"/>
      <c r="AHD41" s="189"/>
      <c r="AHE41" s="189"/>
      <c r="AHF41" s="189"/>
      <c r="AHG41" s="189"/>
      <c r="AHH41" s="189"/>
      <c r="AHI41" s="189"/>
      <c r="AHJ41" s="189"/>
      <c r="AHK41" s="189"/>
      <c r="AHL41" s="189"/>
      <c r="AHM41" s="189"/>
      <c r="AHN41" s="189"/>
      <c r="AHO41" s="189"/>
      <c r="AHP41" s="189"/>
      <c r="AHQ41" s="189"/>
      <c r="AHR41" s="189"/>
      <c r="AHS41" s="189"/>
      <c r="AHT41" s="189"/>
      <c r="AHU41" s="189"/>
      <c r="AHV41" s="189"/>
      <c r="AHW41" s="189"/>
      <c r="AHX41" s="189"/>
      <c r="AHY41" s="189"/>
      <c r="AHZ41" s="189"/>
      <c r="AIA41" s="189"/>
      <c r="AIB41" s="189"/>
      <c r="AIC41" s="189"/>
      <c r="AID41" s="189"/>
      <c r="AIE41" s="190" t="s">
        <v>10</v>
      </c>
      <c r="AIF41" s="189"/>
      <c r="AIG41" s="189"/>
      <c r="AIH41" s="189"/>
      <c r="AII41" s="189"/>
      <c r="AIJ41" s="189"/>
      <c r="AIK41" s="189"/>
      <c r="AIL41" s="189"/>
      <c r="AIM41" s="189"/>
      <c r="AIN41" s="189"/>
      <c r="AIO41" s="189"/>
      <c r="AIP41" s="189"/>
      <c r="AIQ41" s="189"/>
      <c r="AIR41" s="189"/>
      <c r="AIS41" s="189"/>
      <c r="AIT41" s="189"/>
      <c r="AIU41" s="189"/>
      <c r="AIV41" s="189"/>
      <c r="AIW41" s="189"/>
      <c r="AIX41" s="189"/>
      <c r="AIY41" s="189"/>
      <c r="AIZ41" s="189"/>
      <c r="AJA41" s="189"/>
      <c r="AJB41" s="189"/>
      <c r="AJC41" s="189"/>
      <c r="AJD41" s="189"/>
      <c r="AJE41" s="189"/>
      <c r="AJF41" s="189"/>
      <c r="AJG41" s="189"/>
      <c r="AJH41" s="189"/>
      <c r="AJI41" s="189"/>
      <c r="AJJ41" s="189"/>
      <c r="AJK41" s="190" t="s">
        <v>10</v>
      </c>
      <c r="AJL41" s="189"/>
      <c r="AJM41" s="189"/>
      <c r="AJN41" s="189"/>
      <c r="AJO41" s="189"/>
      <c r="AJP41" s="189"/>
      <c r="AJQ41" s="189"/>
      <c r="AJR41" s="189"/>
      <c r="AJS41" s="189"/>
      <c r="AJT41" s="189"/>
      <c r="AJU41" s="189"/>
      <c r="AJV41" s="189"/>
      <c r="AJW41" s="189"/>
      <c r="AJX41" s="189"/>
      <c r="AJY41" s="189"/>
      <c r="AJZ41" s="189"/>
      <c r="AKA41" s="189"/>
      <c r="AKB41" s="189"/>
      <c r="AKC41" s="189"/>
      <c r="AKD41" s="189"/>
      <c r="AKE41" s="189"/>
      <c r="AKF41" s="189"/>
      <c r="AKG41" s="189"/>
      <c r="AKH41" s="189"/>
      <c r="AKI41" s="189"/>
      <c r="AKJ41" s="189"/>
      <c r="AKK41" s="189"/>
      <c r="AKL41" s="189"/>
      <c r="AKM41" s="189"/>
      <c r="AKN41" s="189"/>
      <c r="AKO41" s="189"/>
      <c r="AKP41" s="189"/>
      <c r="AKQ41" s="190" t="s">
        <v>10</v>
      </c>
      <c r="AKR41" s="189"/>
      <c r="AKS41" s="189"/>
      <c r="AKT41" s="189"/>
      <c r="AKU41" s="189"/>
      <c r="AKV41" s="189"/>
      <c r="AKW41" s="189"/>
      <c r="AKX41" s="189"/>
      <c r="AKY41" s="189"/>
      <c r="AKZ41" s="189"/>
      <c r="ALA41" s="189"/>
      <c r="ALB41" s="189"/>
      <c r="ALC41" s="189"/>
      <c r="ALD41" s="189"/>
      <c r="ALE41" s="189"/>
      <c r="ALF41" s="189"/>
      <c r="ALG41" s="189"/>
      <c r="ALH41" s="189"/>
      <c r="ALI41" s="189"/>
      <c r="ALJ41" s="189"/>
      <c r="ALK41" s="189"/>
      <c r="ALL41" s="189"/>
      <c r="ALM41" s="189"/>
      <c r="ALN41" s="189"/>
      <c r="ALO41" s="189"/>
      <c r="ALP41" s="189"/>
      <c r="ALQ41" s="189"/>
      <c r="ALR41" s="189"/>
      <c r="ALS41" s="189"/>
      <c r="ALT41" s="190" t="s">
        <v>10</v>
      </c>
      <c r="ALU41" s="189"/>
      <c r="ALV41" s="189"/>
      <c r="ALW41" s="189"/>
      <c r="ALX41" s="189"/>
      <c r="ALY41" s="189"/>
      <c r="ALZ41" s="189"/>
      <c r="AMA41" s="189"/>
      <c r="AMB41" s="189"/>
      <c r="AMC41" s="189"/>
      <c r="AMD41" s="189"/>
      <c r="AME41" s="189"/>
      <c r="AMF41" s="189"/>
      <c r="AMG41" s="189"/>
      <c r="AMH41" s="189"/>
      <c r="AMI41" s="189"/>
      <c r="AMJ41" s="189"/>
      <c r="AMK41" s="189"/>
      <c r="AML41" s="189"/>
      <c r="AMM41" s="189"/>
      <c r="AMN41" s="189"/>
      <c r="AMO41" s="189"/>
      <c r="AMP41" s="189"/>
      <c r="AMQ41" s="189"/>
      <c r="AMR41" s="189"/>
      <c r="AMS41" s="189"/>
      <c r="AMT41" s="189"/>
      <c r="AMU41" s="189"/>
      <c r="AMV41" s="189"/>
      <c r="AMW41" s="189"/>
      <c r="AMX41" s="189"/>
      <c r="AMY41" s="189"/>
      <c r="AMZ41" s="190" t="s">
        <v>10</v>
      </c>
      <c r="ANA41" s="189"/>
      <c r="ANB41" s="189"/>
      <c r="ANC41" s="189"/>
      <c r="AND41" s="189"/>
      <c r="ANE41" s="189"/>
      <c r="ANF41" s="189"/>
      <c r="ANG41" s="189"/>
      <c r="ANH41" s="189"/>
      <c r="ANI41" s="189"/>
      <c r="ANJ41" s="189"/>
      <c r="ANK41" s="189"/>
      <c r="ANL41" s="189"/>
      <c r="ANM41" s="189"/>
      <c r="ANN41" s="189"/>
      <c r="ANO41" s="189"/>
      <c r="ANP41" s="189"/>
      <c r="ANQ41" s="189"/>
      <c r="ANR41" s="189"/>
      <c r="ANS41" s="189"/>
      <c r="ANT41" s="189"/>
      <c r="ANU41" s="189"/>
      <c r="ANV41" s="189"/>
      <c r="ANW41" s="189"/>
      <c r="ANX41" s="189"/>
      <c r="ANY41" s="189"/>
      <c r="ANZ41" s="189"/>
      <c r="AOA41" s="189"/>
      <c r="AOB41" s="189"/>
      <c r="AOC41" s="189"/>
      <c r="AOD41" s="189"/>
      <c r="AOE41" s="190" t="s">
        <v>10</v>
      </c>
      <c r="AOF41" s="189"/>
      <c r="AOG41" s="189"/>
      <c r="AOH41" s="189"/>
      <c r="AOI41" s="189"/>
      <c r="AOJ41" s="189"/>
      <c r="AOK41" s="189"/>
      <c r="AOL41" s="189"/>
      <c r="AOM41" s="189"/>
      <c r="AON41" s="189"/>
      <c r="AOO41" s="189"/>
      <c r="AOP41" s="189"/>
      <c r="AOQ41" s="189"/>
      <c r="AOR41" s="189"/>
      <c r="AOS41" s="189"/>
      <c r="AOT41" s="189"/>
      <c r="AOU41" s="189"/>
      <c r="AOV41" s="189"/>
      <c r="AOW41" s="189"/>
      <c r="AOX41" s="189"/>
      <c r="AOY41" s="189"/>
      <c r="AOZ41" s="189"/>
      <c r="APA41" s="189"/>
      <c r="APB41" s="189"/>
      <c r="APC41" s="189"/>
      <c r="APD41" s="189"/>
      <c r="APE41" s="189"/>
      <c r="APF41" s="189"/>
      <c r="APG41" s="189"/>
      <c r="APH41" s="189"/>
      <c r="API41" s="189"/>
      <c r="APJ41" s="189"/>
      <c r="APK41" s="190" t="s">
        <v>10</v>
      </c>
      <c r="APL41" s="189"/>
      <c r="APM41" s="189"/>
      <c r="APN41" s="189"/>
      <c r="APO41" s="189"/>
      <c r="APP41" s="189"/>
      <c r="APQ41" s="189"/>
      <c r="APR41" s="189"/>
      <c r="APS41" s="189"/>
      <c r="APT41" s="189"/>
      <c r="APU41" s="189"/>
      <c r="APV41" s="189"/>
      <c r="APW41" s="189"/>
      <c r="APX41" s="189"/>
      <c r="APY41" s="189"/>
      <c r="APZ41" s="189"/>
      <c r="AQA41" s="189"/>
      <c r="AQB41" s="189"/>
      <c r="AQC41" s="189"/>
      <c r="AQD41" s="189"/>
      <c r="AQE41" s="189"/>
      <c r="AQF41" s="189"/>
      <c r="AQG41" s="189"/>
      <c r="AQH41" s="189"/>
      <c r="AQI41" s="189"/>
      <c r="AQJ41" s="189"/>
      <c r="AQK41" s="189"/>
      <c r="AQL41" s="189"/>
      <c r="AQM41" s="189"/>
      <c r="AQN41" s="189"/>
      <c r="AQO41" s="189"/>
      <c r="AQP41" s="190" t="s">
        <v>10</v>
      </c>
      <c r="AQQ41" s="189"/>
      <c r="AQR41" s="189"/>
      <c r="AQS41" s="189"/>
      <c r="AQT41" s="189"/>
      <c r="AQU41" s="189"/>
      <c r="AQV41" s="189"/>
      <c r="AQW41" s="189"/>
      <c r="AQX41" s="189"/>
      <c r="AQY41" s="189"/>
      <c r="AQZ41" s="189"/>
      <c r="ARA41" s="189"/>
      <c r="ARB41" s="189"/>
      <c r="ARC41" s="189"/>
      <c r="ARD41" s="189"/>
      <c r="ARE41" s="189"/>
      <c r="ARF41" s="189"/>
      <c r="ARG41" s="189"/>
      <c r="ARH41" s="189"/>
      <c r="ARI41" s="189"/>
      <c r="ARJ41" s="189"/>
      <c r="ARK41" s="189"/>
      <c r="ARL41" s="189"/>
      <c r="ARM41" s="189"/>
      <c r="ARN41" s="189"/>
      <c r="ARO41" s="189"/>
      <c r="ARP41" s="189"/>
      <c r="ARQ41" s="189"/>
      <c r="ARR41" s="189"/>
      <c r="ARS41" s="189"/>
      <c r="ART41" s="189"/>
      <c r="ARU41" s="189"/>
      <c r="ARV41" s="190" t="s">
        <v>10</v>
      </c>
      <c r="ARW41" s="189"/>
      <c r="ARX41" s="189"/>
      <c r="ARY41" s="189"/>
      <c r="ARZ41" s="189"/>
      <c r="ASA41" s="189"/>
      <c r="ASB41" s="189"/>
      <c r="ASC41" s="189"/>
      <c r="ASD41" s="189"/>
      <c r="ASE41" s="189"/>
      <c r="ASF41" s="189"/>
      <c r="ASG41" s="189"/>
      <c r="ASH41" s="189"/>
      <c r="ASI41" s="189"/>
      <c r="ASJ41" s="189"/>
      <c r="ASK41" s="189"/>
      <c r="ASL41" s="189"/>
      <c r="ASM41" s="189"/>
      <c r="ASN41" s="189"/>
      <c r="ASO41" s="189"/>
      <c r="ASP41" s="189"/>
      <c r="ASQ41" s="189"/>
      <c r="ASR41" s="189"/>
      <c r="ASS41" s="189"/>
      <c r="AST41" s="189"/>
      <c r="ASU41" s="189"/>
      <c r="ASV41" s="189"/>
      <c r="ASW41" s="189"/>
      <c r="ASX41" s="189"/>
      <c r="ASY41" s="189"/>
      <c r="ASZ41" s="189"/>
      <c r="ATA41" s="189"/>
      <c r="ATB41" s="190" t="s">
        <v>10</v>
      </c>
      <c r="ATC41" s="189"/>
      <c r="ATD41" s="189"/>
      <c r="ATE41" s="189"/>
      <c r="ATF41" s="189"/>
      <c r="ATG41" s="189"/>
      <c r="ATH41" s="189"/>
      <c r="ATI41" s="189"/>
      <c r="ATJ41" s="189"/>
      <c r="ATK41" s="189"/>
      <c r="ATL41" s="189"/>
      <c r="ATM41" s="189"/>
      <c r="ATN41" s="189"/>
      <c r="ATO41" s="189"/>
      <c r="ATP41" s="189"/>
      <c r="ATQ41" s="189"/>
      <c r="ATR41" s="189"/>
      <c r="ATS41" s="189"/>
      <c r="ATT41" s="189"/>
      <c r="ATU41" s="189"/>
      <c r="ATV41" s="189"/>
      <c r="ATW41" s="189"/>
      <c r="ATX41" s="189"/>
      <c r="ATY41" s="189"/>
      <c r="ATZ41" s="189"/>
      <c r="AUA41" s="189"/>
      <c r="AUB41" s="189"/>
      <c r="AUC41" s="189"/>
      <c r="AUD41" s="189"/>
      <c r="AUE41" s="189"/>
      <c r="AUF41" s="189"/>
      <c r="AUG41" s="190" t="s">
        <v>10</v>
      </c>
      <c r="AUH41" s="189"/>
      <c r="AUI41" s="189"/>
      <c r="AUJ41" s="189"/>
      <c r="AUK41" s="189"/>
      <c r="AUL41" s="189"/>
      <c r="AUM41" s="189"/>
      <c r="AUN41" s="189"/>
      <c r="AUO41" s="189"/>
      <c r="AUP41" s="189"/>
      <c r="AUQ41" s="189"/>
      <c r="AUR41" s="189"/>
      <c r="AUS41" s="189"/>
      <c r="AUT41" s="189"/>
      <c r="AUU41" s="189"/>
      <c r="AUV41" s="189"/>
      <c r="AUW41" s="189"/>
      <c r="AUX41" s="189"/>
      <c r="AUY41" s="189"/>
      <c r="AUZ41" s="189"/>
      <c r="AVA41" s="189"/>
      <c r="AVB41" s="189"/>
      <c r="AVC41" s="189"/>
      <c r="AVD41" s="189"/>
      <c r="AVE41" s="189"/>
      <c r="AVF41" s="189"/>
      <c r="AVG41" s="189"/>
      <c r="AVH41" s="189"/>
      <c r="AVI41" s="189"/>
      <c r="AVJ41" s="189"/>
      <c r="AVK41" s="189"/>
      <c r="AVL41" s="189"/>
      <c r="AVM41" s="190" t="s">
        <v>10</v>
      </c>
      <c r="AVN41" s="189"/>
      <c r="AVO41" s="189"/>
      <c r="AVP41" s="189"/>
      <c r="AVQ41" s="189"/>
      <c r="AVR41" s="189"/>
      <c r="AVS41" s="189"/>
      <c r="AVT41" s="189"/>
      <c r="AVU41" s="189"/>
      <c r="AVV41" s="189"/>
      <c r="AVW41" s="189"/>
      <c r="AVX41" s="189"/>
      <c r="AVY41" s="189"/>
      <c r="AVZ41" s="189"/>
      <c r="AWA41" s="189"/>
      <c r="AWR41" s="190" t="s">
        <v>10</v>
      </c>
      <c r="AXX41" s="190" t="s">
        <v>10</v>
      </c>
    </row>
    <row r="42" spans="1:1324" s="148" customFormat="1" ht="22.8" customHeight="1" thickTop="1" thickBot="1" x14ac:dyDescent="0.3">
      <c r="A42" s="710" t="s">
        <v>379</v>
      </c>
      <c r="B42" s="147"/>
      <c r="C42" s="148">
        <v>1080</v>
      </c>
      <c r="D42" s="148">
        <v>1080</v>
      </c>
      <c r="E42" s="148">
        <v>1080</v>
      </c>
      <c r="F42" s="148">
        <v>1080</v>
      </c>
      <c r="H42" s="148">
        <v>1080</v>
      </c>
      <c r="I42" s="148">
        <v>1080</v>
      </c>
      <c r="J42" s="148">
        <v>1080</v>
      </c>
      <c r="K42" s="148">
        <v>1080</v>
      </c>
      <c r="L42" s="148">
        <v>1080</v>
      </c>
      <c r="M42" s="148">
        <v>1080</v>
      </c>
      <c r="O42" s="148">
        <v>1080</v>
      </c>
      <c r="P42" s="148">
        <v>1080</v>
      </c>
      <c r="Q42" s="148">
        <v>1080</v>
      </c>
      <c r="R42" s="148">
        <v>1080</v>
      </c>
      <c r="S42" s="148">
        <v>1080</v>
      </c>
      <c r="T42" s="148">
        <v>1080</v>
      </c>
      <c r="V42" s="148">
        <v>1080</v>
      </c>
      <c r="AH42" s="149"/>
      <c r="AJ42" s="116"/>
      <c r="AK42" s="116"/>
      <c r="AL42" s="116"/>
      <c r="AM42" s="116"/>
      <c r="AN42" s="116"/>
      <c r="AO42" s="116"/>
      <c r="AP42" s="116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  <c r="BK42" s="148">
        <v>40474</v>
      </c>
      <c r="BL42" s="150"/>
      <c r="BN42" s="147"/>
      <c r="BO42" s="148">
        <v>800</v>
      </c>
      <c r="BP42" s="148">
        <v>3100</v>
      </c>
      <c r="BS42" s="148">
        <v>1140</v>
      </c>
      <c r="BU42" s="148">
        <v>207</v>
      </c>
      <c r="BZ42" s="148">
        <v>4140</v>
      </c>
      <c r="CB42" s="116"/>
      <c r="CC42" s="116"/>
      <c r="CD42" s="116">
        <v>1170</v>
      </c>
      <c r="CE42" s="116">
        <v>600</v>
      </c>
      <c r="CF42" s="116">
        <v>1000</v>
      </c>
      <c r="CG42" s="116">
        <v>1200</v>
      </c>
      <c r="CH42" s="116"/>
      <c r="CI42" s="116">
        <v>1400</v>
      </c>
      <c r="CJ42" s="148">
        <v>1400</v>
      </c>
      <c r="CK42" s="148">
        <v>1400</v>
      </c>
      <c r="CL42" s="148">
        <v>1400</v>
      </c>
      <c r="CM42" s="148">
        <v>1400</v>
      </c>
      <c r="CN42" s="148">
        <v>1400</v>
      </c>
      <c r="CP42" s="148">
        <v>1400</v>
      </c>
      <c r="CQ42" s="148">
        <v>1400</v>
      </c>
      <c r="CR42" s="148">
        <v>1400</v>
      </c>
      <c r="CS42" s="147"/>
      <c r="DB42" s="148">
        <v>5000</v>
      </c>
      <c r="DC42" s="148">
        <v>6107</v>
      </c>
      <c r="DI42" s="151">
        <v>6138</v>
      </c>
      <c r="DN42" s="151">
        <v>6188</v>
      </c>
      <c r="DS42" s="151">
        <v>4627</v>
      </c>
      <c r="DU42" s="148">
        <v>3514</v>
      </c>
      <c r="DX42" s="148">
        <v>5420</v>
      </c>
      <c r="DY42" s="147"/>
      <c r="EM42" s="152">
        <v>14102</v>
      </c>
      <c r="EO42" s="148">
        <v>630</v>
      </c>
      <c r="EP42" s="148">
        <v>1640</v>
      </c>
      <c r="EQ42" s="117">
        <v>1463</v>
      </c>
      <c r="ER42" s="116">
        <v>1350</v>
      </c>
      <c r="ES42" s="116">
        <v>1800</v>
      </c>
      <c r="ET42" s="117">
        <f>979+626</f>
        <v>1605</v>
      </c>
      <c r="EU42" s="116"/>
      <c r="EV42" s="116">
        <v>1700</v>
      </c>
      <c r="EW42" s="117">
        <f>408+1460</f>
        <v>1868</v>
      </c>
      <c r="EX42" s="116">
        <v>1700</v>
      </c>
      <c r="EY42" s="116">
        <v>1700</v>
      </c>
      <c r="EZ42" s="117">
        <v>600</v>
      </c>
      <c r="FA42" s="148">
        <v>1800</v>
      </c>
      <c r="FC42" s="148">
        <v>1800</v>
      </c>
      <c r="FD42" s="147"/>
      <c r="FE42" s="117">
        <v>613</v>
      </c>
      <c r="FF42" s="116">
        <v>290</v>
      </c>
      <c r="FG42" s="148">
        <v>1420</v>
      </c>
      <c r="FH42" s="148">
        <v>1388</v>
      </c>
      <c r="FI42" s="116">
        <v>220</v>
      </c>
      <c r="FJ42" s="148">
        <v>990</v>
      </c>
      <c r="FK42" s="148">
        <v>1400</v>
      </c>
      <c r="FL42" s="117">
        <f>803+400</f>
        <v>1203</v>
      </c>
      <c r="FM42" s="148">
        <v>1620</v>
      </c>
      <c r="FN42" s="116">
        <v>1287</v>
      </c>
      <c r="FO42" s="116">
        <v>1178</v>
      </c>
      <c r="FP42" s="116">
        <v>1250</v>
      </c>
      <c r="FR42" s="116"/>
      <c r="FS42" s="116"/>
      <c r="FU42" s="116">
        <v>1530</v>
      </c>
      <c r="FV42" s="116">
        <f>460+820</f>
        <v>1280</v>
      </c>
      <c r="FW42" s="148">
        <v>1700</v>
      </c>
      <c r="FX42" s="117">
        <v>1200</v>
      </c>
      <c r="FY42" s="148">
        <f>363+37</f>
        <v>400</v>
      </c>
      <c r="FZ42" s="148">
        <v>300</v>
      </c>
      <c r="GA42" s="148">
        <v>750</v>
      </c>
      <c r="GB42" s="148">
        <v>896</v>
      </c>
      <c r="GC42" s="148">
        <v>980</v>
      </c>
      <c r="GD42" s="148">
        <v>1280</v>
      </c>
      <c r="GF42" s="148">
        <v>1280</v>
      </c>
      <c r="GG42" s="148">
        <v>1280</v>
      </c>
      <c r="GH42" s="148">
        <f>756+500</f>
        <v>1256</v>
      </c>
      <c r="GI42" s="148">
        <v>1280</v>
      </c>
      <c r="GJ42" s="147"/>
      <c r="GK42" s="148">
        <f>877+150</f>
        <v>1027</v>
      </c>
      <c r="GL42" s="148">
        <v>950</v>
      </c>
      <c r="GN42" s="148">
        <v>1220</v>
      </c>
      <c r="GO42" s="148">
        <v>780</v>
      </c>
      <c r="GP42" s="148">
        <v>900</v>
      </c>
      <c r="GQ42" s="148">
        <v>1150</v>
      </c>
      <c r="GR42" s="148">
        <v>1000</v>
      </c>
      <c r="GS42" s="148">
        <v>675</v>
      </c>
      <c r="GU42" s="148">
        <v>1020</v>
      </c>
      <c r="GV42" s="148">
        <v>1409</v>
      </c>
      <c r="GW42" s="148">
        <v>1382</v>
      </c>
      <c r="GX42" s="148">
        <v>1166</v>
      </c>
      <c r="GY42" s="148">
        <v>1350</v>
      </c>
      <c r="GZ42" s="148">
        <v>1370</v>
      </c>
      <c r="HB42" s="148">
        <v>1450</v>
      </c>
      <c r="HC42" s="148">
        <v>1350</v>
      </c>
      <c r="HD42" s="148">
        <v>1110</v>
      </c>
      <c r="HE42" s="148">
        <v>1280</v>
      </c>
      <c r="HF42" s="148">
        <v>1440</v>
      </c>
      <c r="HG42" s="117">
        <v>1221</v>
      </c>
      <c r="HI42" s="148">
        <v>1230</v>
      </c>
      <c r="HJ42" s="148">
        <v>1600</v>
      </c>
      <c r="HK42" s="148">
        <v>1280</v>
      </c>
      <c r="HL42" s="148">
        <v>1179</v>
      </c>
      <c r="HM42" s="148">
        <v>1200</v>
      </c>
      <c r="HN42" s="148">
        <v>1000</v>
      </c>
      <c r="HP42" s="147"/>
      <c r="HQ42" s="148">
        <v>1200</v>
      </c>
      <c r="HR42" s="148">
        <f>64+113+450</f>
        <v>627</v>
      </c>
      <c r="HS42" s="148">
        <v>1400</v>
      </c>
      <c r="HT42" s="148">
        <v>1650</v>
      </c>
      <c r="HU42" s="148">
        <v>1800</v>
      </c>
      <c r="HV42" s="148">
        <v>1900</v>
      </c>
      <c r="HX42" s="117">
        <v>1760</v>
      </c>
      <c r="HY42" s="148">
        <v>2000</v>
      </c>
      <c r="HZ42" s="148">
        <v>1720</v>
      </c>
      <c r="IA42" s="117">
        <v>2080</v>
      </c>
      <c r="IB42" s="148">
        <v>619</v>
      </c>
      <c r="IC42" s="148">
        <v>1200</v>
      </c>
      <c r="IE42" s="148">
        <v>1500</v>
      </c>
      <c r="IF42" s="148">
        <v>1550</v>
      </c>
      <c r="IG42" s="148">
        <v>1420</v>
      </c>
      <c r="IH42" s="148">
        <v>1530</v>
      </c>
      <c r="II42" s="148">
        <v>1610</v>
      </c>
      <c r="IJ42" s="148">
        <v>1467</v>
      </c>
      <c r="IL42" s="148">
        <v>1099</v>
      </c>
      <c r="IM42" s="148">
        <v>356</v>
      </c>
      <c r="IN42" s="148">
        <v>550</v>
      </c>
      <c r="IO42" s="148">
        <v>1201</v>
      </c>
      <c r="IP42" s="148">
        <v>750</v>
      </c>
      <c r="IQ42" s="148">
        <f>206+381+250</f>
        <v>837</v>
      </c>
      <c r="IR42" s="136"/>
      <c r="IS42" s="136">
        <v>1100</v>
      </c>
      <c r="IT42" s="147"/>
      <c r="IU42" s="116">
        <v>1350</v>
      </c>
      <c r="IV42" s="116">
        <v>1400</v>
      </c>
      <c r="IW42" s="116">
        <v>1500</v>
      </c>
      <c r="IX42" s="116">
        <v>1600</v>
      </c>
      <c r="IY42" s="116">
        <v>1650</v>
      </c>
      <c r="IZ42" s="116"/>
      <c r="JA42" s="116">
        <v>1640</v>
      </c>
      <c r="JB42" s="117">
        <v>1760</v>
      </c>
      <c r="JC42" s="116">
        <v>1443</v>
      </c>
      <c r="JD42" s="116">
        <v>1800</v>
      </c>
      <c r="JE42" s="116">
        <v>1607</v>
      </c>
      <c r="JF42" s="116">
        <v>1650</v>
      </c>
      <c r="JG42" s="148">
        <v>1500</v>
      </c>
      <c r="JH42" s="116">
        <v>1820</v>
      </c>
      <c r="JI42" s="116">
        <v>1920</v>
      </c>
      <c r="JJ42" s="148">
        <v>1920</v>
      </c>
      <c r="JL42" s="148">
        <v>1650</v>
      </c>
      <c r="JM42" s="148">
        <v>1280</v>
      </c>
      <c r="JO42" s="148">
        <v>1050</v>
      </c>
      <c r="JP42" s="148">
        <v>1200</v>
      </c>
      <c r="JQ42" s="117">
        <f>429+640</f>
        <v>1069</v>
      </c>
      <c r="JR42" s="148">
        <v>1300</v>
      </c>
      <c r="JS42" s="148">
        <v>1350</v>
      </c>
      <c r="JV42" s="274"/>
      <c r="JW42" s="275"/>
      <c r="JX42" s="275"/>
      <c r="JY42" s="275"/>
      <c r="JZ42" s="276"/>
      <c r="KA42" s="275"/>
      <c r="KB42" s="275"/>
      <c r="KC42" s="275"/>
      <c r="KD42" s="275"/>
      <c r="KE42" s="275"/>
      <c r="KF42" s="275"/>
      <c r="KG42" s="275"/>
      <c r="KH42" s="275"/>
      <c r="KI42" s="275"/>
      <c r="KJ42" s="275"/>
      <c r="KK42" s="275"/>
      <c r="KL42" s="275"/>
      <c r="KM42" s="275"/>
      <c r="KN42" s="275"/>
      <c r="KO42" s="275"/>
      <c r="KP42" s="275"/>
      <c r="KQ42" s="275"/>
      <c r="KR42" s="275"/>
      <c r="KS42" s="275"/>
      <c r="KT42" s="275"/>
      <c r="KU42" s="275"/>
      <c r="KV42" s="275"/>
      <c r="KW42" s="275"/>
      <c r="KX42" s="275"/>
      <c r="KY42" s="277"/>
      <c r="KZ42" s="136"/>
      <c r="LA42" s="136"/>
      <c r="LB42" s="136"/>
      <c r="LC42" s="136"/>
      <c r="LD42" s="136"/>
      <c r="LE42" s="147"/>
      <c r="LF42" s="136"/>
      <c r="LG42" s="136">
        <v>800</v>
      </c>
      <c r="LH42" s="136">
        <v>1020</v>
      </c>
      <c r="LI42" s="136">
        <v>1200</v>
      </c>
      <c r="LJ42" s="136">
        <v>1450</v>
      </c>
      <c r="LK42" s="136">
        <v>1400</v>
      </c>
      <c r="LL42" s="136">
        <v>1400</v>
      </c>
      <c r="LM42" s="136"/>
      <c r="LN42" s="136">
        <v>1400</v>
      </c>
      <c r="LO42" s="136">
        <v>1440</v>
      </c>
      <c r="LP42" s="136">
        <v>1440</v>
      </c>
      <c r="LQ42" s="136">
        <v>1440</v>
      </c>
      <c r="LR42" s="136">
        <v>1400</v>
      </c>
      <c r="LS42" s="136">
        <v>1200</v>
      </c>
      <c r="LT42" s="136"/>
      <c r="LU42" s="136">
        <v>1440</v>
      </c>
      <c r="LV42" s="136">
        <v>1440</v>
      </c>
      <c r="LW42" s="136">
        <v>1440</v>
      </c>
      <c r="LX42" s="136">
        <v>1440</v>
      </c>
      <c r="LY42" s="136">
        <v>1100</v>
      </c>
      <c r="LZ42" s="300">
        <v>1340</v>
      </c>
      <c r="MA42" s="300">
        <v>1280</v>
      </c>
      <c r="MB42" s="713" t="s">
        <v>697</v>
      </c>
      <c r="MC42" s="714"/>
      <c r="MD42" s="714"/>
      <c r="ME42" s="715"/>
      <c r="MF42" s="136">
        <v>1250</v>
      </c>
      <c r="MG42" s="297">
        <v>1600</v>
      </c>
      <c r="MH42" s="136"/>
      <c r="MI42" s="136">
        <v>1600</v>
      </c>
      <c r="MJ42" s="136">
        <v>1600</v>
      </c>
      <c r="MK42" s="136"/>
      <c r="ML42" s="136">
        <v>1800</v>
      </c>
      <c r="MM42" s="136">
        <v>1800</v>
      </c>
      <c r="MN42" s="314">
        <v>1850</v>
      </c>
      <c r="MO42" s="148">
        <v>1800</v>
      </c>
      <c r="MQ42" s="148">
        <v>1800</v>
      </c>
      <c r="MR42" s="148">
        <v>1780</v>
      </c>
      <c r="MS42" s="148">
        <v>1800</v>
      </c>
      <c r="MT42" s="117">
        <v>1603</v>
      </c>
      <c r="MU42" s="148">
        <v>1150</v>
      </c>
      <c r="MV42" s="148">
        <v>1650</v>
      </c>
      <c r="MX42" s="148">
        <v>1730</v>
      </c>
      <c r="MY42" s="117">
        <v>1750</v>
      </c>
      <c r="MZ42" s="148">
        <f>579+1200</f>
        <v>1779</v>
      </c>
      <c r="NA42" s="117">
        <v>1850</v>
      </c>
      <c r="NB42" s="148">
        <f>241+760</f>
        <v>1001</v>
      </c>
      <c r="NC42" s="148">
        <v>1650</v>
      </c>
      <c r="NE42" s="148">
        <v>1760</v>
      </c>
      <c r="NF42" s="148">
        <v>1780</v>
      </c>
      <c r="NG42" s="148">
        <v>1780</v>
      </c>
      <c r="NH42" s="148">
        <v>1780</v>
      </c>
      <c r="NI42" s="117">
        <f>792+200</f>
        <v>992</v>
      </c>
      <c r="NJ42" s="148">
        <v>1400</v>
      </c>
      <c r="NL42" s="148">
        <v>1800</v>
      </c>
      <c r="NM42" s="148">
        <v>1750</v>
      </c>
      <c r="NN42" s="148">
        <v>1930</v>
      </c>
      <c r="NO42" s="148">
        <v>1700</v>
      </c>
      <c r="NP42" s="147"/>
      <c r="NQ42" s="148">
        <v>1881</v>
      </c>
      <c r="NR42" s="148">
        <v>1950</v>
      </c>
      <c r="NT42" s="148">
        <v>2000</v>
      </c>
      <c r="NU42" s="117">
        <v>2000</v>
      </c>
      <c r="NV42" s="148">
        <v>2100</v>
      </c>
      <c r="NW42" s="148">
        <v>2100</v>
      </c>
      <c r="NX42" s="148">
        <v>2420</v>
      </c>
      <c r="NY42" s="148">
        <f>750+1400</f>
        <v>2150</v>
      </c>
      <c r="OA42" s="148">
        <v>2001</v>
      </c>
      <c r="OB42" s="315">
        <v>1843</v>
      </c>
      <c r="OC42" s="148">
        <v>1000</v>
      </c>
      <c r="OD42" s="148">
        <v>1365</v>
      </c>
      <c r="OE42" s="117">
        <f>585+770</f>
        <v>1355</v>
      </c>
      <c r="OF42" s="314">
        <v>1350</v>
      </c>
      <c r="OG42" s="136"/>
      <c r="OH42" s="148">
        <f>1699+101</f>
        <v>1800</v>
      </c>
      <c r="OI42" s="148">
        <v>1100</v>
      </c>
      <c r="OJ42" s="148">
        <v>1500</v>
      </c>
      <c r="OK42" s="148">
        <f>1165+80</f>
        <v>1245</v>
      </c>
      <c r="OL42" s="148">
        <v>950</v>
      </c>
      <c r="OM42" s="148">
        <v>950</v>
      </c>
      <c r="ON42" s="148">
        <v>1139</v>
      </c>
      <c r="OO42" s="148">
        <v>1560</v>
      </c>
      <c r="OP42" s="148">
        <v>2060</v>
      </c>
      <c r="OQ42" s="148">
        <v>1900</v>
      </c>
      <c r="OR42" s="148">
        <v>1800</v>
      </c>
      <c r="OS42" s="148">
        <v>807</v>
      </c>
      <c r="OT42" s="722" t="s">
        <v>431</v>
      </c>
      <c r="OU42" s="723"/>
      <c r="OV42" s="302"/>
      <c r="OW42" s="737" t="s">
        <v>805</v>
      </c>
      <c r="OX42" s="738"/>
      <c r="OY42" s="738"/>
      <c r="OZ42" s="738"/>
      <c r="PA42" s="738"/>
      <c r="PB42" s="738"/>
      <c r="PC42" s="739"/>
      <c r="PD42" s="148">
        <v>1100</v>
      </c>
      <c r="PE42" s="148">
        <v>1100</v>
      </c>
      <c r="PF42" s="148">
        <f>678+40</f>
        <v>718</v>
      </c>
      <c r="PG42" s="136">
        <v>1400</v>
      </c>
      <c r="PH42" s="136">
        <v>2350</v>
      </c>
      <c r="PI42" s="136">
        <v>2450</v>
      </c>
      <c r="PJ42" s="136"/>
      <c r="PK42" s="136"/>
      <c r="PL42" s="136">
        <v>2505</v>
      </c>
      <c r="PM42" s="314">
        <v>2600</v>
      </c>
      <c r="PN42" s="136">
        <v>3200</v>
      </c>
      <c r="PO42" s="314">
        <v>2850</v>
      </c>
      <c r="PP42" s="314">
        <v>3300</v>
      </c>
      <c r="PQ42" s="314"/>
      <c r="PR42" s="314">
        <v>2700</v>
      </c>
      <c r="PS42" s="314">
        <v>2620</v>
      </c>
      <c r="PT42" s="314">
        <v>2700</v>
      </c>
      <c r="PU42" s="314">
        <v>2700</v>
      </c>
      <c r="PV42" s="314">
        <v>2650</v>
      </c>
      <c r="PW42" s="314">
        <v>2621</v>
      </c>
      <c r="PY42" s="117">
        <f>949+650+40</f>
        <v>1639</v>
      </c>
      <c r="PZ42" s="148">
        <f>110+30</f>
        <v>140</v>
      </c>
      <c r="QA42" s="148">
        <v>660</v>
      </c>
      <c r="QB42" s="147"/>
      <c r="QC42" s="148">
        <f>1520+30</f>
        <v>1550</v>
      </c>
      <c r="QD42" s="148">
        <f>766+710</f>
        <v>1476</v>
      </c>
      <c r="QE42" s="148">
        <f>801+470+34</f>
        <v>1305</v>
      </c>
      <c r="QG42" s="148">
        <f>1056+20</f>
        <v>1076</v>
      </c>
      <c r="QH42" s="148">
        <f>880+21</f>
        <v>901</v>
      </c>
      <c r="QI42" s="117">
        <f>1045+20</f>
        <v>1065</v>
      </c>
      <c r="QJ42" s="148">
        <f>3+997</f>
        <v>1000</v>
      </c>
      <c r="QK42" s="148">
        <v>1300</v>
      </c>
      <c r="QL42" s="117">
        <f>1263+40</f>
        <v>1303</v>
      </c>
      <c r="QM42" s="148">
        <v>1320</v>
      </c>
      <c r="QN42" s="148">
        <v>1660</v>
      </c>
      <c r="QO42" s="148">
        <v>1980</v>
      </c>
      <c r="QQ42" s="148">
        <v>1800</v>
      </c>
      <c r="QR42" s="117">
        <v>947</v>
      </c>
      <c r="QS42" s="314">
        <v>750</v>
      </c>
      <c r="QU42" s="148">
        <v>1150</v>
      </c>
      <c r="QV42" s="117">
        <f>1230+30</f>
        <v>1260</v>
      </c>
      <c r="QW42" s="148">
        <v>1150</v>
      </c>
      <c r="QX42" s="148">
        <v>1530</v>
      </c>
      <c r="QY42" s="148">
        <v>1500</v>
      </c>
      <c r="QZ42" s="148">
        <v>1620</v>
      </c>
      <c r="RB42" s="148">
        <v>1620</v>
      </c>
      <c r="RC42" s="148">
        <v>1620</v>
      </c>
      <c r="RD42" s="148">
        <v>1630</v>
      </c>
      <c r="RE42" s="148">
        <v>1280</v>
      </c>
      <c r="RF42" s="148">
        <v>1220</v>
      </c>
      <c r="RG42" s="372"/>
      <c r="RH42" s="148">
        <v>1760</v>
      </c>
      <c r="RJ42" s="148">
        <v>1800</v>
      </c>
      <c r="RK42" s="148">
        <v>1760</v>
      </c>
      <c r="RL42" s="117">
        <f>1351+370+40</f>
        <v>1761</v>
      </c>
      <c r="RM42" s="148">
        <v>1380</v>
      </c>
      <c r="RN42" s="148">
        <f>1155+400</f>
        <v>1555</v>
      </c>
      <c r="RP42" s="148">
        <v>1550</v>
      </c>
      <c r="RQ42" s="148">
        <v>1570</v>
      </c>
      <c r="RR42" s="117">
        <f>626+580</f>
        <v>1206</v>
      </c>
      <c r="RS42" s="148">
        <v>1400</v>
      </c>
      <c r="RT42" s="148">
        <f>1560+44</f>
        <v>1604</v>
      </c>
      <c r="RU42" s="148">
        <v>1620</v>
      </c>
      <c r="RV42" s="148">
        <v>1700</v>
      </c>
      <c r="RX42" s="117">
        <v>1760</v>
      </c>
      <c r="RY42" s="148">
        <f>180+620</f>
        <v>800</v>
      </c>
      <c r="RZ42" s="148">
        <v>1600</v>
      </c>
      <c r="SA42" s="148">
        <f>948+561</f>
        <v>1509</v>
      </c>
      <c r="SB42" s="117">
        <f>756+378+410</f>
        <v>1544</v>
      </c>
      <c r="SC42" s="148">
        <f>97+1670</f>
        <v>1767</v>
      </c>
      <c r="SE42" s="148">
        <v>1785</v>
      </c>
      <c r="SF42" s="148">
        <v>1770</v>
      </c>
      <c r="SG42" s="148">
        <v>1300</v>
      </c>
      <c r="SH42" s="148">
        <v>1300</v>
      </c>
      <c r="SI42" s="148">
        <f>1330+9</f>
        <v>1339</v>
      </c>
      <c r="SJ42" s="117">
        <v>1088</v>
      </c>
      <c r="SL42" s="148">
        <v>200</v>
      </c>
      <c r="SM42" s="147"/>
      <c r="SN42" s="148">
        <v>1380</v>
      </c>
      <c r="SO42" s="148">
        <v>1350</v>
      </c>
      <c r="SP42" s="117">
        <f>766+269</f>
        <v>1035</v>
      </c>
      <c r="SQ42" s="148">
        <v>1200</v>
      </c>
      <c r="SR42" s="148">
        <f>1340+14</f>
        <v>1354</v>
      </c>
      <c r="SS42" s="117">
        <f>861+35+55</f>
        <v>951</v>
      </c>
      <c r="ST42" s="148">
        <f>50+30+39+280</f>
        <v>399</v>
      </c>
      <c r="SU42" s="148">
        <v>1140</v>
      </c>
      <c r="SW42" s="148">
        <f>600+450</f>
        <v>1050</v>
      </c>
      <c r="SX42" s="148">
        <v>1450</v>
      </c>
      <c r="SY42" s="148">
        <v>1560</v>
      </c>
      <c r="TA42" s="148">
        <v>1700</v>
      </c>
      <c r="TB42" s="148">
        <v>1720</v>
      </c>
      <c r="TC42" s="148">
        <v>1652</v>
      </c>
      <c r="TD42" s="148">
        <f>1150+100</f>
        <v>1250</v>
      </c>
      <c r="TE42" s="148">
        <f>1340+9</f>
        <v>1349</v>
      </c>
      <c r="TF42" s="148">
        <f>1243+60</f>
        <v>1303</v>
      </c>
      <c r="TH42" s="148">
        <v>1700</v>
      </c>
      <c r="TI42" s="148">
        <v>1800</v>
      </c>
      <c r="TJ42" s="148">
        <v>1600</v>
      </c>
      <c r="TK42" s="148">
        <v>1670</v>
      </c>
      <c r="TL42" s="148">
        <f>1805+15</f>
        <v>1820</v>
      </c>
      <c r="TM42" s="148">
        <v>1800</v>
      </c>
      <c r="TO42" s="148">
        <v>1700</v>
      </c>
      <c r="TP42" s="148">
        <v>1500</v>
      </c>
      <c r="TQ42" s="117">
        <v>1150</v>
      </c>
      <c r="TR42" s="147"/>
      <c r="TS42" s="148">
        <f>892+350</f>
        <v>1242</v>
      </c>
      <c r="TT42" s="148">
        <v>1600</v>
      </c>
      <c r="TU42" s="148">
        <f>1+1131+520</f>
        <v>1652</v>
      </c>
      <c r="TW42" s="148">
        <v>1830</v>
      </c>
      <c r="TX42" s="148">
        <f>5+1720</f>
        <v>1725</v>
      </c>
      <c r="TY42" s="148">
        <f>207+1253</f>
        <v>1460</v>
      </c>
      <c r="TZ42" s="148">
        <v>1700</v>
      </c>
      <c r="UA42" s="148">
        <f>143+1477</f>
        <v>1620</v>
      </c>
      <c r="UB42" s="117">
        <f>1642+70</f>
        <v>1712</v>
      </c>
      <c r="UC42" s="148">
        <v>1180</v>
      </c>
      <c r="UD42" s="314">
        <v>1530</v>
      </c>
      <c r="UE42" s="314">
        <v>1760</v>
      </c>
      <c r="UF42" s="314">
        <v>1500</v>
      </c>
      <c r="UG42" s="148">
        <v>1300</v>
      </c>
      <c r="UH42" s="148">
        <v>70</v>
      </c>
      <c r="UI42" s="314"/>
      <c r="UJ42" s="314"/>
      <c r="UK42" s="314">
        <v>1710</v>
      </c>
      <c r="UL42" s="314">
        <v>1760</v>
      </c>
      <c r="UM42" s="365">
        <f>935+320</f>
        <v>1255</v>
      </c>
      <c r="UN42" s="314">
        <f>547+100</f>
        <v>647</v>
      </c>
      <c r="UO42" s="314">
        <v>900</v>
      </c>
      <c r="UP42" s="314">
        <v>1320</v>
      </c>
      <c r="UR42" s="148">
        <v>1650</v>
      </c>
      <c r="US42" s="148">
        <v>1800</v>
      </c>
      <c r="UT42" s="148">
        <v>1900</v>
      </c>
      <c r="UU42" s="148">
        <v>2000</v>
      </c>
      <c r="UV42" s="148">
        <v>1960</v>
      </c>
      <c r="UW42" s="117">
        <v>1361</v>
      </c>
      <c r="UX42" s="147"/>
      <c r="UY42" s="314"/>
      <c r="UZ42" s="314">
        <f>3+820</f>
        <v>823</v>
      </c>
      <c r="VA42" s="148">
        <v>1250</v>
      </c>
      <c r="VB42" s="148">
        <f>1310+18</f>
        <v>1328</v>
      </c>
      <c r="VC42" s="148">
        <f>346+1030</f>
        <v>1376</v>
      </c>
      <c r="VD42" s="148">
        <v>1620</v>
      </c>
      <c r="VE42" s="148">
        <f>441+910</f>
        <v>1351</v>
      </c>
      <c r="VG42" s="148">
        <v>1520</v>
      </c>
      <c r="VH42" s="148">
        <v>1520</v>
      </c>
      <c r="VI42" s="148">
        <v>1600</v>
      </c>
      <c r="VJ42" s="148">
        <f>1435+50</f>
        <v>1485</v>
      </c>
      <c r="VK42" s="148">
        <f>3+1240</f>
        <v>1243</v>
      </c>
      <c r="VL42" s="148">
        <v>820</v>
      </c>
      <c r="VN42" s="148">
        <f>1477+50</f>
        <v>1527</v>
      </c>
      <c r="VO42" s="148">
        <v>1550</v>
      </c>
      <c r="VP42" s="148">
        <v>1500</v>
      </c>
      <c r="VQ42" s="148">
        <v>1420</v>
      </c>
      <c r="VR42" s="148">
        <v>1600</v>
      </c>
      <c r="VS42" s="148">
        <v>1600</v>
      </c>
      <c r="VU42" s="148">
        <f>238+1250</f>
        <v>1488</v>
      </c>
      <c r="VV42" s="148">
        <v>1550</v>
      </c>
      <c r="VW42" s="148">
        <v>1500</v>
      </c>
      <c r="VX42" s="148">
        <v>1502</v>
      </c>
      <c r="VY42" s="117">
        <v>1131</v>
      </c>
      <c r="VZ42" s="148">
        <f>4+510</f>
        <v>514</v>
      </c>
      <c r="WB42" s="148">
        <v>1320</v>
      </c>
      <c r="WC42" s="148">
        <v>757</v>
      </c>
      <c r="WD42" s="147"/>
      <c r="WE42" s="148">
        <v>570</v>
      </c>
      <c r="WF42" s="148">
        <f>857+350</f>
        <v>1207</v>
      </c>
      <c r="WG42" s="148">
        <v>1500</v>
      </c>
      <c r="WH42" s="148">
        <f>1197+50</f>
        <v>1247</v>
      </c>
      <c r="WJ42" s="148">
        <v>1240</v>
      </c>
      <c r="WK42" s="148">
        <v>1470</v>
      </c>
      <c r="WL42" s="148">
        <f>339+870</f>
        <v>1209</v>
      </c>
      <c r="WM42" s="117">
        <v>1492</v>
      </c>
      <c r="WN42" s="148">
        <v>1200</v>
      </c>
      <c r="WO42" s="148">
        <v>1580</v>
      </c>
      <c r="WP42" s="148">
        <v>1170</v>
      </c>
      <c r="WQ42" s="148">
        <v>1600</v>
      </c>
      <c r="WR42" s="148">
        <f>636+80+740</f>
        <v>1456</v>
      </c>
      <c r="WS42" s="148">
        <v>1650</v>
      </c>
      <c r="WT42" s="148">
        <v>1760</v>
      </c>
      <c r="WU42" s="148">
        <f>1600+33</f>
        <v>1633</v>
      </c>
      <c r="WV42" s="148">
        <v>1300</v>
      </c>
      <c r="WZ42" s="148">
        <v>1630</v>
      </c>
      <c r="XA42" s="148">
        <v>1760</v>
      </c>
      <c r="XB42" s="148">
        <f>1722+38</f>
        <v>1760</v>
      </c>
      <c r="XC42" s="148">
        <v>1760</v>
      </c>
      <c r="XE42" s="148">
        <f>20+502+1080</f>
        <v>1602</v>
      </c>
      <c r="XF42" s="148">
        <f>1550+15</f>
        <v>1565</v>
      </c>
      <c r="XG42" s="147"/>
      <c r="XH42" s="148">
        <f>1347+60</f>
        <v>1407</v>
      </c>
      <c r="XI42" s="148">
        <f>726+620</f>
        <v>1346</v>
      </c>
      <c r="XJ42" s="574">
        <v>1760</v>
      </c>
      <c r="XK42" s="148">
        <f>151+1530</f>
        <v>1681</v>
      </c>
      <c r="XM42" s="148">
        <f>1+1770</f>
        <v>1771</v>
      </c>
      <c r="XN42" s="148">
        <f>1341+290</f>
        <v>1631</v>
      </c>
      <c r="XO42" s="148">
        <v>1240</v>
      </c>
      <c r="XP42" s="148">
        <f>1467+110</f>
        <v>1577</v>
      </c>
      <c r="XQ42" s="148">
        <v>1760</v>
      </c>
      <c r="XR42" s="148">
        <f>1241+520</f>
        <v>1761</v>
      </c>
      <c r="XS42" s="576"/>
      <c r="XT42" s="148">
        <v>1850</v>
      </c>
      <c r="XU42" s="148">
        <f>767+247+290</f>
        <v>1304</v>
      </c>
      <c r="XV42" s="148">
        <v>1180</v>
      </c>
      <c r="XW42" s="148">
        <v>1350</v>
      </c>
      <c r="XX42" s="574">
        <f>307+1230</f>
        <v>1537</v>
      </c>
      <c r="XY42" s="148">
        <v>1870</v>
      </c>
      <c r="XZ42" s="148">
        <v>1700</v>
      </c>
      <c r="YA42" s="148">
        <v>1960</v>
      </c>
      <c r="YB42" s="148">
        <v>1930</v>
      </c>
      <c r="YC42" s="148">
        <v>1925</v>
      </c>
      <c r="YD42" s="148">
        <v>1700</v>
      </c>
      <c r="YE42" s="148">
        <v>1930</v>
      </c>
      <c r="YF42" s="148">
        <v>1940</v>
      </c>
      <c r="YG42" s="178"/>
      <c r="YH42" s="148">
        <v>1880</v>
      </c>
      <c r="YI42" s="574">
        <f>1146+760</f>
        <v>1906</v>
      </c>
      <c r="YJ42" s="148">
        <v>1310</v>
      </c>
      <c r="YL42" s="148">
        <v>1550</v>
      </c>
      <c r="YM42" s="147"/>
      <c r="YN42" s="148">
        <v>1810</v>
      </c>
      <c r="YP42" s="148">
        <v>1460</v>
      </c>
      <c r="YQ42" s="148">
        <v>2060</v>
      </c>
      <c r="YR42" s="148">
        <v>2000</v>
      </c>
      <c r="YS42" s="148">
        <v>1900</v>
      </c>
      <c r="YT42" s="148">
        <v>1900</v>
      </c>
      <c r="YU42" s="574">
        <f>186+1100</f>
        <v>1286</v>
      </c>
      <c r="YW42" s="574">
        <f>551+850</f>
        <v>1401</v>
      </c>
      <c r="YX42" s="148">
        <v>2050</v>
      </c>
      <c r="YY42" s="148">
        <f>109+1761</f>
        <v>1870</v>
      </c>
      <c r="YZ42" s="148">
        <f>1412+150</f>
        <v>1562</v>
      </c>
      <c r="ZB42" s="148">
        <f>6+1380</f>
        <v>1386</v>
      </c>
      <c r="ZD42" s="148">
        <v>1500</v>
      </c>
      <c r="ZE42" s="574">
        <f>1127+100</f>
        <v>1227</v>
      </c>
      <c r="ZF42" s="148">
        <v>1550</v>
      </c>
      <c r="ZG42" s="148">
        <v>1550</v>
      </c>
      <c r="ZH42" s="148">
        <v>1550</v>
      </c>
      <c r="ZI42" s="148">
        <v>1580</v>
      </c>
      <c r="ZK42" s="148">
        <v>1580</v>
      </c>
      <c r="ZL42" s="148">
        <v>1580</v>
      </c>
      <c r="ZM42" s="148">
        <v>1580</v>
      </c>
      <c r="ZN42" s="148">
        <v>1480</v>
      </c>
      <c r="ZO42" s="148">
        <v>1480</v>
      </c>
      <c r="ZP42" s="148">
        <v>1500</v>
      </c>
      <c r="ZT42" s="148">
        <f>462+1050</f>
        <v>1512</v>
      </c>
      <c r="ZU42" s="148">
        <f>1570+18</f>
        <v>1588</v>
      </c>
      <c r="ZV42" s="148">
        <v>1680</v>
      </c>
      <c r="ZW42" s="148">
        <v>1670</v>
      </c>
      <c r="ZX42" s="148">
        <v>1600</v>
      </c>
      <c r="ZZ42" s="148">
        <f>759+460</f>
        <v>1219</v>
      </c>
      <c r="AAA42" s="148">
        <v>1020</v>
      </c>
      <c r="AAB42" s="148">
        <v>1420</v>
      </c>
      <c r="AAC42" s="148">
        <f>34+1240</f>
        <v>1274</v>
      </c>
      <c r="AAD42" s="148">
        <v>1440</v>
      </c>
      <c r="AAE42" s="774" t="s">
        <v>2081</v>
      </c>
      <c r="AAF42" s="775"/>
      <c r="AAG42" s="775"/>
      <c r="AAH42" s="775"/>
      <c r="AAI42" s="776"/>
      <c r="AAJ42" s="148">
        <v>1070</v>
      </c>
      <c r="AAK42" s="148">
        <v>1220</v>
      </c>
      <c r="AAL42" s="148">
        <v>1400</v>
      </c>
      <c r="AAM42" s="148">
        <v>1300</v>
      </c>
      <c r="AAN42" s="148">
        <v>1900</v>
      </c>
      <c r="AAO42" s="148">
        <v>1930</v>
      </c>
      <c r="AAP42" s="574">
        <f>1165+500</f>
        <v>1665</v>
      </c>
      <c r="AAQ42" s="148">
        <f>1700+2</f>
        <v>1702</v>
      </c>
      <c r="AAR42" s="574">
        <f>693+890</f>
        <v>1583</v>
      </c>
      <c r="AAS42" s="148">
        <v>1700</v>
      </c>
      <c r="AAU42" s="148">
        <v>1850</v>
      </c>
      <c r="AAV42" s="148">
        <v>1557</v>
      </c>
      <c r="AAW42" s="148">
        <f>849+140</f>
        <v>989</v>
      </c>
      <c r="AAX42" s="147"/>
      <c r="AAY42" s="148">
        <v>1870</v>
      </c>
      <c r="AAZ42" s="148">
        <v>1980</v>
      </c>
      <c r="ABA42" s="574">
        <f>737+970</f>
        <v>1707</v>
      </c>
      <c r="ABC42" s="148">
        <v>1850</v>
      </c>
      <c r="ABD42" s="148">
        <v>1920</v>
      </c>
      <c r="ABE42" s="148">
        <v>1770</v>
      </c>
      <c r="ABF42" s="148">
        <f>1255+400</f>
        <v>1655</v>
      </c>
      <c r="ABG42" s="148">
        <f>2+1800</f>
        <v>1802</v>
      </c>
      <c r="ABH42" s="148">
        <f>374+1530</f>
        <v>1904</v>
      </c>
      <c r="ABJ42" s="148">
        <v>1860</v>
      </c>
      <c r="ABK42" s="148">
        <f>1560+190</f>
        <v>1750</v>
      </c>
      <c r="ABL42" s="148">
        <f>407+1250</f>
        <v>1657</v>
      </c>
      <c r="ABM42" s="148">
        <v>1980</v>
      </c>
      <c r="ABN42" s="148">
        <v>1980</v>
      </c>
      <c r="ABO42" s="148">
        <v>1930</v>
      </c>
      <c r="ABP42" s="148">
        <v>1400</v>
      </c>
      <c r="ABQ42" s="124">
        <f>1690+110</f>
        <v>1800</v>
      </c>
      <c r="ABR42" s="148">
        <f>11+1700</f>
        <v>1711</v>
      </c>
      <c r="ABS42" s="148">
        <v>1980</v>
      </c>
      <c r="ABT42" s="148">
        <f>1597+25+120</f>
        <v>1742</v>
      </c>
      <c r="ABU42" s="574">
        <f>1840+11</f>
        <v>1851</v>
      </c>
      <c r="ABV42" s="148">
        <f>800+1000</f>
        <v>1800</v>
      </c>
      <c r="ABX42" s="148">
        <v>1850</v>
      </c>
      <c r="ABY42" s="148">
        <v>1980</v>
      </c>
      <c r="ABZ42" s="148">
        <v>1980</v>
      </c>
      <c r="ACA42" s="148">
        <f>1370+189</f>
        <v>1559</v>
      </c>
      <c r="ACB42" s="148">
        <v>1460</v>
      </c>
      <c r="ACC42" s="147"/>
      <c r="ACD42" s="148">
        <v>1800</v>
      </c>
      <c r="ACE42" s="574">
        <f>641+320</f>
        <v>961</v>
      </c>
      <c r="ACF42" s="148">
        <v>1800</v>
      </c>
      <c r="ACG42" s="148">
        <v>2620</v>
      </c>
      <c r="ACH42" s="148">
        <v>2850</v>
      </c>
      <c r="ACI42" s="148">
        <v>3120</v>
      </c>
      <c r="ACJ42" s="148">
        <v>3100</v>
      </c>
      <c r="ACK42" s="148">
        <v>3000</v>
      </c>
      <c r="ACM42" s="148">
        <f>2257+440</f>
        <v>2697</v>
      </c>
      <c r="ACN42" s="148">
        <f>1219+16+380</f>
        <v>1615</v>
      </c>
      <c r="ACO42" s="148">
        <v>1400</v>
      </c>
      <c r="ACP42" s="148">
        <v>1880</v>
      </c>
      <c r="ACQ42" s="148">
        <v>1820</v>
      </c>
      <c r="ACR42" s="148">
        <v>2190</v>
      </c>
      <c r="ACS42" s="148">
        <v>2000</v>
      </c>
      <c r="ACT42" s="148">
        <v>2230</v>
      </c>
      <c r="ACU42" s="148">
        <v>2330</v>
      </c>
      <c r="ACV42" s="148">
        <v>1110</v>
      </c>
      <c r="ACW42" s="782" t="s">
        <v>1645</v>
      </c>
      <c r="ACX42" s="783"/>
      <c r="ACY42" s="783"/>
      <c r="ACZ42" s="783"/>
      <c r="ADA42" s="783"/>
      <c r="ADB42" s="783"/>
      <c r="ADC42" s="783"/>
      <c r="ADD42" s="783"/>
      <c r="ADE42" s="783"/>
      <c r="ADF42" s="783"/>
      <c r="ADG42" s="784"/>
      <c r="ADH42" s="116"/>
      <c r="ADI42" s="72"/>
      <c r="ADJ42" s="314">
        <v>1000</v>
      </c>
      <c r="ADK42" s="314">
        <v>2350</v>
      </c>
      <c r="ADL42" s="124">
        <f>1229+50</f>
        <v>1279</v>
      </c>
      <c r="ADM42" s="148">
        <v>1450</v>
      </c>
      <c r="ADN42" s="148">
        <v>1760</v>
      </c>
      <c r="ADP42" s="148">
        <v>1760</v>
      </c>
      <c r="ADQ42" s="148">
        <v>1870</v>
      </c>
      <c r="ADR42" s="148">
        <v>2050</v>
      </c>
      <c r="ADS42" s="148">
        <v>1980</v>
      </c>
      <c r="ADT42" s="148">
        <v>1900</v>
      </c>
      <c r="ADU42" s="148">
        <v>1900</v>
      </c>
      <c r="ADV42" s="148">
        <v>1352</v>
      </c>
      <c r="ADY42" s="148">
        <v>1830</v>
      </c>
      <c r="ADZ42" s="148">
        <v>2000</v>
      </c>
      <c r="AEA42" s="148">
        <v>2000</v>
      </c>
      <c r="AEB42" s="574">
        <v>2000</v>
      </c>
      <c r="AED42" s="148">
        <v>2020</v>
      </c>
      <c r="AEE42" s="148">
        <f>1820+30</f>
        <v>1850</v>
      </c>
      <c r="AEF42" s="148">
        <f>150+167+1544</f>
        <v>1861</v>
      </c>
      <c r="AEG42" s="148">
        <v>2001</v>
      </c>
      <c r="AEH42" s="148">
        <v>1900</v>
      </c>
      <c r="AEI42" s="148">
        <v>1980</v>
      </c>
      <c r="AEK42" s="148">
        <f>1040+400</f>
        <v>1440</v>
      </c>
      <c r="AEL42" s="148">
        <v>1696</v>
      </c>
      <c r="AEM42" s="148">
        <f>451+1055</f>
        <v>1506</v>
      </c>
      <c r="AEN42" s="148">
        <f>970+7+210</f>
        <v>1187</v>
      </c>
      <c r="AEO42" s="147"/>
      <c r="AEP42" s="148">
        <v>1179</v>
      </c>
      <c r="AEQ42" s="148">
        <v>1800</v>
      </c>
      <c r="AES42" s="148">
        <v>1820</v>
      </c>
      <c r="AET42" s="148">
        <v>1820</v>
      </c>
      <c r="AEU42" s="148">
        <v>1820</v>
      </c>
      <c r="AEV42" s="148">
        <f>760+760</f>
        <v>1520</v>
      </c>
      <c r="AEW42" s="148">
        <f>394+1340</f>
        <v>1734</v>
      </c>
      <c r="AEX42" s="148">
        <f>757+320</f>
        <v>1077</v>
      </c>
      <c r="AEZ42" s="148">
        <v>1100</v>
      </c>
      <c r="AFA42" s="148">
        <v>1600</v>
      </c>
      <c r="AFB42" s="148">
        <v>1520</v>
      </c>
      <c r="AFC42" s="148">
        <v>1480</v>
      </c>
      <c r="AFD42" s="148">
        <v>1660</v>
      </c>
      <c r="AFE42" s="148">
        <v>1720</v>
      </c>
      <c r="AFG42" s="148">
        <v>1640</v>
      </c>
      <c r="AFH42" s="148">
        <v>1580</v>
      </c>
      <c r="AFI42" s="574">
        <f>663+152+1185</f>
        <v>2000</v>
      </c>
      <c r="AFJ42" s="148">
        <v>2150</v>
      </c>
      <c r="AFK42" s="574">
        <v>2033</v>
      </c>
      <c r="AFL42" s="148">
        <f>160+790</f>
        <v>950</v>
      </c>
      <c r="AFN42" s="148">
        <v>1670</v>
      </c>
      <c r="AFO42" s="148">
        <v>1880</v>
      </c>
      <c r="AFP42" s="148">
        <v>1920</v>
      </c>
      <c r="AFQ42" s="148">
        <v>1980</v>
      </c>
      <c r="AFR42" s="148">
        <v>1980</v>
      </c>
      <c r="AFS42" s="148">
        <v>1530</v>
      </c>
      <c r="AFT42" s="147"/>
      <c r="AFU42" s="629"/>
      <c r="AFV42" s="148">
        <v>1760</v>
      </c>
      <c r="AFW42" s="148">
        <v>1840</v>
      </c>
      <c r="AFX42" s="148">
        <v>1850</v>
      </c>
      <c r="AFY42" s="148">
        <v>1820</v>
      </c>
      <c r="AFZ42" s="148">
        <v>1850</v>
      </c>
      <c r="AGA42" s="148">
        <v>1850</v>
      </c>
      <c r="AGC42" s="148">
        <v>1760</v>
      </c>
      <c r="AGD42" s="148">
        <v>1650</v>
      </c>
      <c r="AGE42" s="148">
        <v>1670</v>
      </c>
      <c r="AGF42" s="148">
        <v>1670</v>
      </c>
      <c r="AGG42" s="148">
        <v>1670</v>
      </c>
      <c r="AGH42" s="148">
        <v>1890</v>
      </c>
      <c r="AGJ42" s="148">
        <v>1950</v>
      </c>
      <c r="AGK42" s="148">
        <v>1900</v>
      </c>
      <c r="AGL42" s="148">
        <f>1662+340</f>
        <v>2002</v>
      </c>
      <c r="AGM42" s="148">
        <v>1700</v>
      </c>
      <c r="AGN42" s="574">
        <f>391+19+314</f>
        <v>724</v>
      </c>
      <c r="AGO42" s="148">
        <v>1101</v>
      </c>
      <c r="AGQ42" s="148">
        <v>1531</v>
      </c>
      <c r="AGR42" s="148">
        <v>1850</v>
      </c>
      <c r="AGS42" s="148">
        <f>1468+202</f>
        <v>1670</v>
      </c>
      <c r="AGT42" s="148">
        <v>1740</v>
      </c>
      <c r="AGU42" s="148">
        <v>1920</v>
      </c>
      <c r="AGV42" s="148">
        <f>1301+180</f>
        <v>1481</v>
      </c>
      <c r="AGX42" s="148">
        <v>1570</v>
      </c>
      <c r="AGY42" s="148">
        <v>1300</v>
      </c>
      <c r="AGZ42" s="147"/>
      <c r="AHA42" s="148">
        <v>2000</v>
      </c>
      <c r="AHB42" s="148">
        <v>1950</v>
      </c>
      <c r="AHC42" s="148">
        <f>1365+160</f>
        <v>1525</v>
      </c>
      <c r="AHD42" s="148">
        <v>1230</v>
      </c>
      <c r="AHF42" s="148">
        <v>1520</v>
      </c>
      <c r="AHG42" s="148">
        <v>1720</v>
      </c>
      <c r="AHH42" s="148">
        <v>1620</v>
      </c>
      <c r="AHI42" s="148">
        <f>689+860</f>
        <v>1549</v>
      </c>
      <c r="AHJ42" s="148">
        <v>1900</v>
      </c>
      <c r="AHK42" s="148">
        <v>1720</v>
      </c>
      <c r="AHM42" s="148">
        <v>1850</v>
      </c>
      <c r="AHN42" s="148">
        <f>358+740</f>
        <v>1098</v>
      </c>
      <c r="AHO42" s="148">
        <v>1870</v>
      </c>
      <c r="AHP42" s="148">
        <v>1730</v>
      </c>
      <c r="AHQ42" s="148">
        <f>640+980</f>
        <v>1620</v>
      </c>
      <c r="AHR42" s="148">
        <v>1600</v>
      </c>
      <c r="AHT42" s="148">
        <v>1600</v>
      </c>
      <c r="AHU42" s="148">
        <v>900</v>
      </c>
      <c r="AIB42" s="148">
        <v>600</v>
      </c>
      <c r="AIC42" s="148">
        <v>1200</v>
      </c>
      <c r="AID42" s="148">
        <v>1750</v>
      </c>
      <c r="AIE42" s="72"/>
      <c r="AIF42" s="116">
        <v>1925</v>
      </c>
      <c r="AIG42" s="116">
        <v>1925</v>
      </c>
      <c r="AIH42" s="116"/>
      <c r="AII42" s="116">
        <v>1925</v>
      </c>
      <c r="AIJ42" s="116">
        <v>1925</v>
      </c>
      <c r="AIK42" s="116">
        <v>1925</v>
      </c>
      <c r="AIL42" s="116">
        <v>1925</v>
      </c>
      <c r="AIM42" s="116">
        <v>1925</v>
      </c>
      <c r="AIN42" s="116">
        <v>1925</v>
      </c>
      <c r="AIO42" s="116"/>
      <c r="AIP42" s="116">
        <v>1925</v>
      </c>
      <c r="AIQ42" s="116">
        <v>1925</v>
      </c>
      <c r="AIR42" s="116">
        <v>1925</v>
      </c>
      <c r="AIS42" s="116">
        <v>1925</v>
      </c>
      <c r="AIT42" s="116">
        <v>1925</v>
      </c>
      <c r="AIU42" s="116"/>
      <c r="AIV42" s="116"/>
      <c r="AIW42" s="116">
        <v>1925</v>
      </c>
      <c r="AIX42" s="116">
        <v>1925</v>
      </c>
      <c r="AIY42" s="116">
        <v>1925</v>
      </c>
      <c r="AIZ42" s="116">
        <v>1925</v>
      </c>
      <c r="AJA42" s="116">
        <v>1925</v>
      </c>
      <c r="AJB42" s="116">
        <v>1925</v>
      </c>
      <c r="AJC42" s="116"/>
      <c r="AJD42" s="116">
        <v>1925</v>
      </c>
      <c r="AJE42" s="116">
        <v>1925</v>
      </c>
      <c r="AJF42" s="116">
        <v>1925</v>
      </c>
      <c r="AJG42" s="116">
        <v>1925</v>
      </c>
      <c r="AJH42" s="116">
        <v>1925</v>
      </c>
      <c r="AJI42" s="314">
        <v>1925</v>
      </c>
      <c r="AJJ42" s="314"/>
      <c r="AJK42" s="147"/>
      <c r="AJL42" s="314">
        <v>1925</v>
      </c>
      <c r="AJM42" s="124">
        <v>1925</v>
      </c>
      <c r="AJN42" s="148">
        <v>1000</v>
      </c>
      <c r="AJO42" s="148">
        <v>1500</v>
      </c>
      <c r="AJP42" s="148">
        <v>1925</v>
      </c>
      <c r="AJQ42" s="148">
        <v>1925</v>
      </c>
      <c r="AJS42" s="148">
        <v>1925</v>
      </c>
      <c r="AJT42" s="574">
        <f>925+575</f>
        <v>1500</v>
      </c>
      <c r="AJU42" s="148">
        <v>1925</v>
      </c>
      <c r="AJV42" s="148">
        <v>1925</v>
      </c>
      <c r="AJW42" s="148">
        <v>1925</v>
      </c>
      <c r="AJX42" s="574">
        <v>1925</v>
      </c>
      <c r="AJZ42" s="148">
        <v>1500</v>
      </c>
      <c r="AKA42" s="148">
        <v>1925</v>
      </c>
      <c r="AKB42" s="148">
        <v>1925</v>
      </c>
      <c r="AKC42" s="148">
        <v>1925</v>
      </c>
      <c r="AKD42" s="148">
        <v>1925</v>
      </c>
      <c r="AKE42" s="574">
        <v>1760</v>
      </c>
      <c r="AKG42" s="314">
        <v>1925</v>
      </c>
      <c r="AKH42" s="314">
        <v>1925</v>
      </c>
      <c r="AKI42" s="314">
        <v>1925</v>
      </c>
      <c r="AKJ42" s="314">
        <v>1925</v>
      </c>
      <c r="AKK42" s="314">
        <v>1925</v>
      </c>
      <c r="AKL42" s="314">
        <v>1925</v>
      </c>
      <c r="AKN42" s="314">
        <v>1925</v>
      </c>
      <c r="AKO42" s="314">
        <v>1925</v>
      </c>
      <c r="AKP42" s="314">
        <v>1925</v>
      </c>
      <c r="AKQ42" s="147"/>
      <c r="AKR42" s="124">
        <v>1850</v>
      </c>
      <c r="AKS42" s="136">
        <v>1000</v>
      </c>
      <c r="AKT42" s="136">
        <v>1925</v>
      </c>
      <c r="AKV42" s="314">
        <v>1925</v>
      </c>
      <c r="AKW42" s="314">
        <v>1925</v>
      </c>
      <c r="AKX42" s="314">
        <v>1925</v>
      </c>
      <c r="AKY42" s="314">
        <v>1925</v>
      </c>
      <c r="AKZ42" s="314">
        <v>1925</v>
      </c>
      <c r="ALA42" s="314">
        <v>1925</v>
      </c>
      <c r="ALC42" s="314">
        <v>1925</v>
      </c>
      <c r="ALD42" s="314">
        <v>1925</v>
      </c>
      <c r="ALE42" s="314">
        <v>1925</v>
      </c>
      <c r="ALF42" s="314">
        <v>1925</v>
      </c>
      <c r="ALG42" s="124">
        <v>1525</v>
      </c>
      <c r="ALH42" s="139">
        <v>700</v>
      </c>
      <c r="ALJ42" s="139">
        <v>1400</v>
      </c>
      <c r="ALK42" s="124">
        <v>2020</v>
      </c>
      <c r="ALM42" s="148">
        <v>500</v>
      </c>
      <c r="ALN42" s="148">
        <v>1000</v>
      </c>
      <c r="ALO42" s="148">
        <v>1500</v>
      </c>
      <c r="ALQ42" s="148">
        <v>1850</v>
      </c>
      <c r="ALR42" s="148">
        <v>1000</v>
      </c>
      <c r="ALS42" s="148">
        <v>1870</v>
      </c>
      <c r="ALT42" s="147"/>
      <c r="ALU42" s="148">
        <v>1870</v>
      </c>
      <c r="ALV42" s="148">
        <v>1870</v>
      </c>
      <c r="ALW42" s="148">
        <v>1870</v>
      </c>
      <c r="ALY42" s="148">
        <v>1870</v>
      </c>
      <c r="ALZ42" s="148">
        <v>1870</v>
      </c>
      <c r="AMA42" s="148">
        <f>430+1130</f>
        <v>1560</v>
      </c>
      <c r="AMB42" s="148">
        <v>1000</v>
      </c>
      <c r="AMC42" s="148">
        <v>1060</v>
      </c>
      <c r="AMD42" s="148">
        <v>1550</v>
      </c>
      <c r="AMF42" s="148">
        <v>700</v>
      </c>
      <c r="AMG42" s="148">
        <v>1400</v>
      </c>
      <c r="AMH42" s="148">
        <v>2100</v>
      </c>
      <c r="AMI42" s="574">
        <v>2000</v>
      </c>
      <c r="AMJ42" s="148">
        <v>600</v>
      </c>
      <c r="AMK42" s="148">
        <v>1200</v>
      </c>
      <c r="AMM42" s="148">
        <v>1800</v>
      </c>
      <c r="AMN42" s="148">
        <v>2400</v>
      </c>
      <c r="AMO42" s="148">
        <v>2640</v>
      </c>
      <c r="AMP42" s="148">
        <v>2640</v>
      </c>
      <c r="AMQ42" s="148">
        <v>2640</v>
      </c>
      <c r="AMR42" s="148">
        <v>2640</v>
      </c>
      <c r="AMU42" s="148">
        <v>2640</v>
      </c>
      <c r="AMV42" s="148">
        <v>2640</v>
      </c>
      <c r="AMW42" s="148">
        <v>2640</v>
      </c>
      <c r="AMX42" s="148">
        <v>2640</v>
      </c>
      <c r="AMY42" s="574">
        <v>1000</v>
      </c>
      <c r="AMZ42" s="147"/>
      <c r="ANB42" s="148">
        <v>1710</v>
      </c>
      <c r="ANC42" s="148">
        <v>1710</v>
      </c>
      <c r="AND42" s="148">
        <v>1710</v>
      </c>
      <c r="ANE42" s="148">
        <v>1710</v>
      </c>
      <c r="ANF42" s="148">
        <v>1710</v>
      </c>
      <c r="ANG42" s="148">
        <v>1710</v>
      </c>
      <c r="ANH42" s="574">
        <v>1520</v>
      </c>
      <c r="ANI42" s="148">
        <v>1710</v>
      </c>
      <c r="ANJ42" s="148">
        <v>1710</v>
      </c>
      <c r="ANK42" s="148">
        <v>1710</v>
      </c>
      <c r="ANL42" s="148">
        <v>1710</v>
      </c>
      <c r="ANM42" s="148">
        <v>1710</v>
      </c>
      <c r="ANP42" s="148">
        <v>1710</v>
      </c>
      <c r="ANQ42" s="148">
        <v>1710</v>
      </c>
      <c r="ANR42" s="148">
        <v>1710</v>
      </c>
      <c r="ANS42" s="148">
        <v>1710</v>
      </c>
      <c r="ANT42" s="148">
        <v>1710</v>
      </c>
      <c r="ANU42" s="148">
        <v>1710</v>
      </c>
      <c r="ANV42" s="148">
        <v>1520</v>
      </c>
      <c r="ANW42" s="148">
        <v>1710</v>
      </c>
      <c r="ANX42" s="148">
        <v>1710</v>
      </c>
      <c r="ANY42" s="148">
        <v>1710</v>
      </c>
      <c r="ANZ42" s="148">
        <v>1710</v>
      </c>
      <c r="AOA42" s="148">
        <v>1710</v>
      </c>
      <c r="AOB42" s="148">
        <v>1710</v>
      </c>
      <c r="AOD42" s="148">
        <v>1710</v>
      </c>
      <c r="AOE42" s="147"/>
      <c r="AOF42" s="600"/>
      <c r="AOG42" s="600"/>
      <c r="AOH42" s="600"/>
      <c r="AOI42" s="600"/>
      <c r="AOJ42" s="600"/>
      <c r="AOK42" s="600"/>
      <c r="AOL42" s="600"/>
      <c r="AOM42" s="600"/>
      <c r="AON42" s="600"/>
      <c r="AOO42" s="148">
        <v>2100</v>
      </c>
      <c r="AOP42" s="148">
        <v>2100</v>
      </c>
      <c r="AOQ42" s="148">
        <v>2100</v>
      </c>
      <c r="AOS42" s="148">
        <v>2100</v>
      </c>
      <c r="AOT42" s="148">
        <v>2100</v>
      </c>
      <c r="AOU42" s="148">
        <v>2100</v>
      </c>
      <c r="AOV42" s="148">
        <v>2100</v>
      </c>
      <c r="AOW42" s="148">
        <v>2100</v>
      </c>
      <c r="AOX42" s="148">
        <v>2100</v>
      </c>
      <c r="AOZ42" s="574">
        <v>1200</v>
      </c>
      <c r="APK42" s="147"/>
      <c r="APL42" s="314"/>
      <c r="APM42" s="314"/>
      <c r="APN42" s="314"/>
      <c r="APO42" s="314"/>
      <c r="APP42" s="314"/>
      <c r="APQ42" s="314"/>
      <c r="APR42" s="314"/>
      <c r="APS42" s="314"/>
      <c r="APT42" s="314"/>
      <c r="APU42" s="314"/>
      <c r="APV42" s="314"/>
      <c r="APW42" s="314"/>
      <c r="APX42" s="314"/>
      <c r="APY42" s="314"/>
      <c r="APZ42" s="314"/>
      <c r="AQA42" s="314"/>
      <c r="AQB42" s="314"/>
      <c r="AQC42" s="314"/>
      <c r="AQD42" s="314"/>
      <c r="AQE42" s="314"/>
      <c r="AQF42" s="314"/>
      <c r="AQG42" s="314"/>
      <c r="AQH42" s="314"/>
      <c r="AQI42" s="314"/>
      <c r="AQJ42" s="314"/>
      <c r="AQK42" s="314"/>
      <c r="AQL42" s="314"/>
      <c r="AQM42" s="314"/>
      <c r="AQN42" s="314"/>
      <c r="AQO42" s="314"/>
      <c r="AQP42" s="147"/>
      <c r="AQS42" s="148">
        <v>1705</v>
      </c>
      <c r="AQT42" s="148">
        <v>1705</v>
      </c>
      <c r="AQU42" s="148">
        <v>1705</v>
      </c>
      <c r="AQV42" s="148">
        <v>1705</v>
      </c>
      <c r="AQW42" s="148">
        <v>1705</v>
      </c>
      <c r="AQX42" s="600"/>
      <c r="AQY42" s="600"/>
      <c r="AQZ42" s="600"/>
      <c r="ARA42" s="600"/>
      <c r="ARB42" s="600"/>
      <c r="ARC42" s="600"/>
      <c r="ARD42" s="600"/>
      <c r="ARE42" s="600"/>
      <c r="ARF42" s="600"/>
      <c r="ARG42" s="148">
        <v>1705</v>
      </c>
      <c r="ARH42" s="574">
        <v>1705</v>
      </c>
      <c r="ARI42" s="148">
        <v>400</v>
      </c>
      <c r="ARJ42" s="148">
        <v>800</v>
      </c>
      <c r="ARK42" s="148">
        <v>1200</v>
      </c>
      <c r="ARM42" s="148">
        <v>1600</v>
      </c>
      <c r="ARN42" s="148">
        <v>2000</v>
      </c>
      <c r="ARO42" s="148">
        <v>2000</v>
      </c>
      <c r="ARP42" s="148">
        <v>2000</v>
      </c>
      <c r="ARQ42" s="148">
        <v>2000</v>
      </c>
      <c r="ARR42" s="148">
        <v>2000</v>
      </c>
      <c r="ART42" s="148">
        <v>2000</v>
      </c>
      <c r="ARU42" s="148">
        <v>2000</v>
      </c>
      <c r="ARV42" s="147"/>
      <c r="ARW42" s="148">
        <v>1800</v>
      </c>
      <c r="ARX42" s="148">
        <v>1800</v>
      </c>
      <c r="ARY42" s="148">
        <v>1800</v>
      </c>
      <c r="ARZ42" s="148">
        <v>1800</v>
      </c>
      <c r="ASB42" s="574">
        <v>1800</v>
      </c>
      <c r="ASC42" s="148">
        <v>1800</v>
      </c>
      <c r="ASD42" s="148">
        <v>1800</v>
      </c>
      <c r="ASE42" s="148">
        <v>1800</v>
      </c>
      <c r="ASF42" s="148">
        <v>1800</v>
      </c>
      <c r="ASG42" s="148">
        <v>1800</v>
      </c>
      <c r="ASI42" s="148">
        <v>1800</v>
      </c>
      <c r="ASJ42" s="148">
        <v>1800</v>
      </c>
      <c r="ASL42" s="574">
        <v>1800</v>
      </c>
      <c r="ASM42" s="148">
        <v>1550</v>
      </c>
      <c r="ASN42" s="148">
        <v>1550</v>
      </c>
      <c r="ASP42" s="148">
        <v>1550</v>
      </c>
      <c r="ASQ42" s="574">
        <v>1550</v>
      </c>
      <c r="ATB42" s="147"/>
      <c r="ATC42" s="148">
        <v>1550</v>
      </c>
      <c r="ATE42" s="148">
        <v>1550</v>
      </c>
      <c r="ATF42" s="148">
        <v>1550</v>
      </c>
      <c r="ATG42" s="148">
        <v>1550</v>
      </c>
      <c r="ATH42" s="148">
        <v>1550</v>
      </c>
      <c r="ATI42" s="148">
        <v>1550</v>
      </c>
      <c r="ATJ42" s="148">
        <v>1550</v>
      </c>
      <c r="ATL42" s="148">
        <v>1550</v>
      </c>
      <c r="ATM42" s="148">
        <v>1550</v>
      </c>
      <c r="ATN42" s="148">
        <v>1550</v>
      </c>
      <c r="ATO42" s="148">
        <v>1550</v>
      </c>
      <c r="ATP42" s="148">
        <v>1550</v>
      </c>
      <c r="ATQ42" s="148">
        <v>1550</v>
      </c>
      <c r="ATS42" s="148">
        <v>1550</v>
      </c>
      <c r="ATT42" s="148">
        <v>1550</v>
      </c>
      <c r="ATU42" s="148">
        <v>1550</v>
      </c>
      <c r="ATV42" s="148">
        <v>1550</v>
      </c>
      <c r="ATW42" s="148">
        <v>1550</v>
      </c>
      <c r="ATX42" s="148">
        <v>1550</v>
      </c>
      <c r="ATZ42" s="148">
        <v>1550</v>
      </c>
      <c r="AUA42" s="574">
        <v>1550</v>
      </c>
      <c r="AUB42" s="148">
        <v>1550</v>
      </c>
      <c r="AUC42" s="148">
        <v>1550</v>
      </c>
      <c r="AUD42" s="148">
        <v>1550</v>
      </c>
      <c r="AUE42" s="148">
        <v>1550</v>
      </c>
      <c r="AUG42" s="147"/>
      <c r="AUH42" s="148">
        <v>1550</v>
      </c>
      <c r="AUI42" s="148">
        <v>1550</v>
      </c>
      <c r="AUJ42" s="148">
        <v>1550</v>
      </c>
      <c r="AUK42" s="148">
        <v>1550</v>
      </c>
      <c r="AUM42" s="148">
        <v>1550</v>
      </c>
      <c r="AUO42" s="148">
        <v>1550</v>
      </c>
      <c r="AUP42" s="148">
        <v>1550</v>
      </c>
      <c r="AUQ42" s="148">
        <v>1550</v>
      </c>
      <c r="AUR42" s="148">
        <v>1550</v>
      </c>
      <c r="AUS42" s="148">
        <v>1550</v>
      </c>
      <c r="AUT42" s="148">
        <v>1550</v>
      </c>
      <c r="AUV42" s="148">
        <v>1550</v>
      </c>
      <c r="AUW42" s="148">
        <v>1550</v>
      </c>
      <c r="AUX42" s="148">
        <v>1550</v>
      </c>
      <c r="AUY42" s="148">
        <v>1550</v>
      </c>
      <c r="AUZ42" s="148">
        <v>1550</v>
      </c>
      <c r="AVA42" s="148">
        <v>1550</v>
      </c>
      <c r="AVC42" s="148">
        <v>1550</v>
      </c>
      <c r="AVD42" s="148">
        <v>1550</v>
      </c>
      <c r="AVE42" s="148">
        <v>1550</v>
      </c>
      <c r="AVF42" s="148">
        <v>1550</v>
      </c>
      <c r="AVG42" s="574">
        <v>1550</v>
      </c>
      <c r="AVH42" s="148">
        <v>1550</v>
      </c>
      <c r="AVJ42" s="148">
        <v>1550</v>
      </c>
      <c r="AVK42" s="148">
        <v>1550</v>
      </c>
      <c r="AVL42" s="148">
        <v>1550</v>
      </c>
      <c r="AVM42" s="147"/>
      <c r="AVN42" s="148">
        <v>1550</v>
      </c>
      <c r="AVO42" s="148">
        <v>1550</v>
      </c>
      <c r="AVP42" s="148">
        <v>1550</v>
      </c>
      <c r="AVR42" s="148">
        <v>1550</v>
      </c>
      <c r="AVS42" s="148">
        <v>1550</v>
      </c>
      <c r="AVT42" s="148">
        <v>1550</v>
      </c>
      <c r="AVU42" s="148">
        <v>1550</v>
      </c>
      <c r="AVV42" s="148">
        <v>1550</v>
      </c>
      <c r="AVW42" s="148">
        <v>1550</v>
      </c>
      <c r="AVY42" s="148">
        <v>1550</v>
      </c>
      <c r="AVZ42" s="148">
        <v>1550</v>
      </c>
      <c r="AWA42" s="148">
        <v>1550</v>
      </c>
      <c r="AWB42" s="148">
        <v>1550</v>
      </c>
      <c r="AWC42" s="148">
        <v>1550</v>
      </c>
      <c r="AWD42" s="148">
        <v>1550</v>
      </c>
      <c r="AWF42" s="148">
        <v>1550</v>
      </c>
      <c r="AWG42" s="148">
        <v>1550</v>
      </c>
      <c r="AWH42" s="148">
        <v>1550</v>
      </c>
      <c r="AWI42" s="148">
        <v>1550</v>
      </c>
      <c r="AWJ42" s="148">
        <v>1550</v>
      </c>
      <c r="AWK42" s="148">
        <v>1550</v>
      </c>
      <c r="AWM42" s="574">
        <v>1550</v>
      </c>
      <c r="AWN42" s="148">
        <v>1550</v>
      </c>
      <c r="AWO42" s="148">
        <v>1550</v>
      </c>
      <c r="AWP42" s="148">
        <v>1550</v>
      </c>
      <c r="AWQ42" s="148">
        <v>1550</v>
      </c>
      <c r="AWR42" s="147"/>
      <c r="AWS42" s="148">
        <v>1550</v>
      </c>
      <c r="AWU42" s="148">
        <v>1550</v>
      </c>
      <c r="AWV42" s="148">
        <v>1550</v>
      </c>
      <c r="AWW42" s="148">
        <v>1550</v>
      </c>
      <c r="AWX42" s="148">
        <v>1550</v>
      </c>
      <c r="AWY42" s="148">
        <v>1550</v>
      </c>
      <c r="AWZ42" s="148">
        <v>1550</v>
      </c>
      <c r="AXB42" s="148">
        <v>1550</v>
      </c>
      <c r="AXC42" s="148">
        <v>1550</v>
      </c>
      <c r="AXD42" s="148">
        <v>1550</v>
      </c>
      <c r="AXE42" s="148">
        <v>1550</v>
      </c>
      <c r="AXF42" s="148">
        <v>1550</v>
      </c>
      <c r="AXG42" s="148">
        <v>1550</v>
      </c>
      <c r="AXI42" s="148">
        <v>1550</v>
      </c>
      <c r="AXJ42" s="148">
        <v>1550</v>
      </c>
      <c r="AXK42" s="148">
        <v>1550</v>
      </c>
      <c r="AXL42" s="148">
        <v>1550</v>
      </c>
      <c r="AXM42" s="148">
        <v>1550</v>
      </c>
      <c r="AXN42" s="148">
        <v>1550</v>
      </c>
      <c r="AXP42" s="148">
        <v>1550</v>
      </c>
      <c r="AXQ42" s="148">
        <v>1550</v>
      </c>
      <c r="AXR42" s="574">
        <v>1550</v>
      </c>
      <c r="AXS42" s="148">
        <v>1550</v>
      </c>
      <c r="AXT42" s="148">
        <v>1550</v>
      </c>
      <c r="AXU42" s="148">
        <v>1550</v>
      </c>
      <c r="AXW42" s="148">
        <v>1550</v>
      </c>
      <c r="AXX42" s="147"/>
    </row>
    <row r="43" spans="1:1324" s="164" customFormat="1" ht="22.8" customHeight="1" x14ac:dyDescent="0.25">
      <c r="A43" s="711"/>
      <c r="B43" s="8" t="s">
        <v>11</v>
      </c>
      <c r="C43" s="153" t="s">
        <v>598</v>
      </c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5" t="s">
        <v>599</v>
      </c>
      <c r="V43" s="156"/>
      <c r="W43" s="154"/>
      <c r="X43" s="154"/>
      <c r="Y43" s="154"/>
      <c r="Z43" s="154"/>
      <c r="AA43" s="154"/>
      <c r="AB43" s="154"/>
      <c r="AC43" s="154"/>
      <c r="AD43" s="154"/>
      <c r="AE43" s="154"/>
      <c r="AF43" s="155" t="s">
        <v>70</v>
      </c>
      <c r="AG43" s="156"/>
      <c r="AH43" s="28" t="s">
        <v>11</v>
      </c>
      <c r="AI43" s="157" t="s">
        <v>77</v>
      </c>
      <c r="AJ43" s="158"/>
      <c r="AK43" s="158"/>
      <c r="AL43" s="158"/>
      <c r="AM43" s="158"/>
      <c r="AN43" s="158"/>
      <c r="AO43" s="158"/>
      <c r="AP43" s="158"/>
      <c r="AQ43" s="728" t="s">
        <v>53</v>
      </c>
      <c r="AR43" s="729"/>
      <c r="AS43" s="729"/>
      <c r="AT43" s="729"/>
      <c r="AU43" s="729"/>
      <c r="AV43" s="729"/>
      <c r="AW43" s="729"/>
      <c r="AX43" s="729"/>
      <c r="AY43" s="729"/>
      <c r="AZ43" s="730"/>
      <c r="BA43" s="157" t="s">
        <v>77</v>
      </c>
      <c r="BB43" s="158"/>
      <c r="BC43" s="158"/>
      <c r="BD43" s="158"/>
      <c r="BE43" s="158"/>
      <c r="BF43" s="158"/>
      <c r="BG43" s="158"/>
      <c r="BH43" s="158"/>
      <c r="BI43" s="158"/>
      <c r="BJ43" s="158"/>
      <c r="BK43" s="158"/>
      <c r="BL43" s="158"/>
      <c r="BM43" s="158"/>
      <c r="BN43" s="8" t="s">
        <v>11</v>
      </c>
      <c r="BO43" s="155" t="s">
        <v>598</v>
      </c>
      <c r="BP43" s="156"/>
      <c r="BQ43" s="126" t="s">
        <v>105</v>
      </c>
      <c r="BR43" s="159"/>
      <c r="BS43" s="160"/>
      <c r="BT43" s="160"/>
      <c r="BU43" s="161" t="s">
        <v>119</v>
      </c>
      <c r="BV43" s="155" t="s">
        <v>124</v>
      </c>
      <c r="BW43" s="155" t="s">
        <v>143</v>
      </c>
      <c r="BX43" s="156"/>
      <c r="BY43" s="158"/>
      <c r="BZ43" s="158"/>
      <c r="CA43" s="158"/>
      <c r="CB43" s="126" t="s">
        <v>600</v>
      </c>
      <c r="CC43" s="156"/>
      <c r="CD43" s="122"/>
      <c r="CE43" s="122"/>
      <c r="CF43" s="122"/>
      <c r="CG43" s="122"/>
      <c r="CH43" s="122"/>
      <c r="CI43" s="122"/>
      <c r="CJ43" s="122"/>
      <c r="CK43" s="122"/>
      <c r="CL43" s="122"/>
      <c r="CM43" s="122"/>
      <c r="CN43" s="122"/>
      <c r="CO43" s="122"/>
      <c r="CP43" s="122"/>
      <c r="CQ43" s="122"/>
      <c r="CR43" s="122"/>
      <c r="CS43" s="8" t="s">
        <v>11</v>
      </c>
      <c r="CT43" s="123" t="s">
        <v>600</v>
      </c>
      <c r="CU43" s="122"/>
      <c r="CV43" s="122"/>
      <c r="CW43" s="122"/>
      <c r="CX43" s="122"/>
      <c r="CY43" s="122"/>
      <c r="CZ43" s="122"/>
      <c r="DA43" s="122"/>
      <c r="DB43" s="155" t="s">
        <v>227</v>
      </c>
      <c r="DC43" s="159"/>
      <c r="DD43" s="162"/>
      <c r="DE43" s="162"/>
      <c r="DF43" s="162"/>
      <c r="DG43" s="162"/>
      <c r="DH43" s="155" t="s">
        <v>224</v>
      </c>
      <c r="DI43" s="159"/>
      <c r="DJ43" s="162"/>
      <c r="DK43" s="162"/>
      <c r="DL43" s="162"/>
      <c r="DM43" s="155" t="s">
        <v>253</v>
      </c>
      <c r="DN43" s="159"/>
      <c r="DO43" s="162"/>
      <c r="DP43" s="162"/>
      <c r="DQ43" s="162"/>
      <c r="DR43" s="155" t="s">
        <v>250</v>
      </c>
      <c r="DS43" s="159"/>
      <c r="DT43" s="155" t="s">
        <v>223</v>
      </c>
      <c r="DU43" s="159"/>
      <c r="DV43" s="162"/>
      <c r="DW43" s="162"/>
      <c r="DX43" s="162"/>
      <c r="DY43" s="8" t="s">
        <v>11</v>
      </c>
      <c r="DZ43" s="155" t="s">
        <v>178</v>
      </c>
      <c r="EA43" s="155" t="s">
        <v>198</v>
      </c>
      <c r="EB43" s="155" t="s">
        <v>223</v>
      </c>
      <c r="EC43" s="155" t="s">
        <v>216</v>
      </c>
      <c r="ED43" s="155" t="s">
        <v>198</v>
      </c>
      <c r="EE43" s="156"/>
      <c r="EF43" s="162"/>
      <c r="EG43" s="162"/>
      <c r="EH43" s="155" t="s">
        <v>241</v>
      </c>
      <c r="EI43" s="156"/>
      <c r="EJ43" s="162"/>
      <c r="EK43" s="162"/>
      <c r="EL43" s="162"/>
      <c r="EM43" s="155" t="s">
        <v>178</v>
      </c>
      <c r="EN43" s="156"/>
      <c r="EO43" s="162"/>
      <c r="EP43" s="155" t="s">
        <v>151</v>
      </c>
      <c r="EQ43" s="159"/>
      <c r="ER43" s="155" t="s">
        <v>226</v>
      </c>
      <c r="ES43" s="159"/>
      <c r="ET43" s="162"/>
      <c r="EU43" s="155" t="s">
        <v>225</v>
      </c>
      <c r="EV43" s="159"/>
      <c r="EW43" s="162"/>
      <c r="EX43" s="162"/>
      <c r="EY43" s="155" t="s">
        <v>215</v>
      </c>
      <c r="EZ43" s="159"/>
      <c r="FA43" s="162"/>
      <c r="FB43" s="162"/>
      <c r="FC43" s="126" t="s">
        <v>600</v>
      </c>
      <c r="FD43" s="8" t="s">
        <v>11</v>
      </c>
      <c r="FE43" s="155" t="s">
        <v>228</v>
      </c>
      <c r="FF43" s="162"/>
      <c r="FG43" s="162"/>
      <c r="FH43" s="155" t="s">
        <v>259</v>
      </c>
      <c r="FI43" s="159"/>
      <c r="FJ43" s="162"/>
      <c r="FK43" s="155" t="s">
        <v>229</v>
      </c>
      <c r="FL43" s="159"/>
      <c r="FM43" s="155" t="s">
        <v>310</v>
      </c>
      <c r="FN43" s="156"/>
      <c r="FO43" s="154"/>
      <c r="FP43" s="154"/>
      <c r="FQ43" s="154"/>
      <c r="FR43" s="154"/>
      <c r="FS43" s="154"/>
      <c r="FT43" s="155" t="s">
        <v>313</v>
      </c>
      <c r="FU43" s="156"/>
      <c r="FV43" s="154"/>
      <c r="FW43" s="155" t="s">
        <v>402</v>
      </c>
      <c r="FX43" s="156"/>
      <c r="FY43" s="153"/>
      <c r="FZ43" s="153"/>
      <c r="GA43" s="153"/>
      <c r="GB43" s="155" t="s">
        <v>403</v>
      </c>
      <c r="GC43" s="156"/>
      <c r="GD43" s="153"/>
      <c r="GE43" s="153"/>
      <c r="GF43" s="155" t="s">
        <v>408</v>
      </c>
      <c r="GG43" s="128"/>
      <c r="GH43" s="155" t="s">
        <v>401</v>
      </c>
      <c r="GI43" s="155"/>
      <c r="GJ43" s="8" t="s">
        <v>11</v>
      </c>
      <c r="GK43" s="153" t="s">
        <v>401</v>
      </c>
      <c r="GL43" s="153"/>
      <c r="GM43" s="153"/>
      <c r="GN43" s="153"/>
      <c r="GO43" s="153"/>
      <c r="GP43" s="153"/>
      <c r="GQ43" s="155" t="s">
        <v>405</v>
      </c>
      <c r="GR43" s="156"/>
      <c r="GS43" s="153"/>
      <c r="GT43" s="155" t="s">
        <v>404</v>
      </c>
      <c r="GU43" s="156"/>
      <c r="GV43" s="155" t="s">
        <v>406</v>
      </c>
      <c r="GW43" s="156"/>
      <c r="GX43" s="155" t="s">
        <v>407</v>
      </c>
      <c r="GY43" s="128"/>
      <c r="GZ43" s="153"/>
      <c r="HA43" s="153"/>
      <c r="HB43" s="153"/>
      <c r="HC43" s="153"/>
      <c r="HD43" s="153"/>
      <c r="HE43" s="153"/>
      <c r="HF43" s="155" t="s">
        <v>409</v>
      </c>
      <c r="HG43" s="128"/>
      <c r="HH43" s="153"/>
      <c r="HI43" s="153"/>
      <c r="HJ43" s="153"/>
      <c r="HK43" s="155" t="s">
        <v>410</v>
      </c>
      <c r="HL43" s="128"/>
      <c r="HM43" s="153"/>
      <c r="HN43" s="155" t="s">
        <v>481</v>
      </c>
      <c r="HO43" s="156"/>
      <c r="HP43" s="8" t="s">
        <v>11</v>
      </c>
      <c r="HQ43" s="155" t="s">
        <v>481</v>
      </c>
      <c r="HR43" s="157"/>
      <c r="HS43" s="158"/>
      <c r="HT43" s="158"/>
      <c r="HU43" s="155" t="s">
        <v>422</v>
      </c>
      <c r="HV43" s="155"/>
      <c r="HW43" s="158"/>
      <c r="HX43" s="158"/>
      <c r="HY43" s="158"/>
      <c r="HZ43" s="155" t="s">
        <v>478</v>
      </c>
      <c r="IA43" s="127"/>
      <c r="IB43" s="154"/>
      <c r="IC43" s="154"/>
      <c r="ID43" s="155" t="s">
        <v>480</v>
      </c>
      <c r="IE43" s="127"/>
      <c r="IF43" s="155" t="s">
        <v>475</v>
      </c>
      <c r="IG43" s="126"/>
      <c r="IH43" s="155" t="s">
        <v>488</v>
      </c>
      <c r="II43" s="155" t="s">
        <v>509</v>
      </c>
      <c r="IJ43" s="155" t="s">
        <v>490</v>
      </c>
      <c r="IK43" s="155" t="s">
        <v>493</v>
      </c>
      <c r="IL43" s="155" t="s">
        <v>496</v>
      </c>
      <c r="IM43" s="155" t="s">
        <v>522</v>
      </c>
      <c r="IN43" s="127"/>
      <c r="IO43" s="155" t="s">
        <v>479</v>
      </c>
      <c r="IP43" s="127"/>
      <c r="IQ43" s="163"/>
      <c r="IR43" s="163"/>
      <c r="IS43" s="163"/>
      <c r="IT43" s="83" t="s">
        <v>11</v>
      </c>
      <c r="IU43" s="153" t="s">
        <v>477</v>
      </c>
      <c r="IV43" s="163"/>
      <c r="IW43" s="163"/>
      <c r="IX43" s="163"/>
      <c r="IY43" s="163"/>
      <c r="IZ43" s="163"/>
      <c r="JA43" s="155" t="s">
        <v>495</v>
      </c>
      <c r="JB43" s="127"/>
      <c r="JC43" s="155" t="s">
        <v>523</v>
      </c>
      <c r="JD43" s="127"/>
      <c r="JE43" s="163"/>
      <c r="JF43" s="163"/>
      <c r="JG43" s="163"/>
      <c r="JH43" s="163"/>
      <c r="JI43" s="163"/>
      <c r="JJ43" s="163"/>
      <c r="JK43" s="163"/>
      <c r="JL43" s="163"/>
      <c r="JM43" s="163"/>
      <c r="JN43" s="163"/>
      <c r="JO43" s="155" t="s">
        <v>471</v>
      </c>
      <c r="JP43" s="155"/>
      <c r="JQ43" s="153"/>
      <c r="JR43" s="153"/>
      <c r="JS43" s="153"/>
      <c r="JT43" s="153"/>
      <c r="JU43" s="153"/>
      <c r="JV43" s="278"/>
      <c r="JW43" s="173"/>
      <c r="JX43" s="173"/>
      <c r="JY43" s="173"/>
      <c r="JZ43" s="279" t="s">
        <v>11</v>
      </c>
      <c r="KA43" s="173"/>
      <c r="KB43" s="173"/>
      <c r="KC43" s="173"/>
      <c r="KD43" s="173"/>
      <c r="KE43" s="173"/>
      <c r="KF43" s="173"/>
      <c r="KG43" s="173"/>
      <c r="KH43" s="173"/>
      <c r="KI43" s="173"/>
      <c r="KJ43" s="173"/>
      <c r="KK43" s="173"/>
      <c r="KL43" s="173"/>
      <c r="KM43" s="173"/>
      <c r="KN43" s="173"/>
      <c r="KO43" s="173"/>
      <c r="KP43" s="173"/>
      <c r="KQ43" s="173"/>
      <c r="KR43" s="173"/>
      <c r="KS43" s="173"/>
      <c r="KT43" s="173"/>
      <c r="KU43" s="173"/>
      <c r="KV43" s="173"/>
      <c r="KW43" s="173"/>
      <c r="KX43" s="173"/>
      <c r="KY43" s="280"/>
      <c r="KZ43" s="136"/>
      <c r="LA43" s="136"/>
      <c r="LB43" s="136"/>
      <c r="LC43" s="136"/>
      <c r="LD43" s="136"/>
      <c r="LE43" s="83" t="s">
        <v>11</v>
      </c>
      <c r="LF43" s="155" t="s">
        <v>738</v>
      </c>
      <c r="LG43" s="155"/>
      <c r="LH43" s="153"/>
      <c r="LI43" s="153"/>
      <c r="LJ43" s="153"/>
      <c r="LK43" s="153"/>
      <c r="LL43" s="153"/>
      <c r="LM43" s="153"/>
      <c r="LN43" s="153"/>
      <c r="LO43" s="153"/>
      <c r="LP43" s="153"/>
      <c r="LQ43" s="153"/>
      <c r="LR43" s="153"/>
      <c r="LS43" s="153"/>
      <c r="LT43" s="153"/>
      <c r="LU43" s="153"/>
      <c r="LV43" s="153"/>
      <c r="LW43" s="153"/>
      <c r="LX43" s="153"/>
      <c r="LY43" s="153"/>
      <c r="LZ43" s="153"/>
      <c r="MA43" s="153"/>
      <c r="MB43" s="716"/>
      <c r="MC43" s="717"/>
      <c r="MD43" s="717"/>
      <c r="ME43" s="718"/>
      <c r="MF43" s="155" t="s">
        <v>698</v>
      </c>
      <c r="MG43" s="155"/>
      <c r="MH43" s="153"/>
      <c r="MI43" s="153"/>
      <c r="MJ43" s="153"/>
      <c r="MK43" s="287" t="s">
        <v>11</v>
      </c>
      <c r="ML43" s="155" t="s">
        <v>699</v>
      </c>
      <c r="MM43" s="155"/>
      <c r="MN43" s="153"/>
      <c r="MO43" s="153"/>
      <c r="MP43" s="153"/>
      <c r="MQ43" s="153"/>
      <c r="MR43" s="155" t="s">
        <v>852</v>
      </c>
      <c r="MS43" s="155"/>
      <c r="MT43" s="153"/>
      <c r="MU43" s="153"/>
      <c r="MV43" s="153"/>
      <c r="MW43" s="153"/>
      <c r="MX43" s="155" t="s">
        <v>853</v>
      </c>
      <c r="MY43" s="155"/>
      <c r="MZ43" s="317" t="s">
        <v>854</v>
      </c>
      <c r="NA43" s="317"/>
      <c r="NB43" s="316"/>
      <c r="NC43" s="316"/>
      <c r="ND43" s="316"/>
      <c r="NE43" s="316"/>
      <c r="NF43" s="316"/>
      <c r="NG43" s="316"/>
      <c r="NH43" s="126" t="s">
        <v>858</v>
      </c>
      <c r="NI43" s="126"/>
      <c r="NJ43" s="311"/>
      <c r="NK43" s="311"/>
      <c r="NL43" s="311"/>
      <c r="NM43" s="311"/>
      <c r="NN43" s="311"/>
      <c r="NO43" s="311"/>
      <c r="NP43" s="8" t="s">
        <v>11</v>
      </c>
      <c r="NQ43" s="312" t="s">
        <v>858</v>
      </c>
      <c r="NR43" s="311"/>
      <c r="NS43" s="311"/>
      <c r="NT43" s="313" t="s">
        <v>898</v>
      </c>
      <c r="NU43" s="313"/>
      <c r="NV43" s="122"/>
      <c r="NW43" s="311"/>
      <c r="NX43" s="311"/>
      <c r="NY43" s="311"/>
      <c r="NZ43" s="311"/>
      <c r="OA43" s="155" t="s">
        <v>820</v>
      </c>
      <c r="OB43" s="155"/>
      <c r="OC43" s="316"/>
      <c r="OD43" s="155" t="s">
        <v>821</v>
      </c>
      <c r="OE43" s="155"/>
      <c r="OF43" s="316"/>
      <c r="OG43" s="155" t="s">
        <v>970</v>
      </c>
      <c r="OH43" s="155"/>
      <c r="OI43" s="316"/>
      <c r="OJ43" s="316"/>
      <c r="OK43" s="316"/>
      <c r="OL43" s="155" t="s">
        <v>999</v>
      </c>
      <c r="OM43" s="155"/>
      <c r="ON43" s="316"/>
      <c r="OO43" s="316"/>
      <c r="OP43" s="316"/>
      <c r="OQ43" s="316"/>
      <c r="OR43" s="317" t="s">
        <v>945</v>
      </c>
      <c r="OS43" s="317"/>
      <c r="OT43" s="724"/>
      <c r="OU43" s="725"/>
      <c r="OV43" s="303" t="s">
        <v>11</v>
      </c>
      <c r="OW43" s="740"/>
      <c r="OX43" s="741"/>
      <c r="OY43" s="741"/>
      <c r="OZ43" s="741"/>
      <c r="PA43" s="741"/>
      <c r="PB43" s="741"/>
      <c r="PC43" s="742"/>
      <c r="PD43" s="361" t="s">
        <v>970</v>
      </c>
      <c r="PE43" s="361" t="s">
        <v>973</v>
      </c>
      <c r="PF43" s="361"/>
      <c r="PG43" s="319"/>
      <c r="PH43" s="319"/>
      <c r="PI43" s="319"/>
      <c r="PJ43" s="319"/>
      <c r="PK43" s="319"/>
      <c r="PL43" s="319"/>
      <c r="PM43" s="361" t="s">
        <v>974</v>
      </c>
      <c r="PN43" s="361"/>
      <c r="PO43" s="319"/>
      <c r="PP43" s="319"/>
      <c r="PQ43" s="319"/>
      <c r="PR43" s="319"/>
      <c r="PS43" s="319"/>
      <c r="PT43" s="376" t="s">
        <v>1085</v>
      </c>
      <c r="PU43" s="376"/>
      <c r="PV43" s="319"/>
      <c r="PW43" s="319"/>
      <c r="PX43" s="317" t="s">
        <v>1021</v>
      </c>
      <c r="PY43" s="317"/>
      <c r="PZ43" s="317" t="s">
        <v>1023</v>
      </c>
      <c r="QA43" s="361"/>
      <c r="QB43" s="8" t="s">
        <v>11</v>
      </c>
      <c r="QC43" s="317" t="s">
        <v>1022</v>
      </c>
      <c r="QD43" s="361"/>
      <c r="QE43" s="316"/>
      <c r="QF43" s="317" t="s">
        <v>914</v>
      </c>
      <c r="QG43" s="317"/>
      <c r="QH43" s="317" t="s">
        <v>915</v>
      </c>
      <c r="QI43" s="317"/>
      <c r="QJ43" s="316"/>
      <c r="QK43" s="361" t="s">
        <v>961</v>
      </c>
      <c r="QL43" s="361"/>
      <c r="QM43" s="316"/>
      <c r="QN43" s="316"/>
      <c r="QO43" s="361" t="s">
        <v>1010</v>
      </c>
      <c r="QP43" s="361"/>
      <c r="QQ43" s="361" t="s">
        <v>913</v>
      </c>
      <c r="QR43" s="361"/>
      <c r="QS43" s="316"/>
      <c r="QT43" s="316"/>
      <c r="QU43" s="361" t="s">
        <v>1381</v>
      </c>
      <c r="QV43" s="361"/>
      <c r="QW43" s="316"/>
      <c r="QX43" s="316"/>
      <c r="QY43" s="316"/>
      <c r="QZ43" s="316"/>
      <c r="RA43" s="316"/>
      <c r="RB43" s="316"/>
      <c r="RC43" s="316"/>
      <c r="RD43" s="316"/>
      <c r="RE43" s="316"/>
      <c r="RF43" s="316"/>
      <c r="RG43" s="8" t="s">
        <v>11</v>
      </c>
      <c r="RH43" s="316" t="s">
        <v>1381</v>
      </c>
      <c r="RI43" s="316"/>
      <c r="RJ43" s="316"/>
      <c r="RK43" s="361" t="s">
        <v>1282</v>
      </c>
      <c r="RL43" s="361"/>
      <c r="RM43" s="361" t="s">
        <v>1281</v>
      </c>
      <c r="RN43" s="361"/>
      <c r="RO43" s="316"/>
      <c r="RP43" s="316"/>
      <c r="RQ43" s="361" t="s">
        <v>1443</v>
      </c>
      <c r="RR43" s="361"/>
      <c r="RS43" s="316"/>
      <c r="RT43" s="316"/>
      <c r="RU43" s="316"/>
      <c r="RV43" s="316"/>
      <c r="RW43" s="361" t="s">
        <v>1410</v>
      </c>
      <c r="RX43" s="361"/>
      <c r="RY43" s="361" t="s">
        <v>1445</v>
      </c>
      <c r="RZ43" s="361"/>
      <c r="SA43" s="361" t="s">
        <v>1382</v>
      </c>
      <c r="SB43" s="361"/>
      <c r="SC43" s="316"/>
      <c r="SD43" s="316"/>
      <c r="SE43" s="361" t="s">
        <v>1283</v>
      </c>
      <c r="SF43" s="361"/>
      <c r="SG43" s="316"/>
      <c r="SH43" s="316"/>
      <c r="SI43" s="361" t="s">
        <v>1446</v>
      </c>
      <c r="SJ43" s="361"/>
      <c r="SK43" s="316"/>
      <c r="SL43" s="316"/>
      <c r="SM43" s="8" t="s">
        <v>11</v>
      </c>
      <c r="SN43" s="316" t="s">
        <v>1446</v>
      </c>
      <c r="SO43" s="361" t="s">
        <v>1121</v>
      </c>
      <c r="SP43" s="361"/>
      <c r="SQ43" s="316"/>
      <c r="SR43" s="361" t="s">
        <v>1447</v>
      </c>
      <c r="SS43" s="361"/>
      <c r="ST43" s="361" t="s">
        <v>1383</v>
      </c>
      <c r="SU43" s="361"/>
      <c r="SV43" s="316"/>
      <c r="SW43" s="316"/>
      <c r="SX43" s="316"/>
      <c r="SY43" s="316"/>
      <c r="SZ43" s="316"/>
      <c r="TA43" s="316"/>
      <c r="TB43" s="361" t="s">
        <v>1284</v>
      </c>
      <c r="TC43" s="361"/>
      <c r="TD43" s="316"/>
      <c r="TE43" s="361" t="s">
        <v>1383</v>
      </c>
      <c r="TF43" s="361"/>
      <c r="TG43" s="316"/>
      <c r="TH43" s="316"/>
      <c r="TI43" s="316"/>
      <c r="TJ43" s="316"/>
      <c r="TK43" s="316"/>
      <c r="TL43" s="361" t="s">
        <v>1285</v>
      </c>
      <c r="TM43" s="361"/>
      <c r="TN43" s="316"/>
      <c r="TO43" s="316"/>
      <c r="TP43" s="361" t="s">
        <v>1663</v>
      </c>
      <c r="TQ43" s="361"/>
      <c r="TR43" s="8" t="s">
        <v>11</v>
      </c>
      <c r="TS43" s="361" t="s">
        <v>1267</v>
      </c>
      <c r="TT43" s="361"/>
      <c r="TU43" s="316" t="s">
        <v>1267</v>
      </c>
      <c r="TV43" s="316" t="s">
        <v>1738</v>
      </c>
      <c r="TW43" s="361" t="s">
        <v>1661</v>
      </c>
      <c r="TX43" s="361"/>
      <c r="TY43" s="361" t="s">
        <v>1662</v>
      </c>
      <c r="TZ43" s="361"/>
      <c r="UA43" s="361" t="s">
        <v>1664</v>
      </c>
      <c r="UB43" s="361" t="s">
        <v>1665</v>
      </c>
      <c r="UC43" s="361"/>
      <c r="UD43" s="316"/>
      <c r="UE43" s="316"/>
      <c r="UF43" s="316"/>
      <c r="UG43" s="316"/>
      <c r="UH43" s="316"/>
      <c r="UI43" s="316"/>
      <c r="UJ43" s="316"/>
      <c r="UK43" s="316"/>
      <c r="UL43" s="361" t="s">
        <v>1264</v>
      </c>
      <c r="UM43" s="361"/>
      <c r="UN43" s="316"/>
      <c r="UO43" s="316"/>
      <c r="UP43" s="316"/>
      <c r="UQ43" s="316"/>
      <c r="UR43" s="316"/>
      <c r="US43" s="316"/>
      <c r="UT43" s="316"/>
      <c r="UU43" s="316"/>
      <c r="UV43" s="361" t="s">
        <v>1637</v>
      </c>
      <c r="UW43" s="361"/>
      <c r="UX43" s="8" t="s">
        <v>11</v>
      </c>
      <c r="UY43" s="316" t="s">
        <v>1637</v>
      </c>
      <c r="UZ43" s="316"/>
      <c r="VA43" s="361" t="s">
        <v>1427</v>
      </c>
      <c r="VB43" s="361"/>
      <c r="VC43" s="361" t="s">
        <v>1604</v>
      </c>
      <c r="VD43" s="361"/>
      <c r="VE43" s="316"/>
      <c r="VF43" s="316"/>
      <c r="VG43" s="316"/>
      <c r="VH43" s="316"/>
      <c r="VI43" s="361" t="s">
        <v>1428</v>
      </c>
      <c r="VJ43" s="361"/>
      <c r="VK43" s="316"/>
      <c r="VL43" s="316"/>
      <c r="VM43" s="361" t="s">
        <v>1604</v>
      </c>
      <c r="VN43" s="361"/>
      <c r="VO43" s="361" t="s">
        <v>1605</v>
      </c>
      <c r="VP43" s="361"/>
      <c r="VQ43" s="316"/>
      <c r="VR43" s="361" t="s">
        <v>1606</v>
      </c>
      <c r="VS43" s="361"/>
      <c r="VT43" s="316"/>
      <c r="VU43" s="316"/>
      <c r="VV43" s="316"/>
      <c r="VW43" s="316"/>
      <c r="VX43" s="361" t="s">
        <v>1587</v>
      </c>
      <c r="VY43" s="361"/>
      <c r="VZ43" s="316"/>
      <c r="WA43" s="316"/>
      <c r="WB43" s="361" t="s">
        <v>1951</v>
      </c>
      <c r="WC43" s="361"/>
      <c r="WD43" s="8" t="s">
        <v>11</v>
      </c>
      <c r="WE43" s="361" t="s">
        <v>1581</v>
      </c>
      <c r="WF43" s="361" t="s">
        <v>1950</v>
      </c>
      <c r="WG43" s="361"/>
      <c r="WH43" s="316"/>
      <c r="WI43" s="361" t="s">
        <v>1952</v>
      </c>
      <c r="WJ43" s="361"/>
      <c r="WK43" s="316"/>
      <c r="WL43" s="361" t="s">
        <v>2024</v>
      </c>
      <c r="WM43" s="361"/>
      <c r="WN43" s="316"/>
      <c r="WO43" s="316"/>
      <c r="WP43" s="316"/>
      <c r="WQ43" s="361" t="s">
        <v>2034</v>
      </c>
      <c r="WR43" s="361"/>
      <c r="WS43" s="316"/>
      <c r="WT43" s="316"/>
      <c r="WU43" s="316"/>
      <c r="WV43" s="316"/>
      <c r="WW43" s="316"/>
      <c r="WX43" s="316"/>
      <c r="WY43" s="316"/>
      <c r="WZ43" s="316"/>
      <c r="XA43" s="316"/>
      <c r="XB43" s="316"/>
      <c r="XC43" s="361" t="s">
        <v>1955</v>
      </c>
      <c r="XD43" s="361"/>
      <c r="XE43" s="361" t="s">
        <v>1957</v>
      </c>
      <c r="XF43" s="361"/>
      <c r="XG43" s="8" t="s">
        <v>11</v>
      </c>
      <c r="XH43" s="316" t="s">
        <v>1957</v>
      </c>
      <c r="XI43" s="361" t="s">
        <v>2033</v>
      </c>
      <c r="XJ43" s="361"/>
      <c r="XK43" s="316"/>
      <c r="XL43" s="361" t="s">
        <v>1956</v>
      </c>
      <c r="XM43" s="361"/>
      <c r="XN43" s="361" t="s">
        <v>2035</v>
      </c>
      <c r="XO43" s="361"/>
      <c r="XP43" s="361" t="s">
        <v>1899</v>
      </c>
      <c r="XQ43" s="361"/>
      <c r="XR43" s="316"/>
      <c r="XS43" s="316"/>
      <c r="XT43" s="361" t="s">
        <v>1761</v>
      </c>
      <c r="XU43" s="345"/>
      <c r="XV43" s="361" t="s">
        <v>1964</v>
      </c>
      <c r="XW43" s="361"/>
      <c r="XX43" s="316"/>
      <c r="XY43" s="316"/>
      <c r="XZ43" s="316"/>
      <c r="YA43" s="316"/>
      <c r="YB43" s="316"/>
      <c r="YC43" s="316"/>
      <c r="YD43" s="316"/>
      <c r="YE43" s="316"/>
      <c r="YF43" s="316"/>
      <c r="YG43" s="361" t="s">
        <v>2072</v>
      </c>
      <c r="YH43" s="361"/>
      <c r="YI43" s="316"/>
      <c r="YJ43" s="316"/>
      <c r="YK43" s="316"/>
      <c r="YL43" s="316"/>
      <c r="YM43" s="8" t="s">
        <v>11</v>
      </c>
      <c r="YN43" s="316" t="s">
        <v>2072</v>
      </c>
      <c r="YO43" s="316"/>
      <c r="YP43" s="316"/>
      <c r="YQ43" s="316"/>
      <c r="YR43" s="316"/>
      <c r="YS43" s="316"/>
      <c r="YT43" s="361" t="s">
        <v>1822</v>
      </c>
      <c r="YU43" s="361" t="s">
        <v>2041</v>
      </c>
      <c r="YV43" s="361"/>
      <c r="YW43" s="361" t="s">
        <v>1900</v>
      </c>
      <c r="YX43" s="361"/>
      <c r="YY43" s="361" t="s">
        <v>2011</v>
      </c>
      <c r="YZ43" s="361"/>
      <c r="ZA43" s="316"/>
      <c r="ZB43" s="316"/>
      <c r="ZC43" s="316"/>
      <c r="ZD43" s="361" t="s">
        <v>2084</v>
      </c>
      <c r="ZE43" s="361"/>
      <c r="ZF43" s="316"/>
      <c r="ZG43" s="316"/>
      <c r="ZH43" s="316"/>
      <c r="ZI43" s="316"/>
      <c r="ZJ43" s="316"/>
      <c r="ZK43" s="316"/>
      <c r="ZL43" s="316"/>
      <c r="ZM43" s="316"/>
      <c r="ZN43" s="316"/>
      <c r="ZO43" s="316"/>
      <c r="ZP43" s="361" t="s">
        <v>2012</v>
      </c>
      <c r="ZQ43" s="361"/>
      <c r="ZR43" s="8" t="s">
        <v>11</v>
      </c>
      <c r="ZS43" s="316" t="s">
        <v>2012</v>
      </c>
      <c r="ZT43" s="316"/>
      <c r="ZU43" s="316"/>
      <c r="ZV43" s="361" t="s">
        <v>2135</v>
      </c>
      <c r="ZW43" s="361"/>
      <c r="ZX43" s="361" t="s">
        <v>1903</v>
      </c>
      <c r="ZY43" s="361"/>
      <c r="ZZ43" s="361" t="s">
        <v>2029</v>
      </c>
      <c r="AAA43" s="361" t="s">
        <v>2004</v>
      </c>
      <c r="AAB43" s="361"/>
      <c r="AAC43" s="316"/>
      <c r="AAD43" s="316"/>
      <c r="AAE43" s="777"/>
      <c r="AAF43" s="705"/>
      <c r="AAG43" s="705"/>
      <c r="AAH43" s="705"/>
      <c r="AAI43" s="778"/>
      <c r="AAJ43" s="316" t="s">
        <v>2004</v>
      </c>
      <c r="AAK43" s="316"/>
      <c r="AAL43" s="316"/>
      <c r="AAM43" s="361" t="s">
        <v>2006</v>
      </c>
      <c r="AAN43" s="361"/>
      <c r="AAO43" s="361" t="s">
        <v>2042</v>
      </c>
      <c r="AAP43" s="361" t="s">
        <v>2134</v>
      </c>
      <c r="AAQ43" s="361"/>
      <c r="AAR43" s="316"/>
      <c r="AAS43" s="361" t="s">
        <v>2031</v>
      </c>
      <c r="AAT43" s="361"/>
      <c r="AAU43" s="316"/>
      <c r="AAV43" s="361" t="s">
        <v>2287</v>
      </c>
      <c r="AAW43" s="361"/>
      <c r="AAX43" s="8" t="s">
        <v>11</v>
      </c>
      <c r="AAY43" s="361" t="s">
        <v>2030</v>
      </c>
      <c r="AAZ43" s="361"/>
      <c r="ABA43" s="316"/>
      <c r="ABB43" s="316"/>
      <c r="ABC43" s="316"/>
      <c r="ABD43" s="361" t="s">
        <v>2284</v>
      </c>
      <c r="ABE43" s="361"/>
      <c r="ABF43" s="361" t="s">
        <v>2265</v>
      </c>
      <c r="ABG43" s="361"/>
      <c r="ABH43" s="316"/>
      <c r="ABI43" s="316"/>
      <c r="ABJ43" s="316"/>
      <c r="ABK43" s="316"/>
      <c r="ABL43" s="316"/>
      <c r="ABM43" s="316"/>
      <c r="ABN43" s="316"/>
      <c r="ABO43" s="361" t="s">
        <v>2095</v>
      </c>
      <c r="ABP43" s="361"/>
      <c r="ABQ43" s="316"/>
      <c r="ABR43" s="361" t="s">
        <v>2110</v>
      </c>
      <c r="ABS43" s="361"/>
      <c r="ABT43" s="361" t="s">
        <v>2296</v>
      </c>
      <c r="ABU43" s="361"/>
      <c r="ABV43" s="316"/>
      <c r="ABW43" s="316"/>
      <c r="ABX43" s="316"/>
      <c r="ABY43" s="316"/>
      <c r="ABZ43" s="361" t="s">
        <v>2297</v>
      </c>
      <c r="ACA43" s="361"/>
      <c r="ACB43" s="316"/>
      <c r="ACC43" s="7" t="s">
        <v>11</v>
      </c>
      <c r="ACD43" s="361" t="s">
        <v>2320</v>
      </c>
      <c r="ACE43" s="361"/>
      <c r="ACF43" s="319"/>
      <c r="ACG43" s="319"/>
      <c r="ACH43" s="319"/>
      <c r="ACI43" s="319"/>
      <c r="ACJ43" s="319"/>
      <c r="ACK43" s="319"/>
      <c r="ACL43" s="319"/>
      <c r="ACM43" s="345" t="s">
        <v>2234</v>
      </c>
      <c r="ACN43" s="345"/>
      <c r="ACO43" s="352"/>
      <c r="ACP43" s="352"/>
      <c r="ACQ43" s="352"/>
      <c r="ACR43" s="352"/>
      <c r="ACS43" s="352"/>
      <c r="ACT43" s="352"/>
      <c r="ACU43" s="352"/>
      <c r="ACV43" s="352"/>
      <c r="ACW43" s="785"/>
      <c r="ACX43" s="786"/>
      <c r="ACY43" s="786"/>
      <c r="ACZ43" s="786"/>
      <c r="ADA43" s="786"/>
      <c r="ADB43" s="786"/>
      <c r="ADC43" s="786"/>
      <c r="ADD43" s="786"/>
      <c r="ADE43" s="786"/>
      <c r="ADF43" s="786"/>
      <c r="ADG43" s="787"/>
      <c r="ADH43" s="314"/>
      <c r="ADI43" s="7" t="s">
        <v>11</v>
      </c>
      <c r="ADJ43" s="361" t="s">
        <v>2370</v>
      </c>
      <c r="ADK43" s="361"/>
      <c r="ADL43" s="316"/>
      <c r="ADM43" s="361" t="s">
        <v>2337</v>
      </c>
      <c r="ADN43" s="361"/>
      <c r="ADO43" s="316"/>
      <c r="ADP43" s="316"/>
      <c r="ADQ43" s="316"/>
      <c r="ADR43" s="361" t="s">
        <v>2392</v>
      </c>
      <c r="ADS43" s="361"/>
      <c r="ADT43" s="316"/>
      <c r="ADU43" s="316"/>
      <c r="ADV43" s="316"/>
      <c r="ADW43" s="316"/>
      <c r="ADX43" s="316"/>
      <c r="ADY43" s="316"/>
      <c r="ADZ43" s="361" t="s">
        <v>2161</v>
      </c>
      <c r="AEA43" s="361"/>
      <c r="AEB43" s="316"/>
      <c r="AEC43" s="316"/>
      <c r="AED43" s="316"/>
      <c r="AEE43" s="316"/>
      <c r="AEF43" s="316"/>
      <c r="AEG43" s="316"/>
      <c r="AEH43" s="361" t="s">
        <v>2339</v>
      </c>
      <c r="AEI43" s="361"/>
      <c r="AEJ43" s="361" t="s">
        <v>2162</v>
      </c>
      <c r="AEK43" s="361" t="s">
        <v>2160</v>
      </c>
      <c r="AEL43" s="361"/>
      <c r="AEM43" s="361" t="s">
        <v>2308</v>
      </c>
      <c r="AEN43" s="361"/>
      <c r="AEO43" s="7" t="s">
        <v>11</v>
      </c>
      <c r="AEP43" s="316" t="s">
        <v>2308</v>
      </c>
      <c r="AEQ43" s="316"/>
      <c r="AER43" s="316"/>
      <c r="AES43" s="316"/>
      <c r="AET43" s="361" t="s">
        <v>2307</v>
      </c>
      <c r="AEU43" s="361" t="s">
        <v>2308</v>
      </c>
      <c r="AEV43" s="361"/>
      <c r="AEW43" s="361" t="s">
        <v>2480</v>
      </c>
      <c r="AEX43" s="361"/>
      <c r="AEY43" s="316"/>
      <c r="AEZ43" s="316"/>
      <c r="AFA43" s="316"/>
      <c r="AFB43" s="316"/>
      <c r="AFC43" s="316"/>
      <c r="AFD43" s="316"/>
      <c r="AFE43" s="316"/>
      <c r="AFF43" s="316"/>
      <c r="AFG43" s="361" t="s">
        <v>2473</v>
      </c>
      <c r="AFH43" s="361"/>
      <c r="AFI43" s="316"/>
      <c r="AFJ43" s="361" t="s">
        <v>2399</v>
      </c>
      <c r="AFK43" s="361"/>
      <c r="AFL43" s="316"/>
      <c r="AFM43" s="316"/>
      <c r="AFN43" s="316"/>
      <c r="AFO43" s="316"/>
      <c r="AFP43" s="316"/>
      <c r="AFQ43" s="316"/>
      <c r="AFR43" s="361" t="s">
        <v>2577</v>
      </c>
      <c r="AFS43" s="361"/>
      <c r="AFT43" s="7" t="s">
        <v>11</v>
      </c>
      <c r="AFU43" s="316" t="s">
        <v>2577</v>
      </c>
      <c r="AFV43" s="316"/>
      <c r="AFW43" s="316"/>
      <c r="AFX43" s="316"/>
      <c r="AFY43" s="361" t="s">
        <v>2578</v>
      </c>
      <c r="AFZ43" s="361"/>
      <c r="AGA43" s="316"/>
      <c r="AGB43" s="316"/>
      <c r="AGC43" s="316"/>
      <c r="AGD43" s="316"/>
      <c r="AGE43" s="316"/>
      <c r="AGF43" s="316"/>
      <c r="AGG43" s="316"/>
      <c r="AGH43" s="316"/>
      <c r="AGI43" s="316"/>
      <c r="AGJ43" s="361" t="s">
        <v>2579</v>
      </c>
      <c r="AGK43" s="361"/>
      <c r="AGL43" s="316"/>
      <c r="AGM43" s="210" t="s">
        <v>2568</v>
      </c>
      <c r="AGN43" s="210"/>
      <c r="AGO43" s="180"/>
      <c r="AGP43" s="180"/>
      <c r="AGQ43" s="180"/>
      <c r="AGR43" s="210" t="s">
        <v>2723</v>
      </c>
      <c r="AGS43" s="210"/>
      <c r="AGT43" s="180"/>
      <c r="AGU43" s="210" t="s">
        <v>2565</v>
      </c>
      <c r="AGV43" s="210"/>
      <c r="AGW43" s="180"/>
      <c r="AGX43" s="180"/>
      <c r="AGY43" s="180"/>
      <c r="AGZ43" s="7" t="s">
        <v>11</v>
      </c>
      <c r="AHA43" s="210" t="s">
        <v>2559</v>
      </c>
      <c r="AHB43" s="210"/>
      <c r="AHC43" s="180"/>
      <c r="AHD43" s="180"/>
      <c r="AHE43" s="180"/>
      <c r="AHF43" s="180"/>
      <c r="AHG43" s="210" t="s">
        <v>2731</v>
      </c>
      <c r="AHH43" s="210"/>
      <c r="AHI43" s="180"/>
      <c r="AHJ43" s="180"/>
      <c r="AHK43" s="180"/>
      <c r="AHL43" s="210" t="s">
        <v>2732</v>
      </c>
      <c r="AHM43" s="210"/>
      <c r="AHN43" s="180"/>
      <c r="AHO43" s="210" t="s">
        <v>2761</v>
      </c>
      <c r="AHP43" s="210"/>
      <c r="AHQ43" s="180"/>
      <c r="AHR43" s="180"/>
      <c r="AHS43" s="180"/>
      <c r="AHW43" s="210" t="s">
        <v>2740</v>
      </c>
      <c r="AHX43" s="210"/>
      <c r="AHY43" s="180"/>
      <c r="AHZ43" s="361" t="s">
        <v>2531</v>
      </c>
      <c r="AIA43" s="361"/>
      <c r="AIB43" s="316"/>
      <c r="AIC43" s="316"/>
      <c r="AID43" s="316"/>
      <c r="AIE43" s="7" t="s">
        <v>11</v>
      </c>
      <c r="AIF43" s="361" t="s">
        <v>2530</v>
      </c>
      <c r="AIG43" s="361"/>
      <c r="AIH43" s="316"/>
      <c r="AII43" s="316"/>
      <c r="AIJ43" s="316"/>
      <c r="AIK43" s="316"/>
      <c r="AIL43" s="316"/>
      <c r="AIM43" s="316"/>
      <c r="AIN43" s="316"/>
      <c r="AIO43" s="316"/>
      <c r="AIP43" s="316"/>
      <c r="AIQ43" s="316"/>
      <c r="AIR43" s="316"/>
      <c r="AIS43" s="316"/>
      <c r="AIT43" s="316"/>
      <c r="AIU43" s="316"/>
      <c r="AIV43" s="316"/>
      <c r="AIW43" s="316"/>
      <c r="AIX43" s="316"/>
      <c r="AIY43" s="316"/>
      <c r="AIZ43" s="316"/>
      <c r="AJA43" s="316"/>
      <c r="AJB43" s="316"/>
      <c r="AJC43" s="316"/>
      <c r="AJD43" s="316"/>
      <c r="AJE43" s="316"/>
      <c r="AJF43" s="316"/>
      <c r="AJG43" s="316"/>
      <c r="AJH43" s="316"/>
      <c r="AJI43" s="316"/>
      <c r="AJJ43" s="316"/>
      <c r="AJK43" s="7" t="s">
        <v>11</v>
      </c>
      <c r="AJL43" s="361" t="s">
        <v>2533</v>
      </c>
      <c r="AJM43" s="361"/>
      <c r="AJN43" s="316"/>
      <c r="AJO43" s="361" t="s">
        <v>2536</v>
      </c>
      <c r="AJP43" s="361"/>
      <c r="AJQ43" s="316"/>
      <c r="AJR43" s="361" t="s">
        <v>2534</v>
      </c>
      <c r="AJS43" s="361"/>
      <c r="AJT43" s="361" t="s">
        <v>2624</v>
      </c>
      <c r="AJU43" s="361" t="s">
        <v>2654</v>
      </c>
      <c r="AJV43" s="361"/>
      <c r="AJW43" s="361" t="s">
        <v>2537</v>
      </c>
      <c r="AJX43" s="361"/>
      <c r="AJY43" s="361" t="s">
        <v>2652</v>
      </c>
      <c r="AJZ43" s="361"/>
      <c r="AKA43" s="316"/>
      <c r="AKB43" s="316"/>
      <c r="AKC43" s="316"/>
      <c r="AKD43" s="361" t="s">
        <v>2653</v>
      </c>
      <c r="AKE43" s="361"/>
      <c r="AKF43" s="316"/>
      <c r="AKG43" s="316"/>
      <c r="AKH43" s="316"/>
      <c r="AKI43" s="316"/>
      <c r="AKJ43" s="316"/>
      <c r="AKK43" s="316"/>
      <c r="AKL43" s="316"/>
      <c r="AKM43" s="316"/>
      <c r="AKN43" s="316"/>
      <c r="AKO43" s="361" t="s">
        <v>2651</v>
      </c>
      <c r="AKP43" s="361"/>
      <c r="AKQ43" s="7" t="s">
        <v>11</v>
      </c>
      <c r="AKR43" s="316" t="s">
        <v>2651</v>
      </c>
      <c r="AKS43" s="316"/>
      <c r="AKT43" s="316"/>
      <c r="AKU43" s="316"/>
      <c r="AKV43" s="316"/>
      <c r="AKW43" s="316"/>
      <c r="AKX43" s="316"/>
      <c r="AKY43" s="316"/>
      <c r="AKZ43" s="316"/>
      <c r="ALA43" s="316"/>
      <c r="ALB43" s="316"/>
      <c r="ALC43" s="316"/>
      <c r="ALD43" s="316"/>
      <c r="ALE43" s="316"/>
      <c r="ALF43" s="361" t="s">
        <v>2713</v>
      </c>
      <c r="ALG43" s="361"/>
      <c r="ALH43" s="316"/>
      <c r="ALI43" s="316"/>
      <c r="ALJ43" s="361" t="s">
        <v>2861</v>
      </c>
      <c r="ALK43" s="361"/>
      <c r="ALL43" s="316"/>
      <c r="ALM43" s="361" t="s">
        <v>2862</v>
      </c>
      <c r="ALN43" s="361"/>
      <c r="ALO43" s="316"/>
      <c r="ALP43" s="361" t="s">
        <v>2859</v>
      </c>
      <c r="ALQ43" s="361"/>
      <c r="ALR43" s="316"/>
      <c r="ALS43" s="316"/>
      <c r="ALT43" s="7" t="s">
        <v>11</v>
      </c>
      <c r="ALU43" s="316" t="s">
        <v>2859</v>
      </c>
      <c r="ALV43" s="316"/>
      <c r="ALW43" s="316"/>
      <c r="ALX43" s="316"/>
      <c r="ALY43" s="361" t="s">
        <v>2860</v>
      </c>
      <c r="ALZ43" s="361" t="s">
        <v>2857</v>
      </c>
      <c r="AMA43" s="361"/>
      <c r="AMB43" s="361" t="s">
        <v>2858</v>
      </c>
      <c r="AMC43" s="361"/>
      <c r="AMD43" s="361" t="s">
        <v>2863</v>
      </c>
      <c r="AME43" s="361"/>
      <c r="AMF43" s="316"/>
      <c r="AMG43" s="316"/>
      <c r="AMH43" s="361" t="s">
        <v>2839</v>
      </c>
      <c r="AMI43" s="318"/>
      <c r="AMJ43" s="319"/>
      <c r="AMK43" s="319"/>
      <c r="AML43" s="319"/>
      <c r="AMM43" s="319"/>
      <c r="AMN43" s="319"/>
      <c r="AMO43" s="319"/>
      <c r="AMP43" s="319"/>
      <c r="AMQ43" s="319"/>
      <c r="AMR43" s="319"/>
      <c r="AMS43" s="319"/>
      <c r="AMT43" s="319"/>
      <c r="AMU43" s="319"/>
      <c r="AMV43" s="319"/>
      <c r="AMW43" s="319"/>
      <c r="AMX43" s="345" t="s">
        <v>2843</v>
      </c>
      <c r="AMY43" s="345"/>
      <c r="AMZ43" s="7" t="s">
        <v>11</v>
      </c>
      <c r="ANA43" s="352" t="s">
        <v>2843</v>
      </c>
      <c r="ANB43" s="352"/>
      <c r="ANC43" s="352"/>
      <c r="AND43" s="352"/>
      <c r="ANE43" s="352"/>
      <c r="ANF43" s="352"/>
      <c r="ANG43" s="352"/>
      <c r="ANH43" s="352"/>
      <c r="ANI43" s="352"/>
      <c r="ANJ43" s="352"/>
      <c r="ANK43" s="352"/>
      <c r="ANL43" s="352"/>
      <c r="ANM43" s="352"/>
      <c r="ANN43" s="352"/>
      <c r="ANO43" s="352"/>
      <c r="ANP43" s="352"/>
      <c r="ANQ43" s="352"/>
      <c r="ANR43" s="352"/>
      <c r="ANS43" s="352"/>
      <c r="ANT43" s="352"/>
      <c r="ANU43" s="352"/>
      <c r="ANV43" s="352"/>
      <c r="ANW43" s="352"/>
      <c r="ANX43" s="352"/>
      <c r="ANY43" s="352"/>
      <c r="ANZ43" s="352"/>
      <c r="AOA43" s="352"/>
      <c r="AOB43" s="352"/>
      <c r="AOC43" s="352"/>
      <c r="AOD43" s="352"/>
      <c r="AOE43" s="7" t="s">
        <v>11</v>
      </c>
      <c r="AOF43" s="159"/>
      <c r="AOG43" s="159"/>
      <c r="AOH43" s="159"/>
      <c r="AOI43" s="159"/>
      <c r="AOJ43" s="159"/>
      <c r="AOK43" s="159"/>
      <c r="AOL43" s="159"/>
      <c r="AOM43" s="159"/>
      <c r="AON43" s="159"/>
      <c r="AOO43" s="352" t="s">
        <v>2843</v>
      </c>
      <c r="AOP43" s="352"/>
      <c r="AOQ43" s="352"/>
      <c r="AOR43" s="352"/>
      <c r="AOS43" s="352"/>
      <c r="AOT43" s="352"/>
      <c r="AOU43" s="352"/>
      <c r="AOV43" s="352"/>
      <c r="AOW43" s="352"/>
      <c r="AOX43" s="352"/>
      <c r="AOY43" s="352"/>
      <c r="AOZ43" s="352"/>
      <c r="APA43" s="314"/>
      <c r="APB43" s="314"/>
      <c r="APC43" s="314"/>
      <c r="APD43" s="314"/>
      <c r="APE43" s="314"/>
      <c r="APF43" s="314"/>
      <c r="APG43" s="314"/>
      <c r="APH43" s="314"/>
      <c r="API43" s="314"/>
      <c r="APJ43" s="314"/>
      <c r="APK43" s="7" t="s">
        <v>11</v>
      </c>
      <c r="APL43" s="314"/>
      <c r="APM43" s="314"/>
      <c r="APN43" s="314"/>
      <c r="APO43" s="314"/>
      <c r="APP43" s="314"/>
      <c r="APQ43" s="314"/>
      <c r="APR43" s="314"/>
      <c r="APS43" s="314"/>
      <c r="APT43" s="314"/>
      <c r="APU43" s="314"/>
      <c r="APV43" s="314"/>
      <c r="APW43" s="314"/>
      <c r="APX43" s="314"/>
      <c r="APY43" s="314"/>
      <c r="APZ43" s="314"/>
      <c r="AQA43" s="314"/>
      <c r="AQB43" s="314"/>
      <c r="AQC43" s="314"/>
      <c r="AQD43" s="314"/>
      <c r="AQE43" s="314"/>
      <c r="AQF43" s="314"/>
      <c r="AQG43" s="314"/>
      <c r="AQH43" s="314"/>
      <c r="AQI43" s="314"/>
      <c r="AQJ43" s="314"/>
      <c r="AQK43" s="314"/>
      <c r="AQL43" s="314"/>
      <c r="AQM43" s="314"/>
      <c r="AQN43" s="314"/>
      <c r="AQO43" s="314"/>
      <c r="AQP43" s="7" t="s">
        <v>11</v>
      </c>
      <c r="AQQ43" s="361" t="s">
        <v>2687</v>
      </c>
      <c r="AQR43" s="361"/>
      <c r="AQS43" s="316"/>
      <c r="AQT43" s="316"/>
      <c r="AQU43" s="316"/>
      <c r="AQV43" s="316"/>
      <c r="AQW43" s="316"/>
      <c r="AQX43" s="159"/>
      <c r="AQY43" s="159"/>
      <c r="AQZ43" s="159"/>
      <c r="ARA43" s="159"/>
      <c r="ARB43" s="159"/>
      <c r="ARC43" s="159"/>
      <c r="ARD43" s="159"/>
      <c r="ARE43" s="159"/>
      <c r="ARF43" s="159"/>
      <c r="ARG43" s="376" t="s">
        <v>2804</v>
      </c>
      <c r="ARH43" s="376"/>
      <c r="ARI43" s="316"/>
      <c r="ARJ43" s="316"/>
      <c r="ARK43" s="316"/>
      <c r="ARL43" s="316"/>
      <c r="ARM43" s="316"/>
      <c r="ARN43" s="316"/>
      <c r="ARO43" s="316"/>
      <c r="ARP43" s="316"/>
      <c r="ARQ43" s="316"/>
      <c r="ARR43" s="316"/>
      <c r="ARS43" s="316"/>
      <c r="ART43" s="316"/>
      <c r="ARU43" s="316"/>
      <c r="ARV43" s="7" t="s">
        <v>11</v>
      </c>
      <c r="ARW43" s="316" t="s">
        <v>2804</v>
      </c>
      <c r="ARX43" s="316"/>
      <c r="ARY43" s="316"/>
      <c r="ARZ43" s="316"/>
      <c r="ASA43" s="316"/>
      <c r="ASB43" s="316"/>
      <c r="ASC43" s="316"/>
      <c r="ASD43" s="316"/>
      <c r="ASE43" s="316"/>
      <c r="ASF43" s="316"/>
      <c r="ASG43" s="316"/>
      <c r="ASH43" s="316"/>
      <c r="ASI43" s="316"/>
      <c r="ASJ43" s="316"/>
      <c r="ASK43" s="361" t="s">
        <v>2687</v>
      </c>
      <c r="ASL43" s="361"/>
      <c r="ASM43" s="316"/>
      <c r="ASN43" s="316"/>
      <c r="ASO43" s="316"/>
      <c r="ASP43" s="316"/>
      <c r="ASQ43" s="316"/>
      <c r="ASR43" s="314"/>
      <c r="ASS43" s="314"/>
      <c r="AST43" s="314"/>
      <c r="ASU43" s="314"/>
      <c r="ASX43" s="320"/>
      <c r="ASY43" s="320"/>
      <c r="ASZ43" s="320"/>
      <c r="ATA43" s="320"/>
      <c r="ATB43" s="7" t="s">
        <v>11</v>
      </c>
      <c r="ATC43" s="361" t="s">
        <v>2687</v>
      </c>
      <c r="ATD43" s="361"/>
      <c r="ATE43" s="316"/>
      <c r="ATF43" s="316"/>
      <c r="ATG43" s="316"/>
      <c r="ATH43" s="316"/>
      <c r="ATI43" s="316"/>
      <c r="ATJ43" s="316"/>
      <c r="ATK43" s="316"/>
      <c r="ATL43" s="316"/>
      <c r="ATM43" s="316"/>
      <c r="ATN43" s="316"/>
      <c r="ATO43" s="316"/>
      <c r="ATP43" s="316"/>
      <c r="ATQ43" s="316"/>
      <c r="ATR43" s="316"/>
      <c r="ATS43" s="316"/>
      <c r="ATT43" s="316"/>
      <c r="ATU43" s="316"/>
      <c r="ATV43" s="316"/>
      <c r="ATW43" s="316"/>
      <c r="ATX43" s="316"/>
      <c r="ATY43" s="316"/>
      <c r="ATZ43" s="361" t="s">
        <v>2688</v>
      </c>
      <c r="AUA43" s="361"/>
      <c r="AUB43" s="316"/>
      <c r="AUC43" s="316"/>
      <c r="AUD43" s="316"/>
      <c r="AUE43" s="316"/>
      <c r="AUF43" s="316"/>
      <c r="AUG43" s="7" t="s">
        <v>11</v>
      </c>
      <c r="AUH43" s="316" t="s">
        <v>2688</v>
      </c>
      <c r="AUI43" s="316"/>
      <c r="AUJ43" s="316"/>
      <c r="AUK43" s="316"/>
      <c r="AUL43" s="316"/>
      <c r="AUM43" s="316"/>
      <c r="AUN43" s="316"/>
      <c r="AUO43" s="316"/>
      <c r="AUP43" s="316"/>
      <c r="AUQ43" s="316"/>
      <c r="AUR43" s="316"/>
      <c r="AUS43" s="316"/>
      <c r="AUT43" s="316"/>
      <c r="AUU43" s="316"/>
      <c r="AUV43" s="316"/>
      <c r="AUW43" s="316"/>
      <c r="AUX43" s="316"/>
      <c r="AUY43" s="316"/>
      <c r="AUZ43" s="316"/>
      <c r="AVA43" s="316"/>
      <c r="AVB43" s="316"/>
      <c r="AVC43" s="316"/>
      <c r="AVD43" s="316"/>
      <c r="AVE43" s="316"/>
      <c r="AVF43" s="361" t="s">
        <v>2689</v>
      </c>
      <c r="AVG43" s="361"/>
      <c r="AVH43" s="316"/>
      <c r="AVI43" s="316"/>
      <c r="AVJ43" s="316"/>
      <c r="AVK43" s="316"/>
      <c r="AVL43" s="316"/>
      <c r="AVM43" s="7" t="s">
        <v>11</v>
      </c>
      <c r="AVN43" s="316" t="s">
        <v>2689</v>
      </c>
      <c r="AVO43" s="316"/>
      <c r="AVP43" s="316"/>
      <c r="AVQ43" s="316"/>
      <c r="AVR43" s="316"/>
      <c r="AVS43" s="316"/>
      <c r="AVT43" s="316"/>
      <c r="AVU43" s="316"/>
      <c r="AVV43" s="316"/>
      <c r="AVW43" s="316"/>
      <c r="AVX43" s="316"/>
      <c r="AVY43" s="316"/>
      <c r="AVZ43" s="316"/>
      <c r="AWA43" s="316"/>
      <c r="AWB43" s="316"/>
      <c r="AWC43" s="316"/>
      <c r="AWD43" s="316"/>
      <c r="AWE43" s="316"/>
      <c r="AWF43" s="316"/>
      <c r="AWG43" s="316"/>
      <c r="AWH43" s="316"/>
      <c r="AWI43" s="316"/>
      <c r="AWJ43" s="316"/>
      <c r="AWK43" s="316"/>
      <c r="AWL43" s="361" t="s">
        <v>2690</v>
      </c>
      <c r="AWM43" s="361"/>
      <c r="AWN43" s="316"/>
      <c r="AWO43" s="316"/>
      <c r="AWP43" s="316"/>
      <c r="AWQ43" s="316"/>
      <c r="AWR43" s="7" t="s">
        <v>11</v>
      </c>
      <c r="AWS43" s="316" t="s">
        <v>2690</v>
      </c>
      <c r="AWT43" s="316"/>
      <c r="AWU43" s="316"/>
      <c r="AWV43" s="316"/>
      <c r="AWW43" s="316"/>
      <c r="AWX43" s="316"/>
      <c r="AWY43" s="316"/>
      <c r="AWZ43" s="316"/>
      <c r="AXA43" s="316"/>
      <c r="AXB43" s="316"/>
      <c r="AXC43" s="316"/>
      <c r="AXD43" s="316"/>
      <c r="AXE43" s="316"/>
      <c r="AXF43" s="316"/>
      <c r="AXG43" s="316"/>
      <c r="AXH43" s="316"/>
      <c r="AXI43" s="316"/>
      <c r="AXJ43" s="316"/>
      <c r="AXK43" s="316"/>
      <c r="AXL43" s="316"/>
      <c r="AXM43" s="316"/>
      <c r="AXN43" s="316"/>
      <c r="AXO43" s="316"/>
      <c r="AXP43" s="316"/>
      <c r="AXQ43" s="316"/>
      <c r="AXR43" s="316"/>
      <c r="AXS43" s="316"/>
      <c r="AXT43" s="316"/>
      <c r="AXU43" s="316"/>
      <c r="AXV43" s="316"/>
      <c r="AXW43" s="316"/>
      <c r="AXX43" s="7" t="s">
        <v>11</v>
      </c>
    </row>
    <row r="44" spans="1:1324" s="136" customFormat="1" ht="22.8" customHeight="1" x14ac:dyDescent="0.25">
      <c r="A44" s="711"/>
      <c r="B44" s="74"/>
      <c r="C44" s="136">
        <v>2000</v>
      </c>
      <c r="D44" s="136">
        <v>2000</v>
      </c>
      <c r="E44" s="136">
        <v>2000</v>
      </c>
      <c r="F44" s="136">
        <v>2000</v>
      </c>
      <c r="H44" s="136">
        <v>2000</v>
      </c>
      <c r="I44" s="136">
        <v>2000</v>
      </c>
      <c r="J44" s="136">
        <v>2000</v>
      </c>
      <c r="K44" s="136">
        <v>2000</v>
      </c>
      <c r="L44" s="136">
        <v>2000</v>
      </c>
      <c r="M44" s="136">
        <v>2000</v>
      </c>
      <c r="O44" s="136">
        <v>2000</v>
      </c>
      <c r="P44" s="136">
        <v>2000</v>
      </c>
      <c r="Q44" s="136">
        <v>2000</v>
      </c>
      <c r="R44" s="136">
        <v>2000</v>
      </c>
      <c r="S44" s="136">
        <v>2000</v>
      </c>
      <c r="T44" s="136">
        <v>2000</v>
      </c>
      <c r="AH44" s="75"/>
      <c r="AP44" s="136">
        <v>6135</v>
      </c>
      <c r="AQ44" s="731"/>
      <c r="AR44" s="732"/>
      <c r="AS44" s="732"/>
      <c r="AT44" s="732"/>
      <c r="AU44" s="732"/>
      <c r="AV44" s="732"/>
      <c r="AW44" s="732"/>
      <c r="AX44" s="732"/>
      <c r="AY44" s="732"/>
      <c r="AZ44" s="733"/>
      <c r="BK44" s="136">
        <v>16800</v>
      </c>
      <c r="BN44" s="74"/>
      <c r="BO44" s="136">
        <v>2117</v>
      </c>
      <c r="BP44" s="136">
        <v>2165</v>
      </c>
      <c r="BR44" s="136">
        <v>3090</v>
      </c>
      <c r="BW44" s="136">
        <v>3090</v>
      </c>
      <c r="BX44" s="136">
        <v>580</v>
      </c>
      <c r="CD44" s="136">
        <v>4910</v>
      </c>
      <c r="CE44" s="136">
        <v>2500</v>
      </c>
      <c r="CF44" s="136">
        <v>2500</v>
      </c>
      <c r="CG44" s="136">
        <v>2500</v>
      </c>
      <c r="CI44" s="136">
        <v>2500</v>
      </c>
      <c r="CJ44" s="136">
        <v>2500</v>
      </c>
      <c r="CK44" s="136">
        <v>500</v>
      </c>
      <c r="CL44" s="136">
        <v>1000</v>
      </c>
      <c r="CM44" s="136">
        <v>1500</v>
      </c>
      <c r="CN44" s="136">
        <v>2000</v>
      </c>
      <c r="CP44" s="136">
        <v>2400</v>
      </c>
      <c r="CQ44" s="136">
        <v>2400</v>
      </c>
      <c r="CR44" s="136">
        <v>2400</v>
      </c>
      <c r="CS44" s="74"/>
      <c r="CX44" s="136">
        <v>5225</v>
      </c>
      <c r="DM44" s="136">
        <v>16830</v>
      </c>
      <c r="DQ44" s="136">
        <v>5915</v>
      </c>
      <c r="DV44" s="136">
        <v>4468</v>
      </c>
      <c r="DX44" s="136">
        <v>2258</v>
      </c>
      <c r="DY44" s="74"/>
      <c r="EA44" s="136">
        <v>3455</v>
      </c>
      <c r="EC44" s="136">
        <v>3158</v>
      </c>
      <c r="EE44" s="136">
        <v>2749</v>
      </c>
      <c r="EO44" s="136">
        <v>5214</v>
      </c>
      <c r="EP44" s="136">
        <v>1012</v>
      </c>
      <c r="EQ44" s="136">
        <v>1345</v>
      </c>
      <c r="ER44" s="136">
        <v>360</v>
      </c>
      <c r="ES44" s="136">
        <v>285</v>
      </c>
      <c r="ET44" s="136">
        <v>1244</v>
      </c>
      <c r="EV44" s="136">
        <v>1370</v>
      </c>
      <c r="EW44" s="136">
        <v>1300</v>
      </c>
      <c r="EX44" s="136">
        <v>1600</v>
      </c>
      <c r="EY44" s="136">
        <v>1800</v>
      </c>
      <c r="EZ44" s="137">
        <v>2060</v>
      </c>
      <c r="FA44" s="136">
        <v>450</v>
      </c>
      <c r="FC44" s="136">
        <v>900</v>
      </c>
      <c r="FE44" s="136">
        <v>1350</v>
      </c>
      <c r="FF44" s="136">
        <v>1550</v>
      </c>
      <c r="FG44" s="136">
        <v>1500</v>
      </c>
      <c r="FH44" s="137">
        <v>1002</v>
      </c>
      <c r="FI44" s="136">
        <v>300</v>
      </c>
      <c r="FJ44" s="136">
        <v>800</v>
      </c>
      <c r="FK44" s="136">
        <v>1100</v>
      </c>
      <c r="FL44" s="136">
        <v>1750</v>
      </c>
      <c r="FM44" s="136">
        <v>1800</v>
      </c>
      <c r="FN44" s="136">
        <v>1950</v>
      </c>
      <c r="FO44" s="136">
        <v>2600</v>
      </c>
      <c r="FP44" s="136">
        <v>2050</v>
      </c>
      <c r="FU44" s="136">
        <v>2250</v>
      </c>
      <c r="FV44" s="136">
        <v>2250</v>
      </c>
      <c r="FW44" s="136">
        <v>2500</v>
      </c>
      <c r="FX44" s="136">
        <v>2000</v>
      </c>
      <c r="FY44" s="136">
        <v>2000</v>
      </c>
      <c r="FZ44" s="136">
        <v>1650</v>
      </c>
      <c r="GA44" s="137">
        <v>1763</v>
      </c>
      <c r="GB44" s="136">
        <v>1250</v>
      </c>
      <c r="GC44" s="136">
        <v>1875</v>
      </c>
      <c r="GD44" s="137">
        <v>1850</v>
      </c>
      <c r="GF44" s="136">
        <v>250</v>
      </c>
      <c r="GG44" s="136">
        <v>450</v>
      </c>
      <c r="GH44" s="136">
        <v>600</v>
      </c>
      <c r="GI44" s="136">
        <v>700</v>
      </c>
      <c r="GJ44" s="74"/>
      <c r="GK44" s="136">
        <f>0+339</f>
        <v>339</v>
      </c>
      <c r="GL44" s="136">
        <v>50</v>
      </c>
      <c r="GN44" s="136">
        <v>200</v>
      </c>
      <c r="GO44" s="136">
        <v>300</v>
      </c>
      <c r="GP44" s="136">
        <v>500</v>
      </c>
      <c r="GQ44" s="136">
        <v>500</v>
      </c>
      <c r="GR44" s="136">
        <v>550</v>
      </c>
      <c r="GS44" s="136">
        <v>600</v>
      </c>
      <c r="GU44" s="136">
        <v>500</v>
      </c>
      <c r="GV44" s="136">
        <v>660</v>
      </c>
      <c r="GW44" s="136">
        <v>700</v>
      </c>
      <c r="GX44" s="136">
        <v>670</v>
      </c>
      <c r="GY44" s="136">
        <v>650</v>
      </c>
      <c r="GZ44" s="136">
        <v>630</v>
      </c>
      <c r="HB44" s="136">
        <v>600</v>
      </c>
      <c r="HC44" s="136">
        <v>650</v>
      </c>
      <c r="HD44" s="137">
        <v>374</v>
      </c>
      <c r="HE44" s="136">
        <v>700</v>
      </c>
      <c r="HF44" s="136">
        <v>1420</v>
      </c>
      <c r="HG44" s="136">
        <v>2220</v>
      </c>
      <c r="HI44" s="136">
        <v>2200</v>
      </c>
      <c r="HJ44" s="136">
        <v>2120</v>
      </c>
      <c r="HK44" s="136">
        <v>2000</v>
      </c>
      <c r="HL44" s="136">
        <v>2200</v>
      </c>
      <c r="HM44" s="137">
        <f>343+350</f>
        <v>693</v>
      </c>
      <c r="HN44" s="136">
        <v>1000</v>
      </c>
      <c r="HP44" s="74"/>
      <c r="HQ44" s="136">
        <v>1450</v>
      </c>
      <c r="HR44" s="136">
        <v>1400</v>
      </c>
      <c r="HS44" s="136">
        <v>1700</v>
      </c>
      <c r="HT44" s="136">
        <v>1750</v>
      </c>
      <c r="HU44" s="137">
        <v>1750</v>
      </c>
      <c r="HV44" s="136">
        <v>1452</v>
      </c>
      <c r="HX44" s="193">
        <v>2229</v>
      </c>
      <c r="HY44" s="136">
        <v>1800</v>
      </c>
      <c r="HZ44" s="136">
        <v>1800</v>
      </c>
      <c r="IA44" s="137">
        <v>1660</v>
      </c>
      <c r="IB44" s="136">
        <v>1219</v>
      </c>
      <c r="IC44" s="136">
        <v>1550</v>
      </c>
      <c r="IE44" s="136">
        <v>1750</v>
      </c>
      <c r="IF44" s="136">
        <v>1870</v>
      </c>
      <c r="IG44" s="136">
        <v>1950</v>
      </c>
      <c r="IH44" s="136">
        <v>1900</v>
      </c>
      <c r="II44" s="136">
        <v>1900</v>
      </c>
      <c r="IJ44" s="136">
        <v>1830</v>
      </c>
      <c r="IL44" s="136">
        <v>2000</v>
      </c>
      <c r="IM44" s="136">
        <v>1496</v>
      </c>
      <c r="IN44" s="136">
        <v>900</v>
      </c>
      <c r="IO44" s="136">
        <v>1762</v>
      </c>
      <c r="IP44" s="136">
        <v>2040</v>
      </c>
      <c r="IQ44" s="136">
        <v>2000</v>
      </c>
      <c r="IS44" s="136">
        <v>2020</v>
      </c>
      <c r="IT44" s="206"/>
      <c r="IU44" s="193">
        <v>2250</v>
      </c>
      <c r="IV44" s="193">
        <v>2220</v>
      </c>
      <c r="IW44" s="193">
        <v>2200</v>
      </c>
      <c r="IX44" s="193">
        <v>2000</v>
      </c>
      <c r="IY44" s="193">
        <v>1250</v>
      </c>
      <c r="JA44" s="193">
        <v>1860</v>
      </c>
      <c r="JB44" s="193">
        <v>2000</v>
      </c>
      <c r="JC44" s="214">
        <v>2061</v>
      </c>
      <c r="JD44" s="193">
        <v>900</v>
      </c>
      <c r="JE44" s="193">
        <v>1800</v>
      </c>
      <c r="JF44" s="193">
        <v>1950</v>
      </c>
      <c r="JG44" s="136">
        <v>1700</v>
      </c>
      <c r="JH44" s="193">
        <v>1700</v>
      </c>
      <c r="JI44" s="193">
        <v>1800</v>
      </c>
      <c r="JJ44" s="214">
        <f>1166+360</f>
        <v>1526</v>
      </c>
      <c r="JL44" s="193">
        <v>1960</v>
      </c>
      <c r="JM44" s="193">
        <v>1550</v>
      </c>
      <c r="JN44" s="193"/>
      <c r="JO44" s="193">
        <v>1450</v>
      </c>
      <c r="JP44" s="136">
        <v>1400</v>
      </c>
      <c r="JQ44" s="136">
        <v>1550</v>
      </c>
      <c r="JR44" s="136">
        <v>1550</v>
      </c>
      <c r="JS44" s="136">
        <v>1450</v>
      </c>
      <c r="JV44" s="278"/>
      <c r="JW44" s="173"/>
      <c r="JX44" s="173"/>
      <c r="JY44" s="173"/>
      <c r="JZ44" s="281"/>
      <c r="KA44" s="173"/>
      <c r="KB44" s="173"/>
      <c r="KC44" s="173"/>
      <c r="KD44" s="173"/>
      <c r="KE44" s="173"/>
      <c r="KF44" s="173"/>
      <c r="KG44" s="173"/>
      <c r="KH44" s="173"/>
      <c r="KI44" s="173"/>
      <c r="KJ44" s="173"/>
      <c r="KK44" s="173"/>
      <c r="KL44" s="173"/>
      <c r="KM44" s="173"/>
      <c r="KN44" s="173"/>
      <c r="KO44" s="173"/>
      <c r="KP44" s="173"/>
      <c r="KQ44" s="173"/>
      <c r="KR44" s="173"/>
      <c r="KS44" s="173"/>
      <c r="KT44" s="173"/>
      <c r="KU44" s="173"/>
      <c r="KV44" s="173"/>
      <c r="KW44" s="173"/>
      <c r="KX44" s="173"/>
      <c r="KY44" s="280"/>
      <c r="LE44" s="74"/>
      <c r="LK44" s="136">
        <v>1050</v>
      </c>
      <c r="LL44" s="136">
        <v>1140</v>
      </c>
      <c r="LN44" s="136">
        <v>200</v>
      </c>
      <c r="LO44" s="136">
        <v>800</v>
      </c>
      <c r="LP44" s="136">
        <v>1200</v>
      </c>
      <c r="LQ44" s="136">
        <v>1000</v>
      </c>
      <c r="LR44" s="136">
        <f>308+902</f>
        <v>1210</v>
      </c>
      <c r="LS44" s="136">
        <v>1130</v>
      </c>
      <c r="LU44" s="136">
        <v>1440</v>
      </c>
      <c r="LV44" s="136">
        <f>63+1040</f>
        <v>1103</v>
      </c>
      <c r="LW44" s="136">
        <v>1350</v>
      </c>
      <c r="LX44" s="136">
        <f>821+580</f>
        <v>1401</v>
      </c>
      <c r="LY44" s="136">
        <v>1250</v>
      </c>
      <c r="LZ44" s="136">
        <v>973</v>
      </c>
      <c r="MA44" s="136">
        <v>600</v>
      </c>
      <c r="MB44" s="716"/>
      <c r="MC44" s="717"/>
      <c r="MD44" s="717"/>
      <c r="ME44" s="718"/>
      <c r="MF44" s="136">
        <v>1100</v>
      </c>
      <c r="MG44" s="136">
        <v>1040</v>
      </c>
      <c r="MI44" s="136">
        <v>1070</v>
      </c>
      <c r="MJ44" s="137">
        <v>1350</v>
      </c>
      <c r="MK44" s="286"/>
      <c r="ML44" s="136">
        <f>569+730</f>
        <v>1299</v>
      </c>
      <c r="MM44" s="136">
        <v>1950</v>
      </c>
      <c r="MN44" s="315">
        <f>1569+150</f>
        <v>1719</v>
      </c>
      <c r="MO44" s="136">
        <v>1700</v>
      </c>
      <c r="MQ44" s="136">
        <v>1830</v>
      </c>
      <c r="MR44" s="136">
        <v>1730</v>
      </c>
      <c r="MS44" s="314">
        <v>1800</v>
      </c>
      <c r="MT44" s="315">
        <f>1640+50</f>
        <v>1690</v>
      </c>
      <c r="MU44" s="136">
        <v>1700</v>
      </c>
      <c r="MV44" s="137">
        <v>1271</v>
      </c>
      <c r="MX44" s="136">
        <v>1990</v>
      </c>
      <c r="MY44" s="136">
        <v>2200</v>
      </c>
      <c r="MZ44" s="136">
        <v>2200</v>
      </c>
      <c r="NA44" s="136">
        <v>2200</v>
      </c>
      <c r="NB44" s="136">
        <v>2200</v>
      </c>
      <c r="NC44" s="137">
        <f>1059+700</f>
        <v>1759</v>
      </c>
      <c r="NE44" s="314">
        <v>2200</v>
      </c>
      <c r="NF44" s="314">
        <v>2220</v>
      </c>
      <c r="NG44" s="314">
        <v>2200</v>
      </c>
      <c r="NH44" s="365">
        <f>443+1210</f>
        <v>1653</v>
      </c>
      <c r="NI44" s="314">
        <v>2000</v>
      </c>
      <c r="NJ44" s="136">
        <v>1920</v>
      </c>
      <c r="NK44" s="173"/>
      <c r="NL44" s="136">
        <v>1920</v>
      </c>
      <c r="NM44" s="136">
        <v>2000</v>
      </c>
      <c r="NN44" s="314">
        <v>2050</v>
      </c>
      <c r="NO44" s="314">
        <v>1600</v>
      </c>
      <c r="NP44" s="74"/>
      <c r="NQ44" s="136">
        <v>2000</v>
      </c>
      <c r="NR44" s="136">
        <v>2000</v>
      </c>
      <c r="NT44" s="365">
        <v>2020</v>
      </c>
      <c r="NU44" s="136">
        <f>379+1630</f>
        <v>2009</v>
      </c>
      <c r="NV44" s="314">
        <v>2000</v>
      </c>
      <c r="NW44" s="314">
        <f>1352+650</f>
        <v>2002</v>
      </c>
      <c r="NX44" s="314">
        <v>2000</v>
      </c>
      <c r="NY44" s="136">
        <v>2000</v>
      </c>
      <c r="OA44" s="365">
        <v>2000</v>
      </c>
      <c r="OB44" s="314">
        <f>171+480</f>
        <v>651</v>
      </c>
      <c r="OC44" s="136">
        <v>1800</v>
      </c>
      <c r="OD44" s="136">
        <v>2100</v>
      </c>
      <c r="OE44" s="136">
        <v>2200</v>
      </c>
      <c r="OF44" s="136">
        <v>2320</v>
      </c>
      <c r="OH44" s="314">
        <v>2200</v>
      </c>
      <c r="OI44" s="136">
        <v>2430</v>
      </c>
      <c r="OJ44" s="136">
        <v>2420</v>
      </c>
      <c r="OK44" s="365">
        <f>715+110</f>
        <v>825</v>
      </c>
      <c r="OL44" s="136">
        <v>750</v>
      </c>
      <c r="OM44" s="136">
        <v>1350</v>
      </c>
      <c r="ON44" s="136">
        <v>810</v>
      </c>
      <c r="OO44" s="136">
        <v>1300</v>
      </c>
      <c r="OP44" s="136">
        <v>1760</v>
      </c>
      <c r="OQ44" s="136">
        <v>1350</v>
      </c>
      <c r="OR44" s="136">
        <v>1168</v>
      </c>
      <c r="OS44" s="314">
        <v>840</v>
      </c>
      <c r="OT44" s="724"/>
      <c r="OU44" s="725"/>
      <c r="OW44" s="740"/>
      <c r="OX44" s="741"/>
      <c r="OY44" s="741"/>
      <c r="OZ44" s="741"/>
      <c r="PA44" s="741"/>
      <c r="PB44" s="741"/>
      <c r="PC44" s="742"/>
      <c r="PD44" s="136">
        <v>1300</v>
      </c>
      <c r="PE44" s="314">
        <v>1470</v>
      </c>
      <c r="PF44" s="314">
        <v>1700</v>
      </c>
      <c r="PG44" s="136">
        <v>1700</v>
      </c>
      <c r="PH44" s="136">
        <v>1720</v>
      </c>
      <c r="PI44" s="136">
        <v>1700</v>
      </c>
      <c r="PL44" s="365">
        <v>1071</v>
      </c>
      <c r="PM44" s="136">
        <v>1100</v>
      </c>
      <c r="PN44" s="136">
        <v>1650</v>
      </c>
      <c r="PO44" s="136">
        <v>2056</v>
      </c>
      <c r="PP44" s="136">
        <v>2200</v>
      </c>
      <c r="PR44" s="136">
        <v>1800</v>
      </c>
      <c r="PS44" s="136">
        <v>1900</v>
      </c>
      <c r="PT44" s="314">
        <v>2300</v>
      </c>
      <c r="PU44" s="314">
        <v>1900</v>
      </c>
      <c r="PV44" s="314">
        <v>2070</v>
      </c>
      <c r="PW44" s="314">
        <v>2160</v>
      </c>
      <c r="PX44" s="314"/>
      <c r="PY44" s="314">
        <v>2200</v>
      </c>
      <c r="PZ44" s="314">
        <v>2200</v>
      </c>
      <c r="QA44" s="314">
        <v>2190</v>
      </c>
      <c r="QB44" s="74"/>
      <c r="QC44" s="314">
        <f>110+2</f>
        <v>112</v>
      </c>
      <c r="QD44" s="136">
        <v>561</v>
      </c>
      <c r="QE44" s="136">
        <f>75+430</f>
        <v>505</v>
      </c>
      <c r="QG44" s="136">
        <v>1300</v>
      </c>
      <c r="QH44" s="365">
        <f>308+322</f>
        <v>630</v>
      </c>
      <c r="QI44" s="314">
        <v>870</v>
      </c>
      <c r="QJ44" s="314">
        <v>1550</v>
      </c>
      <c r="QK44" s="365">
        <v>1524</v>
      </c>
      <c r="QL44" s="314">
        <v>1150</v>
      </c>
      <c r="QM44" s="136">
        <v>1650</v>
      </c>
      <c r="QN44" s="314">
        <v>2200</v>
      </c>
      <c r="QO44" s="365">
        <f>680+1350</f>
        <v>2030</v>
      </c>
      <c r="QQ44" s="136">
        <v>2200</v>
      </c>
      <c r="QR44" s="136">
        <v>1900</v>
      </c>
      <c r="QS44" s="136">
        <f>187+20</f>
        <v>207</v>
      </c>
      <c r="QT44" s="314"/>
      <c r="QU44" s="173">
        <f>218+246</f>
        <v>464</v>
      </c>
      <c r="QV44" s="314">
        <v>500</v>
      </c>
      <c r="QW44" s="314">
        <v>1250</v>
      </c>
      <c r="QX44" s="314">
        <v>1600</v>
      </c>
      <c r="QY44" s="314">
        <v>1600</v>
      </c>
      <c r="QZ44" s="314">
        <v>1600</v>
      </c>
      <c r="RB44" s="136">
        <v>1650</v>
      </c>
      <c r="RC44" s="314">
        <v>1650</v>
      </c>
      <c r="RD44" s="314">
        <v>1630</v>
      </c>
      <c r="RE44" s="314">
        <v>1300</v>
      </c>
      <c r="RF44" s="314">
        <v>1220</v>
      </c>
      <c r="RG44" s="74"/>
      <c r="RH44" s="365">
        <v>1131</v>
      </c>
      <c r="RJ44" s="136">
        <v>74</v>
      </c>
      <c r="RK44" s="136">
        <v>600</v>
      </c>
      <c r="RL44" s="314">
        <v>880</v>
      </c>
      <c r="RM44" s="314">
        <v>1050</v>
      </c>
      <c r="RN44" s="314">
        <v>1100</v>
      </c>
      <c r="RP44" s="314">
        <v>1400</v>
      </c>
      <c r="RQ44" s="314">
        <v>1400</v>
      </c>
      <c r="RR44" s="314">
        <v>1050</v>
      </c>
      <c r="RS44" s="314">
        <v>1260</v>
      </c>
      <c r="RT44" s="314">
        <v>900</v>
      </c>
      <c r="RU44" s="365">
        <v>1195</v>
      </c>
      <c r="RV44" s="173">
        <f>45+45+16+0</f>
        <v>106</v>
      </c>
      <c r="RX44" s="314">
        <v>900</v>
      </c>
      <c r="RY44" s="314">
        <v>1450</v>
      </c>
      <c r="RZ44" s="314">
        <v>1760</v>
      </c>
      <c r="SA44" s="136">
        <v>1300</v>
      </c>
      <c r="SB44" s="136">
        <v>1450</v>
      </c>
      <c r="SC44" s="314">
        <f>1230+20</f>
        <v>1250</v>
      </c>
      <c r="SE44" s="136">
        <f>617+1+20</f>
        <v>638</v>
      </c>
      <c r="SF44" s="136">
        <v>1300</v>
      </c>
      <c r="SG44" s="136">
        <v>1600</v>
      </c>
      <c r="SH44" s="365">
        <v>1580</v>
      </c>
      <c r="SI44" s="136">
        <f>98+181+300</f>
        <v>579</v>
      </c>
      <c r="SJ44" s="136">
        <v>1300</v>
      </c>
      <c r="SL44" s="136">
        <v>1245</v>
      </c>
      <c r="SM44" s="74"/>
      <c r="SN44" s="314">
        <f>658+250</f>
        <v>908</v>
      </c>
      <c r="SO44" s="314">
        <v>1400</v>
      </c>
      <c r="SP44" s="365">
        <v>1451</v>
      </c>
      <c r="SQ44" s="314">
        <v>500</v>
      </c>
      <c r="SR44" s="365">
        <v>851</v>
      </c>
      <c r="SS44" s="136">
        <v>630</v>
      </c>
      <c r="ST44" s="136">
        <v>1110</v>
      </c>
      <c r="SU44" s="365">
        <v>1100</v>
      </c>
      <c r="SV44" s="314"/>
      <c r="SW44" s="136">
        <v>700</v>
      </c>
      <c r="SX44" s="136">
        <f>1230+22</f>
        <v>1252</v>
      </c>
      <c r="SY44" s="136">
        <f>1800+2</f>
        <v>1802</v>
      </c>
      <c r="TA44" s="136">
        <v>2160</v>
      </c>
      <c r="TB44" s="136">
        <f>744+500</f>
        <v>1244</v>
      </c>
      <c r="TC44" s="136">
        <v>1700</v>
      </c>
      <c r="TD44" s="136">
        <v>1588</v>
      </c>
      <c r="TE44" s="136">
        <v>550</v>
      </c>
      <c r="TF44" s="136">
        <v>1100</v>
      </c>
      <c r="TG44" s="314"/>
      <c r="TH44" s="136">
        <v>1450</v>
      </c>
      <c r="TI44" s="136">
        <f>950+274+130</f>
        <v>1354</v>
      </c>
      <c r="TJ44" s="314">
        <v>1850</v>
      </c>
      <c r="TK44" s="314">
        <v>2016</v>
      </c>
      <c r="TL44" s="314">
        <v>900</v>
      </c>
      <c r="TM44" s="314">
        <v>1500</v>
      </c>
      <c r="TO44" s="136">
        <f>872+120+24</f>
        <v>1016</v>
      </c>
      <c r="TP44" s="136">
        <f>50+1350</f>
        <v>1400</v>
      </c>
      <c r="TQ44" s="136">
        <f>5+1095</f>
        <v>1100</v>
      </c>
      <c r="TR44" s="74"/>
      <c r="TS44" s="314">
        <f>415+850</f>
        <v>1265</v>
      </c>
      <c r="TT44" s="314">
        <v>1980</v>
      </c>
      <c r="TU44" s="314">
        <f>1759+120</f>
        <v>1879</v>
      </c>
      <c r="TW44" s="136">
        <v>1710</v>
      </c>
      <c r="TX44" s="314">
        <v>1900</v>
      </c>
      <c r="TY44" s="314">
        <f>859+750</f>
        <v>1609</v>
      </c>
      <c r="TZ44" s="314">
        <v>1900</v>
      </c>
      <c r="UA44" s="136">
        <v>2000</v>
      </c>
      <c r="UB44" s="314">
        <f>961+270+30</f>
        <v>1261</v>
      </c>
      <c r="UC44" s="136">
        <v>1150</v>
      </c>
      <c r="UD44" s="365">
        <v>1381</v>
      </c>
      <c r="UE44" s="136">
        <v>810</v>
      </c>
      <c r="UF44" s="136">
        <v>2000</v>
      </c>
      <c r="UG44" s="136">
        <v>1500</v>
      </c>
      <c r="UK44" s="136">
        <v>2001</v>
      </c>
      <c r="UL44" s="136">
        <v>1753</v>
      </c>
      <c r="UM44" s="365">
        <v>2050</v>
      </c>
      <c r="UN44" s="136">
        <f>294+30+33+220</f>
        <v>577</v>
      </c>
      <c r="UO44" s="136">
        <v>980</v>
      </c>
      <c r="UP44" s="314">
        <v>1380</v>
      </c>
      <c r="UQ44" s="314"/>
      <c r="UR44" s="314">
        <v>1400</v>
      </c>
      <c r="US44" s="365">
        <f>852+20</f>
        <v>872</v>
      </c>
      <c r="UT44" s="136">
        <v>1070</v>
      </c>
      <c r="UU44" s="136">
        <f>1429+21</f>
        <v>1450</v>
      </c>
      <c r="UV44" s="136">
        <f>1650+2</f>
        <v>1652</v>
      </c>
      <c r="UW44" s="136">
        <f>837+350</f>
        <v>1187</v>
      </c>
      <c r="UX44" s="74"/>
      <c r="UZ44" s="314">
        <f>1800+3</f>
        <v>1803</v>
      </c>
      <c r="VA44" s="314">
        <v>1830</v>
      </c>
      <c r="VB44" s="365">
        <f>824+420</f>
        <v>1244</v>
      </c>
      <c r="VC44" s="136">
        <v>1450</v>
      </c>
      <c r="VD44" s="136">
        <f>168+500</f>
        <v>668</v>
      </c>
      <c r="VE44" s="314">
        <v>1350</v>
      </c>
      <c r="VF44" s="314"/>
      <c r="VG44" s="136">
        <v>1216</v>
      </c>
      <c r="VH44" s="136">
        <f>31+770</f>
        <v>801</v>
      </c>
      <c r="VI44" s="136">
        <v>1450</v>
      </c>
      <c r="VJ44" s="314">
        <v>1700</v>
      </c>
      <c r="VK44" s="314">
        <v>1800</v>
      </c>
      <c r="VL44" s="314">
        <v>910</v>
      </c>
      <c r="VM44" s="314"/>
      <c r="VN44" s="314">
        <v>1700</v>
      </c>
      <c r="VO44" s="314">
        <v>1850</v>
      </c>
      <c r="VP44" s="314">
        <f>689+180</f>
        <v>869</v>
      </c>
      <c r="VQ44" s="314">
        <v>1290</v>
      </c>
      <c r="VR44" s="314">
        <v>2100</v>
      </c>
      <c r="VS44" s="314">
        <v>2420</v>
      </c>
      <c r="VU44" s="314">
        <v>2050</v>
      </c>
      <c r="VV44" s="314">
        <v>2250</v>
      </c>
      <c r="VW44" s="314">
        <v>2100</v>
      </c>
      <c r="VX44" s="314">
        <f>1852+320</f>
        <v>2172</v>
      </c>
      <c r="VY44" s="314">
        <v>2100</v>
      </c>
      <c r="VZ44" s="314">
        <v>2050</v>
      </c>
      <c r="WB44" s="314">
        <v>2300</v>
      </c>
      <c r="WC44" s="314">
        <v>2100</v>
      </c>
      <c r="WD44" s="74"/>
      <c r="WE44" s="136">
        <v>2440</v>
      </c>
      <c r="WF44" s="314">
        <v>2300</v>
      </c>
      <c r="WG44" s="314">
        <v>2450</v>
      </c>
      <c r="WH44" s="314">
        <v>2200</v>
      </c>
      <c r="WI44" s="314"/>
      <c r="WJ44" s="314">
        <v>2400</v>
      </c>
      <c r="WK44" s="314">
        <v>2400</v>
      </c>
      <c r="WL44" s="314">
        <v>2370</v>
      </c>
      <c r="WM44" s="314">
        <v>2400</v>
      </c>
      <c r="WN44" s="314">
        <v>2450</v>
      </c>
      <c r="WO44" s="314">
        <v>2450</v>
      </c>
      <c r="WP44" s="314">
        <v>1630</v>
      </c>
      <c r="WQ44" s="136">
        <v>2350</v>
      </c>
      <c r="WR44" s="136">
        <f>1647+610</f>
        <v>2257</v>
      </c>
      <c r="WS44" s="136">
        <v>2500</v>
      </c>
      <c r="WT44" s="365">
        <f>1086+430</f>
        <v>1516</v>
      </c>
      <c r="WU44" s="136">
        <v>1960</v>
      </c>
      <c r="WV44" s="136">
        <v>1700</v>
      </c>
      <c r="WZ44" s="136">
        <v>2350</v>
      </c>
      <c r="XA44" s="314">
        <v>2200</v>
      </c>
      <c r="XB44" s="572">
        <f>1964+40</f>
        <v>2004</v>
      </c>
      <c r="XC44" s="314">
        <f>4+2050</f>
        <v>2054</v>
      </c>
      <c r="XD44" s="314"/>
      <c r="XE44" s="314">
        <v>2200</v>
      </c>
      <c r="XF44" s="314">
        <v>2100</v>
      </c>
      <c r="XG44" s="74"/>
      <c r="XH44" s="314">
        <v>2400</v>
      </c>
      <c r="XI44" s="136">
        <v>2420</v>
      </c>
      <c r="XJ44" s="314">
        <v>2450</v>
      </c>
      <c r="XK44" s="314">
        <v>2550</v>
      </c>
      <c r="XL44" s="314"/>
      <c r="XM44" s="314">
        <v>2300</v>
      </c>
      <c r="XN44" s="314">
        <v>2200</v>
      </c>
      <c r="XO44" s="314">
        <f>2000+30</f>
        <v>2030</v>
      </c>
      <c r="XP44" s="124">
        <v>1929</v>
      </c>
      <c r="XQ44" s="314">
        <v>1100</v>
      </c>
      <c r="XR44" s="314">
        <v>1600</v>
      </c>
      <c r="XS44" s="178"/>
      <c r="XT44" s="314">
        <v>1600</v>
      </c>
      <c r="XU44" s="314">
        <v>1760</v>
      </c>
      <c r="XV44" s="314">
        <v>1800</v>
      </c>
      <c r="XW44" s="314">
        <v>1700</v>
      </c>
      <c r="XX44" s="314">
        <v>1870</v>
      </c>
      <c r="XY44" s="314">
        <v>1880</v>
      </c>
      <c r="XZ44" s="136">
        <v>1700</v>
      </c>
      <c r="YA44" s="314">
        <v>1930</v>
      </c>
      <c r="YB44" s="314">
        <v>1930</v>
      </c>
      <c r="YC44" s="314">
        <v>1950</v>
      </c>
      <c r="YD44" s="314">
        <v>1850</v>
      </c>
      <c r="YE44" s="314">
        <v>1850</v>
      </c>
      <c r="YF44" s="314">
        <v>2000</v>
      </c>
      <c r="YG44" s="178"/>
      <c r="YH44" s="314">
        <v>1850</v>
      </c>
      <c r="YI44" s="314">
        <v>1910</v>
      </c>
      <c r="YJ44" s="314">
        <v>1700</v>
      </c>
      <c r="YL44" s="136">
        <v>1750</v>
      </c>
      <c r="YM44" s="74"/>
      <c r="YN44" s="136">
        <v>1850</v>
      </c>
      <c r="YO44" s="314"/>
      <c r="YP44" s="124">
        <v>1980</v>
      </c>
      <c r="YQ44" s="314">
        <f>528+160</f>
        <v>688</v>
      </c>
      <c r="YR44" s="314">
        <v>1400</v>
      </c>
      <c r="YS44" s="314">
        <v>2000</v>
      </c>
      <c r="YT44" s="314">
        <v>2180</v>
      </c>
      <c r="YU44" s="314">
        <v>2100</v>
      </c>
      <c r="YW44" s="314">
        <v>2100</v>
      </c>
      <c r="YX44" s="314">
        <v>2100</v>
      </c>
      <c r="YY44" s="314">
        <v>2110</v>
      </c>
      <c r="YZ44" s="124">
        <v>1337</v>
      </c>
      <c r="ZA44" s="314"/>
      <c r="ZB44" s="136">
        <v>1620</v>
      </c>
      <c r="ZC44" s="314"/>
      <c r="ZD44" s="136">
        <f>563+900</f>
        <v>1463</v>
      </c>
      <c r="ZE44" s="136">
        <f>1300+150</f>
        <v>1450</v>
      </c>
      <c r="ZF44" s="136">
        <v>1750</v>
      </c>
      <c r="ZG44" s="136">
        <f>269+1330</f>
        <v>1599</v>
      </c>
      <c r="ZH44" s="136">
        <f>1151+210</f>
        <v>1361</v>
      </c>
      <c r="ZI44" s="136">
        <f>705+298</f>
        <v>1003</v>
      </c>
      <c r="ZK44" s="136">
        <v>1560</v>
      </c>
      <c r="ZL44" s="136">
        <v>1500</v>
      </c>
      <c r="ZM44" s="136">
        <f>189+20+911</f>
        <v>1120</v>
      </c>
      <c r="ZN44" s="136">
        <v>1560</v>
      </c>
      <c r="ZO44" s="136">
        <v>1522</v>
      </c>
      <c r="ZP44" s="136">
        <v>1300</v>
      </c>
      <c r="ZR44" s="74"/>
      <c r="ZT44" s="136">
        <v>1420</v>
      </c>
      <c r="ZU44" s="136">
        <f>851+450</f>
        <v>1301</v>
      </c>
      <c r="ZV44" s="136">
        <v>1660</v>
      </c>
      <c r="ZW44" s="314">
        <v>1520</v>
      </c>
      <c r="ZX44" s="124">
        <f>566+18+270</f>
        <v>854</v>
      </c>
      <c r="ZZ44" s="314">
        <v>1270</v>
      </c>
      <c r="AAA44" s="136">
        <v>1270</v>
      </c>
      <c r="AAB44" s="124">
        <v>1317</v>
      </c>
      <c r="AAC44" s="136">
        <v>1320</v>
      </c>
      <c r="AAD44" s="314">
        <v>1500</v>
      </c>
      <c r="AAE44" s="777"/>
      <c r="AAF44" s="705"/>
      <c r="AAG44" s="705"/>
      <c r="AAH44" s="705"/>
      <c r="AAI44" s="778"/>
      <c r="AAJ44" s="136">
        <f>1054+190</f>
        <v>1244</v>
      </c>
      <c r="AAK44" s="136">
        <v>1200</v>
      </c>
      <c r="AAL44" s="136">
        <v>1550</v>
      </c>
      <c r="AAM44" s="314">
        <f>162+910</f>
        <v>1072</v>
      </c>
      <c r="AAN44" s="136">
        <v>1700</v>
      </c>
      <c r="AAO44" s="136">
        <v>2000</v>
      </c>
      <c r="AAP44" s="136">
        <f>545+1260</f>
        <v>1805</v>
      </c>
      <c r="AAQ44" s="136">
        <v>2100</v>
      </c>
      <c r="AAR44" s="124">
        <f>1270+289+40</f>
        <v>1599</v>
      </c>
      <c r="AAS44" s="314">
        <v>1560</v>
      </c>
      <c r="AAU44" s="314">
        <v>1700</v>
      </c>
      <c r="AAV44" s="136">
        <f>1085+580</f>
        <v>1665</v>
      </c>
      <c r="AAW44" s="136">
        <v>1280</v>
      </c>
      <c r="AAX44" s="74"/>
      <c r="AAY44" s="314">
        <f>1140+520</f>
        <v>1660</v>
      </c>
      <c r="AAZ44" s="124">
        <f>1165+110</f>
        <v>1275</v>
      </c>
      <c r="ABA44" s="136">
        <v>1650</v>
      </c>
      <c r="ABB44" s="314"/>
      <c r="ABC44" s="314">
        <f>314+1300</f>
        <v>1614</v>
      </c>
      <c r="ABD44" s="314">
        <v>1960</v>
      </c>
      <c r="ABE44" s="136">
        <v>2020</v>
      </c>
      <c r="ABF44" s="124">
        <f>1792+20</f>
        <v>1812</v>
      </c>
      <c r="ABG44" s="136">
        <v>1760</v>
      </c>
      <c r="ABH44" s="136">
        <v>1900</v>
      </c>
      <c r="ABJ44" s="136">
        <f>824+1080</f>
        <v>1904</v>
      </c>
      <c r="ABK44" s="136">
        <v>1900</v>
      </c>
      <c r="ABL44" s="136">
        <v>2050</v>
      </c>
      <c r="ABM44" s="124">
        <f>715+27+12+12+340</f>
        <v>1106</v>
      </c>
      <c r="ABN44" s="136">
        <v>1550</v>
      </c>
      <c r="ABO44" s="136">
        <v>1760</v>
      </c>
      <c r="ABP44" s="124">
        <f>760+240</f>
        <v>1000</v>
      </c>
      <c r="ABQ44" s="136">
        <v>1500</v>
      </c>
      <c r="ABR44" s="136">
        <f>301+1100</f>
        <v>1401</v>
      </c>
      <c r="ABS44" s="136">
        <v>1980</v>
      </c>
      <c r="ABT44" s="136">
        <v>2000</v>
      </c>
      <c r="ABU44" s="136">
        <f>698+1150</f>
        <v>1848</v>
      </c>
      <c r="ABV44" s="124">
        <f>651+1000</f>
        <v>1651</v>
      </c>
      <c r="ABX44" s="136">
        <v>1800</v>
      </c>
      <c r="ABY44" s="136">
        <v>2000</v>
      </c>
      <c r="ABZ44" s="136">
        <v>1980</v>
      </c>
      <c r="ACA44" s="136">
        <v>1800</v>
      </c>
      <c r="ACB44" s="136">
        <v>1500</v>
      </c>
      <c r="ACC44" s="74"/>
      <c r="ACD44" s="136">
        <v>1800</v>
      </c>
      <c r="ACE44" s="124">
        <f>1346+20</f>
        <v>1366</v>
      </c>
      <c r="ACF44" s="314">
        <v>1800</v>
      </c>
      <c r="ACG44" s="136">
        <v>2150</v>
      </c>
      <c r="ACH44" s="136">
        <v>2050</v>
      </c>
      <c r="ACI44" s="314">
        <v>2050</v>
      </c>
      <c r="ACJ44" s="314">
        <v>2100</v>
      </c>
      <c r="ACK44" s="314">
        <v>2150</v>
      </c>
      <c r="ACL44" s="314"/>
      <c r="ACM44" s="314">
        <v>2200</v>
      </c>
      <c r="ACN44" s="314">
        <v>2000</v>
      </c>
      <c r="ACO44" s="314">
        <v>2150</v>
      </c>
      <c r="ACP44" s="314">
        <v>2100</v>
      </c>
      <c r="ACQ44" s="314">
        <v>2100</v>
      </c>
      <c r="ACR44" s="314">
        <v>2000</v>
      </c>
      <c r="ACS44" s="314">
        <v>1750</v>
      </c>
      <c r="ACT44" s="314">
        <v>2100</v>
      </c>
      <c r="ACU44" s="314">
        <v>2050</v>
      </c>
      <c r="ACV44" s="314">
        <v>1060</v>
      </c>
      <c r="ACW44" s="785"/>
      <c r="ACX44" s="786"/>
      <c r="ACY44" s="786"/>
      <c r="ACZ44" s="786"/>
      <c r="ADA44" s="786"/>
      <c r="ADB44" s="786"/>
      <c r="ADC44" s="786"/>
      <c r="ADD44" s="786"/>
      <c r="ADE44" s="786"/>
      <c r="ADF44" s="786"/>
      <c r="ADG44" s="787"/>
      <c r="ADH44" s="314"/>
      <c r="ADI44" s="74"/>
      <c r="ADJ44" s="314">
        <v>1200</v>
      </c>
      <c r="ADK44" s="314">
        <v>2200</v>
      </c>
      <c r="ADL44" s="124">
        <v>2094</v>
      </c>
      <c r="ADM44" s="314">
        <v>900</v>
      </c>
      <c r="ADN44" s="314">
        <v>1550</v>
      </c>
      <c r="ADP44" s="314">
        <v>1600</v>
      </c>
      <c r="ADQ44" s="139">
        <v>1900</v>
      </c>
      <c r="ADR44" s="139">
        <f>1369+340</f>
        <v>1709</v>
      </c>
      <c r="ADS44" s="139">
        <v>2000</v>
      </c>
      <c r="ADT44" s="139">
        <v>1980</v>
      </c>
      <c r="ADU44" s="139">
        <v>1900</v>
      </c>
      <c r="ADV44" s="314">
        <v>1150</v>
      </c>
      <c r="ADW44" s="314"/>
      <c r="ADX44" s="314"/>
      <c r="ADY44" s="136">
        <f>1252+220</f>
        <v>1472</v>
      </c>
      <c r="ADZ44" s="136">
        <v>1320</v>
      </c>
      <c r="AEA44" s="136">
        <f>1463+190</f>
        <v>1653</v>
      </c>
      <c r="AEB44" s="136">
        <v>1870</v>
      </c>
      <c r="AED44" s="136">
        <f>940+310</f>
        <v>1250</v>
      </c>
      <c r="AEE44" s="136">
        <v>1530</v>
      </c>
      <c r="AEF44" s="136">
        <v>1870</v>
      </c>
      <c r="AEG44" s="136">
        <f>726+1150</f>
        <v>1876</v>
      </c>
      <c r="AEH44" s="136">
        <v>1980</v>
      </c>
      <c r="AEI44" s="136">
        <v>1980</v>
      </c>
      <c r="AEK44" s="136">
        <v>1800</v>
      </c>
      <c r="AEL44" s="124">
        <f>629+380</f>
        <v>1009</v>
      </c>
      <c r="AEM44" s="314">
        <v>1403</v>
      </c>
      <c r="AEN44" s="136">
        <v>1219</v>
      </c>
      <c r="AEO44" s="74"/>
      <c r="AEP44" s="136">
        <v>1300</v>
      </c>
      <c r="AEQ44" s="314">
        <v>1450</v>
      </c>
      <c r="AER44" s="314"/>
      <c r="AES44" s="314">
        <v>1700</v>
      </c>
      <c r="AET44" s="314">
        <v>1850</v>
      </c>
      <c r="AEU44" s="314">
        <f>1020+152+154</f>
        <v>1326</v>
      </c>
      <c r="AEV44" s="314">
        <f>870+30</f>
        <v>900</v>
      </c>
      <c r="AEW44" s="314">
        <f>1740+360</f>
        <v>2100</v>
      </c>
      <c r="AEX44" s="136">
        <v>2050</v>
      </c>
      <c r="AEZ44" s="136">
        <v>2500</v>
      </c>
      <c r="AFA44" s="136">
        <v>2704</v>
      </c>
      <c r="AFB44" s="136">
        <v>2750</v>
      </c>
      <c r="AFC44" s="314">
        <v>2800</v>
      </c>
      <c r="AFD44" s="314">
        <v>2650</v>
      </c>
      <c r="AFE44" s="124">
        <f>1972+0</f>
        <v>1972</v>
      </c>
      <c r="AFG44" s="314">
        <f>2+500</f>
        <v>502</v>
      </c>
      <c r="AFH44" s="314">
        <v>1100</v>
      </c>
      <c r="AFI44" s="314">
        <v>1300</v>
      </c>
      <c r="AFJ44" s="314">
        <v>1560</v>
      </c>
      <c r="AFK44" s="314">
        <v>1870</v>
      </c>
      <c r="AFL44" s="314">
        <v>2000</v>
      </c>
      <c r="AFN44" s="314">
        <v>2050</v>
      </c>
      <c r="AFO44" s="314">
        <f>3+2000</f>
        <v>2003</v>
      </c>
      <c r="AFP44" s="314">
        <v>2000</v>
      </c>
      <c r="AFQ44" s="314">
        <v>2050</v>
      </c>
      <c r="AFR44" s="314">
        <v>2000</v>
      </c>
      <c r="AFS44" s="314">
        <v>1600</v>
      </c>
      <c r="AFT44" s="74"/>
      <c r="AFV44" s="314">
        <v>1800</v>
      </c>
      <c r="AFW44" s="314">
        <v>1800</v>
      </c>
      <c r="AFX44" s="314">
        <v>1800</v>
      </c>
      <c r="AFY44" s="314">
        <v>1820</v>
      </c>
      <c r="AFZ44" s="314">
        <v>1850</v>
      </c>
      <c r="AGA44" s="314">
        <v>1800</v>
      </c>
      <c r="AGB44" s="314"/>
      <c r="AGC44" s="314">
        <v>1650</v>
      </c>
      <c r="AGD44" s="314">
        <v>1720</v>
      </c>
      <c r="AGE44" s="314">
        <v>2000</v>
      </c>
      <c r="AGF44" s="314">
        <v>1750</v>
      </c>
      <c r="AGG44" s="314">
        <v>1750</v>
      </c>
      <c r="AGH44" s="314">
        <v>1840</v>
      </c>
      <c r="AGI44" s="314"/>
      <c r="AGJ44" s="314">
        <v>1850</v>
      </c>
      <c r="AGK44" s="314">
        <v>1850</v>
      </c>
      <c r="AGL44" s="314">
        <v>1850</v>
      </c>
      <c r="AGM44" s="314">
        <v>1950</v>
      </c>
      <c r="AGN44" s="314">
        <v>2100</v>
      </c>
      <c r="AGO44" s="314">
        <v>2000</v>
      </c>
      <c r="AGQ44" s="314">
        <v>2100</v>
      </c>
      <c r="AGR44" s="314">
        <v>2200</v>
      </c>
      <c r="AGS44" s="314">
        <v>2000</v>
      </c>
      <c r="AGT44" s="124">
        <v>1937</v>
      </c>
      <c r="AGU44" s="136">
        <v>100</v>
      </c>
      <c r="AGV44" s="136">
        <v>1000</v>
      </c>
      <c r="AGX44" s="136">
        <v>1700</v>
      </c>
      <c r="AGY44" s="136">
        <v>1400</v>
      </c>
      <c r="AGZ44" s="74"/>
      <c r="AHA44" s="136">
        <v>1420</v>
      </c>
      <c r="AHB44" s="136">
        <f>410+340</f>
        <v>750</v>
      </c>
      <c r="AHC44" s="136">
        <v>1260</v>
      </c>
      <c r="AHD44" s="136">
        <f>419+104+676</f>
        <v>1199</v>
      </c>
      <c r="AHF44" s="136">
        <v>1750</v>
      </c>
      <c r="AHG44" s="136">
        <v>1400</v>
      </c>
      <c r="AHH44" s="124">
        <f>476+307+320</f>
        <v>1103</v>
      </c>
      <c r="AHI44" s="314">
        <v>1960</v>
      </c>
      <c r="AHJ44" s="136">
        <v>1818</v>
      </c>
      <c r="AHK44" s="314">
        <v>540</v>
      </c>
      <c r="AHM44" s="314">
        <v>1200</v>
      </c>
      <c r="AHN44" s="314">
        <f>528+780</f>
        <v>1308</v>
      </c>
      <c r="AHO44" s="314">
        <f>429+1070</f>
        <v>1499</v>
      </c>
      <c r="AHP44" s="314">
        <v>1820</v>
      </c>
      <c r="AHQ44" s="136">
        <v>1950</v>
      </c>
      <c r="AHR44" s="136">
        <v>1980</v>
      </c>
      <c r="AHT44" s="136">
        <v>1980</v>
      </c>
      <c r="AHU44" s="136">
        <v>1700</v>
      </c>
      <c r="AHX44" s="136">
        <v>700</v>
      </c>
      <c r="AHY44" s="136">
        <v>1300</v>
      </c>
      <c r="AIA44" s="136">
        <v>1870</v>
      </c>
      <c r="AIB44" s="124">
        <v>1870</v>
      </c>
      <c r="AIC44" s="136">
        <v>600</v>
      </c>
      <c r="AID44" s="136">
        <v>1200</v>
      </c>
      <c r="AIE44" s="74"/>
      <c r="AIF44" s="136">
        <v>1700</v>
      </c>
      <c r="AIG44" s="136">
        <v>1870</v>
      </c>
      <c r="AII44" s="136">
        <v>1870</v>
      </c>
      <c r="AIJ44" s="124">
        <v>1760</v>
      </c>
      <c r="AIK44" s="136">
        <v>300</v>
      </c>
      <c r="AIL44" s="136">
        <v>600</v>
      </c>
      <c r="AIM44" s="136">
        <v>900</v>
      </c>
      <c r="AIN44" s="136">
        <v>900</v>
      </c>
      <c r="AIP44" s="136">
        <v>600</v>
      </c>
      <c r="AIQ44" s="136">
        <v>1200</v>
      </c>
      <c r="AIR44" s="124">
        <v>1290</v>
      </c>
      <c r="AIS44" s="136">
        <v>1200</v>
      </c>
      <c r="AIT44" s="314">
        <v>1800</v>
      </c>
      <c r="AIW44" s="314">
        <v>2000</v>
      </c>
      <c r="AIX44" s="314">
        <v>1700</v>
      </c>
      <c r="AIY44" s="314">
        <v>1290</v>
      </c>
      <c r="AIZ44" s="124">
        <v>1800</v>
      </c>
      <c r="AJA44" s="136">
        <v>660</v>
      </c>
      <c r="AJB44" s="136">
        <v>1000</v>
      </c>
      <c r="AJD44" s="136">
        <v>1290</v>
      </c>
      <c r="AJE44" s="136">
        <v>1800</v>
      </c>
      <c r="AJF44" s="136">
        <v>1290</v>
      </c>
      <c r="AJG44" s="136">
        <v>1800</v>
      </c>
      <c r="AJH44" s="136">
        <v>1290</v>
      </c>
      <c r="AJI44" s="136">
        <v>1800</v>
      </c>
      <c r="AJK44" s="74"/>
      <c r="AJL44" s="314">
        <v>1290</v>
      </c>
      <c r="AJM44" s="136">
        <v>1800</v>
      </c>
      <c r="AJN44" s="136">
        <v>1290</v>
      </c>
      <c r="AJO44" s="124">
        <v>1800</v>
      </c>
      <c r="AJP44" s="314">
        <v>1290</v>
      </c>
      <c r="AJS44" s="124">
        <v>1800</v>
      </c>
      <c r="AJT44" s="139">
        <v>1290</v>
      </c>
      <c r="AJU44" s="124">
        <v>1800</v>
      </c>
      <c r="AJV44" s="136">
        <v>1430</v>
      </c>
      <c r="AJW44" s="136">
        <v>1430</v>
      </c>
      <c r="AJX44" s="136">
        <v>1430</v>
      </c>
      <c r="AJZ44" s="136">
        <v>1010</v>
      </c>
      <c r="AKA44" s="136">
        <v>1850</v>
      </c>
      <c r="AKB44" s="136">
        <v>1430</v>
      </c>
      <c r="AKC44" s="136">
        <v>1310</v>
      </c>
      <c r="AKD44" s="314">
        <v>1550</v>
      </c>
      <c r="AKE44" s="314">
        <v>1430</v>
      </c>
      <c r="AKG44" s="314">
        <v>1430</v>
      </c>
      <c r="AKH44" s="314">
        <v>1430</v>
      </c>
      <c r="AKI44" s="124">
        <v>1910</v>
      </c>
      <c r="AKJ44" s="139">
        <v>1290</v>
      </c>
      <c r="AKK44" s="139">
        <v>1800</v>
      </c>
      <c r="AKL44" s="139">
        <v>1290</v>
      </c>
      <c r="AKN44" s="139">
        <v>1800</v>
      </c>
      <c r="AKO44" s="139">
        <v>1290</v>
      </c>
      <c r="AKP44" s="139">
        <v>1800</v>
      </c>
      <c r="AKQ44" s="74"/>
      <c r="AKR44" s="139">
        <v>1290</v>
      </c>
      <c r="AKS44" s="139">
        <v>1800</v>
      </c>
      <c r="AKT44" s="139">
        <v>1290</v>
      </c>
      <c r="AKV44" s="139">
        <v>1800</v>
      </c>
      <c r="AKW44" s="139">
        <v>600</v>
      </c>
      <c r="AKX44" s="139">
        <v>1200</v>
      </c>
      <c r="AKY44" s="139">
        <v>1800</v>
      </c>
      <c r="AKZ44" s="139">
        <v>2000</v>
      </c>
      <c r="ALA44" s="139">
        <v>2000</v>
      </c>
      <c r="ALB44" s="139"/>
      <c r="ALC44" s="139">
        <v>2000</v>
      </c>
      <c r="ALD44" s="139">
        <v>2000</v>
      </c>
      <c r="ALE44" s="139">
        <v>2000</v>
      </c>
      <c r="ALF44" s="139">
        <v>2000</v>
      </c>
      <c r="ALG44" s="139">
        <v>2000</v>
      </c>
      <c r="ALH44" s="139">
        <v>2000</v>
      </c>
      <c r="ALI44" s="139"/>
      <c r="ALJ44" s="139">
        <v>2000</v>
      </c>
      <c r="ALK44" s="139">
        <v>2000</v>
      </c>
      <c r="ALL44" s="139"/>
      <c r="ALM44" s="139">
        <v>2000</v>
      </c>
      <c r="ALN44" s="139">
        <v>2000</v>
      </c>
      <c r="ALO44" s="139">
        <v>2000</v>
      </c>
      <c r="ALP44" s="139"/>
      <c r="ALQ44" s="139">
        <v>2000</v>
      </c>
      <c r="ALR44" s="139">
        <v>2000</v>
      </c>
      <c r="ALS44" s="667">
        <v>2000</v>
      </c>
      <c r="ALT44" s="74"/>
      <c r="ALU44" s="467">
        <v>2000</v>
      </c>
      <c r="ALV44" s="139">
        <v>2000</v>
      </c>
      <c r="ALW44" s="139">
        <v>2000</v>
      </c>
      <c r="ALX44" s="139"/>
      <c r="ALY44" s="139">
        <v>2000</v>
      </c>
      <c r="ALZ44" s="139">
        <v>2000</v>
      </c>
      <c r="AMA44" s="139">
        <v>2000</v>
      </c>
      <c r="AMB44" s="139">
        <v>2000</v>
      </c>
      <c r="AMC44" s="139">
        <v>2000</v>
      </c>
      <c r="AMD44" s="139">
        <v>2000</v>
      </c>
      <c r="AME44" s="314"/>
      <c r="AMF44" s="139">
        <v>2000</v>
      </c>
      <c r="AMG44" s="139">
        <v>2000</v>
      </c>
      <c r="AMH44" s="139">
        <v>2000</v>
      </c>
      <c r="AMI44" s="139">
        <v>2000</v>
      </c>
      <c r="AMJ44" s="139">
        <v>2000</v>
      </c>
      <c r="AMK44" s="139">
        <v>2000</v>
      </c>
      <c r="AML44" s="139"/>
      <c r="AMM44" s="139">
        <v>2000</v>
      </c>
      <c r="AMN44" s="139">
        <v>2000</v>
      </c>
      <c r="AMO44" s="139">
        <v>2000</v>
      </c>
      <c r="AMP44" s="139">
        <v>2000</v>
      </c>
      <c r="AMQ44" s="139">
        <v>2000</v>
      </c>
      <c r="AMR44" s="139">
        <v>2000</v>
      </c>
      <c r="AMS44" s="139"/>
      <c r="AMT44" s="139"/>
      <c r="AMU44" s="139">
        <v>2000</v>
      </c>
      <c r="AMV44" s="139">
        <v>2000</v>
      </c>
      <c r="AMW44" s="139">
        <v>2000</v>
      </c>
      <c r="AMX44" s="139">
        <v>2000</v>
      </c>
      <c r="AMY44" s="667">
        <v>2000</v>
      </c>
      <c r="AMZ44" s="74"/>
      <c r="ANA44" s="603"/>
      <c r="ANB44" s="139">
        <v>1620</v>
      </c>
      <c r="ANC44" s="139">
        <v>1620</v>
      </c>
      <c r="AND44" s="124">
        <v>1620</v>
      </c>
      <c r="ANE44" s="136">
        <v>1620</v>
      </c>
      <c r="ANF44" s="136">
        <v>1620</v>
      </c>
      <c r="ANG44" s="136">
        <v>1620</v>
      </c>
      <c r="ANH44" s="124">
        <v>1440</v>
      </c>
      <c r="ANI44" s="136">
        <v>700</v>
      </c>
      <c r="ANJ44" s="136">
        <v>1400</v>
      </c>
      <c r="ANK44" s="136">
        <v>2000</v>
      </c>
      <c r="ANL44" s="136">
        <v>2100</v>
      </c>
      <c r="ANM44" s="136">
        <v>2100</v>
      </c>
      <c r="ANP44" s="124">
        <v>2100</v>
      </c>
      <c r="ANQ44" s="314">
        <v>1260</v>
      </c>
      <c r="ANR44" s="314">
        <v>1260</v>
      </c>
      <c r="ANS44" s="314">
        <v>1260</v>
      </c>
      <c r="ANT44" s="314">
        <v>1260</v>
      </c>
      <c r="ANU44" s="314">
        <v>1260</v>
      </c>
      <c r="ANV44" s="314">
        <v>1260</v>
      </c>
      <c r="ANW44" s="314">
        <v>1260</v>
      </c>
      <c r="ANX44" s="314">
        <v>1260</v>
      </c>
      <c r="ANY44" s="314">
        <v>1260</v>
      </c>
      <c r="ANZ44" s="314">
        <v>1260</v>
      </c>
      <c r="AOA44" s="314">
        <v>1260</v>
      </c>
      <c r="AOB44" s="314">
        <v>1260</v>
      </c>
      <c r="AOC44" s="314"/>
      <c r="AOD44" s="314">
        <v>1260</v>
      </c>
      <c r="AOE44" s="74"/>
      <c r="AOF44" s="142"/>
      <c r="AOG44" s="142"/>
      <c r="AOH44" s="142"/>
      <c r="AOI44" s="142"/>
      <c r="AOJ44" s="142"/>
      <c r="AOK44" s="142"/>
      <c r="AOL44" s="142"/>
      <c r="AOM44" s="142"/>
      <c r="AON44" s="142"/>
      <c r="AOO44" s="314">
        <v>1540</v>
      </c>
      <c r="AOP44" s="314">
        <v>1540</v>
      </c>
      <c r="AOQ44" s="314">
        <v>1540</v>
      </c>
      <c r="AOR44" s="314"/>
      <c r="AOS44" s="314">
        <v>1540</v>
      </c>
      <c r="AOT44" s="314">
        <v>1540</v>
      </c>
      <c r="AOU44" s="124">
        <v>1540</v>
      </c>
      <c r="AOV44" s="136">
        <v>500</v>
      </c>
      <c r="AOW44" s="136">
        <v>1000</v>
      </c>
      <c r="AOX44" s="314">
        <v>1400</v>
      </c>
      <c r="AOZ44" s="314">
        <v>1800</v>
      </c>
      <c r="APA44" s="314">
        <v>2000</v>
      </c>
      <c r="APB44" s="314">
        <v>2000</v>
      </c>
      <c r="APC44" s="314">
        <v>2000</v>
      </c>
      <c r="APD44" s="314">
        <v>2000</v>
      </c>
      <c r="APE44" s="314">
        <v>2000</v>
      </c>
      <c r="APG44" s="314">
        <v>2000</v>
      </c>
      <c r="APH44" s="314">
        <v>2000</v>
      </c>
      <c r="API44" s="314">
        <v>2000</v>
      </c>
      <c r="APJ44" s="314">
        <v>2000</v>
      </c>
      <c r="APK44" s="74"/>
      <c r="APL44" s="314">
        <v>2000</v>
      </c>
      <c r="APM44" s="314">
        <v>2000</v>
      </c>
      <c r="APN44" s="314">
        <v>1440</v>
      </c>
      <c r="APO44" s="314">
        <v>2000</v>
      </c>
      <c r="APP44" s="314">
        <v>2000</v>
      </c>
      <c r="APQ44" s="314">
        <v>2000</v>
      </c>
      <c r="APR44" s="314">
        <v>2000</v>
      </c>
      <c r="APS44" s="314">
        <v>2000</v>
      </c>
      <c r="APT44" s="136">
        <v>2000</v>
      </c>
      <c r="APV44" s="314">
        <v>2000</v>
      </c>
      <c r="APW44" s="314">
        <v>2000</v>
      </c>
      <c r="APX44" s="124">
        <v>500</v>
      </c>
      <c r="APY44" s="314">
        <v>2000</v>
      </c>
      <c r="APZ44" s="314">
        <v>2000</v>
      </c>
      <c r="AQA44" s="314">
        <v>2000</v>
      </c>
      <c r="AQC44" s="314">
        <v>2000</v>
      </c>
      <c r="AQD44" s="314">
        <v>2000</v>
      </c>
      <c r="AQE44" s="314">
        <v>2000</v>
      </c>
      <c r="AQF44" s="314">
        <v>2000</v>
      </c>
      <c r="AQG44" s="314">
        <v>2000</v>
      </c>
      <c r="AQH44" s="314">
        <v>2000</v>
      </c>
      <c r="AQI44" s="314">
        <v>1440</v>
      </c>
      <c r="AQJ44" s="314">
        <v>2000</v>
      </c>
      <c r="AQK44" s="314">
        <v>2000</v>
      </c>
      <c r="AQL44" s="314">
        <v>2000</v>
      </c>
      <c r="AQM44" s="314">
        <v>2000</v>
      </c>
      <c r="AQN44" s="314">
        <v>2000</v>
      </c>
      <c r="AQO44" s="124">
        <v>1060</v>
      </c>
      <c r="AQP44" s="74"/>
      <c r="AQQ44" s="314"/>
      <c r="AQR44" s="314">
        <v>2000</v>
      </c>
      <c r="AQS44" s="314">
        <v>2000</v>
      </c>
      <c r="AQT44" s="314">
        <v>2000</v>
      </c>
      <c r="AQU44" s="314">
        <v>2000</v>
      </c>
      <c r="AQV44" s="314">
        <v>2000</v>
      </c>
      <c r="AQW44" s="314">
        <v>2000</v>
      </c>
      <c r="AQX44" s="142"/>
      <c r="AQY44" s="142"/>
      <c r="AQZ44" s="142"/>
      <c r="ARA44" s="142"/>
      <c r="ARB44" s="142"/>
      <c r="ARC44" s="142"/>
      <c r="ARD44" s="142"/>
      <c r="ARE44" s="142"/>
      <c r="ARF44" s="142"/>
      <c r="ARG44" s="314">
        <v>2000</v>
      </c>
      <c r="ARH44" s="314">
        <v>2000</v>
      </c>
      <c r="ARI44" s="314">
        <v>2000</v>
      </c>
      <c r="ARJ44" s="314">
        <v>2000</v>
      </c>
      <c r="ARK44" s="314">
        <v>2000</v>
      </c>
      <c r="ARL44" s="314"/>
      <c r="ARM44" s="314">
        <v>2000</v>
      </c>
      <c r="ARN44" s="314">
        <v>2000</v>
      </c>
      <c r="ARO44" s="314">
        <v>2000</v>
      </c>
      <c r="ARP44" s="314">
        <v>2000</v>
      </c>
      <c r="ARQ44" s="314">
        <v>2000</v>
      </c>
      <c r="ARR44" s="124">
        <v>2000</v>
      </c>
      <c r="ARS44" s="314"/>
      <c r="ART44" s="314">
        <v>2000</v>
      </c>
      <c r="ARU44" s="314">
        <v>2000</v>
      </c>
      <c r="ARV44" s="74"/>
      <c r="ARW44" s="314">
        <v>1800</v>
      </c>
      <c r="ARX44" s="314">
        <v>1800</v>
      </c>
      <c r="ARY44" s="314">
        <v>1800</v>
      </c>
      <c r="ARZ44" s="314">
        <v>1800</v>
      </c>
      <c r="ASA44" s="314"/>
      <c r="ASB44" s="314">
        <v>1800</v>
      </c>
      <c r="ASC44" s="314">
        <v>1800</v>
      </c>
      <c r="ASD44" s="314">
        <v>1800</v>
      </c>
      <c r="ASE44" s="314">
        <v>1800</v>
      </c>
      <c r="ASF44" s="314">
        <v>1800</v>
      </c>
      <c r="ASG44" s="314">
        <v>1800</v>
      </c>
      <c r="ASH44" s="314"/>
      <c r="ASI44" s="314">
        <v>1800</v>
      </c>
      <c r="ASJ44" s="314">
        <v>1800</v>
      </c>
      <c r="ASK44" s="314"/>
      <c r="ASL44" s="314">
        <v>1800</v>
      </c>
      <c r="ASM44" s="314">
        <v>1800</v>
      </c>
      <c r="ASN44" s="314">
        <v>1800</v>
      </c>
      <c r="ASO44" s="314"/>
      <c r="ASP44" s="124">
        <v>1800</v>
      </c>
      <c r="ASQ44" s="314"/>
      <c r="ASR44" s="314"/>
      <c r="ASS44" s="314"/>
      <c r="AST44" s="314"/>
      <c r="ASV44" s="314"/>
      <c r="ASW44" s="314"/>
      <c r="ASX44" s="314"/>
      <c r="ASY44" s="314"/>
      <c r="ASZ44" s="314"/>
      <c r="ATA44" s="314"/>
      <c r="ATB44" s="74"/>
      <c r="ATC44" s="314">
        <v>1550</v>
      </c>
      <c r="ATD44" s="314"/>
      <c r="ATE44" s="314">
        <v>1550</v>
      </c>
      <c r="ATF44" s="314">
        <v>1550</v>
      </c>
      <c r="ATG44" s="314">
        <v>1550</v>
      </c>
      <c r="ATH44" s="314">
        <v>1550</v>
      </c>
      <c r="ATI44" s="314">
        <v>1550</v>
      </c>
      <c r="ATJ44" s="314">
        <v>1550</v>
      </c>
      <c r="ATK44" s="314"/>
      <c r="ATL44" s="314">
        <v>1550</v>
      </c>
      <c r="ATM44" s="314">
        <v>1550</v>
      </c>
      <c r="ATN44" s="314">
        <v>1550</v>
      </c>
      <c r="ATO44" s="314">
        <v>1550</v>
      </c>
      <c r="ATP44" s="314">
        <v>1550</v>
      </c>
      <c r="ATQ44" s="314">
        <v>1550</v>
      </c>
      <c r="ATR44" s="314"/>
      <c r="ATS44" s="314">
        <v>1550</v>
      </c>
      <c r="ATT44" s="314">
        <v>1550</v>
      </c>
      <c r="ATU44" s="314"/>
      <c r="ATV44" s="314"/>
      <c r="ATW44" s="314"/>
      <c r="ATX44" s="314"/>
      <c r="ATY44" s="314"/>
      <c r="ATZ44" s="314"/>
      <c r="AUA44" s="314"/>
      <c r="AUB44" s="314"/>
      <c r="AUC44" s="314"/>
      <c r="AUD44" s="314"/>
      <c r="AUE44" s="314"/>
      <c r="AUF44" s="314"/>
      <c r="AUG44" s="74"/>
      <c r="AUH44" s="314"/>
      <c r="AUI44" s="314"/>
      <c r="AUJ44" s="314"/>
      <c r="AUK44" s="314"/>
      <c r="AUL44" s="314"/>
      <c r="AUM44" s="314"/>
      <c r="AUN44" s="314"/>
      <c r="AUO44" s="314"/>
      <c r="AUP44" s="314"/>
      <c r="AUQ44" s="314"/>
      <c r="AUR44" s="314"/>
      <c r="AUS44" s="314"/>
      <c r="AUT44" s="314"/>
      <c r="AUU44" s="314"/>
      <c r="AUV44" s="314"/>
      <c r="AUW44" s="314"/>
      <c r="AUX44" s="314"/>
      <c r="AUY44" s="314"/>
      <c r="AUZ44" s="314"/>
      <c r="AVA44" s="314">
        <v>1400</v>
      </c>
      <c r="AVB44" s="314"/>
      <c r="AVC44" s="314">
        <v>1400</v>
      </c>
      <c r="AVD44" s="314">
        <v>1400</v>
      </c>
      <c r="AVE44" s="314">
        <v>1400</v>
      </c>
      <c r="AVF44" s="314">
        <v>1400</v>
      </c>
      <c r="AVG44" s="314">
        <v>1400</v>
      </c>
      <c r="AVH44" s="314">
        <v>1400</v>
      </c>
      <c r="AVJ44" s="314">
        <v>1400</v>
      </c>
      <c r="AVK44" s="314">
        <v>1400</v>
      </c>
      <c r="AVL44" s="314">
        <v>1400</v>
      </c>
      <c r="AVM44" s="74"/>
      <c r="AVN44" s="314">
        <v>1400</v>
      </c>
      <c r="AVO44" s="314">
        <v>1400</v>
      </c>
      <c r="AVP44" s="314">
        <v>1400</v>
      </c>
      <c r="AVQ44" s="314"/>
      <c r="AVR44" s="314">
        <v>1400</v>
      </c>
      <c r="AVS44" s="314">
        <v>1400</v>
      </c>
      <c r="AVT44" s="314">
        <v>1400</v>
      </c>
      <c r="AVU44" s="314">
        <v>1400</v>
      </c>
      <c r="AVV44" s="314">
        <v>1400</v>
      </c>
      <c r="AVW44" s="314">
        <v>1400</v>
      </c>
      <c r="AVX44" s="314"/>
      <c r="AVY44" s="314">
        <v>1400</v>
      </c>
      <c r="AVZ44" s="314">
        <v>1400</v>
      </c>
      <c r="AWA44" s="314">
        <v>1400</v>
      </c>
      <c r="AWB44" s="314">
        <v>1400</v>
      </c>
      <c r="AWC44" s="314">
        <v>1400</v>
      </c>
      <c r="AWD44" s="314">
        <v>1400</v>
      </c>
      <c r="AWE44" s="314"/>
      <c r="AWF44" s="314">
        <v>1400</v>
      </c>
      <c r="AWG44" s="314">
        <v>1400</v>
      </c>
      <c r="AWH44" s="314">
        <v>1400</v>
      </c>
      <c r="AWI44" s="314">
        <v>1400</v>
      </c>
      <c r="AWJ44" s="314">
        <v>1400</v>
      </c>
      <c r="AWK44" s="314">
        <v>1400</v>
      </c>
      <c r="AWL44" s="314"/>
      <c r="AWM44" s="314">
        <v>1400</v>
      </c>
      <c r="AWN44" s="314">
        <v>1400</v>
      </c>
      <c r="AWO44" s="314">
        <v>1400</v>
      </c>
      <c r="AWP44" s="314">
        <v>1400</v>
      </c>
      <c r="AWQ44" s="314">
        <v>1400</v>
      </c>
      <c r="AWR44" s="74"/>
      <c r="AWT44" s="314">
        <v>1400</v>
      </c>
      <c r="AWU44" s="314">
        <v>1400</v>
      </c>
      <c r="AWV44" s="314">
        <v>1400</v>
      </c>
      <c r="AWW44" s="314">
        <v>1400</v>
      </c>
      <c r="AWX44" s="314">
        <v>1400</v>
      </c>
      <c r="AWY44" s="314">
        <v>1400</v>
      </c>
      <c r="AWZ44" s="314">
        <v>1400</v>
      </c>
      <c r="AXB44" s="314">
        <v>1400</v>
      </c>
      <c r="AXC44" s="314">
        <v>1400</v>
      </c>
      <c r="AXD44" s="314">
        <v>1400</v>
      </c>
      <c r="AXE44" s="314">
        <v>1400</v>
      </c>
      <c r="AXF44" s="314">
        <v>1400</v>
      </c>
      <c r="AXG44" s="314">
        <v>1400</v>
      </c>
      <c r="AXI44" s="314">
        <v>1400</v>
      </c>
      <c r="AXJ44" s="314">
        <v>1400</v>
      </c>
      <c r="AXK44" s="314">
        <v>1400</v>
      </c>
      <c r="AXL44" s="314">
        <v>1400</v>
      </c>
      <c r="AXM44" s="314">
        <v>1400</v>
      </c>
      <c r="AXN44" s="314">
        <v>1400</v>
      </c>
      <c r="AXO44" s="314"/>
      <c r="AXP44" s="124">
        <v>1400</v>
      </c>
      <c r="AXQ44" s="314"/>
      <c r="AXR44" s="314"/>
      <c r="AXS44" s="314"/>
      <c r="AXT44" s="314"/>
      <c r="AXU44" s="314"/>
      <c r="AXV44" s="314"/>
      <c r="AXW44" s="314"/>
      <c r="AXX44" s="74"/>
    </row>
    <row r="45" spans="1:1324" s="167" customFormat="1" ht="22.8" customHeight="1" x14ac:dyDescent="0.25">
      <c r="A45" s="711"/>
      <c r="B45" s="8" t="s">
        <v>12</v>
      </c>
      <c r="C45" s="165" t="s">
        <v>79</v>
      </c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W45" s="154"/>
      <c r="X45" s="154"/>
      <c r="Y45" s="155" t="s">
        <v>69</v>
      </c>
      <c r="Z45" s="156"/>
      <c r="AA45" s="154"/>
      <c r="AB45" s="154"/>
      <c r="AC45" s="155" t="s">
        <v>601</v>
      </c>
      <c r="AD45" s="156"/>
      <c r="AE45" s="154"/>
      <c r="AF45" s="154"/>
      <c r="AG45" s="154"/>
      <c r="AH45" s="28" t="s">
        <v>12</v>
      </c>
      <c r="AI45" s="126" t="s">
        <v>100</v>
      </c>
      <c r="AJ45" s="168"/>
      <c r="AK45" s="169"/>
      <c r="AL45" s="169"/>
      <c r="AM45" s="169"/>
      <c r="AN45" s="169"/>
      <c r="AO45" s="169"/>
      <c r="AP45" s="169"/>
      <c r="AQ45" s="731"/>
      <c r="AR45" s="732"/>
      <c r="AS45" s="732"/>
      <c r="AT45" s="732"/>
      <c r="AU45" s="732"/>
      <c r="AV45" s="732"/>
      <c r="AW45" s="732"/>
      <c r="AX45" s="732"/>
      <c r="AY45" s="732"/>
      <c r="AZ45" s="733"/>
      <c r="BA45" s="155" t="s">
        <v>77</v>
      </c>
      <c r="BB45" s="156"/>
      <c r="BC45" s="158"/>
      <c r="BD45" s="158"/>
      <c r="BE45" s="158"/>
      <c r="BF45" s="158"/>
      <c r="BG45" s="158"/>
      <c r="BH45" s="158"/>
      <c r="BI45" s="158"/>
      <c r="BJ45" s="158"/>
      <c r="BK45" s="158"/>
      <c r="BL45" s="158"/>
      <c r="BM45" s="158"/>
      <c r="BN45" s="8" t="s">
        <v>12</v>
      </c>
      <c r="BO45" s="155" t="s">
        <v>602</v>
      </c>
      <c r="BP45" s="155" t="s">
        <v>125</v>
      </c>
      <c r="BQ45" s="155" t="s">
        <v>126</v>
      </c>
      <c r="BR45" s="159"/>
      <c r="BS45" s="162"/>
      <c r="BT45" s="162"/>
      <c r="BU45" s="155" t="s">
        <v>123</v>
      </c>
      <c r="BV45" s="156"/>
      <c r="BW45" s="154"/>
      <c r="BX45" s="161" t="s">
        <v>44</v>
      </c>
      <c r="BY45" s="155" t="s">
        <v>144</v>
      </c>
      <c r="BZ45" s="156"/>
      <c r="CA45" s="158"/>
      <c r="CB45" s="158"/>
      <c r="CC45" s="158"/>
      <c r="CD45" s="158"/>
      <c r="CE45" s="158"/>
      <c r="CF45" s="158"/>
      <c r="CG45" s="158"/>
      <c r="CH45" s="158"/>
      <c r="CI45" s="155" t="s">
        <v>146</v>
      </c>
      <c r="CJ45" s="156"/>
      <c r="CK45" s="158"/>
      <c r="CL45" s="158"/>
      <c r="CM45" s="158"/>
      <c r="CN45" s="158"/>
      <c r="CO45" s="158"/>
      <c r="CP45" s="158"/>
      <c r="CQ45" s="158"/>
      <c r="CR45" s="158"/>
      <c r="CS45" s="8" t="s">
        <v>12</v>
      </c>
      <c r="CT45" s="157" t="s">
        <v>146</v>
      </c>
      <c r="CU45" s="157" t="s">
        <v>146</v>
      </c>
      <c r="CV45" s="157" t="s">
        <v>146</v>
      </c>
      <c r="CW45" s="155" t="s">
        <v>261</v>
      </c>
      <c r="CX45" s="156"/>
      <c r="CY45" s="158"/>
      <c r="CZ45" s="158"/>
      <c r="DA45" s="158"/>
      <c r="DB45" s="158"/>
      <c r="DC45" s="158"/>
      <c r="DD45" s="158"/>
      <c r="DE45" s="158"/>
      <c r="DF45" s="158"/>
      <c r="DG45" s="158"/>
      <c r="DH45" s="158"/>
      <c r="DI45" s="158"/>
      <c r="DJ45" s="158"/>
      <c r="DK45" s="158"/>
      <c r="DL45" s="158"/>
      <c r="DM45" s="158"/>
      <c r="DN45" s="158"/>
      <c r="DO45" s="158"/>
      <c r="DP45" s="156" t="s">
        <v>603</v>
      </c>
      <c r="DQ45" s="156"/>
      <c r="DR45" s="122"/>
      <c r="DS45" s="122"/>
      <c r="DT45" s="122"/>
      <c r="DU45" s="155" t="s">
        <v>251</v>
      </c>
      <c r="DV45" s="159"/>
      <c r="DW45" s="162"/>
      <c r="DX45" s="162"/>
      <c r="DY45" s="8" t="s">
        <v>12</v>
      </c>
      <c r="DZ45" s="155" t="s">
        <v>255</v>
      </c>
      <c r="EA45" s="159"/>
      <c r="EB45" s="155" t="s">
        <v>271</v>
      </c>
      <c r="EC45" s="170"/>
      <c r="ED45" s="155" t="s">
        <v>254</v>
      </c>
      <c r="EE45" s="170"/>
      <c r="EF45" s="162"/>
      <c r="EG45" s="162"/>
      <c r="EH45" s="155" t="s">
        <v>237</v>
      </c>
      <c r="EI45" s="159"/>
      <c r="EJ45" s="162"/>
      <c r="EK45" s="162"/>
      <c r="EL45" s="162"/>
      <c r="EM45" s="162"/>
      <c r="EN45" s="155" t="s">
        <v>157</v>
      </c>
      <c r="EO45" s="155" t="s">
        <v>156</v>
      </c>
      <c r="EP45" s="155" t="s">
        <v>306</v>
      </c>
      <c r="EQ45" s="155" t="s">
        <v>243</v>
      </c>
      <c r="ER45" s="156"/>
      <c r="ES45" s="155" t="s">
        <v>189</v>
      </c>
      <c r="ET45" s="159"/>
      <c r="EU45" s="162"/>
      <c r="EV45" s="155" t="s">
        <v>263</v>
      </c>
      <c r="EW45" s="156"/>
      <c r="EX45" s="154"/>
      <c r="EY45" s="126" t="s">
        <v>168</v>
      </c>
      <c r="EZ45" s="159"/>
      <c r="FA45" s="171"/>
      <c r="FB45" s="171"/>
      <c r="FC45" s="171"/>
      <c r="FD45" s="8" t="s">
        <v>12</v>
      </c>
      <c r="FE45" s="171" t="s">
        <v>168</v>
      </c>
      <c r="FF45" s="171"/>
      <c r="FG45" s="155" t="s">
        <v>256</v>
      </c>
      <c r="FH45" s="155"/>
      <c r="FI45" s="158"/>
      <c r="FJ45" s="158"/>
      <c r="FK45" s="158"/>
      <c r="FL45" s="158"/>
      <c r="FM45" s="158"/>
      <c r="FN45" s="158"/>
      <c r="FO45" s="158"/>
      <c r="FP45" s="158"/>
      <c r="FQ45" s="158"/>
      <c r="FR45" s="158"/>
      <c r="FS45" s="158"/>
      <c r="FT45" s="158"/>
      <c r="FU45" s="158"/>
      <c r="FV45" s="158"/>
      <c r="FW45" s="158"/>
      <c r="FX45" s="158"/>
      <c r="FY45" s="158"/>
      <c r="FZ45" s="155" t="s">
        <v>301</v>
      </c>
      <c r="GA45" s="156"/>
      <c r="GB45" s="158"/>
      <c r="GC45" s="126" t="s">
        <v>283</v>
      </c>
      <c r="GD45" s="159"/>
      <c r="GE45" s="171"/>
      <c r="GF45" s="171"/>
      <c r="GG45" s="171"/>
      <c r="GH45" s="171"/>
      <c r="GI45" s="171"/>
      <c r="GJ45" s="8" t="s">
        <v>12</v>
      </c>
      <c r="GK45" s="171" t="s">
        <v>283</v>
      </c>
      <c r="GL45" s="171"/>
      <c r="GM45" s="171"/>
      <c r="GN45" s="171"/>
      <c r="GO45" s="171"/>
      <c r="GP45" s="171"/>
      <c r="GQ45" s="171"/>
      <c r="GR45" s="171"/>
      <c r="GS45" s="171"/>
      <c r="GT45" s="171"/>
      <c r="GU45" s="171"/>
      <c r="GV45" s="171"/>
      <c r="GW45" s="171"/>
      <c r="GX45" s="171"/>
      <c r="GY45" s="171"/>
      <c r="GZ45" s="126" t="s">
        <v>390</v>
      </c>
      <c r="HA45" s="159"/>
      <c r="HB45" s="171"/>
      <c r="HC45" s="155" t="s">
        <v>465</v>
      </c>
      <c r="HD45" s="156"/>
      <c r="HE45" s="158"/>
      <c r="HF45" s="158"/>
      <c r="HG45" s="158"/>
      <c r="HH45" s="158"/>
      <c r="HI45" s="158"/>
      <c r="HJ45" s="158"/>
      <c r="HK45" s="158"/>
      <c r="HL45" s="126" t="s">
        <v>470</v>
      </c>
      <c r="HM45" s="159"/>
      <c r="HN45" s="171"/>
      <c r="HO45" s="171"/>
      <c r="HP45" s="8" t="s">
        <v>12</v>
      </c>
      <c r="HQ45" s="171" t="s">
        <v>470</v>
      </c>
      <c r="HR45" s="171"/>
      <c r="HS45" s="171"/>
      <c r="HT45" s="126" t="s">
        <v>393</v>
      </c>
      <c r="HU45" s="159"/>
      <c r="HV45" s="171"/>
      <c r="HW45" s="171"/>
      <c r="HX45" s="171"/>
      <c r="HY45" s="171"/>
      <c r="HZ45" s="126" t="s">
        <v>513</v>
      </c>
      <c r="IA45" s="156"/>
      <c r="IB45" s="122"/>
      <c r="IC45" s="122"/>
      <c r="ID45" s="122"/>
      <c r="IE45" s="122"/>
      <c r="IF45" s="126" t="s">
        <v>514</v>
      </c>
      <c r="IG45" s="156"/>
      <c r="IH45" s="122"/>
      <c r="II45" s="122"/>
      <c r="IJ45" s="122"/>
      <c r="IK45" s="122"/>
      <c r="IL45" s="126" t="s">
        <v>623</v>
      </c>
      <c r="IM45" s="126"/>
      <c r="IN45" s="122"/>
      <c r="IO45" s="122"/>
      <c r="IP45" s="122"/>
      <c r="IQ45" s="122"/>
      <c r="IR45" s="122"/>
      <c r="IS45" s="122"/>
      <c r="IT45" s="8" t="s">
        <v>12</v>
      </c>
      <c r="IU45" s="123" t="s">
        <v>623</v>
      </c>
      <c r="IV45" s="123"/>
      <c r="IW45" s="123"/>
      <c r="IX45" s="123"/>
      <c r="IY45" s="123"/>
      <c r="IZ45" s="123"/>
      <c r="JA45" s="123"/>
      <c r="JB45" s="155" t="s">
        <v>528</v>
      </c>
      <c r="JC45" s="155"/>
      <c r="JD45" s="163"/>
      <c r="JE45" s="153"/>
      <c r="JF45" s="153"/>
      <c r="JG45" s="153"/>
      <c r="JH45" s="153"/>
      <c r="JI45" s="155" t="s">
        <v>525</v>
      </c>
      <c r="JJ45" s="155"/>
      <c r="JK45" s="163"/>
      <c r="JL45" s="163"/>
      <c r="JM45" s="163"/>
      <c r="JN45" s="163"/>
      <c r="JO45" s="163"/>
      <c r="JP45" s="163"/>
      <c r="JQ45" s="163"/>
      <c r="JR45" s="163"/>
      <c r="JS45" s="163"/>
      <c r="JT45" s="163"/>
      <c r="JU45" s="163"/>
      <c r="JV45" s="278"/>
      <c r="JW45" s="173"/>
      <c r="JX45" s="173"/>
      <c r="JY45" s="173"/>
      <c r="JZ45" s="12" t="s">
        <v>12</v>
      </c>
      <c r="KA45" s="173"/>
      <c r="KB45" s="173"/>
      <c r="KC45" s="173"/>
      <c r="KD45" s="173"/>
      <c r="KE45" s="173"/>
      <c r="KF45" s="173"/>
      <c r="KG45" s="173"/>
      <c r="KH45" s="173"/>
      <c r="KI45" s="173"/>
      <c r="KJ45" s="173"/>
      <c r="KK45" s="173"/>
      <c r="KL45" s="173"/>
      <c r="KM45" s="173"/>
      <c r="KN45" s="173"/>
      <c r="KO45" s="173"/>
      <c r="KP45" s="173"/>
      <c r="KQ45" s="173"/>
      <c r="KR45" s="173"/>
      <c r="KS45" s="173"/>
      <c r="KT45" s="173"/>
      <c r="KU45" s="173"/>
      <c r="KV45" s="173"/>
      <c r="KW45" s="173"/>
      <c r="KX45" s="173"/>
      <c r="KY45" s="280"/>
      <c r="LE45" s="8" t="s">
        <v>12</v>
      </c>
      <c r="LI45" s="153" t="s">
        <v>525</v>
      </c>
      <c r="LJ45" s="153"/>
      <c r="LK45" s="155" t="s">
        <v>704</v>
      </c>
      <c r="LL45" s="155"/>
      <c r="LM45" s="153"/>
      <c r="LN45" s="153"/>
      <c r="LO45" s="153"/>
      <c r="LP45" s="153"/>
      <c r="LQ45" s="155" t="s">
        <v>706</v>
      </c>
      <c r="LR45" s="155"/>
      <c r="LS45" s="153"/>
      <c r="LT45" s="153"/>
      <c r="LU45" s="155" t="s">
        <v>709</v>
      </c>
      <c r="LV45" s="155"/>
      <c r="LW45" s="155" t="s">
        <v>705</v>
      </c>
      <c r="LX45" s="155"/>
      <c r="LY45" s="155" t="s">
        <v>707</v>
      </c>
      <c r="LZ45" s="155"/>
      <c r="MA45" s="155" t="s">
        <v>708</v>
      </c>
      <c r="MB45" s="716"/>
      <c r="MC45" s="717"/>
      <c r="MD45" s="717"/>
      <c r="ME45" s="718"/>
      <c r="MF45" s="153" t="s">
        <v>708</v>
      </c>
      <c r="MG45" s="153"/>
      <c r="MH45" s="153"/>
      <c r="MI45" s="155" t="s">
        <v>775</v>
      </c>
      <c r="MJ45" s="155"/>
      <c r="MK45" s="287" t="s">
        <v>12</v>
      </c>
      <c r="ML45" s="153" t="s">
        <v>766</v>
      </c>
      <c r="MM45" s="155" t="s">
        <v>851</v>
      </c>
      <c r="MN45" s="155"/>
      <c r="MO45" s="153"/>
      <c r="MP45" s="153"/>
      <c r="MQ45" s="153"/>
      <c r="MR45" s="316"/>
      <c r="MS45" s="155" t="s">
        <v>855</v>
      </c>
      <c r="MT45" s="155"/>
      <c r="MU45" s="155" t="s">
        <v>857</v>
      </c>
      <c r="MV45" s="155"/>
      <c r="MW45" s="153"/>
      <c r="MX45" s="316"/>
      <c r="MY45" s="316"/>
      <c r="MZ45" s="316"/>
      <c r="NA45" s="155" t="s">
        <v>783</v>
      </c>
      <c r="NB45" s="170"/>
      <c r="NC45" s="316"/>
      <c r="ND45" s="153"/>
      <c r="NE45" s="153"/>
      <c r="NF45" s="155" t="s">
        <v>856</v>
      </c>
      <c r="NG45" s="155"/>
      <c r="NH45" s="316"/>
      <c r="NI45" s="316"/>
      <c r="NJ45" s="316"/>
      <c r="NK45" s="316"/>
      <c r="NL45" s="316"/>
      <c r="NM45" s="316"/>
      <c r="NN45" s="316"/>
      <c r="NO45" s="316"/>
      <c r="NP45" s="8" t="s">
        <v>12</v>
      </c>
      <c r="NQ45" s="316" t="s">
        <v>856</v>
      </c>
      <c r="NR45" s="316"/>
      <c r="NS45" s="155" t="s">
        <v>829</v>
      </c>
      <c r="NT45" s="155"/>
      <c r="NU45" s="155" t="s">
        <v>860</v>
      </c>
      <c r="NV45" s="155"/>
      <c r="NW45" s="316"/>
      <c r="NX45" s="316"/>
      <c r="NY45" s="316"/>
      <c r="NZ45" s="345" t="s">
        <v>911</v>
      </c>
      <c r="OA45" s="345"/>
      <c r="OB45" s="352"/>
      <c r="OC45" s="352"/>
      <c r="OD45" s="352"/>
      <c r="OE45" s="352"/>
      <c r="OF45" s="352"/>
      <c r="OG45" s="352"/>
      <c r="OH45" s="352"/>
      <c r="OI45" s="352"/>
      <c r="OJ45" s="155" t="s">
        <v>998</v>
      </c>
      <c r="OK45" s="155"/>
      <c r="OL45" s="316"/>
      <c r="OM45" s="316"/>
      <c r="ON45" s="316"/>
      <c r="OO45" s="316"/>
      <c r="OP45" s="361" t="s">
        <v>970</v>
      </c>
      <c r="OQ45" s="361"/>
      <c r="OR45" s="316"/>
      <c r="OS45" s="316"/>
      <c r="OT45" s="724"/>
      <c r="OU45" s="725"/>
      <c r="OV45" s="303" t="s">
        <v>12</v>
      </c>
      <c r="OW45" s="740"/>
      <c r="OX45" s="741"/>
      <c r="OY45" s="741"/>
      <c r="OZ45" s="741"/>
      <c r="PA45" s="741"/>
      <c r="PB45" s="741"/>
      <c r="PC45" s="742"/>
      <c r="PD45" s="316" t="s">
        <v>970</v>
      </c>
      <c r="PE45" s="316"/>
      <c r="PF45" s="316"/>
      <c r="PG45" s="316"/>
      <c r="PH45" s="316"/>
      <c r="PI45" s="316"/>
      <c r="PJ45" s="316"/>
      <c r="PK45" s="317" t="s">
        <v>965</v>
      </c>
      <c r="PL45" s="317"/>
      <c r="PM45" s="319"/>
      <c r="PN45" s="319"/>
      <c r="PO45" s="319"/>
      <c r="PP45" s="319"/>
      <c r="PQ45" s="319"/>
      <c r="PR45" s="319"/>
      <c r="PS45" s="319"/>
      <c r="PT45" s="319"/>
      <c r="PU45" s="319"/>
      <c r="PV45" s="319"/>
      <c r="PW45" s="319"/>
      <c r="PX45" s="319"/>
      <c r="PY45" s="319"/>
      <c r="PZ45" s="361" t="s">
        <v>1266</v>
      </c>
      <c r="QA45" s="361"/>
      <c r="QB45" s="8" t="s">
        <v>12</v>
      </c>
      <c r="QC45" s="317" t="s">
        <v>1024</v>
      </c>
      <c r="QD45" s="361"/>
      <c r="QE45" s="316"/>
      <c r="QF45" s="316"/>
      <c r="QG45" s="339" t="s">
        <v>1073</v>
      </c>
      <c r="QH45" s="339"/>
      <c r="QI45" s="180"/>
      <c r="QJ45" s="339" t="s">
        <v>1072</v>
      </c>
      <c r="QK45" s="339"/>
      <c r="QL45" s="180"/>
      <c r="QM45" s="180"/>
      <c r="QN45" s="339" t="s">
        <v>1071</v>
      </c>
      <c r="QO45" s="339"/>
      <c r="QP45" s="180"/>
      <c r="QQ45" s="180"/>
      <c r="QR45" s="180"/>
      <c r="QS45" s="180"/>
      <c r="QT45" s="361" t="s">
        <v>1381</v>
      </c>
      <c r="QU45" s="361"/>
      <c r="QV45" s="316"/>
      <c r="QW45" s="316"/>
      <c r="QX45" s="316"/>
      <c r="QY45" s="316"/>
      <c r="QZ45" s="316"/>
      <c r="RA45" s="316"/>
      <c r="RB45" s="316"/>
      <c r="RC45" s="316"/>
      <c r="RD45" s="316"/>
      <c r="RE45" s="361" t="s">
        <v>1411</v>
      </c>
      <c r="RF45" s="361"/>
      <c r="RH45" s="316" t="s">
        <v>1411</v>
      </c>
      <c r="RI45" s="316"/>
      <c r="RJ45" s="316"/>
      <c r="RK45" s="316"/>
      <c r="RL45" s="316"/>
      <c r="RM45" s="316"/>
      <c r="RN45" s="316"/>
      <c r="RO45" s="316"/>
      <c r="RP45" s="316"/>
      <c r="RQ45" s="316"/>
      <c r="RR45" s="316"/>
      <c r="RS45" s="316"/>
      <c r="RT45" s="316"/>
      <c r="RU45" s="361" t="s">
        <v>1393</v>
      </c>
      <c r="RV45" s="361"/>
      <c r="RW45" s="316"/>
      <c r="RX45" s="316"/>
      <c r="RY45" s="316"/>
      <c r="RZ45" s="316"/>
      <c r="SA45" s="316"/>
      <c r="SB45" s="316"/>
      <c r="SC45" s="361" t="s">
        <v>1449</v>
      </c>
      <c r="SD45" s="361"/>
      <c r="SE45" s="316"/>
      <c r="SF45" s="316"/>
      <c r="SG45" s="361" t="s">
        <v>1450</v>
      </c>
      <c r="SH45" s="361"/>
      <c r="SI45" s="316"/>
      <c r="SJ45" s="316"/>
      <c r="SK45" s="361" t="s">
        <v>1119</v>
      </c>
      <c r="SL45" s="361"/>
      <c r="SM45" s="8" t="s">
        <v>12</v>
      </c>
      <c r="SN45" s="316" t="s">
        <v>1119</v>
      </c>
      <c r="SO45" s="361" t="s">
        <v>1400</v>
      </c>
      <c r="SP45" s="361"/>
      <c r="SQ45" s="361" t="s">
        <v>1394</v>
      </c>
      <c r="SR45" s="361"/>
      <c r="SS45" s="316"/>
      <c r="ST45" s="210" t="s">
        <v>1476</v>
      </c>
      <c r="SU45" s="210"/>
      <c r="SV45" s="180"/>
      <c r="SW45" s="180"/>
      <c r="SX45" s="180"/>
      <c r="SY45" s="180"/>
      <c r="SZ45" s="210" t="s">
        <v>1463</v>
      </c>
      <c r="TA45" s="210"/>
      <c r="TB45" s="180"/>
      <c r="TC45" s="210" t="s">
        <v>1465</v>
      </c>
      <c r="TD45" s="210"/>
      <c r="TE45" s="180"/>
      <c r="TF45" s="180"/>
      <c r="TG45" s="180"/>
      <c r="TH45" s="210" t="s">
        <v>1467</v>
      </c>
      <c r="TI45" s="210"/>
      <c r="TJ45" s="210" t="s">
        <v>1468</v>
      </c>
      <c r="TK45" s="210"/>
      <c r="TL45" s="180"/>
      <c r="TM45" s="210" t="s">
        <v>1469</v>
      </c>
      <c r="TN45" s="210"/>
      <c r="TO45" s="180"/>
      <c r="TP45" s="210" t="s">
        <v>1678</v>
      </c>
      <c r="TQ45" s="210"/>
      <c r="TR45" s="8" t="s">
        <v>12</v>
      </c>
      <c r="TS45" s="180" t="s">
        <v>1678</v>
      </c>
      <c r="TT45" s="210" t="s">
        <v>1679</v>
      </c>
      <c r="TU45" s="210"/>
      <c r="TV45" s="180"/>
      <c r="TW45" s="210" t="s">
        <v>1680</v>
      </c>
      <c r="TX45" s="210"/>
      <c r="TY45" s="180"/>
      <c r="TZ45" s="180"/>
      <c r="UA45" s="210" t="s">
        <v>1687</v>
      </c>
      <c r="UB45" s="210"/>
      <c r="UC45" s="361" t="s">
        <v>1640</v>
      </c>
      <c r="UD45" s="361"/>
      <c r="UE45" s="319"/>
      <c r="UF45" s="319"/>
      <c r="UG45" s="319"/>
      <c r="UH45" s="319"/>
      <c r="UI45" s="319"/>
      <c r="UJ45" s="319"/>
      <c r="UK45" s="319"/>
      <c r="UL45" s="361" t="s">
        <v>1152</v>
      </c>
      <c r="UM45" s="361"/>
      <c r="UN45" s="316"/>
      <c r="UO45" s="316"/>
      <c r="UP45" s="316"/>
      <c r="UQ45" s="210" t="s">
        <v>1767</v>
      </c>
      <c r="UR45" s="210"/>
      <c r="US45" s="180"/>
      <c r="UT45" s="210" t="s">
        <v>1768</v>
      </c>
      <c r="UU45" s="210"/>
      <c r="UV45" s="210" t="s">
        <v>1770</v>
      </c>
      <c r="UW45" s="210"/>
      <c r="UX45" s="8" t="s">
        <v>12</v>
      </c>
      <c r="UY45" s="180" t="s">
        <v>1770</v>
      </c>
      <c r="UZ45" s="210" t="s">
        <v>1485</v>
      </c>
      <c r="VA45" s="210"/>
      <c r="VB45" s="361" t="s">
        <v>1588</v>
      </c>
      <c r="VC45" s="361"/>
      <c r="VD45" s="316"/>
      <c r="VE45" s="316"/>
      <c r="VF45" s="345" t="s">
        <v>1805</v>
      </c>
      <c r="VG45" s="345"/>
      <c r="VH45" s="165"/>
      <c r="VI45" s="165"/>
      <c r="VJ45" s="165"/>
      <c r="VK45" s="165"/>
      <c r="VL45" s="165"/>
      <c r="VM45" s="165"/>
      <c r="VN45" s="345" t="s">
        <v>1879</v>
      </c>
      <c r="VO45" s="318"/>
      <c r="VP45" s="311"/>
      <c r="VQ45" s="311"/>
      <c r="VR45" s="311"/>
      <c r="VS45" s="311"/>
      <c r="VT45" s="311"/>
      <c r="VU45" s="311"/>
      <c r="VV45" s="311"/>
      <c r="VW45" s="345" t="s">
        <v>1878</v>
      </c>
      <c r="VX45" s="318"/>
      <c r="VY45" s="311"/>
      <c r="VZ45" s="311"/>
      <c r="WA45" s="311"/>
      <c r="WB45" s="311"/>
      <c r="WC45" s="311"/>
      <c r="WD45" s="8" t="s">
        <v>12</v>
      </c>
      <c r="WE45" s="352" t="s">
        <v>1878</v>
      </c>
      <c r="WF45" s="352"/>
      <c r="WG45" s="352"/>
      <c r="WH45" s="352"/>
      <c r="WI45" s="352"/>
      <c r="WJ45" s="352"/>
      <c r="WK45" s="352"/>
      <c r="WL45" s="352"/>
      <c r="WM45" s="352"/>
      <c r="WN45" s="352"/>
      <c r="WO45" s="352"/>
      <c r="WP45" s="345" t="s">
        <v>1879</v>
      </c>
      <c r="WQ45" s="318"/>
      <c r="WR45" s="551" t="s">
        <v>1895</v>
      </c>
      <c r="WS45" s="345"/>
      <c r="WT45" s="311"/>
      <c r="WU45" s="311"/>
      <c r="WV45" s="311"/>
      <c r="WW45" s="311"/>
      <c r="WX45" s="311"/>
      <c r="WY45" s="311"/>
      <c r="WZ45" s="311"/>
      <c r="XA45" s="345" t="s">
        <v>1973</v>
      </c>
      <c r="XB45" s="345"/>
      <c r="XC45" s="311"/>
      <c r="XD45" s="311"/>
      <c r="XE45" s="311"/>
      <c r="XF45" s="311"/>
      <c r="XG45" s="8" t="s">
        <v>12</v>
      </c>
      <c r="XH45" s="352" t="s">
        <v>1973</v>
      </c>
      <c r="XI45" s="352"/>
      <c r="XJ45" s="352"/>
      <c r="XK45" s="352"/>
      <c r="XL45" s="352"/>
      <c r="XM45" s="352"/>
      <c r="XN45" s="352"/>
      <c r="XO45" s="361" t="s">
        <v>1964</v>
      </c>
      <c r="XP45" s="361"/>
      <c r="XQ45" s="316"/>
      <c r="XR45" s="316"/>
      <c r="XS45" s="163"/>
      <c r="XT45" s="316"/>
      <c r="XU45" s="316"/>
      <c r="XV45" s="316"/>
      <c r="XW45" s="316"/>
      <c r="XX45" s="316"/>
      <c r="XY45" s="316"/>
      <c r="XZ45" s="316"/>
      <c r="YA45" s="316"/>
      <c r="YB45" s="316"/>
      <c r="YC45" s="316"/>
      <c r="YD45" s="316"/>
      <c r="YE45" s="316"/>
      <c r="YF45" s="316"/>
      <c r="YG45" s="316"/>
      <c r="YH45" s="316"/>
      <c r="YI45" s="316"/>
      <c r="YJ45" s="316"/>
      <c r="YK45" s="316"/>
      <c r="YL45" s="316"/>
      <c r="YM45" s="8" t="s">
        <v>12</v>
      </c>
      <c r="YN45" s="316" t="s">
        <v>1901</v>
      </c>
      <c r="YO45" s="361" t="s">
        <v>2077</v>
      </c>
      <c r="YP45" s="361"/>
      <c r="YQ45" s="316"/>
      <c r="YR45" s="316"/>
      <c r="YS45" s="316"/>
      <c r="YT45" s="316"/>
      <c r="YU45" s="316"/>
      <c r="YV45" s="316"/>
      <c r="YW45" s="316"/>
      <c r="YX45" s="361" t="s">
        <v>2078</v>
      </c>
      <c r="YY45" s="361" t="s">
        <v>2079</v>
      </c>
      <c r="YZ45" s="361"/>
      <c r="ZA45" s="316"/>
      <c r="ZB45" s="361" t="s">
        <v>1905</v>
      </c>
      <c r="ZC45" s="361"/>
      <c r="ZD45" s="361" t="s">
        <v>2080</v>
      </c>
      <c r="ZE45" s="361" t="s">
        <v>2212</v>
      </c>
      <c r="ZF45" s="361" t="s">
        <v>2211</v>
      </c>
      <c r="ZG45" s="361" t="s">
        <v>2123</v>
      </c>
      <c r="ZH45" s="361"/>
      <c r="ZI45" s="316"/>
      <c r="ZJ45" s="316"/>
      <c r="ZK45" s="361" t="s">
        <v>2213</v>
      </c>
      <c r="ZL45" s="361" t="s">
        <v>1906</v>
      </c>
      <c r="ZM45" s="361"/>
      <c r="ZN45" s="361" t="s">
        <v>2124</v>
      </c>
      <c r="ZO45" s="361"/>
      <c r="ZP45" s="316"/>
      <c r="ZQ45" s="316"/>
      <c r="ZR45" s="8" t="s">
        <v>12</v>
      </c>
      <c r="ZS45" s="361" t="s">
        <v>2125</v>
      </c>
      <c r="ZT45" s="361"/>
      <c r="ZU45" s="316" t="s">
        <v>1903</v>
      </c>
      <c r="ZV45" s="361" t="s">
        <v>1986</v>
      </c>
      <c r="ZW45" s="361"/>
      <c r="ZX45" s="316"/>
      <c r="ZY45" s="316"/>
      <c r="ZZ45" s="316"/>
      <c r="AAA45" s="361" t="s">
        <v>2126</v>
      </c>
      <c r="AAB45" s="361"/>
      <c r="AAC45" s="316"/>
      <c r="AAD45" s="361" t="s">
        <v>1987</v>
      </c>
      <c r="AAE45" s="777"/>
      <c r="AAF45" s="705"/>
      <c r="AAG45" s="705"/>
      <c r="AAH45" s="705"/>
      <c r="AAI45" s="778"/>
      <c r="AAJ45" s="361" t="s">
        <v>1987</v>
      </c>
      <c r="AAK45" s="361" t="s">
        <v>1989</v>
      </c>
      <c r="AAL45" s="361"/>
      <c r="AAM45" s="316"/>
      <c r="AAN45" s="361" t="s">
        <v>1988</v>
      </c>
      <c r="AAO45" s="361"/>
      <c r="AAP45" s="361" t="s">
        <v>2264</v>
      </c>
      <c r="AAQ45" s="361"/>
      <c r="AAR45" s="316"/>
      <c r="AAS45" s="316"/>
      <c r="AAT45" s="361" t="s">
        <v>2263</v>
      </c>
      <c r="AAU45" s="361"/>
      <c r="AAV45" s="361" t="s">
        <v>2269</v>
      </c>
      <c r="AAW45" s="361"/>
      <c r="AAX45" s="8" t="s">
        <v>12</v>
      </c>
      <c r="AAY45" s="361" t="s">
        <v>1988</v>
      </c>
      <c r="AAZ45" s="361"/>
      <c r="ABA45" s="361" t="s">
        <v>2266</v>
      </c>
      <c r="ABB45" s="361"/>
      <c r="ABC45" s="316"/>
      <c r="ABD45" s="316"/>
      <c r="ABE45" s="361" t="s">
        <v>2085</v>
      </c>
      <c r="ABF45" s="361"/>
      <c r="ABG45" s="316"/>
      <c r="ABH45" s="361" t="s">
        <v>2273</v>
      </c>
      <c r="ABI45" s="361"/>
      <c r="ABJ45" s="316"/>
      <c r="ABK45" s="361" t="s">
        <v>2270</v>
      </c>
      <c r="ABL45" s="361"/>
      <c r="ABM45" s="316"/>
      <c r="ABN45" s="361" t="s">
        <v>2286</v>
      </c>
      <c r="ABO45" s="361"/>
      <c r="ABP45" s="316"/>
      <c r="ABQ45" s="316"/>
      <c r="ABR45" s="316"/>
      <c r="ABS45" s="361" t="s">
        <v>2268</v>
      </c>
      <c r="ABT45" s="361"/>
      <c r="ABU45" s="361" t="s">
        <v>2285</v>
      </c>
      <c r="ABV45" s="361"/>
      <c r="ABW45" s="316"/>
      <c r="ABX45" s="316"/>
      <c r="ABY45" s="316"/>
      <c r="ABZ45" s="316"/>
      <c r="ACA45" s="316"/>
      <c r="ACB45" s="316"/>
      <c r="ACC45" s="7" t="s">
        <v>12</v>
      </c>
      <c r="ACD45" s="345" t="s">
        <v>2236</v>
      </c>
      <c r="ACE45" s="345"/>
      <c r="ACF45" s="352"/>
      <c r="ACG45" s="352"/>
      <c r="ACH45" s="352"/>
      <c r="ACI45" s="352"/>
      <c r="ACJ45" s="352"/>
      <c r="ACK45" s="352"/>
      <c r="ACL45" s="352"/>
      <c r="ACM45" s="352"/>
      <c r="ACN45" s="352"/>
      <c r="ACO45" s="352"/>
      <c r="ACP45" s="352"/>
      <c r="ACQ45" s="352"/>
      <c r="ACR45" s="352"/>
      <c r="ACS45" s="352"/>
      <c r="ACT45" s="352"/>
      <c r="ACU45" s="352"/>
      <c r="ACV45" s="352"/>
      <c r="ACW45" s="785"/>
      <c r="ACX45" s="786"/>
      <c r="ACY45" s="786"/>
      <c r="ACZ45" s="786"/>
      <c r="ADA45" s="786"/>
      <c r="ADB45" s="786"/>
      <c r="ADC45" s="786"/>
      <c r="ADD45" s="786"/>
      <c r="ADE45" s="786"/>
      <c r="ADF45" s="786"/>
      <c r="ADG45" s="787"/>
      <c r="ADH45" s="314"/>
      <c r="ADI45" s="7" t="s">
        <v>12</v>
      </c>
      <c r="ADJ45" s="352" t="s">
        <v>2236</v>
      </c>
      <c r="ADK45" s="361" t="s">
        <v>2309</v>
      </c>
      <c r="ADL45" s="361"/>
      <c r="ADM45" s="316"/>
      <c r="ADN45" s="316"/>
      <c r="ADO45" s="316"/>
      <c r="ADP45" s="361" t="s">
        <v>2163</v>
      </c>
      <c r="ADQ45" s="361"/>
      <c r="ADR45" s="316"/>
      <c r="ADS45" s="316"/>
      <c r="ADT45" s="316"/>
      <c r="ADU45" s="316"/>
      <c r="ADV45" s="316"/>
      <c r="ADW45" s="361" t="s">
        <v>2180</v>
      </c>
      <c r="ADX45" s="361"/>
      <c r="ADY45" s="361" t="s">
        <v>2179</v>
      </c>
      <c r="ADZ45" s="361"/>
      <c r="AEA45" s="361" t="s">
        <v>2178</v>
      </c>
      <c r="AEB45" s="361"/>
      <c r="AEC45" s="316"/>
      <c r="AED45" s="316"/>
      <c r="AEE45" s="361" t="s">
        <v>2177</v>
      </c>
      <c r="AEF45" s="361"/>
      <c r="AEG45" s="361" t="s">
        <v>2183</v>
      </c>
      <c r="AEH45" s="361"/>
      <c r="AEI45" s="316"/>
      <c r="AEJ45" s="316"/>
      <c r="AEK45" s="361" t="s">
        <v>2113</v>
      </c>
      <c r="AEL45" s="361"/>
      <c r="AEM45" s="316"/>
      <c r="AEN45" s="316"/>
      <c r="AEO45" s="7" t="s">
        <v>12</v>
      </c>
      <c r="AEP45" s="316" t="s">
        <v>2113</v>
      </c>
      <c r="AEQ45" s="316"/>
      <c r="AER45" s="316"/>
      <c r="AES45" s="316"/>
      <c r="AET45" s="361" t="s">
        <v>2464</v>
      </c>
      <c r="AEU45" s="318"/>
      <c r="AEV45" s="319"/>
      <c r="AEW45" s="319"/>
      <c r="AEX45" s="319"/>
      <c r="AEY45" s="319"/>
      <c r="AEZ45" s="319"/>
      <c r="AFA45" s="319"/>
      <c r="AFB45" s="319"/>
      <c r="AFC45" s="319"/>
      <c r="AFD45" s="361" t="s">
        <v>2470</v>
      </c>
      <c r="AFE45" s="361"/>
      <c r="AFF45" s="316"/>
      <c r="AFG45" s="316"/>
      <c r="AFH45" s="316"/>
      <c r="AFI45" s="316"/>
      <c r="AFJ45" s="316"/>
      <c r="AFK45" s="316"/>
      <c r="AFL45" s="316"/>
      <c r="AFM45" s="316"/>
      <c r="AFN45" s="316"/>
      <c r="AFO45" s="316"/>
      <c r="AFP45" s="316"/>
      <c r="AFQ45" s="316"/>
      <c r="AFR45" s="361" t="s">
        <v>2471</v>
      </c>
      <c r="AFS45" s="361"/>
      <c r="AFT45" s="7" t="s">
        <v>12</v>
      </c>
      <c r="AFU45" s="316" t="s">
        <v>2471</v>
      </c>
      <c r="AFV45" s="316"/>
      <c r="AFW45" s="316"/>
      <c r="AFX45" s="316"/>
      <c r="AFY45" s="316"/>
      <c r="AFZ45" s="316"/>
      <c r="AGA45" s="316"/>
      <c r="AGB45" s="316"/>
      <c r="AGC45" s="316"/>
      <c r="AGD45" s="316"/>
      <c r="AGE45" s="316"/>
      <c r="AGF45" s="361" t="s">
        <v>2472</v>
      </c>
      <c r="AGG45" s="361"/>
      <c r="AGH45" s="316"/>
      <c r="AGI45" s="316"/>
      <c r="AGJ45" s="316"/>
      <c r="AGK45" s="316"/>
      <c r="AGL45" s="316"/>
      <c r="AGM45" s="316"/>
      <c r="AGN45" s="316"/>
      <c r="AGO45" s="316"/>
      <c r="AGP45" s="316"/>
      <c r="AGQ45" s="316"/>
      <c r="AGR45" s="316"/>
      <c r="AGS45" s="361" t="s">
        <v>2605</v>
      </c>
      <c r="AGT45" s="361"/>
      <c r="AGU45" s="316"/>
      <c r="AGV45" s="316"/>
      <c r="AGW45" s="316"/>
      <c r="AGX45" s="316"/>
      <c r="AGY45" s="361" t="s">
        <v>2606</v>
      </c>
      <c r="AGZ45" s="7" t="s">
        <v>12</v>
      </c>
      <c r="AHA45" s="316" t="s">
        <v>2606</v>
      </c>
      <c r="AHB45" s="345" t="s">
        <v>2599</v>
      </c>
      <c r="AHC45" s="345"/>
      <c r="AHD45" s="352"/>
      <c r="AHE45" s="352"/>
      <c r="AHF45" s="352"/>
      <c r="AHG45" s="361" t="s">
        <v>2585</v>
      </c>
      <c r="AHH45" s="361"/>
      <c r="AHI45" s="361" t="s">
        <v>2748</v>
      </c>
      <c r="AHJ45" s="361"/>
      <c r="AHK45" s="316"/>
      <c r="AHL45" s="361" t="s">
        <v>2750</v>
      </c>
      <c r="AHM45" s="361" t="s">
        <v>2758</v>
      </c>
      <c r="AHN45" s="361"/>
      <c r="AHO45" s="316"/>
      <c r="AHP45" s="316"/>
      <c r="AHQ45" s="316"/>
      <c r="AHR45" s="316"/>
      <c r="AHS45" s="316"/>
      <c r="AHT45" s="316"/>
      <c r="AHU45" s="316"/>
      <c r="AIA45" s="361" t="s">
        <v>2768</v>
      </c>
      <c r="AIB45" s="361"/>
      <c r="AIC45" s="316"/>
      <c r="AID45" s="316"/>
      <c r="AIE45" s="7" t="s">
        <v>12</v>
      </c>
      <c r="AIF45" s="316" t="s">
        <v>2768</v>
      </c>
      <c r="AIG45" s="316"/>
      <c r="AIH45" s="316"/>
      <c r="AII45" s="361" t="s">
        <v>2769</v>
      </c>
      <c r="AIJ45" s="361"/>
      <c r="AIK45" s="316" t="s">
        <v>2769</v>
      </c>
      <c r="AIL45" s="316"/>
      <c r="AIM45" s="361" t="s">
        <v>2678</v>
      </c>
      <c r="AIN45" s="361"/>
      <c r="AIO45" s="316"/>
      <c r="AIP45" s="316"/>
      <c r="AIQ45" s="361" t="s">
        <v>2679</v>
      </c>
      <c r="AIR45" s="361"/>
      <c r="AIS45" s="316"/>
      <c r="AIT45" s="316"/>
      <c r="AIU45" s="316"/>
      <c r="AIV45" s="316"/>
      <c r="AIW45" s="361" t="s">
        <v>2538</v>
      </c>
      <c r="AIX45" s="361"/>
      <c r="AIY45" s="361" t="s">
        <v>2818</v>
      </c>
      <c r="AIZ45" s="361"/>
      <c r="AJA45" s="361" t="s">
        <v>2710</v>
      </c>
      <c r="AJB45" s="361"/>
      <c r="AJC45" s="316"/>
      <c r="AJD45" s="361" t="s">
        <v>2711</v>
      </c>
      <c r="AJE45" s="361"/>
      <c r="AJF45" s="361" t="s">
        <v>2712</v>
      </c>
      <c r="AJG45" s="361"/>
      <c r="AJH45" s="361" t="s">
        <v>2620</v>
      </c>
      <c r="AJI45" s="361"/>
      <c r="AJJ45" s="316"/>
      <c r="AJK45" s="7" t="s">
        <v>12</v>
      </c>
      <c r="AJL45" s="361" t="s">
        <v>2709</v>
      </c>
      <c r="AJM45" s="361"/>
      <c r="AJN45" s="361" t="s">
        <v>2621</v>
      </c>
      <c r="AJO45" s="361"/>
      <c r="AJP45" s="316"/>
      <c r="AJQ45" s="316"/>
      <c r="AJR45" s="361" t="s">
        <v>2646</v>
      </c>
      <c r="AJS45" s="361"/>
      <c r="AJT45" s="210" t="s">
        <v>2432</v>
      </c>
      <c r="AJU45" s="210"/>
      <c r="AJV45" s="180"/>
      <c r="AJW45" s="180"/>
      <c r="AJX45" s="180"/>
      <c r="AJY45" s="210" t="s">
        <v>2418</v>
      </c>
      <c r="AJZ45" s="210"/>
      <c r="AKA45" s="180"/>
      <c r="AKB45" s="210" t="s">
        <v>2683</v>
      </c>
      <c r="AKC45" s="210"/>
      <c r="AKD45" s="180" t="s">
        <v>2683</v>
      </c>
      <c r="AKE45" s="180"/>
      <c r="AKF45" s="180"/>
      <c r="AKG45" s="180"/>
      <c r="AKH45" s="361" t="s">
        <v>2700</v>
      </c>
      <c r="AKI45" s="361"/>
      <c r="AKJ45" s="361" t="s">
        <v>2701</v>
      </c>
      <c r="AKK45" s="361"/>
      <c r="AKL45" s="361" t="s">
        <v>2702</v>
      </c>
      <c r="AKM45" s="361"/>
      <c r="AKN45" s="316"/>
      <c r="AKO45" s="361" t="s">
        <v>2703</v>
      </c>
      <c r="AKP45" s="361"/>
      <c r="AKQ45" s="7" t="s">
        <v>12</v>
      </c>
      <c r="AKR45" s="361" t="s">
        <v>2704</v>
      </c>
      <c r="AKS45" s="361"/>
      <c r="AKT45" s="316"/>
      <c r="AKU45" s="361" t="s">
        <v>2657</v>
      </c>
      <c r="AKV45" s="361"/>
      <c r="AKW45" s="316"/>
      <c r="AKX45" s="316"/>
      <c r="AKY45" s="316"/>
      <c r="AKZ45" s="316"/>
      <c r="ALA45" s="316"/>
      <c r="ALB45" s="316"/>
      <c r="ALC45" s="316"/>
      <c r="ALD45" s="316"/>
      <c r="ALE45" s="316"/>
      <c r="ALF45" s="316"/>
      <c r="ALG45" s="316"/>
      <c r="ALH45" s="316"/>
      <c r="ALI45" s="316"/>
      <c r="ALJ45" s="316"/>
      <c r="ALK45" s="316"/>
      <c r="ALL45" s="316"/>
      <c r="ALM45" s="316"/>
      <c r="ALN45" s="316"/>
      <c r="ALO45" s="316"/>
      <c r="ALP45" s="316"/>
      <c r="ALQ45" s="316"/>
      <c r="ALR45" s="316"/>
      <c r="ALS45" s="316"/>
      <c r="ALT45" s="7" t="s">
        <v>12</v>
      </c>
      <c r="ALU45" s="316" t="s">
        <v>2657</v>
      </c>
      <c r="ALV45" s="316"/>
      <c r="ALW45" s="316"/>
      <c r="ALX45" s="316"/>
      <c r="ALY45" s="316"/>
      <c r="ALZ45" s="316"/>
      <c r="AMA45" s="316"/>
      <c r="AMB45" s="376" t="s">
        <v>2658</v>
      </c>
      <c r="AMC45" s="376"/>
      <c r="AMD45" s="316"/>
      <c r="AME45" s="316"/>
      <c r="AMF45" s="316"/>
      <c r="AMG45" s="316"/>
      <c r="AMH45" s="316"/>
      <c r="AMI45" s="316"/>
      <c r="AMJ45" s="316"/>
      <c r="AMK45" s="316"/>
      <c r="AML45" s="316"/>
      <c r="AMM45" s="316"/>
      <c r="AMN45" s="316"/>
      <c r="AMO45" s="316"/>
      <c r="AMP45" s="316"/>
      <c r="AMQ45" s="316"/>
      <c r="AMR45" s="316"/>
      <c r="AMS45" s="316"/>
      <c r="AMT45" s="316"/>
      <c r="AMU45" s="316"/>
      <c r="AMV45" s="316"/>
      <c r="AMW45" s="316"/>
      <c r="AMX45" s="316"/>
      <c r="AMY45" s="316"/>
      <c r="AMZ45" s="7" t="s">
        <v>12</v>
      </c>
      <c r="ANA45" s="316" t="s">
        <v>2658</v>
      </c>
      <c r="ANB45" s="316"/>
      <c r="ANC45" s="376" t="s">
        <v>2799</v>
      </c>
      <c r="AND45" s="376"/>
      <c r="ANE45" s="316"/>
      <c r="ANF45" s="316"/>
      <c r="ANG45" s="361" t="s">
        <v>2840</v>
      </c>
      <c r="ANH45" s="318"/>
      <c r="ANI45" s="319"/>
      <c r="ANJ45" s="319"/>
      <c r="ANK45" s="319"/>
      <c r="ANL45" s="319"/>
      <c r="ANM45" s="319"/>
      <c r="ANN45" s="319"/>
      <c r="ANO45" s="210" t="s">
        <v>2685</v>
      </c>
      <c r="ANP45" s="210"/>
      <c r="ANQ45" s="180"/>
      <c r="ANR45" s="180"/>
      <c r="ANS45" s="180"/>
      <c r="ANT45" s="180"/>
      <c r="ANU45" s="180"/>
      <c r="ANV45" s="180"/>
      <c r="ANW45" s="180"/>
      <c r="ANX45" s="180"/>
      <c r="ANY45" s="180"/>
      <c r="ANZ45" s="180"/>
      <c r="AOA45" s="180"/>
      <c r="AOB45" s="180"/>
      <c r="AOC45" s="180"/>
      <c r="AOD45" s="180"/>
      <c r="AOE45" s="7" t="s">
        <v>12</v>
      </c>
      <c r="AOF45" s="170"/>
      <c r="AOG45" s="170"/>
      <c r="AOH45" s="170"/>
      <c r="AOI45" s="170"/>
      <c r="AOJ45" s="170"/>
      <c r="AOK45" s="170"/>
      <c r="AOL45" s="170"/>
      <c r="AOM45" s="170"/>
      <c r="AON45" s="170"/>
      <c r="AOO45" s="180" t="s">
        <v>2685</v>
      </c>
      <c r="AOP45" s="180"/>
      <c r="AOQ45" s="180"/>
      <c r="AOR45" s="180"/>
      <c r="AOS45" s="180"/>
      <c r="AOT45" s="376" t="s">
        <v>2802</v>
      </c>
      <c r="AOU45" s="376"/>
      <c r="AOV45" s="316"/>
      <c r="AOW45" s="316"/>
      <c r="AOX45" s="316"/>
      <c r="AOY45" s="316"/>
      <c r="AOZ45" s="316"/>
      <c r="APA45" s="316"/>
      <c r="APB45" s="316"/>
      <c r="APC45" s="316"/>
      <c r="APD45" s="316"/>
      <c r="APE45" s="316"/>
      <c r="APF45" s="316"/>
      <c r="APG45" s="316"/>
      <c r="APH45" s="316"/>
      <c r="API45" s="316"/>
      <c r="APJ45" s="316"/>
      <c r="APK45" s="7" t="s">
        <v>12</v>
      </c>
      <c r="APL45" s="316" t="s">
        <v>2802</v>
      </c>
      <c r="APM45" s="316"/>
      <c r="APN45" s="316"/>
      <c r="APO45" s="316"/>
      <c r="APP45" s="316"/>
      <c r="APQ45" s="316"/>
      <c r="APR45" s="316"/>
      <c r="APS45" s="316"/>
      <c r="APT45" s="316"/>
      <c r="APU45" s="316"/>
      <c r="APV45" s="316"/>
      <c r="APW45" s="376" t="s">
        <v>2803</v>
      </c>
      <c r="APX45" s="376"/>
      <c r="APY45" s="316"/>
      <c r="APZ45" s="316"/>
      <c r="AQA45" s="316"/>
      <c r="AQB45" s="316"/>
      <c r="AQC45" s="316"/>
      <c r="AQD45" s="316"/>
      <c r="AQE45" s="316"/>
      <c r="AQF45" s="316"/>
      <c r="AQG45" s="316"/>
      <c r="AQH45" s="316"/>
      <c r="AQI45" s="316"/>
      <c r="AQJ45" s="316"/>
      <c r="AQK45" s="316"/>
      <c r="AQL45" s="316"/>
      <c r="AQM45" s="316"/>
      <c r="AQN45" s="376" t="s">
        <v>2804</v>
      </c>
      <c r="AQO45" s="376"/>
      <c r="AQP45" s="7" t="s">
        <v>12</v>
      </c>
      <c r="AQQ45" s="316" t="s">
        <v>2804</v>
      </c>
      <c r="AQR45" s="316"/>
      <c r="AQS45" s="316"/>
      <c r="AQT45" s="316"/>
      <c r="AQU45" s="316"/>
      <c r="AQV45" s="316"/>
      <c r="AQW45" s="316"/>
      <c r="AQX45" s="170"/>
      <c r="AQY45" s="170"/>
      <c r="AQZ45" s="170"/>
      <c r="ARA45" s="170"/>
      <c r="ARB45" s="170"/>
      <c r="ARC45" s="170"/>
      <c r="ARD45" s="170"/>
      <c r="ARE45" s="170"/>
      <c r="ARF45" s="170"/>
      <c r="ARG45" s="316" t="s">
        <v>2804</v>
      </c>
      <c r="ARH45" s="316"/>
      <c r="ARI45" s="316"/>
      <c r="ARJ45" s="316"/>
      <c r="ARK45" s="316"/>
      <c r="ARL45" s="316"/>
      <c r="ARM45" s="316"/>
      <c r="ARN45" s="316"/>
      <c r="ARO45" s="316"/>
      <c r="ARP45" s="316"/>
      <c r="ARQ45" s="316"/>
      <c r="ARR45" s="316"/>
      <c r="ARS45" s="316"/>
      <c r="ART45" s="316"/>
      <c r="ARU45" s="316"/>
      <c r="ARV45" s="7" t="s">
        <v>12</v>
      </c>
      <c r="ARW45" s="316" t="s">
        <v>2804</v>
      </c>
      <c r="ARX45" s="316"/>
      <c r="ARY45" s="316"/>
      <c r="ARZ45" s="316"/>
      <c r="ASA45" s="316"/>
      <c r="ASB45" s="316"/>
      <c r="ASC45" s="316"/>
      <c r="ASD45" s="316"/>
      <c r="ASE45" s="316"/>
      <c r="ASF45" s="316"/>
      <c r="ASG45" s="316"/>
      <c r="ASH45" s="316"/>
      <c r="ASI45" s="316"/>
      <c r="ASJ45" s="316"/>
      <c r="ASK45" s="316"/>
      <c r="ASL45" s="316"/>
      <c r="ASM45" s="316"/>
      <c r="ASN45" s="316"/>
      <c r="ASO45" s="316"/>
      <c r="ASP45" s="316"/>
      <c r="ASQ45" s="314"/>
      <c r="ASR45" s="314"/>
      <c r="ASS45" s="314"/>
      <c r="AST45" s="314"/>
      <c r="ASU45" s="314"/>
      <c r="ASV45" s="314"/>
      <c r="ASW45" s="314"/>
      <c r="ASX45" s="314"/>
      <c r="ASY45" s="314"/>
      <c r="ASZ45" s="314"/>
      <c r="ATA45" s="314"/>
      <c r="ATB45" s="7" t="s">
        <v>12</v>
      </c>
      <c r="ATC45" s="361" t="s">
        <v>2687</v>
      </c>
      <c r="ATD45" s="361"/>
      <c r="ATE45" s="316"/>
      <c r="ATF45" s="316"/>
      <c r="ATG45" s="316"/>
      <c r="ATH45" s="316"/>
      <c r="ATI45" s="316"/>
      <c r="ATJ45" s="316"/>
      <c r="ATK45" s="316"/>
      <c r="ATL45" s="316"/>
      <c r="ATM45" s="316"/>
      <c r="ATN45" s="316"/>
      <c r="ATO45" s="316"/>
      <c r="ATP45" s="316"/>
      <c r="ATQ45" s="316"/>
      <c r="ATR45" s="316"/>
      <c r="ATS45" s="316"/>
      <c r="ATT45" s="316"/>
      <c r="AUG45" s="7" t="s">
        <v>12</v>
      </c>
      <c r="AUY45" s="339" t="s">
        <v>2691</v>
      </c>
      <c r="AUZ45" s="339"/>
      <c r="AVA45" s="180"/>
      <c r="AVB45" s="180"/>
      <c r="AVC45" s="180"/>
      <c r="AVD45" s="180"/>
      <c r="AVE45" s="180"/>
      <c r="AVF45" s="180"/>
      <c r="AVG45" s="180"/>
      <c r="AVH45" s="180"/>
      <c r="AVI45" s="180"/>
      <c r="AVJ45" s="180"/>
      <c r="AVK45" s="180"/>
      <c r="AVL45" s="180"/>
      <c r="AVM45" s="7" t="s">
        <v>12</v>
      </c>
      <c r="AVN45" s="180" t="s">
        <v>2691</v>
      </c>
      <c r="AVO45" s="180"/>
      <c r="AVP45" s="180"/>
      <c r="AVQ45" s="180"/>
      <c r="AVR45" s="180"/>
      <c r="AVS45" s="180"/>
      <c r="AVT45" s="180"/>
      <c r="AVU45" s="180"/>
      <c r="AVV45" s="180"/>
      <c r="AVW45" s="180"/>
      <c r="AVX45" s="180"/>
      <c r="AVY45" s="180"/>
      <c r="AVZ45" s="180"/>
      <c r="AWA45" s="180"/>
      <c r="AWB45" s="180"/>
      <c r="AWC45" s="180"/>
      <c r="AWD45" s="180"/>
      <c r="AWE45" s="180"/>
      <c r="AWF45" s="180"/>
      <c r="AWG45" s="180"/>
      <c r="AWH45" s="180"/>
      <c r="AWI45" s="180"/>
      <c r="AWJ45" s="180"/>
      <c r="AWK45" s="180"/>
      <c r="AWL45" s="180"/>
      <c r="AWM45" s="180"/>
      <c r="AWN45" s="180"/>
      <c r="AWO45" s="180"/>
      <c r="AWP45" s="180"/>
      <c r="AWQ45" s="180"/>
      <c r="AWR45" s="7" t="s">
        <v>12</v>
      </c>
      <c r="AWS45" s="180" t="s">
        <v>2691</v>
      </c>
      <c r="AWT45" s="180"/>
      <c r="AWU45" s="180"/>
      <c r="AWV45" s="180"/>
      <c r="AWW45" s="180"/>
      <c r="AWX45" s="180"/>
      <c r="AWY45" s="180"/>
      <c r="AWZ45" s="180"/>
      <c r="AXA45" s="180"/>
      <c r="AXB45" s="180"/>
      <c r="AXC45" s="180"/>
      <c r="AXD45" s="180"/>
      <c r="AXE45" s="180"/>
      <c r="AXF45" s="180"/>
      <c r="AXG45" s="180"/>
      <c r="AXH45" s="180"/>
      <c r="AXI45" s="180"/>
      <c r="AXJ45" s="180"/>
      <c r="AXK45" s="180"/>
      <c r="AXL45" s="180"/>
      <c r="AXM45" s="180"/>
      <c r="AXN45" s="180"/>
      <c r="AXO45" s="180"/>
      <c r="AXP45" s="180"/>
      <c r="AXQ45" s="314"/>
      <c r="AXR45" s="314"/>
      <c r="AXS45" s="314"/>
      <c r="AXT45" s="314"/>
      <c r="AXU45" s="314"/>
      <c r="AXV45" s="314"/>
      <c r="AXW45" s="314"/>
      <c r="AXX45" s="7" t="s">
        <v>12</v>
      </c>
    </row>
    <row r="46" spans="1:1324" s="136" customFormat="1" ht="22.8" customHeight="1" x14ac:dyDescent="0.25">
      <c r="A46" s="711"/>
      <c r="B46" s="72"/>
      <c r="C46" s="139"/>
      <c r="D46" s="139"/>
      <c r="E46" s="139"/>
      <c r="F46" s="139"/>
      <c r="G46" s="139"/>
      <c r="H46" s="139"/>
      <c r="AH46" s="73"/>
      <c r="AJ46" s="136">
        <v>1260</v>
      </c>
      <c r="AQ46" s="731"/>
      <c r="AR46" s="732"/>
      <c r="AS46" s="732"/>
      <c r="AT46" s="732"/>
      <c r="AU46" s="732"/>
      <c r="AV46" s="732"/>
      <c r="AW46" s="732"/>
      <c r="AX46" s="732"/>
      <c r="AY46" s="732"/>
      <c r="AZ46" s="733"/>
      <c r="BE46" s="136">
        <v>13973</v>
      </c>
      <c r="BL46" s="136">
        <v>3530</v>
      </c>
      <c r="BN46" s="72"/>
      <c r="BO46" s="136">
        <v>2398</v>
      </c>
      <c r="BR46" s="136">
        <v>5430</v>
      </c>
      <c r="CD46" s="136">
        <v>12480</v>
      </c>
      <c r="CE46" s="136">
        <v>2700</v>
      </c>
      <c r="CF46" s="136">
        <v>2700</v>
      </c>
      <c r="CG46" s="136">
        <v>528</v>
      </c>
      <c r="CI46" s="136">
        <v>3090</v>
      </c>
      <c r="CR46" s="136">
        <v>7193</v>
      </c>
      <c r="CS46" s="72"/>
      <c r="DX46" s="136">
        <v>51643</v>
      </c>
      <c r="DY46" s="72"/>
      <c r="EP46" s="129">
        <v>27100</v>
      </c>
      <c r="EQ46" s="136">
        <v>2000</v>
      </c>
      <c r="ER46" s="136">
        <v>2000</v>
      </c>
      <c r="ES46" s="136">
        <v>2000</v>
      </c>
      <c r="ET46" s="136">
        <v>2000</v>
      </c>
      <c r="EV46" s="136">
        <v>2000</v>
      </c>
      <c r="EW46" s="136">
        <v>2100</v>
      </c>
      <c r="EX46" s="136">
        <v>2000</v>
      </c>
      <c r="EY46" s="136">
        <v>2000</v>
      </c>
      <c r="EZ46" s="136">
        <v>2000</v>
      </c>
      <c r="FA46" s="136">
        <v>2000</v>
      </c>
      <c r="FC46" s="136">
        <v>2000</v>
      </c>
      <c r="FD46" s="72"/>
      <c r="FE46" s="136">
        <v>1800</v>
      </c>
      <c r="FF46" s="136">
        <v>1800</v>
      </c>
      <c r="FG46" s="136">
        <v>1800</v>
      </c>
      <c r="FH46" s="136">
        <v>2000</v>
      </c>
      <c r="FI46" s="136">
        <v>2000</v>
      </c>
      <c r="FJ46" s="136">
        <v>1600</v>
      </c>
      <c r="FK46" s="136">
        <v>1720</v>
      </c>
      <c r="FL46" s="136">
        <v>1800</v>
      </c>
      <c r="FM46" s="136">
        <v>1820</v>
      </c>
      <c r="FN46" s="136">
        <v>1820</v>
      </c>
      <c r="FO46" s="136">
        <v>1820</v>
      </c>
      <c r="FP46" s="136">
        <v>1600</v>
      </c>
      <c r="FU46" s="136">
        <v>1800</v>
      </c>
      <c r="FV46" s="136">
        <v>1600</v>
      </c>
      <c r="FW46" s="136">
        <v>2000</v>
      </c>
      <c r="FX46" s="136">
        <v>1600</v>
      </c>
      <c r="FY46" s="136">
        <v>1700</v>
      </c>
      <c r="FZ46" s="136">
        <v>1810</v>
      </c>
      <c r="GA46" s="136">
        <v>2200</v>
      </c>
      <c r="GB46" s="136">
        <v>1600</v>
      </c>
      <c r="GC46" s="136">
        <v>1600</v>
      </c>
      <c r="GD46" s="136">
        <v>1600</v>
      </c>
      <c r="GF46" s="136">
        <v>1600</v>
      </c>
      <c r="GG46" s="136">
        <v>1600</v>
      </c>
      <c r="GH46" s="136">
        <v>1600</v>
      </c>
      <c r="GI46" s="136">
        <v>1600</v>
      </c>
      <c r="GJ46" s="72"/>
      <c r="GK46" s="136">
        <v>1600</v>
      </c>
      <c r="GL46" s="136">
        <v>1700</v>
      </c>
      <c r="GN46" s="136">
        <v>1700</v>
      </c>
      <c r="GO46" s="136">
        <v>1650</v>
      </c>
      <c r="GP46" s="137">
        <v>948</v>
      </c>
      <c r="GQ46" s="136">
        <v>0</v>
      </c>
      <c r="GR46" s="136">
        <v>30</v>
      </c>
      <c r="GS46" s="136">
        <v>430</v>
      </c>
      <c r="GU46" s="139">
        <v>740</v>
      </c>
      <c r="GV46" s="139">
        <v>1000</v>
      </c>
      <c r="GW46" s="139">
        <v>950</v>
      </c>
      <c r="GX46" s="139">
        <v>950</v>
      </c>
      <c r="GY46" s="139">
        <v>950</v>
      </c>
      <c r="GZ46" s="139">
        <v>1000</v>
      </c>
      <c r="HB46" s="139">
        <v>950</v>
      </c>
      <c r="HC46" s="139">
        <v>900</v>
      </c>
      <c r="HD46" s="139">
        <v>1000</v>
      </c>
      <c r="HE46" s="136">
        <v>1050</v>
      </c>
      <c r="HF46" s="136">
        <v>1150</v>
      </c>
      <c r="HG46" s="136">
        <v>1100</v>
      </c>
      <c r="HI46" s="137">
        <v>717</v>
      </c>
      <c r="HJ46" s="136">
        <v>640</v>
      </c>
      <c r="HK46" s="136">
        <v>1300</v>
      </c>
      <c r="HL46" s="136">
        <v>1800</v>
      </c>
      <c r="HM46" s="136">
        <v>2000</v>
      </c>
      <c r="HN46" s="136">
        <v>1500</v>
      </c>
      <c r="HP46" s="72"/>
      <c r="HQ46" s="136">
        <v>2050</v>
      </c>
      <c r="HR46" s="136">
        <v>2000</v>
      </c>
      <c r="HS46" s="136">
        <v>2000</v>
      </c>
      <c r="HT46" s="136">
        <v>2300</v>
      </c>
      <c r="HU46" s="136">
        <v>2200</v>
      </c>
      <c r="HV46" s="136">
        <v>2200</v>
      </c>
      <c r="HX46" s="136">
        <v>2200</v>
      </c>
      <c r="HY46" s="136">
        <v>2100</v>
      </c>
      <c r="HZ46" s="136">
        <v>2100</v>
      </c>
      <c r="IA46" s="136">
        <v>2200</v>
      </c>
      <c r="IB46" s="136">
        <v>2200</v>
      </c>
      <c r="IC46" s="136">
        <v>2200</v>
      </c>
      <c r="IE46" s="136">
        <v>2200</v>
      </c>
      <c r="IF46" s="136">
        <v>2250</v>
      </c>
      <c r="IG46" s="136">
        <v>2310</v>
      </c>
      <c r="IH46" s="136">
        <v>2310</v>
      </c>
      <c r="II46" s="136">
        <v>2310</v>
      </c>
      <c r="IJ46" s="136">
        <v>2300</v>
      </c>
      <c r="IL46" s="136">
        <v>2100</v>
      </c>
      <c r="IM46" s="136">
        <v>2100</v>
      </c>
      <c r="IN46" s="137">
        <v>1734</v>
      </c>
      <c r="IO46" s="136">
        <v>150</v>
      </c>
      <c r="IP46" s="136">
        <v>1200</v>
      </c>
      <c r="IQ46" s="136">
        <v>1800</v>
      </c>
      <c r="IS46" s="136">
        <v>2200</v>
      </c>
      <c r="IT46" s="72"/>
      <c r="IU46" s="136">
        <v>2420</v>
      </c>
      <c r="IV46" s="136">
        <v>2500</v>
      </c>
      <c r="IW46" s="136">
        <v>2420</v>
      </c>
      <c r="IX46" s="137">
        <v>2170</v>
      </c>
      <c r="IY46" s="136">
        <f>199+110</f>
        <v>309</v>
      </c>
      <c r="JA46" s="136">
        <v>570</v>
      </c>
      <c r="JB46" s="136">
        <v>660</v>
      </c>
      <c r="JC46" s="136">
        <v>1250</v>
      </c>
      <c r="JD46" s="136">
        <v>1350</v>
      </c>
      <c r="JE46" s="136">
        <v>1800</v>
      </c>
      <c r="JF46" s="137">
        <f>325+930</f>
        <v>1255</v>
      </c>
      <c r="JG46" s="136">
        <v>900</v>
      </c>
      <c r="JH46" s="136">
        <v>1700</v>
      </c>
      <c r="JI46" s="136">
        <v>1760</v>
      </c>
      <c r="JJ46" s="136">
        <v>930</v>
      </c>
      <c r="JL46" s="136">
        <v>1600</v>
      </c>
      <c r="JM46" s="136">
        <v>900</v>
      </c>
      <c r="JN46" s="164"/>
      <c r="JO46" s="136">
        <v>1150</v>
      </c>
      <c r="JP46" s="136">
        <v>1050</v>
      </c>
      <c r="JQ46" s="136">
        <v>1025</v>
      </c>
      <c r="JR46" s="137">
        <f>48+560</f>
        <v>608</v>
      </c>
      <c r="JS46" s="136">
        <v>1280</v>
      </c>
      <c r="JV46" s="278"/>
      <c r="JW46" s="173"/>
      <c r="JX46" s="173"/>
      <c r="JY46" s="173"/>
      <c r="JZ46" s="282"/>
      <c r="KA46" s="173"/>
      <c r="KB46" s="173"/>
      <c r="KC46" s="173"/>
      <c r="KD46" s="173"/>
      <c r="KE46" s="173"/>
      <c r="KF46" s="173"/>
      <c r="KG46" s="173"/>
      <c r="KH46" s="173"/>
      <c r="KI46" s="173"/>
      <c r="KJ46" s="173"/>
      <c r="KK46" s="173"/>
      <c r="KL46" s="173"/>
      <c r="KM46" s="173"/>
      <c r="KN46" s="173"/>
      <c r="KO46" s="173"/>
      <c r="KP46" s="173"/>
      <c r="KQ46" s="173"/>
      <c r="KR46" s="173"/>
      <c r="KS46" s="173"/>
      <c r="KT46" s="173"/>
      <c r="KU46" s="173"/>
      <c r="KV46" s="173"/>
      <c r="KW46" s="173"/>
      <c r="KX46" s="173"/>
      <c r="KY46" s="280"/>
      <c r="KZ46" s="167"/>
      <c r="LA46" s="167"/>
      <c r="LB46" s="167">
        <v>51200</v>
      </c>
      <c r="LC46" s="167"/>
      <c r="LD46" s="167"/>
      <c r="LE46" s="72"/>
      <c r="LG46" s="136">
        <v>1000</v>
      </c>
      <c r="LH46" s="136">
        <v>1200</v>
      </c>
      <c r="LI46" s="136">
        <v>1450</v>
      </c>
      <c r="LJ46" s="136">
        <v>1700</v>
      </c>
      <c r="LK46" s="136">
        <v>1750</v>
      </c>
      <c r="LL46" s="136">
        <v>1760</v>
      </c>
      <c r="LN46" s="136">
        <v>1710</v>
      </c>
      <c r="LO46" s="136">
        <v>1800</v>
      </c>
      <c r="LP46" s="136">
        <v>1800</v>
      </c>
      <c r="LQ46" s="136">
        <v>1850</v>
      </c>
      <c r="LR46" s="136">
        <v>1800</v>
      </c>
      <c r="LS46" s="137">
        <v>1600</v>
      </c>
      <c r="LU46" s="136">
        <v>1800</v>
      </c>
      <c r="LV46" s="136">
        <v>1700</v>
      </c>
      <c r="LW46" s="136">
        <v>1800</v>
      </c>
      <c r="LX46" s="136">
        <v>1700</v>
      </c>
      <c r="LY46" s="136">
        <v>1582</v>
      </c>
      <c r="LZ46" s="301">
        <v>1500</v>
      </c>
      <c r="MA46" s="301">
        <v>1500</v>
      </c>
      <c r="MB46" s="716"/>
      <c r="MC46" s="717"/>
      <c r="MD46" s="717"/>
      <c r="ME46" s="718"/>
      <c r="MF46" s="136">
        <v>1900</v>
      </c>
      <c r="MG46" s="297">
        <v>2000</v>
      </c>
      <c r="MI46" s="136">
        <v>1820</v>
      </c>
      <c r="MJ46" s="136">
        <v>1350</v>
      </c>
      <c r="MK46" s="288"/>
      <c r="ML46" s="136">
        <v>2200</v>
      </c>
      <c r="MM46" s="136">
        <v>2200</v>
      </c>
      <c r="MN46" s="136">
        <v>2000</v>
      </c>
      <c r="MO46" s="136">
        <v>2200</v>
      </c>
      <c r="MQ46" s="136">
        <v>2200</v>
      </c>
      <c r="MR46" s="136">
        <v>2000</v>
      </c>
      <c r="MS46" s="136">
        <v>1800</v>
      </c>
      <c r="MT46" s="136">
        <v>1700</v>
      </c>
      <c r="MU46" s="136">
        <v>1600</v>
      </c>
      <c r="MV46" s="136">
        <v>2060</v>
      </c>
      <c r="MX46" s="315">
        <v>2200</v>
      </c>
      <c r="MY46" s="314">
        <v>2200</v>
      </c>
      <c r="MZ46" s="136">
        <v>2200</v>
      </c>
      <c r="NA46" s="136">
        <v>2200</v>
      </c>
      <c r="NB46" s="136">
        <v>2200</v>
      </c>
      <c r="NC46" s="136">
        <v>2200</v>
      </c>
      <c r="NE46" s="136">
        <v>2100</v>
      </c>
      <c r="NF46" s="136">
        <v>2200</v>
      </c>
      <c r="NG46" s="136">
        <v>2200</v>
      </c>
      <c r="NH46" s="136">
        <v>2220</v>
      </c>
      <c r="NI46" s="136">
        <v>2200</v>
      </c>
      <c r="NJ46" s="136">
        <v>2220</v>
      </c>
      <c r="NL46" s="136">
        <v>2200</v>
      </c>
      <c r="NM46" s="314">
        <v>2200</v>
      </c>
      <c r="NN46" s="137">
        <v>2200</v>
      </c>
      <c r="NO46" s="136">
        <v>2100</v>
      </c>
      <c r="NP46" s="72"/>
      <c r="NQ46" s="136">
        <v>2120</v>
      </c>
      <c r="NR46" s="136">
        <v>2030</v>
      </c>
      <c r="NT46" s="136">
        <v>2100</v>
      </c>
      <c r="NU46" s="136">
        <v>2100</v>
      </c>
      <c r="NV46" s="136">
        <v>2100</v>
      </c>
      <c r="NW46" s="136">
        <v>2310</v>
      </c>
      <c r="NX46" s="297">
        <v>2310</v>
      </c>
      <c r="NY46" s="136">
        <v>2200</v>
      </c>
      <c r="OA46" s="136">
        <v>2200</v>
      </c>
      <c r="OB46" s="136">
        <v>2200</v>
      </c>
      <c r="OC46" s="136">
        <v>2310</v>
      </c>
      <c r="OD46" s="136">
        <v>2350</v>
      </c>
      <c r="OE46" s="314">
        <v>2310</v>
      </c>
      <c r="OF46" s="314">
        <v>2310</v>
      </c>
      <c r="OH46" s="136">
        <f>480+1830</f>
        <v>2310</v>
      </c>
      <c r="OI46" s="136">
        <v>2200</v>
      </c>
      <c r="OJ46" s="136">
        <v>2310</v>
      </c>
      <c r="OK46" s="314">
        <v>2310</v>
      </c>
      <c r="OL46" s="136">
        <v>2310</v>
      </c>
      <c r="OM46" s="136">
        <v>2340</v>
      </c>
      <c r="ON46" s="136">
        <v>1700</v>
      </c>
      <c r="OO46" s="136">
        <v>2310</v>
      </c>
      <c r="OP46" s="136">
        <v>2100</v>
      </c>
      <c r="OQ46" s="136">
        <v>2200</v>
      </c>
      <c r="OR46" s="136">
        <v>2200</v>
      </c>
      <c r="OS46" s="315">
        <v>1400</v>
      </c>
      <c r="OT46" s="724"/>
      <c r="OU46" s="725"/>
      <c r="OV46" s="304"/>
      <c r="OW46" s="740"/>
      <c r="OX46" s="741"/>
      <c r="OY46" s="741"/>
      <c r="OZ46" s="741"/>
      <c r="PA46" s="741"/>
      <c r="PB46" s="741"/>
      <c r="PC46" s="742"/>
      <c r="PD46" s="314">
        <v>1900</v>
      </c>
      <c r="PE46" s="136">
        <v>2150</v>
      </c>
      <c r="PF46" s="136">
        <v>2370</v>
      </c>
      <c r="PG46" s="136">
        <v>2370</v>
      </c>
      <c r="PH46" s="136">
        <v>2370</v>
      </c>
      <c r="PI46" s="136">
        <v>2370</v>
      </c>
      <c r="PL46" s="136">
        <v>2370</v>
      </c>
      <c r="PM46" s="314">
        <v>2250</v>
      </c>
      <c r="PN46" s="314">
        <v>2370</v>
      </c>
      <c r="PO46" s="314">
        <v>2370</v>
      </c>
      <c r="PP46" s="314">
        <v>2370</v>
      </c>
      <c r="PQ46" s="314"/>
      <c r="PR46" s="314">
        <v>1940</v>
      </c>
      <c r="PS46" s="314">
        <v>1830</v>
      </c>
      <c r="PT46" s="365">
        <v>1950</v>
      </c>
      <c r="PU46" s="314">
        <v>1940</v>
      </c>
      <c r="PV46" s="314">
        <v>1940</v>
      </c>
      <c r="PW46" s="314">
        <v>1940</v>
      </c>
      <c r="PX46" s="314"/>
      <c r="PY46" s="314">
        <v>2050</v>
      </c>
      <c r="PZ46" s="314">
        <v>2200</v>
      </c>
      <c r="QA46" s="314">
        <v>1720</v>
      </c>
      <c r="QB46" s="72"/>
      <c r="QC46" s="314">
        <v>2150</v>
      </c>
      <c r="QD46" s="136">
        <v>2000</v>
      </c>
      <c r="QE46" s="314">
        <v>1930</v>
      </c>
      <c r="QG46" s="314">
        <v>2150</v>
      </c>
      <c r="QH46" s="314">
        <v>1900</v>
      </c>
      <c r="QI46" s="314">
        <v>2050</v>
      </c>
      <c r="QJ46" s="314">
        <v>2050</v>
      </c>
      <c r="QK46" s="314">
        <v>2050</v>
      </c>
      <c r="QL46" s="314">
        <v>2370</v>
      </c>
      <c r="QM46" s="314">
        <v>1850</v>
      </c>
      <c r="QN46" s="314">
        <v>1500</v>
      </c>
      <c r="QO46" s="314">
        <v>1400</v>
      </c>
      <c r="QP46" s="314"/>
      <c r="QQ46" s="314">
        <v>1650</v>
      </c>
      <c r="QR46" s="314">
        <v>2250</v>
      </c>
      <c r="QS46" s="136">
        <f>1369+0</f>
        <v>1369</v>
      </c>
      <c r="QU46" s="314">
        <v>800</v>
      </c>
      <c r="QV46" s="314">
        <v>1500</v>
      </c>
      <c r="QW46" s="314">
        <v>1730</v>
      </c>
      <c r="QX46" s="314">
        <v>1900</v>
      </c>
      <c r="QY46" s="314">
        <v>2000</v>
      </c>
      <c r="QZ46" s="314">
        <v>2200</v>
      </c>
      <c r="RA46" s="314"/>
      <c r="RB46" s="314">
        <v>2300</v>
      </c>
      <c r="RC46" s="314">
        <v>1724</v>
      </c>
      <c r="RD46" s="314">
        <v>670</v>
      </c>
      <c r="RE46" s="136">
        <v>1000</v>
      </c>
      <c r="RF46" s="136">
        <v>1140</v>
      </c>
      <c r="RG46" s="74"/>
      <c r="RH46" s="314">
        <v>1980</v>
      </c>
      <c r="RJ46" s="365">
        <f>315+40+600</f>
        <v>955</v>
      </c>
      <c r="RK46" s="314">
        <v>2000</v>
      </c>
      <c r="RL46" s="314">
        <v>2200</v>
      </c>
      <c r="RM46" s="314">
        <v>2300</v>
      </c>
      <c r="RN46" s="314">
        <v>2000</v>
      </c>
      <c r="RP46" s="314">
        <v>2300</v>
      </c>
      <c r="RQ46" s="314">
        <v>2640</v>
      </c>
      <c r="RR46" s="314">
        <v>2400</v>
      </c>
      <c r="RS46" s="136">
        <v>2000</v>
      </c>
      <c r="RT46" s="314">
        <v>2640</v>
      </c>
      <c r="RU46" s="314">
        <v>2350</v>
      </c>
      <c r="RV46" s="314">
        <v>2640</v>
      </c>
      <c r="RX46" s="314">
        <v>2640</v>
      </c>
      <c r="RY46" s="314">
        <v>2500</v>
      </c>
      <c r="RZ46" s="314">
        <v>2500</v>
      </c>
      <c r="SA46" s="314">
        <v>2350</v>
      </c>
      <c r="SB46" s="314">
        <v>2640</v>
      </c>
      <c r="SC46" s="314">
        <v>2300</v>
      </c>
      <c r="SE46" s="314">
        <f>1271+63+0</f>
        <v>1334</v>
      </c>
      <c r="SF46" s="136">
        <v>10</v>
      </c>
      <c r="SG46" s="136">
        <v>290</v>
      </c>
      <c r="SH46" s="136">
        <v>380</v>
      </c>
      <c r="SI46" s="314">
        <v>800</v>
      </c>
      <c r="SJ46" s="314">
        <v>710</v>
      </c>
      <c r="SL46" s="136">
        <v>820</v>
      </c>
      <c r="SM46" s="72"/>
      <c r="SN46" s="314">
        <v>1550</v>
      </c>
      <c r="SO46" s="314">
        <v>1663</v>
      </c>
      <c r="SP46" s="314">
        <v>1100</v>
      </c>
      <c r="SQ46" s="314">
        <v>1400</v>
      </c>
      <c r="SR46" s="314">
        <v>1530</v>
      </c>
      <c r="SS46" s="314">
        <v>1400</v>
      </c>
      <c r="ST46" s="314">
        <v>1500</v>
      </c>
      <c r="SU46" s="136">
        <v>1300</v>
      </c>
      <c r="SV46" s="314"/>
      <c r="SW46" s="136">
        <v>1450</v>
      </c>
      <c r="SX46" s="365">
        <v>1314</v>
      </c>
      <c r="SY46" s="314">
        <v>800</v>
      </c>
      <c r="SZ46" s="314"/>
      <c r="TA46" s="314">
        <v>1250</v>
      </c>
      <c r="TB46" s="314">
        <v>1500</v>
      </c>
      <c r="TC46" s="314">
        <v>1650</v>
      </c>
      <c r="TD46" s="314">
        <v>1850</v>
      </c>
      <c r="TE46" s="314">
        <f>139+294+800</f>
        <v>1233</v>
      </c>
      <c r="TF46" s="136">
        <v>1530</v>
      </c>
      <c r="TG46" s="314"/>
      <c r="TH46" s="136">
        <v>1750</v>
      </c>
      <c r="TI46" s="314">
        <v>2300</v>
      </c>
      <c r="TJ46" s="365">
        <v>2100</v>
      </c>
      <c r="TK46" s="136">
        <f>191+1119</f>
        <v>1310</v>
      </c>
      <c r="TL46" s="136">
        <v>1400</v>
      </c>
      <c r="TM46" s="136">
        <v>1717</v>
      </c>
      <c r="TO46" s="314">
        <v>1760</v>
      </c>
      <c r="TP46" s="365">
        <v>1623</v>
      </c>
      <c r="TQ46" s="136">
        <v>800</v>
      </c>
      <c r="TR46" s="72"/>
      <c r="TS46" s="136">
        <v>2000</v>
      </c>
      <c r="TT46" s="136">
        <v>2200</v>
      </c>
      <c r="TU46" s="136">
        <v>2050</v>
      </c>
      <c r="TW46" s="314">
        <f>170+980</f>
        <v>1150</v>
      </c>
      <c r="TX46" s="314">
        <v>1850</v>
      </c>
      <c r="TY46" s="314">
        <f>558+1000</f>
        <v>1558</v>
      </c>
      <c r="TZ46" s="314">
        <v>1800</v>
      </c>
      <c r="UA46" s="314">
        <f>593+750</f>
        <v>1343</v>
      </c>
      <c r="UB46" s="314">
        <v>1800</v>
      </c>
      <c r="UC46" s="136">
        <v>1500</v>
      </c>
      <c r="UD46" s="314">
        <f>1144+350</f>
        <v>1494</v>
      </c>
      <c r="UE46" s="314">
        <v>1810</v>
      </c>
      <c r="UF46" s="314">
        <v>1800</v>
      </c>
      <c r="UG46" s="136">
        <v>1250</v>
      </c>
      <c r="UH46" s="314"/>
      <c r="UI46" s="314"/>
      <c r="UJ46" s="314"/>
      <c r="UK46" s="365">
        <f>656+272+200</f>
        <v>1128</v>
      </c>
      <c r="UL46" s="136">
        <v>1550</v>
      </c>
      <c r="UM46" s="136">
        <v>1550</v>
      </c>
      <c r="UN46" s="136">
        <f>196+214+1190</f>
        <v>1600</v>
      </c>
      <c r="UO46" s="314">
        <v>1980</v>
      </c>
      <c r="UP46" s="314">
        <f>617+1020</f>
        <v>1637</v>
      </c>
      <c r="UR46" s="314">
        <v>1950</v>
      </c>
      <c r="US46" s="136">
        <v>2000</v>
      </c>
      <c r="UT46" s="365">
        <f>1498+20</f>
        <v>1518</v>
      </c>
      <c r="UU46" s="136">
        <v>720</v>
      </c>
      <c r="UV46" s="136">
        <v>1200</v>
      </c>
      <c r="UW46" s="136">
        <f>605+110</f>
        <v>715</v>
      </c>
      <c r="UX46" s="72"/>
      <c r="UZ46" s="136">
        <f>828+300</f>
        <v>1128</v>
      </c>
      <c r="VA46" s="136">
        <f>1170+20</f>
        <v>1190</v>
      </c>
      <c r="VB46" s="136">
        <v>1500</v>
      </c>
      <c r="VC46" s="136">
        <v>2200</v>
      </c>
      <c r="VD46" s="136">
        <v>2000</v>
      </c>
      <c r="VE46" s="136">
        <v>2100</v>
      </c>
      <c r="VG46" s="314">
        <v>2100</v>
      </c>
      <c r="VH46" s="314">
        <v>2120</v>
      </c>
      <c r="VI46" s="314">
        <v>1900</v>
      </c>
      <c r="VJ46" s="314">
        <v>2300</v>
      </c>
      <c r="VK46" s="314">
        <v>2350</v>
      </c>
      <c r="VL46" s="314">
        <v>1230</v>
      </c>
      <c r="VN46" s="314">
        <v>2100</v>
      </c>
      <c r="VO46" s="314">
        <v>2150</v>
      </c>
      <c r="VP46" s="136">
        <v>2100</v>
      </c>
      <c r="VQ46" s="136">
        <v>1800</v>
      </c>
      <c r="VR46" s="136">
        <f>448+307</f>
        <v>755</v>
      </c>
      <c r="VS46" s="314">
        <v>300</v>
      </c>
      <c r="VT46" s="314"/>
      <c r="VU46" s="314">
        <v>880</v>
      </c>
      <c r="VV46" s="314">
        <v>1120</v>
      </c>
      <c r="VW46" s="314">
        <v>1120</v>
      </c>
      <c r="VX46" s="314">
        <v>1100</v>
      </c>
      <c r="VY46" s="314">
        <v>1100</v>
      </c>
      <c r="VZ46" s="314">
        <v>1150</v>
      </c>
      <c r="WB46" s="136">
        <v>1570</v>
      </c>
      <c r="WC46" s="314">
        <v>1540</v>
      </c>
      <c r="WD46" s="72"/>
      <c r="WE46" s="314">
        <v>1650</v>
      </c>
      <c r="WF46" s="314">
        <v>1770</v>
      </c>
      <c r="WG46" s="136">
        <v>1800</v>
      </c>
      <c r="WH46" s="314">
        <v>1800</v>
      </c>
      <c r="WJ46" s="314">
        <v>1880</v>
      </c>
      <c r="WK46" s="365">
        <f>1182+50</f>
        <v>1232</v>
      </c>
      <c r="WL46" s="136">
        <v>1500</v>
      </c>
      <c r="WM46" s="136">
        <f>1553+210</f>
        <v>1763</v>
      </c>
      <c r="WN46" s="314">
        <v>1870</v>
      </c>
      <c r="WO46" s="314">
        <f>1020+960</f>
        <v>1980</v>
      </c>
      <c r="WP46" s="136">
        <v>1440</v>
      </c>
      <c r="WQ46" s="136">
        <f>1109+250</f>
        <v>1359</v>
      </c>
      <c r="WR46" s="136">
        <v>1760</v>
      </c>
      <c r="WS46" s="136">
        <f>936+394</f>
        <v>1330</v>
      </c>
      <c r="WT46" s="136">
        <v>1750</v>
      </c>
      <c r="WU46" s="136">
        <f>1058+412</f>
        <v>1470</v>
      </c>
      <c r="WV46" s="136">
        <v>1440</v>
      </c>
      <c r="WZ46" s="136">
        <f>1256+550</f>
        <v>1806</v>
      </c>
      <c r="XA46" s="136">
        <v>2090</v>
      </c>
      <c r="XB46" s="365">
        <f>458+305+120</f>
        <v>883</v>
      </c>
      <c r="XC46" s="314">
        <v>1900</v>
      </c>
      <c r="XE46" s="314">
        <v>2640</v>
      </c>
      <c r="XF46" s="314">
        <f>2097+323</f>
        <v>2420</v>
      </c>
      <c r="XG46" s="74"/>
      <c r="XH46" s="314">
        <f>2760+16</f>
        <v>2776</v>
      </c>
      <c r="XI46" s="365">
        <f>888+1863</f>
        <v>2751</v>
      </c>
      <c r="XJ46" s="136">
        <v>3080</v>
      </c>
      <c r="XK46" s="136">
        <f>2780+35</f>
        <v>2815</v>
      </c>
      <c r="XM46" s="314">
        <v>3000</v>
      </c>
      <c r="XN46" s="314">
        <v>2800</v>
      </c>
      <c r="XO46" s="314">
        <v>3300</v>
      </c>
      <c r="XP46" s="314">
        <v>2800</v>
      </c>
      <c r="XQ46" s="124">
        <f>543+268</f>
        <v>811</v>
      </c>
      <c r="XR46" s="314">
        <v>480</v>
      </c>
      <c r="XS46" s="173"/>
      <c r="XT46" s="314">
        <v>1020</v>
      </c>
      <c r="XU46" s="314">
        <v>1400</v>
      </c>
      <c r="XV46" s="314">
        <v>1550</v>
      </c>
      <c r="XW46" s="314">
        <v>1850</v>
      </c>
      <c r="XX46" s="314">
        <v>1900</v>
      </c>
      <c r="XY46" s="314">
        <v>1950</v>
      </c>
      <c r="XZ46" s="136">
        <v>1800</v>
      </c>
      <c r="YA46" s="314">
        <v>1850</v>
      </c>
      <c r="YB46" s="136">
        <v>1850</v>
      </c>
      <c r="YC46" s="314">
        <v>2000</v>
      </c>
      <c r="YD46" s="136">
        <f>946+0</f>
        <v>946</v>
      </c>
      <c r="YE46" s="124">
        <f>549+280</f>
        <v>829</v>
      </c>
      <c r="YF46" s="136">
        <v>2000</v>
      </c>
      <c r="YG46" s="173"/>
      <c r="YH46" s="136">
        <v>2300</v>
      </c>
      <c r="YI46" s="136">
        <v>2400</v>
      </c>
      <c r="YJ46" s="136">
        <v>2000</v>
      </c>
      <c r="YL46" s="314">
        <v>2100</v>
      </c>
      <c r="YM46" s="74"/>
      <c r="YN46" s="124">
        <v>2386</v>
      </c>
      <c r="YP46" s="136">
        <v>550</v>
      </c>
      <c r="YQ46" s="136">
        <v>1150</v>
      </c>
      <c r="YR46" s="136">
        <v>1400</v>
      </c>
      <c r="YS46" s="136">
        <v>1600</v>
      </c>
      <c r="YT46" s="136">
        <v>2000</v>
      </c>
      <c r="YU46" s="136">
        <v>2150</v>
      </c>
      <c r="YV46" s="314"/>
      <c r="YW46" s="136">
        <v>2100</v>
      </c>
      <c r="YX46" s="314">
        <v>2150</v>
      </c>
      <c r="YY46" s="314">
        <v>2250</v>
      </c>
      <c r="YZ46" s="314">
        <v>1900</v>
      </c>
      <c r="ZB46" s="136">
        <v>2000</v>
      </c>
      <c r="ZD46" s="314">
        <v>2000</v>
      </c>
      <c r="ZE46" s="314">
        <v>2000</v>
      </c>
      <c r="ZF46" s="314">
        <v>1850</v>
      </c>
      <c r="ZG46" s="314">
        <v>2000</v>
      </c>
      <c r="ZH46" s="314">
        <v>2000</v>
      </c>
      <c r="ZI46" s="124">
        <f>1544+200</f>
        <v>1744</v>
      </c>
      <c r="ZK46" s="136">
        <v>1410</v>
      </c>
      <c r="ZL46" s="136">
        <v>1800</v>
      </c>
      <c r="ZM46" s="136">
        <v>1850</v>
      </c>
      <c r="ZN46" s="314">
        <v>1850</v>
      </c>
      <c r="ZO46" s="314">
        <v>1750</v>
      </c>
      <c r="ZP46" s="314">
        <v>1700</v>
      </c>
      <c r="ZR46" s="72"/>
      <c r="ZS46" s="314"/>
      <c r="ZT46" s="314">
        <v>2000</v>
      </c>
      <c r="ZU46" s="314">
        <v>1950</v>
      </c>
      <c r="ZV46" s="314">
        <v>2000</v>
      </c>
      <c r="ZW46" s="314">
        <v>2050</v>
      </c>
      <c r="ZX46" s="314">
        <v>2100</v>
      </c>
      <c r="ZZ46" s="314">
        <v>2050</v>
      </c>
      <c r="AAA46" s="314">
        <v>2100</v>
      </c>
      <c r="AAB46" s="136">
        <v>1950</v>
      </c>
      <c r="AAC46" s="136">
        <v>2000</v>
      </c>
      <c r="AAD46" s="314">
        <v>1700</v>
      </c>
      <c r="AAE46" s="777"/>
      <c r="AAF46" s="705"/>
      <c r="AAG46" s="705"/>
      <c r="AAH46" s="705"/>
      <c r="AAI46" s="778"/>
      <c r="AAJ46" s="136">
        <v>2100</v>
      </c>
      <c r="AAK46" s="136">
        <v>1800</v>
      </c>
      <c r="AAL46" s="136">
        <v>2050</v>
      </c>
      <c r="AAM46" s="314">
        <v>1700</v>
      </c>
      <c r="AAN46" s="136">
        <v>2150</v>
      </c>
      <c r="AAO46" s="136">
        <v>2150</v>
      </c>
      <c r="AAP46" s="136">
        <v>2200</v>
      </c>
      <c r="AAQ46" s="314">
        <v>2250</v>
      </c>
      <c r="AAR46" s="124">
        <f>1389+100</f>
        <v>1489</v>
      </c>
      <c r="AAS46" s="314">
        <v>1700</v>
      </c>
      <c r="AAU46" s="136">
        <v>2070</v>
      </c>
      <c r="AAV46" s="136">
        <v>1800</v>
      </c>
      <c r="AAW46" s="314">
        <v>2289</v>
      </c>
      <c r="AAX46" s="581"/>
      <c r="AAY46" s="314">
        <v>2650</v>
      </c>
      <c r="AAZ46" s="314">
        <v>2700</v>
      </c>
      <c r="ABA46" s="314">
        <v>2900</v>
      </c>
      <c r="ABC46" s="314">
        <v>2700</v>
      </c>
      <c r="ABD46" s="314">
        <v>2500</v>
      </c>
      <c r="ABE46" s="314">
        <v>2700</v>
      </c>
      <c r="ABF46" s="314">
        <f>42+2958</f>
        <v>3000</v>
      </c>
      <c r="ABG46" s="314">
        <v>3100</v>
      </c>
      <c r="ABH46" s="314">
        <v>3100</v>
      </c>
      <c r="ABI46" s="314"/>
      <c r="ABJ46" s="314">
        <v>2950</v>
      </c>
      <c r="ABK46" s="314">
        <v>3000</v>
      </c>
      <c r="ABL46" s="314">
        <v>3050</v>
      </c>
      <c r="ABM46" s="314">
        <v>3100</v>
      </c>
      <c r="ABN46" s="314">
        <f>3180+27</f>
        <v>3207</v>
      </c>
      <c r="ABO46" s="314">
        <v>3100</v>
      </c>
      <c r="ABP46" s="314">
        <v>2350</v>
      </c>
      <c r="ABQ46" s="124">
        <f>2415+30</f>
        <v>2445</v>
      </c>
      <c r="ABR46" s="136">
        <v>1000</v>
      </c>
      <c r="ABS46" s="136">
        <v>2100</v>
      </c>
      <c r="ABT46" s="136">
        <v>2200</v>
      </c>
      <c r="ABU46" s="136">
        <v>2300</v>
      </c>
      <c r="ABV46" s="136">
        <v>2640</v>
      </c>
      <c r="ABX46" s="124">
        <v>2350</v>
      </c>
      <c r="ABY46" s="136">
        <v>2550</v>
      </c>
      <c r="ABZ46" s="136">
        <v>2600</v>
      </c>
      <c r="ACA46" s="136">
        <v>2550</v>
      </c>
      <c r="ACB46" s="136">
        <v>2050</v>
      </c>
      <c r="ACC46" s="314"/>
      <c r="ACD46" s="314">
        <v>2200</v>
      </c>
      <c r="ACE46" s="124">
        <f>1184+400</f>
        <v>1584</v>
      </c>
      <c r="ACF46" s="124">
        <f>153+2050</f>
        <v>2203</v>
      </c>
      <c r="ACG46" s="136">
        <v>2850</v>
      </c>
      <c r="ACH46" s="136">
        <f>1608+1190</f>
        <v>2798</v>
      </c>
      <c r="ACI46" s="136">
        <v>3150</v>
      </c>
      <c r="ACJ46" s="136">
        <v>3050</v>
      </c>
      <c r="ACK46" s="136">
        <v>3200</v>
      </c>
      <c r="ACL46" s="314"/>
      <c r="ACM46" s="314">
        <v>3100</v>
      </c>
      <c r="ACN46" s="314">
        <v>3150</v>
      </c>
      <c r="ACO46" s="314">
        <v>3400</v>
      </c>
      <c r="ACP46" s="314">
        <v>3050</v>
      </c>
      <c r="ACQ46" s="314">
        <v>3150</v>
      </c>
      <c r="ACR46" s="136">
        <v>3150</v>
      </c>
      <c r="ACS46" s="314">
        <v>2700</v>
      </c>
      <c r="ACT46" s="314">
        <v>3100</v>
      </c>
      <c r="ACU46" s="314">
        <v>3200</v>
      </c>
      <c r="ACV46" s="314">
        <v>1620</v>
      </c>
      <c r="ACW46" s="785"/>
      <c r="ACX46" s="786"/>
      <c r="ACY46" s="786"/>
      <c r="ACZ46" s="786"/>
      <c r="ADA46" s="786"/>
      <c r="ADB46" s="786"/>
      <c r="ADC46" s="786"/>
      <c r="ADD46" s="786"/>
      <c r="ADE46" s="786"/>
      <c r="ADF46" s="786"/>
      <c r="ADG46" s="787"/>
      <c r="ADH46" s="314"/>
      <c r="ADI46" s="74"/>
      <c r="ADJ46" s="314">
        <v>1850</v>
      </c>
      <c r="ADK46" s="314">
        <v>3300</v>
      </c>
      <c r="ADL46" s="314">
        <v>3300</v>
      </c>
      <c r="ADM46" s="314">
        <f>1169+1981</f>
        <v>3150</v>
      </c>
      <c r="ADN46" s="314">
        <v>3200</v>
      </c>
      <c r="ADO46" s="314"/>
      <c r="ADP46" s="314">
        <v>2600</v>
      </c>
      <c r="ADQ46" s="314">
        <v>3050</v>
      </c>
      <c r="ADR46" s="314">
        <v>3300</v>
      </c>
      <c r="ADS46" s="314">
        <v>3300</v>
      </c>
      <c r="ADT46" s="314">
        <v>3300</v>
      </c>
      <c r="ADU46" s="124">
        <f>3132+120</f>
        <v>3252</v>
      </c>
      <c r="ADV46" s="136">
        <f>1260+120</f>
        <v>1380</v>
      </c>
      <c r="ADW46" s="314"/>
      <c r="ADY46" s="314">
        <f>685+1382</f>
        <v>2067</v>
      </c>
      <c r="ADZ46" s="314">
        <v>3410</v>
      </c>
      <c r="AEA46" s="314">
        <v>3410</v>
      </c>
      <c r="AEB46" s="314">
        <v>3450</v>
      </c>
      <c r="AED46" s="136">
        <v>3400</v>
      </c>
      <c r="AEE46" s="314">
        <v>3450</v>
      </c>
      <c r="AEF46" s="314">
        <v>3520</v>
      </c>
      <c r="AEG46" s="314">
        <v>3410</v>
      </c>
      <c r="AEH46" s="124">
        <f>1056+550</f>
        <v>1606</v>
      </c>
      <c r="AEI46" s="314">
        <v>1500</v>
      </c>
      <c r="AEK46" s="314">
        <v>1750</v>
      </c>
      <c r="AEL46" s="314">
        <v>1950</v>
      </c>
      <c r="AEM46" s="314">
        <v>2000</v>
      </c>
      <c r="AEN46" s="314">
        <v>1920</v>
      </c>
      <c r="AEO46" s="314"/>
      <c r="AEP46" s="314">
        <v>1700</v>
      </c>
      <c r="AEQ46" s="314">
        <v>1750</v>
      </c>
      <c r="AES46" s="314">
        <f>1869+130</f>
        <v>1999</v>
      </c>
      <c r="AET46" s="314">
        <v>1900</v>
      </c>
      <c r="AEU46" s="136">
        <v>2100</v>
      </c>
      <c r="AEV46" s="136">
        <v>2200</v>
      </c>
      <c r="AEW46" s="136">
        <v>2310</v>
      </c>
      <c r="AEX46" s="136">
        <v>2100</v>
      </c>
      <c r="AEZ46" s="124">
        <f>1025+11+210</f>
        <v>1246</v>
      </c>
      <c r="AFA46" s="136">
        <v>2000</v>
      </c>
      <c r="AFB46" s="136">
        <v>2400</v>
      </c>
      <c r="AFC46" s="136">
        <v>2800</v>
      </c>
      <c r="AFD46" s="136">
        <v>2700</v>
      </c>
      <c r="AFE46" s="136">
        <v>2900</v>
      </c>
      <c r="AFG46" s="136">
        <v>3100</v>
      </c>
      <c r="AFH46" s="314">
        <v>3000</v>
      </c>
      <c r="AFI46" s="314">
        <v>3200</v>
      </c>
      <c r="AFJ46" s="314">
        <v>3100</v>
      </c>
      <c r="AFK46" s="314">
        <v>2560</v>
      </c>
      <c r="AFL46" s="314">
        <v>2560</v>
      </c>
      <c r="AFN46" s="124">
        <f>2035+320</f>
        <v>2355</v>
      </c>
      <c r="AFO46" s="314">
        <v>3520</v>
      </c>
      <c r="AFP46" s="136">
        <v>3400</v>
      </c>
      <c r="AFQ46" s="136">
        <v>3420</v>
      </c>
      <c r="AFR46" s="136">
        <v>2300</v>
      </c>
      <c r="AFS46" s="136">
        <v>2350</v>
      </c>
      <c r="AFV46" s="314">
        <v>2300</v>
      </c>
      <c r="AFW46" s="124">
        <v>1931</v>
      </c>
      <c r="AFX46" s="314">
        <v>770</v>
      </c>
      <c r="AFY46" s="314">
        <v>2000</v>
      </c>
      <c r="AFZ46" s="314">
        <v>2000</v>
      </c>
      <c r="AGA46" s="314">
        <v>2150</v>
      </c>
      <c r="AGB46" s="314"/>
      <c r="AGC46" s="314">
        <f>747+0</f>
        <v>747</v>
      </c>
      <c r="AGD46" s="314">
        <v>230</v>
      </c>
      <c r="AGE46" s="314">
        <v>1150</v>
      </c>
      <c r="AGF46" s="136">
        <v>1350</v>
      </c>
      <c r="AGG46" s="136">
        <v>1450</v>
      </c>
      <c r="AGH46" s="136">
        <v>1550</v>
      </c>
      <c r="AGJ46" s="136">
        <v>1650</v>
      </c>
      <c r="AGK46" s="314">
        <v>1500</v>
      </c>
      <c r="AGL46" s="136">
        <v>1500</v>
      </c>
      <c r="AGM46" s="124">
        <v>1261</v>
      </c>
      <c r="AGN46" s="314">
        <v>510</v>
      </c>
      <c r="AGO46" s="314">
        <v>1400</v>
      </c>
      <c r="AGQ46" s="314">
        <v>1600</v>
      </c>
      <c r="AGR46" s="314">
        <v>1700</v>
      </c>
      <c r="AGS46" s="124">
        <v>1900</v>
      </c>
      <c r="AGT46" s="603">
        <f>212+0</f>
        <v>212</v>
      </c>
      <c r="AGU46" s="603">
        <v>390</v>
      </c>
      <c r="AGV46" s="603">
        <v>430</v>
      </c>
      <c r="AGX46" s="603">
        <v>900</v>
      </c>
      <c r="AGY46" s="603">
        <v>1100</v>
      </c>
      <c r="AGZ46" s="314"/>
      <c r="AHA46" s="603">
        <v>1650</v>
      </c>
      <c r="AHB46" s="603">
        <v>1700</v>
      </c>
      <c r="AHC46" s="603">
        <v>1550</v>
      </c>
      <c r="AHD46" s="136">
        <v>1750</v>
      </c>
      <c r="AHF46" s="314">
        <v>1750</v>
      </c>
      <c r="AHG46" s="124">
        <v>1469</v>
      </c>
      <c r="AHH46" s="136">
        <v>420</v>
      </c>
      <c r="AHI46" s="314">
        <f>181+2220</f>
        <v>2401</v>
      </c>
      <c r="AHJ46" s="314">
        <v>3150</v>
      </c>
      <c r="AHK46" s="314">
        <v>3130</v>
      </c>
      <c r="AHM46" s="314">
        <v>3400</v>
      </c>
      <c r="AHN46" s="124">
        <v>3350</v>
      </c>
      <c r="AHO46" s="603">
        <f>213+250</f>
        <v>463</v>
      </c>
      <c r="AHP46" s="603">
        <v>1800</v>
      </c>
      <c r="AHQ46" s="603">
        <v>1650</v>
      </c>
      <c r="AHR46" s="603">
        <v>2750</v>
      </c>
      <c r="AHT46" s="603">
        <v>2750</v>
      </c>
      <c r="AHU46" s="603">
        <v>2750</v>
      </c>
      <c r="AHV46" s="603">
        <v>2750</v>
      </c>
      <c r="AHW46" s="603">
        <v>2750</v>
      </c>
      <c r="AHX46" s="604">
        <v>2600</v>
      </c>
      <c r="AHY46" s="314">
        <v>400</v>
      </c>
      <c r="AIA46" s="314">
        <v>800</v>
      </c>
      <c r="AIB46" s="314">
        <v>1200</v>
      </c>
      <c r="AIC46" s="314">
        <v>1500</v>
      </c>
      <c r="AID46" s="314">
        <v>1650</v>
      </c>
      <c r="AIE46" s="74"/>
      <c r="AIF46" s="314">
        <v>1650</v>
      </c>
      <c r="AIG46" s="314">
        <v>1650</v>
      </c>
      <c r="AII46" s="124">
        <v>1550</v>
      </c>
      <c r="AIJ46" s="314">
        <v>100</v>
      </c>
      <c r="AIK46" s="136">
        <v>200</v>
      </c>
      <c r="AIL46" s="136">
        <v>350</v>
      </c>
      <c r="AIM46" s="136">
        <v>500</v>
      </c>
      <c r="AIN46" s="314">
        <v>600</v>
      </c>
      <c r="AIO46" s="314"/>
      <c r="AIP46" s="136">
        <v>700</v>
      </c>
      <c r="AIQ46" s="314">
        <v>800</v>
      </c>
      <c r="AIR46" s="314">
        <v>800</v>
      </c>
      <c r="AIS46" s="314">
        <v>800</v>
      </c>
      <c r="AIT46" s="314">
        <v>800</v>
      </c>
      <c r="AIW46" s="314">
        <v>800</v>
      </c>
      <c r="AIX46" s="314">
        <v>800</v>
      </c>
      <c r="AIY46" s="136">
        <v>800</v>
      </c>
      <c r="AIZ46" s="136">
        <v>800</v>
      </c>
      <c r="AJA46" s="136">
        <v>800</v>
      </c>
      <c r="AJB46" s="124">
        <v>800</v>
      </c>
      <c r="AJD46" s="314">
        <v>1000</v>
      </c>
      <c r="AJE46" s="136">
        <v>2000</v>
      </c>
      <c r="AJF46" s="136">
        <v>3000</v>
      </c>
      <c r="AJG46" s="136">
        <v>3000</v>
      </c>
      <c r="AJH46" s="603">
        <v>3300</v>
      </c>
      <c r="AJI46" s="603">
        <v>3300</v>
      </c>
      <c r="AJJ46" s="314"/>
      <c r="AJK46" s="314"/>
      <c r="AJL46" s="603">
        <v>500</v>
      </c>
      <c r="AJM46" s="603">
        <v>1000</v>
      </c>
      <c r="AJN46" s="603">
        <v>1500</v>
      </c>
      <c r="AJO46" s="603">
        <v>2100</v>
      </c>
      <c r="AJP46" s="603">
        <v>2300</v>
      </c>
      <c r="AJQ46" s="603">
        <v>2300</v>
      </c>
      <c r="AJS46" s="603">
        <v>2300</v>
      </c>
      <c r="AJT46" s="603">
        <v>2300</v>
      </c>
      <c r="AJU46" s="136">
        <v>2300</v>
      </c>
      <c r="AJV46" s="136">
        <v>2300</v>
      </c>
      <c r="AJW46" s="314">
        <v>2300</v>
      </c>
      <c r="AJX46" s="136">
        <v>2300</v>
      </c>
      <c r="AJZ46" s="314">
        <v>2300</v>
      </c>
      <c r="AKA46" s="314">
        <v>2300</v>
      </c>
      <c r="AKB46" s="314">
        <v>2300</v>
      </c>
      <c r="AKC46" s="314">
        <v>2300</v>
      </c>
      <c r="AKD46" s="136">
        <v>2300</v>
      </c>
      <c r="AKE46" s="124">
        <v>2300</v>
      </c>
      <c r="AKG46" s="136">
        <v>2300</v>
      </c>
      <c r="AKH46" s="136">
        <v>2300</v>
      </c>
      <c r="AKI46" s="136">
        <v>2300</v>
      </c>
      <c r="AKJ46" s="314">
        <v>2300</v>
      </c>
      <c r="AKK46" s="314">
        <v>2300</v>
      </c>
      <c r="AKL46" s="314">
        <v>2300</v>
      </c>
      <c r="AKM46" s="314"/>
      <c r="AKN46" s="124">
        <v>2000</v>
      </c>
      <c r="AKO46" s="136">
        <v>700</v>
      </c>
      <c r="AKP46" s="136">
        <v>1400</v>
      </c>
      <c r="AKQ46" s="314"/>
      <c r="AKR46" s="136">
        <v>2090</v>
      </c>
      <c r="AKS46" s="136">
        <v>2090</v>
      </c>
      <c r="AKT46" s="136">
        <v>2090</v>
      </c>
      <c r="AKV46" s="136">
        <v>2090</v>
      </c>
      <c r="AKW46" s="124">
        <v>1640</v>
      </c>
      <c r="AKX46" s="136">
        <v>800</v>
      </c>
      <c r="AKY46" s="314">
        <v>1200</v>
      </c>
      <c r="AKZ46" s="314">
        <v>1600</v>
      </c>
      <c r="ALA46" s="314">
        <v>1760</v>
      </c>
      <c r="ALB46" s="314"/>
      <c r="ALC46" s="314">
        <v>1760</v>
      </c>
      <c r="ALD46" s="314">
        <v>1760</v>
      </c>
      <c r="ALE46" s="314">
        <v>1760</v>
      </c>
      <c r="ALF46" s="314">
        <v>1760</v>
      </c>
      <c r="ALG46" s="314">
        <v>1760</v>
      </c>
      <c r="ALH46" s="314">
        <v>1760</v>
      </c>
      <c r="ALI46" s="314"/>
      <c r="ALJ46" s="314">
        <v>1760</v>
      </c>
      <c r="ALK46" s="314">
        <v>1760</v>
      </c>
      <c r="ALM46" s="124">
        <v>1360</v>
      </c>
      <c r="ALN46" s="139">
        <v>500</v>
      </c>
      <c r="ALO46" s="139">
        <v>1000</v>
      </c>
      <c r="ALP46" s="139"/>
      <c r="ALQ46" s="139">
        <v>1500</v>
      </c>
      <c r="ALR46" s="139">
        <v>2000</v>
      </c>
      <c r="ALS46" s="139">
        <v>2000</v>
      </c>
      <c r="ALT46" s="139"/>
      <c r="ALU46" s="139">
        <v>2000</v>
      </c>
      <c r="ALV46" s="139">
        <v>2000</v>
      </c>
      <c r="ALW46" s="139">
        <v>2000</v>
      </c>
      <c r="ALX46" s="139"/>
      <c r="ALY46" s="139">
        <v>2000</v>
      </c>
      <c r="ALZ46" s="139">
        <v>2000</v>
      </c>
      <c r="AMA46" s="139">
        <v>2000</v>
      </c>
      <c r="AMB46" s="139">
        <v>2000</v>
      </c>
      <c r="AMC46" s="139">
        <v>2000</v>
      </c>
      <c r="AMD46" s="139">
        <v>2000</v>
      </c>
      <c r="AME46" s="139"/>
      <c r="AMF46" s="124">
        <v>2000</v>
      </c>
      <c r="AMG46" s="314">
        <v>800</v>
      </c>
      <c r="AMH46" s="314">
        <v>1600</v>
      </c>
      <c r="AMI46" s="314">
        <v>2400</v>
      </c>
      <c r="AMJ46" s="314">
        <v>2750</v>
      </c>
      <c r="AMK46" s="314">
        <v>2750</v>
      </c>
      <c r="AMM46" s="314">
        <v>2750</v>
      </c>
      <c r="AMN46" s="314">
        <v>2750</v>
      </c>
      <c r="AMO46" s="314">
        <v>2750</v>
      </c>
      <c r="AMP46" s="314">
        <v>2750</v>
      </c>
      <c r="AMQ46" s="314">
        <v>2750</v>
      </c>
      <c r="AMR46" s="314">
        <v>2750</v>
      </c>
      <c r="AMU46" s="314">
        <v>2750</v>
      </c>
      <c r="AMV46" s="124">
        <v>2750</v>
      </c>
      <c r="AMW46" s="314">
        <v>800</v>
      </c>
      <c r="AMX46" s="314">
        <v>1600</v>
      </c>
      <c r="AMY46" s="314">
        <v>2400</v>
      </c>
      <c r="AMZ46" s="314"/>
      <c r="ANA46" s="314"/>
      <c r="ANB46" s="314">
        <v>2340</v>
      </c>
      <c r="ANC46" s="314">
        <v>2340</v>
      </c>
      <c r="AND46" s="314">
        <v>2340</v>
      </c>
      <c r="ANE46" s="314">
        <v>2340</v>
      </c>
      <c r="ANF46" s="314">
        <v>2340</v>
      </c>
      <c r="ANG46" s="314">
        <v>2340</v>
      </c>
      <c r="ANH46" s="314">
        <v>2340</v>
      </c>
      <c r="ANI46" s="314">
        <v>2340</v>
      </c>
      <c r="ANJ46" s="314">
        <v>2340</v>
      </c>
      <c r="ANK46" s="314">
        <v>2340</v>
      </c>
      <c r="ANL46" s="314">
        <v>2340</v>
      </c>
      <c r="ANM46" s="314">
        <v>2340</v>
      </c>
      <c r="ANN46" s="314"/>
      <c r="ANO46" s="314"/>
      <c r="ANP46" s="314">
        <v>2340</v>
      </c>
      <c r="ANQ46" s="314">
        <v>2340</v>
      </c>
      <c r="ANR46" s="314">
        <v>2340</v>
      </c>
      <c r="ANS46" s="314">
        <v>2340</v>
      </c>
      <c r="ANT46" s="314">
        <v>2340</v>
      </c>
      <c r="ANU46" s="314">
        <v>2340</v>
      </c>
      <c r="ANV46" s="124">
        <v>2340</v>
      </c>
      <c r="ANW46" s="314">
        <v>1260</v>
      </c>
      <c r="ANX46" s="314">
        <v>1260</v>
      </c>
      <c r="ANY46" s="314">
        <v>1260</v>
      </c>
      <c r="ANZ46" s="314">
        <v>1260</v>
      </c>
      <c r="AOA46" s="314">
        <v>1260</v>
      </c>
      <c r="AOB46" s="314">
        <v>1260</v>
      </c>
      <c r="AOC46" s="314"/>
      <c r="AOD46" s="314">
        <v>1260</v>
      </c>
      <c r="AOE46" s="314"/>
      <c r="AOF46" s="142"/>
      <c r="AOG46" s="142"/>
      <c r="AOH46" s="142"/>
      <c r="AOI46" s="142"/>
      <c r="AOJ46" s="142"/>
      <c r="AOK46" s="142"/>
      <c r="AOL46" s="142"/>
      <c r="AOM46" s="142"/>
      <c r="AON46" s="142"/>
      <c r="AOO46" s="314">
        <v>1540</v>
      </c>
      <c r="AOP46" s="314">
        <v>1540</v>
      </c>
      <c r="AOQ46" s="314">
        <v>1540</v>
      </c>
      <c r="AOR46" s="314"/>
      <c r="AOS46" s="314">
        <v>1540</v>
      </c>
      <c r="AOT46" s="314">
        <v>1540</v>
      </c>
      <c r="AOU46" s="314">
        <v>1540</v>
      </c>
      <c r="AOV46" s="314">
        <v>1540</v>
      </c>
      <c r="AOW46" s="314">
        <v>1540</v>
      </c>
      <c r="AOX46" s="314">
        <v>1540</v>
      </c>
      <c r="AOY46" s="314"/>
      <c r="AOZ46" s="314">
        <v>1540</v>
      </c>
      <c r="APA46" s="314">
        <v>1540</v>
      </c>
      <c r="APB46" s="314">
        <v>1540</v>
      </c>
      <c r="APC46" s="314">
        <v>1540</v>
      </c>
      <c r="APD46" s="314">
        <v>1540</v>
      </c>
      <c r="APE46" s="314">
        <v>1540</v>
      </c>
      <c r="APF46" s="314"/>
      <c r="APG46" s="314">
        <v>1540</v>
      </c>
      <c r="APH46" s="314">
        <v>1540</v>
      </c>
      <c r="API46" s="314">
        <v>1540</v>
      </c>
      <c r="APJ46" s="314">
        <v>1540</v>
      </c>
      <c r="APK46" s="314"/>
      <c r="APL46" s="314">
        <v>1540</v>
      </c>
      <c r="APM46" s="314">
        <v>1540</v>
      </c>
      <c r="APN46" s="314">
        <v>1040</v>
      </c>
      <c r="APO46" s="314">
        <v>1540</v>
      </c>
      <c r="APP46" s="314">
        <v>1540</v>
      </c>
      <c r="APQ46" s="314">
        <v>1540</v>
      </c>
      <c r="APR46" s="314">
        <v>1540</v>
      </c>
      <c r="APS46" s="314">
        <v>1540</v>
      </c>
      <c r="APT46" s="314">
        <v>1540</v>
      </c>
      <c r="APU46" s="314"/>
      <c r="APV46" s="314">
        <v>1540</v>
      </c>
      <c r="APW46" s="314">
        <v>1540</v>
      </c>
      <c r="APX46" s="314">
        <v>1540</v>
      </c>
      <c r="APY46" s="314">
        <v>1540</v>
      </c>
      <c r="APZ46" s="314">
        <v>1540</v>
      </c>
      <c r="AQA46" s="314">
        <v>1540</v>
      </c>
      <c r="AQB46" s="314"/>
      <c r="AQC46" s="314">
        <v>1540</v>
      </c>
      <c r="AQD46" s="314">
        <v>1540</v>
      </c>
      <c r="AQE46" s="314">
        <v>1540</v>
      </c>
      <c r="AQF46" s="314">
        <v>1540</v>
      </c>
      <c r="AQG46" s="314">
        <v>1540</v>
      </c>
      <c r="AQH46" s="314">
        <v>1540</v>
      </c>
      <c r="AQI46" s="124">
        <v>1040</v>
      </c>
      <c r="AQJ46" s="314"/>
      <c r="AQK46" s="314"/>
      <c r="AQL46" s="314"/>
      <c r="AQM46" s="314"/>
      <c r="AQN46" s="314"/>
      <c r="AQO46" s="314"/>
      <c r="AQP46" s="314"/>
      <c r="AQQ46" s="314"/>
      <c r="AQR46" s="314"/>
      <c r="AQS46" s="314"/>
      <c r="AQT46" s="314"/>
      <c r="AQU46" s="314"/>
      <c r="AQV46" s="314"/>
      <c r="AQW46" s="314"/>
      <c r="AQX46" s="142"/>
      <c r="AQY46" s="142"/>
      <c r="AQZ46" s="142"/>
      <c r="ARA46" s="142"/>
      <c r="ARB46" s="142"/>
      <c r="ARC46" s="142"/>
      <c r="ARD46" s="142"/>
      <c r="ARE46" s="142"/>
      <c r="ARF46" s="142"/>
      <c r="ARG46" s="314"/>
      <c r="ARH46" s="314"/>
      <c r="ARI46" s="314"/>
      <c r="ARJ46" s="314">
        <v>1540</v>
      </c>
      <c r="ARK46" s="314">
        <v>1540</v>
      </c>
      <c r="ARL46" s="314"/>
      <c r="ARM46" s="314">
        <v>1540</v>
      </c>
      <c r="ARN46" s="314">
        <v>1540</v>
      </c>
      <c r="ARO46" s="314">
        <v>1540</v>
      </c>
      <c r="ARP46" s="314">
        <v>1540</v>
      </c>
      <c r="ARQ46" s="314">
        <v>1540</v>
      </c>
      <c r="ARR46" s="314">
        <v>1540</v>
      </c>
      <c r="ARS46" s="314"/>
      <c r="ART46" s="314">
        <v>1540</v>
      </c>
      <c r="ARU46" s="314">
        <v>1540</v>
      </c>
      <c r="ARV46" s="314"/>
      <c r="ARW46" s="314">
        <v>1400</v>
      </c>
      <c r="ARX46" s="314">
        <v>1400</v>
      </c>
      <c r="ARY46" s="314">
        <v>1400</v>
      </c>
      <c r="ARZ46" s="314">
        <v>1400</v>
      </c>
      <c r="ASB46" s="314">
        <v>1400</v>
      </c>
      <c r="ASC46" s="314">
        <v>1400</v>
      </c>
      <c r="ASD46" s="314">
        <v>1400</v>
      </c>
      <c r="ASE46" s="314">
        <v>1400</v>
      </c>
      <c r="ASF46" s="314">
        <v>1400</v>
      </c>
      <c r="ASG46" s="314">
        <v>1400</v>
      </c>
      <c r="ASI46" s="314">
        <v>1400</v>
      </c>
      <c r="ASJ46" s="314">
        <v>1400</v>
      </c>
      <c r="ASL46" s="314">
        <v>1400</v>
      </c>
      <c r="ASM46" s="314">
        <v>1400</v>
      </c>
      <c r="ASN46" s="314">
        <v>1400</v>
      </c>
      <c r="ASO46" s="314"/>
      <c r="ASP46" s="314">
        <v>1400</v>
      </c>
      <c r="ASQ46" s="314">
        <v>1400</v>
      </c>
      <c r="ASR46" s="314">
        <v>1400</v>
      </c>
      <c r="ASS46" s="314">
        <v>1400</v>
      </c>
      <c r="AST46" s="314">
        <v>1400</v>
      </c>
      <c r="ASU46" s="314">
        <v>1400</v>
      </c>
      <c r="ASV46" s="314"/>
      <c r="ASW46" s="314">
        <v>1400</v>
      </c>
      <c r="ASX46" s="314">
        <v>1400</v>
      </c>
      <c r="ASY46" s="314">
        <v>1400</v>
      </c>
      <c r="ASZ46" s="314">
        <v>1400</v>
      </c>
      <c r="ATA46" s="314">
        <v>1400</v>
      </c>
      <c r="ATB46" s="314"/>
      <c r="ATC46" s="314">
        <v>1400</v>
      </c>
      <c r="ATE46" s="314">
        <v>1400</v>
      </c>
      <c r="ATF46" s="314">
        <v>1400</v>
      </c>
      <c r="ATG46" s="314">
        <v>1400</v>
      </c>
      <c r="ATH46" s="314">
        <v>1400</v>
      </c>
      <c r="ATI46" s="314">
        <v>1400</v>
      </c>
      <c r="ATJ46" s="314">
        <v>1400</v>
      </c>
      <c r="ATK46" s="314"/>
      <c r="ATL46" s="314">
        <v>1400</v>
      </c>
      <c r="ATM46" s="124">
        <v>1400</v>
      </c>
      <c r="ATU46" s="167"/>
      <c r="ATV46" s="314"/>
      <c r="ATW46" s="314"/>
      <c r="ATX46" s="314"/>
      <c r="ATY46" s="314"/>
      <c r="ATZ46" s="314"/>
      <c r="AUA46" s="314"/>
      <c r="AUB46" s="314"/>
      <c r="AUC46" s="314"/>
      <c r="AUD46" s="314"/>
      <c r="AUE46" s="314"/>
      <c r="AUF46" s="314"/>
      <c r="AUG46" s="314"/>
      <c r="AUH46" s="314">
        <v>1550</v>
      </c>
      <c r="AUI46" s="314">
        <v>1550</v>
      </c>
      <c r="AUJ46" s="314">
        <v>1550</v>
      </c>
      <c r="AUK46" s="314">
        <v>1550</v>
      </c>
      <c r="AUL46" s="314"/>
      <c r="AUM46" s="314">
        <v>1550</v>
      </c>
      <c r="AUN46" s="314"/>
      <c r="AUO46" s="314">
        <v>1550</v>
      </c>
      <c r="AUP46" s="314">
        <v>1550</v>
      </c>
      <c r="AUQ46" s="314">
        <v>1550</v>
      </c>
      <c r="AUR46" s="314">
        <v>1550</v>
      </c>
      <c r="AUS46" s="314">
        <v>1550</v>
      </c>
      <c r="AUT46" s="314">
        <v>1550</v>
      </c>
      <c r="AUU46" s="314"/>
      <c r="AUV46" s="314">
        <v>1550</v>
      </c>
      <c r="AUW46" s="124">
        <v>1550</v>
      </c>
      <c r="AUX46" s="314">
        <v>1400</v>
      </c>
      <c r="AUY46" s="314">
        <v>1400</v>
      </c>
      <c r="AUZ46" s="314">
        <v>1400</v>
      </c>
      <c r="AVA46" s="314">
        <v>1400</v>
      </c>
      <c r="AVB46" s="314"/>
      <c r="AVC46" s="314">
        <v>1400</v>
      </c>
      <c r="AVD46" s="314">
        <v>1400</v>
      </c>
      <c r="AVE46" s="314">
        <v>1400</v>
      </c>
      <c r="AVF46" s="314">
        <v>1400</v>
      </c>
      <c r="AVG46" s="314">
        <v>1400</v>
      </c>
      <c r="AVH46" s="314">
        <v>1400</v>
      </c>
      <c r="AVI46" s="314"/>
      <c r="AVJ46" s="314">
        <v>1400</v>
      </c>
      <c r="AVK46" s="314">
        <v>1400</v>
      </c>
      <c r="AVL46" s="314">
        <v>1400</v>
      </c>
      <c r="AVM46" s="314"/>
      <c r="AVN46" s="314">
        <v>1400</v>
      </c>
      <c r="AVO46" s="314">
        <v>1400</v>
      </c>
      <c r="AVP46" s="314">
        <v>1400</v>
      </c>
      <c r="AVQ46" s="314"/>
      <c r="AVR46" s="314">
        <v>1400</v>
      </c>
      <c r="AVS46" s="314">
        <v>1400</v>
      </c>
      <c r="AVT46" s="314">
        <v>1400</v>
      </c>
      <c r="AVU46" s="314">
        <v>1400</v>
      </c>
      <c r="AVV46" s="314">
        <v>1400</v>
      </c>
      <c r="AVW46" s="314">
        <v>1400</v>
      </c>
      <c r="AVX46" s="314"/>
      <c r="AVY46" s="314">
        <v>1400</v>
      </c>
      <c r="AVZ46" s="314">
        <v>1400</v>
      </c>
      <c r="AWA46" s="314">
        <v>1400</v>
      </c>
      <c r="AWB46" s="314">
        <v>1400</v>
      </c>
      <c r="AWC46" s="136">
        <v>1400</v>
      </c>
      <c r="AWD46" s="314">
        <v>1400</v>
      </c>
      <c r="AWF46" s="314">
        <v>1400</v>
      </c>
      <c r="AWG46" s="314">
        <v>1400</v>
      </c>
      <c r="AWH46" s="314">
        <v>1400</v>
      </c>
      <c r="AWI46" s="314">
        <v>1400</v>
      </c>
      <c r="AWJ46" s="314">
        <v>1400</v>
      </c>
      <c r="AWK46" s="314">
        <v>1400</v>
      </c>
      <c r="AWM46" s="314">
        <v>1400</v>
      </c>
      <c r="AWN46" s="314">
        <v>1400</v>
      </c>
      <c r="AWO46" s="314">
        <v>1400</v>
      </c>
      <c r="AWP46" s="314">
        <v>1400</v>
      </c>
      <c r="AWQ46" s="314">
        <v>1400</v>
      </c>
      <c r="AWR46" s="314"/>
      <c r="AWS46" s="314">
        <v>1550</v>
      </c>
      <c r="AWT46" s="314"/>
      <c r="AWU46" s="314">
        <v>1550</v>
      </c>
      <c r="AWV46" s="314">
        <v>1550</v>
      </c>
      <c r="AWW46" s="314">
        <v>1550</v>
      </c>
      <c r="AWX46" s="314">
        <v>1550</v>
      </c>
      <c r="AWY46" s="314">
        <v>1550</v>
      </c>
      <c r="AWZ46" s="314">
        <v>1550</v>
      </c>
      <c r="AXA46" s="314"/>
      <c r="AXB46" s="314">
        <v>1550</v>
      </c>
      <c r="AXC46" s="314">
        <v>1550</v>
      </c>
      <c r="AXD46" s="314">
        <v>1550</v>
      </c>
      <c r="AXE46" s="314">
        <v>1550</v>
      </c>
      <c r="AXF46" s="314">
        <v>1550</v>
      </c>
      <c r="AXG46" s="124">
        <v>1550</v>
      </c>
      <c r="AXI46" s="314"/>
      <c r="AXJ46" s="314"/>
      <c r="AXK46" s="314"/>
      <c r="AXL46" s="314"/>
      <c r="AXM46" s="314"/>
      <c r="AXN46" s="314"/>
      <c r="AXO46" s="314"/>
      <c r="AXP46" s="314"/>
      <c r="AXQ46" s="314"/>
      <c r="AXR46" s="314"/>
      <c r="AXS46" s="314"/>
      <c r="AXT46" s="314"/>
      <c r="AXU46" s="314"/>
      <c r="AXV46" s="314"/>
      <c r="AXW46" s="314"/>
      <c r="AXX46" s="314"/>
    </row>
    <row r="47" spans="1:1324" s="164" customFormat="1" ht="22.8" customHeight="1" x14ac:dyDescent="0.25">
      <c r="A47" s="711"/>
      <c r="B47" s="8" t="s">
        <v>13</v>
      </c>
      <c r="C47" s="153" t="s">
        <v>46</v>
      </c>
      <c r="D47" s="153"/>
      <c r="E47" s="155" t="s">
        <v>47</v>
      </c>
      <c r="F47" s="156"/>
      <c r="G47" s="154"/>
      <c r="H47" s="155" t="s">
        <v>49</v>
      </c>
      <c r="I47" s="156"/>
      <c r="J47" s="154"/>
      <c r="K47" s="155" t="s">
        <v>269</v>
      </c>
      <c r="L47" s="156"/>
      <c r="M47" s="154"/>
      <c r="N47" s="155" t="s">
        <v>49</v>
      </c>
      <c r="O47" s="156"/>
      <c r="P47" s="154"/>
      <c r="Q47" s="155" t="s">
        <v>75</v>
      </c>
      <c r="R47" s="156"/>
      <c r="S47" s="155" t="s">
        <v>605</v>
      </c>
      <c r="T47" s="156"/>
      <c r="U47" s="154"/>
      <c r="V47" s="154"/>
      <c r="W47" s="155" t="s">
        <v>72</v>
      </c>
      <c r="X47" s="156"/>
      <c r="Y47" s="154"/>
      <c r="Z47" s="154"/>
      <c r="AA47" s="154"/>
      <c r="AH47" s="28" t="s">
        <v>13</v>
      </c>
      <c r="AI47" s="155" t="s">
        <v>606</v>
      </c>
      <c r="AJ47" s="156"/>
      <c r="AK47" s="155" t="s">
        <v>78</v>
      </c>
      <c r="AL47" s="156"/>
      <c r="AM47" s="158"/>
      <c r="AN47" s="158"/>
      <c r="AO47" s="158"/>
      <c r="AP47" s="158"/>
      <c r="AQ47" s="731"/>
      <c r="AR47" s="732"/>
      <c r="AS47" s="732"/>
      <c r="AT47" s="732"/>
      <c r="AU47" s="732"/>
      <c r="AV47" s="732"/>
      <c r="AW47" s="732"/>
      <c r="AX47" s="732"/>
      <c r="AY47" s="732"/>
      <c r="AZ47" s="733"/>
      <c r="BA47" s="157" t="s">
        <v>78</v>
      </c>
      <c r="BB47" s="158"/>
      <c r="BC47" s="158"/>
      <c r="BD47" s="158"/>
      <c r="BE47" s="158"/>
      <c r="BF47" s="158"/>
      <c r="BG47" s="156" t="s">
        <v>99</v>
      </c>
      <c r="BH47" s="156"/>
      <c r="BI47" s="172"/>
      <c r="BJ47" s="172"/>
      <c r="BK47" s="172"/>
      <c r="BL47" s="172"/>
      <c r="BM47" s="172"/>
      <c r="BN47" s="8" t="s">
        <v>13</v>
      </c>
      <c r="BO47" s="155" t="s">
        <v>124</v>
      </c>
      <c r="BP47" s="126" t="s">
        <v>607</v>
      </c>
      <c r="BQ47" s="156"/>
      <c r="BR47" s="122"/>
      <c r="BS47" s="155" t="s">
        <v>143</v>
      </c>
      <c r="BT47" s="156"/>
      <c r="BU47" s="158"/>
      <c r="BV47" s="158"/>
      <c r="BW47" s="158"/>
      <c r="BX47" s="158"/>
      <c r="BY47" s="158"/>
      <c r="BZ47" s="158"/>
      <c r="CA47" s="158"/>
      <c r="CB47" s="158"/>
      <c r="CC47" s="158"/>
      <c r="CD47" s="158"/>
      <c r="CE47" s="155" t="s">
        <v>110</v>
      </c>
      <c r="CF47" s="156"/>
      <c r="CG47" s="154"/>
      <c r="CH47" s="154"/>
      <c r="CI47" s="154"/>
      <c r="CJ47" s="155" t="s">
        <v>145</v>
      </c>
      <c r="CK47" s="155"/>
      <c r="CL47" s="154"/>
      <c r="CM47" s="154"/>
      <c r="CN47" s="154"/>
      <c r="CO47" s="154"/>
      <c r="CP47" s="154"/>
      <c r="CQ47" s="154"/>
      <c r="CR47" s="154"/>
      <c r="CS47" s="8" t="s">
        <v>13</v>
      </c>
      <c r="CT47" s="163" t="s">
        <v>197</v>
      </c>
      <c r="CU47" s="154"/>
      <c r="CV47" s="154"/>
      <c r="CW47" s="154"/>
      <c r="CX47" s="154"/>
      <c r="CY47" s="154"/>
      <c r="CZ47" s="154"/>
      <c r="DA47" s="154"/>
      <c r="DB47" s="154"/>
      <c r="DC47" s="154"/>
      <c r="DD47" s="154"/>
      <c r="DE47" s="154"/>
      <c r="DF47" s="154"/>
      <c r="DG47" s="154"/>
      <c r="DH47" s="154"/>
      <c r="DI47" s="154"/>
      <c r="DJ47" s="154"/>
      <c r="DK47" s="154"/>
      <c r="DL47" s="154"/>
      <c r="DM47" s="154"/>
      <c r="DN47" s="154"/>
      <c r="DO47" s="154"/>
      <c r="DP47" s="154"/>
      <c r="DQ47" s="154"/>
      <c r="DR47" s="154"/>
      <c r="DS47" s="154"/>
      <c r="DT47" s="154"/>
      <c r="DU47" s="154"/>
      <c r="DV47" s="154"/>
      <c r="DW47" s="154"/>
      <c r="DX47" s="154"/>
      <c r="DY47" s="8" t="s">
        <v>13</v>
      </c>
      <c r="DZ47" s="153" t="s">
        <v>197</v>
      </c>
      <c r="EA47" s="154"/>
      <c r="EB47" s="154"/>
      <c r="EC47" s="154"/>
      <c r="ED47" s="154"/>
      <c r="EE47" s="154"/>
      <c r="EF47" s="154"/>
      <c r="EG47" s="154"/>
      <c r="EH47" s="154"/>
      <c r="EI47" s="154"/>
      <c r="EJ47" s="154"/>
      <c r="EK47" s="154"/>
      <c r="EL47" s="154"/>
      <c r="EM47" s="154"/>
      <c r="EN47" s="154"/>
      <c r="EO47" s="154"/>
      <c r="EP47" s="154"/>
      <c r="EQ47" s="154"/>
      <c r="ER47" s="154"/>
      <c r="ES47" s="154"/>
      <c r="ET47" s="154"/>
      <c r="EU47" s="154"/>
      <c r="EV47" s="154"/>
      <c r="EW47" s="154"/>
      <c r="EX47" s="154"/>
      <c r="EY47" s="154"/>
      <c r="EZ47" s="154"/>
      <c r="FA47" s="154"/>
      <c r="FB47" s="154"/>
      <c r="FC47" s="154"/>
      <c r="FD47" s="8" t="s">
        <v>13</v>
      </c>
      <c r="FE47" s="153" t="s">
        <v>197</v>
      </c>
      <c r="FF47" s="154"/>
      <c r="FG47" s="154"/>
      <c r="FH47" s="154"/>
      <c r="FI47" s="154"/>
      <c r="FJ47" s="154"/>
      <c r="FK47" s="154"/>
      <c r="FL47" s="154"/>
      <c r="FM47" s="154"/>
      <c r="FN47" s="154"/>
      <c r="FO47" s="154"/>
      <c r="FP47" s="154"/>
      <c r="FQ47" s="154"/>
      <c r="FR47" s="154"/>
      <c r="FS47" s="154"/>
      <c r="FT47" s="154"/>
      <c r="FU47" s="154"/>
      <c r="FV47" s="154"/>
      <c r="FW47" s="154"/>
      <c r="FX47" s="154"/>
      <c r="FY47" s="154"/>
      <c r="FZ47" s="154"/>
      <c r="GA47" s="154"/>
      <c r="GB47" s="154"/>
      <c r="GC47" s="154"/>
      <c r="GD47" s="154"/>
      <c r="GE47" s="154"/>
      <c r="GF47" s="154"/>
      <c r="GG47" s="154"/>
      <c r="GH47" s="154"/>
      <c r="GI47" s="154"/>
      <c r="GJ47" s="8" t="s">
        <v>13</v>
      </c>
      <c r="GK47" s="153" t="s">
        <v>197</v>
      </c>
      <c r="GL47" s="153"/>
      <c r="GM47" s="153"/>
      <c r="GN47" s="153"/>
      <c r="GO47" s="126" t="s">
        <v>440</v>
      </c>
      <c r="GP47" s="126"/>
      <c r="GQ47" s="123"/>
      <c r="GR47" s="123"/>
      <c r="GS47" s="123"/>
      <c r="GT47" s="123"/>
      <c r="GU47" s="123"/>
      <c r="GV47" s="123"/>
      <c r="GW47" s="123"/>
      <c r="GX47" s="123"/>
      <c r="GY47" s="123"/>
      <c r="GZ47" s="123"/>
      <c r="HA47" s="123"/>
      <c r="HB47" s="123"/>
      <c r="HC47" s="123"/>
      <c r="HD47" s="123"/>
      <c r="HE47" s="123"/>
      <c r="HF47" s="123"/>
      <c r="HG47" s="123"/>
      <c r="HH47" s="155" t="s">
        <v>466</v>
      </c>
      <c r="HI47" s="126"/>
      <c r="HJ47" s="154"/>
      <c r="HK47" s="154"/>
      <c r="HL47" s="154"/>
      <c r="HM47" s="154"/>
      <c r="HN47" s="154"/>
      <c r="HO47" s="154"/>
      <c r="HP47" s="8" t="s">
        <v>13</v>
      </c>
      <c r="HQ47" s="153" t="s">
        <v>466</v>
      </c>
      <c r="HR47" s="153"/>
      <c r="HS47" s="154"/>
      <c r="HT47" s="154"/>
      <c r="HU47" s="154"/>
      <c r="HV47" s="154"/>
      <c r="HW47" s="154"/>
      <c r="HX47" s="154"/>
      <c r="HY47" s="154"/>
      <c r="HZ47" s="154"/>
      <c r="IA47" s="154"/>
      <c r="IB47" s="154"/>
      <c r="IC47" s="154"/>
      <c r="ID47" s="154"/>
      <c r="IE47" s="154"/>
      <c r="IF47" s="154"/>
      <c r="IG47" s="154"/>
      <c r="IH47" s="154"/>
      <c r="II47" s="154"/>
      <c r="IJ47" s="154"/>
      <c r="IK47" s="154"/>
      <c r="IL47" s="154"/>
      <c r="IM47" s="155" t="s">
        <v>518</v>
      </c>
      <c r="IN47" s="156"/>
      <c r="IO47" s="157"/>
      <c r="IP47" s="157"/>
      <c r="IQ47" s="157"/>
      <c r="IR47" s="157"/>
      <c r="IS47" s="157"/>
      <c r="IT47" s="8" t="s">
        <v>13</v>
      </c>
      <c r="IU47" s="157" t="s">
        <v>518</v>
      </c>
      <c r="IV47" s="157"/>
      <c r="IW47" s="155" t="s">
        <v>490</v>
      </c>
      <c r="IX47" s="127"/>
      <c r="IY47" s="163"/>
      <c r="IZ47" s="163"/>
      <c r="JA47" s="163"/>
      <c r="JB47" s="163"/>
      <c r="JC47" s="163"/>
      <c r="JD47" s="155" t="s">
        <v>494</v>
      </c>
      <c r="JE47" s="127"/>
      <c r="JF47" s="154"/>
      <c r="JG47" s="154"/>
      <c r="JH47" s="154"/>
      <c r="JI47" s="154"/>
      <c r="JJ47" s="154"/>
      <c r="JK47" s="163"/>
      <c r="JL47" s="154"/>
      <c r="JM47" s="154"/>
      <c r="JN47" s="154"/>
      <c r="JO47" s="154"/>
      <c r="JP47" s="154"/>
      <c r="JQ47" s="155" t="s">
        <v>473</v>
      </c>
      <c r="JR47" s="155"/>
      <c r="JS47" s="154"/>
      <c r="JT47" s="154"/>
      <c r="JU47" s="154"/>
      <c r="JV47" s="278"/>
      <c r="JW47" s="173"/>
      <c r="JX47" s="173"/>
      <c r="JY47" s="173"/>
      <c r="JZ47" s="12" t="s">
        <v>13</v>
      </c>
      <c r="KA47" s="173"/>
      <c r="KB47" s="173"/>
      <c r="KC47" s="173"/>
      <c r="KD47" s="173"/>
      <c r="KE47" s="173"/>
      <c r="KF47" s="173"/>
      <c r="KG47" s="173"/>
      <c r="KH47" s="173"/>
      <c r="KI47" s="173"/>
      <c r="KJ47" s="173"/>
      <c r="KK47" s="173"/>
      <c r="KL47" s="173"/>
      <c r="KM47" s="173"/>
      <c r="KN47" s="173"/>
      <c r="KO47" s="173"/>
      <c r="KP47" s="173"/>
      <c r="KQ47" s="173"/>
      <c r="KR47" s="173"/>
      <c r="KS47" s="173"/>
      <c r="KT47" s="173"/>
      <c r="KU47" s="173"/>
      <c r="KV47" s="173"/>
      <c r="KW47" s="173"/>
      <c r="KX47" s="173"/>
      <c r="KY47" s="280"/>
      <c r="KZ47" s="167"/>
      <c r="LA47" s="167"/>
      <c r="LB47" s="167">
        <v>61230</v>
      </c>
      <c r="LC47" s="167"/>
      <c r="LD47" s="167"/>
      <c r="LE47" s="8" t="s">
        <v>13</v>
      </c>
      <c r="LF47" s="155" t="s">
        <v>739</v>
      </c>
      <c r="LG47" s="155"/>
      <c r="LH47" s="153"/>
      <c r="LI47" s="153"/>
      <c r="LJ47" s="153"/>
      <c r="LK47" s="153"/>
      <c r="LL47" s="153"/>
      <c r="LM47" s="153"/>
      <c r="LN47" s="153"/>
      <c r="LO47" s="153"/>
      <c r="LP47" s="153"/>
      <c r="LQ47" s="153"/>
      <c r="LR47" s="153"/>
      <c r="LS47" s="155" t="s">
        <v>700</v>
      </c>
      <c r="LT47" s="155"/>
      <c r="LU47" s="153"/>
      <c r="LV47" s="153"/>
      <c r="LW47" s="153"/>
      <c r="LX47" s="153"/>
      <c r="LY47" s="153"/>
      <c r="LZ47" s="153"/>
      <c r="MA47" s="153"/>
      <c r="MB47" s="716"/>
      <c r="MC47" s="717"/>
      <c r="MD47" s="717"/>
      <c r="ME47" s="718"/>
      <c r="MF47" s="155" t="s">
        <v>701</v>
      </c>
      <c r="MG47" s="155"/>
      <c r="MH47" s="153"/>
      <c r="MI47" s="153"/>
      <c r="MJ47" s="153"/>
      <c r="MK47" s="287" t="s">
        <v>13</v>
      </c>
      <c r="ML47" s="153" t="s">
        <v>701</v>
      </c>
      <c r="MM47" s="153"/>
      <c r="MN47" s="153"/>
      <c r="MO47" s="153"/>
      <c r="MP47" s="153"/>
      <c r="MQ47" s="153"/>
      <c r="MR47" s="153"/>
      <c r="MS47" s="153"/>
      <c r="MT47" s="153"/>
      <c r="MU47" s="153"/>
      <c r="MV47" s="155" t="s">
        <v>806</v>
      </c>
      <c r="MW47" s="155"/>
      <c r="MX47" s="316"/>
      <c r="MY47" s="316"/>
      <c r="MZ47" s="153"/>
      <c r="NA47" s="153"/>
      <c r="NB47" s="153"/>
      <c r="NC47" s="153"/>
      <c r="ND47" s="153"/>
      <c r="NE47" s="153"/>
      <c r="NF47" s="153"/>
      <c r="NG47" s="153"/>
      <c r="NH47" s="153"/>
      <c r="NI47" s="153"/>
      <c r="NJ47" s="153"/>
      <c r="NK47" s="316"/>
      <c r="NL47" s="316"/>
      <c r="NM47" s="155" t="s">
        <v>823</v>
      </c>
      <c r="NN47" s="155"/>
      <c r="NO47" s="153"/>
      <c r="NP47" s="8" t="s">
        <v>13</v>
      </c>
      <c r="NQ47" s="153" t="s">
        <v>703</v>
      </c>
      <c r="NR47" s="153"/>
      <c r="NS47" s="153"/>
      <c r="NT47" s="153"/>
      <c r="NU47" s="153"/>
      <c r="NV47" s="153"/>
      <c r="NW47" s="155" t="s">
        <v>824</v>
      </c>
      <c r="NX47" s="155"/>
      <c r="NY47" s="153"/>
      <c r="NZ47" s="153"/>
      <c r="OA47" s="153"/>
      <c r="OB47" s="153"/>
      <c r="OC47" s="153"/>
      <c r="OD47" s="316"/>
      <c r="OE47" s="316"/>
      <c r="OF47" s="317" t="s">
        <v>826</v>
      </c>
      <c r="OG47" s="317"/>
      <c r="OH47" s="153"/>
      <c r="OI47" s="153"/>
      <c r="OJ47" s="316"/>
      <c r="OK47" s="316"/>
      <c r="OL47" s="153"/>
      <c r="OM47" s="153"/>
      <c r="ON47" s="153"/>
      <c r="OO47" s="153"/>
      <c r="OP47" s="153"/>
      <c r="OQ47" s="153"/>
      <c r="OR47" s="317" t="s">
        <v>825</v>
      </c>
      <c r="OS47" s="317"/>
      <c r="OT47" s="724"/>
      <c r="OU47" s="725"/>
      <c r="OV47" s="303" t="s">
        <v>13</v>
      </c>
      <c r="OW47" s="740"/>
      <c r="OX47" s="741"/>
      <c r="OY47" s="741"/>
      <c r="OZ47" s="741"/>
      <c r="PA47" s="741"/>
      <c r="PB47" s="741"/>
      <c r="PC47" s="742"/>
      <c r="PD47" s="316" t="s">
        <v>859</v>
      </c>
      <c r="PE47" s="153"/>
      <c r="PF47" s="153"/>
      <c r="PG47" s="153"/>
      <c r="PH47" s="153"/>
      <c r="PI47" s="153"/>
      <c r="PJ47" s="153"/>
      <c r="PK47" s="153"/>
      <c r="PL47" s="153"/>
      <c r="PM47" s="153"/>
      <c r="PN47" s="316"/>
      <c r="PO47" s="316"/>
      <c r="PP47" s="316"/>
      <c r="PQ47" s="316"/>
      <c r="PR47" s="316"/>
      <c r="PS47" s="317" t="s">
        <v>894</v>
      </c>
      <c r="PT47" s="317"/>
      <c r="PU47" s="316"/>
      <c r="PV47" s="316"/>
      <c r="PW47" s="316"/>
      <c r="PX47" s="316"/>
      <c r="PY47" s="316"/>
      <c r="PZ47" s="361" t="s">
        <v>1018</v>
      </c>
      <c r="QA47" s="361"/>
      <c r="QB47" s="8" t="s">
        <v>13</v>
      </c>
      <c r="QC47" s="316" t="s">
        <v>1018</v>
      </c>
      <c r="QD47" s="316"/>
      <c r="QE47" s="316"/>
      <c r="QF47" s="316"/>
      <c r="QG47" s="316"/>
      <c r="QH47" s="316"/>
      <c r="QI47" s="316"/>
      <c r="QJ47" s="316"/>
      <c r="QK47" s="316"/>
      <c r="QL47" s="316"/>
      <c r="QM47" s="316"/>
      <c r="QN47" s="316"/>
      <c r="QO47" s="316"/>
      <c r="QP47" s="316"/>
      <c r="QQ47" s="316"/>
      <c r="QR47" s="361" t="s">
        <v>1295</v>
      </c>
      <c r="QS47" s="361"/>
      <c r="QT47" s="319"/>
      <c r="QU47" s="319"/>
      <c r="QV47" s="319"/>
      <c r="QW47" s="319"/>
      <c r="QX47" s="319"/>
      <c r="QY47" s="319"/>
      <c r="QZ47" s="319"/>
      <c r="RA47" s="319"/>
      <c r="RB47" s="339" t="s">
        <v>1291</v>
      </c>
      <c r="RC47" s="318"/>
      <c r="RD47" s="171"/>
      <c r="RE47" s="171"/>
      <c r="RF47" s="171"/>
      <c r="RG47" s="8" t="s">
        <v>13</v>
      </c>
      <c r="RH47" s="345" t="s">
        <v>1162</v>
      </c>
      <c r="RI47" s="318"/>
      <c r="RJ47" s="311"/>
      <c r="RK47" s="311"/>
      <c r="RL47" s="311"/>
      <c r="RM47" s="311"/>
      <c r="RN47" s="311"/>
      <c r="RO47" s="311"/>
      <c r="RP47" s="311"/>
      <c r="RQ47" s="311"/>
      <c r="RR47" s="311"/>
      <c r="RS47" s="311"/>
      <c r="RT47" s="311"/>
      <c r="RU47" s="311"/>
      <c r="RV47" s="311"/>
      <c r="RW47" s="311"/>
      <c r="RX47" s="311"/>
      <c r="RY47" s="311"/>
      <c r="RZ47" s="311"/>
      <c r="SA47" s="311"/>
      <c r="SB47" s="311"/>
      <c r="SC47" s="311"/>
      <c r="SD47" s="361" t="s">
        <v>1412</v>
      </c>
      <c r="SE47" s="361"/>
      <c r="SF47" s="319"/>
      <c r="SG47" s="319"/>
      <c r="SH47" s="319"/>
      <c r="SI47" s="319"/>
      <c r="SJ47" s="319"/>
      <c r="SK47" s="319"/>
      <c r="SL47" s="319"/>
      <c r="SM47" s="8" t="s">
        <v>13</v>
      </c>
      <c r="SN47" s="319" t="s">
        <v>1069</v>
      </c>
      <c r="SO47" s="319"/>
      <c r="SP47" s="319"/>
      <c r="SQ47" s="319"/>
      <c r="SR47" s="319"/>
      <c r="SS47" s="319"/>
      <c r="ST47" s="319"/>
      <c r="SU47" s="319"/>
      <c r="SV47" s="319"/>
      <c r="SW47" s="210" t="s">
        <v>1472</v>
      </c>
      <c r="SX47" s="210"/>
      <c r="SY47" s="180"/>
      <c r="SZ47" s="180"/>
      <c r="TA47" s="180"/>
      <c r="TB47" s="180"/>
      <c r="TC47" s="210" t="s">
        <v>1470</v>
      </c>
      <c r="TD47" s="210" t="s">
        <v>1473</v>
      </c>
      <c r="TE47" s="210"/>
      <c r="TF47" s="361" t="s">
        <v>1128</v>
      </c>
      <c r="TG47" s="361"/>
      <c r="TH47" s="316"/>
      <c r="TI47" s="345" t="s">
        <v>1632</v>
      </c>
      <c r="TJ47" s="345" t="s">
        <v>1162</v>
      </c>
      <c r="TK47" s="345"/>
      <c r="TL47" s="311"/>
      <c r="TM47" s="311"/>
      <c r="TN47" s="361" t="s">
        <v>1671</v>
      </c>
      <c r="TO47" s="361"/>
      <c r="TP47" s="361" t="s">
        <v>1672</v>
      </c>
      <c r="TQ47" s="361"/>
      <c r="TR47" s="8" t="s">
        <v>13</v>
      </c>
      <c r="TS47" s="316" t="s">
        <v>1672</v>
      </c>
      <c r="TT47" s="210" t="s">
        <v>1684</v>
      </c>
      <c r="TU47" s="210"/>
      <c r="TV47" s="180"/>
      <c r="TW47" s="210" t="s">
        <v>1685</v>
      </c>
      <c r="TX47" s="210"/>
      <c r="TY47" s="210" t="s">
        <v>1692</v>
      </c>
      <c r="TZ47" s="210"/>
      <c r="UA47" s="180"/>
      <c r="UB47" s="180"/>
      <c r="UC47" s="210" t="s">
        <v>1681</v>
      </c>
      <c r="UD47" s="210"/>
      <c r="UE47" s="180"/>
      <c r="UF47" s="180"/>
      <c r="UG47" s="180"/>
      <c r="UH47" s="180"/>
      <c r="UI47" s="180"/>
      <c r="UJ47" s="210" t="s">
        <v>1686</v>
      </c>
      <c r="UK47" s="210"/>
      <c r="UL47" s="210" t="s">
        <v>1484</v>
      </c>
      <c r="UM47" s="210"/>
      <c r="UN47" s="210" t="s">
        <v>1482</v>
      </c>
      <c r="UO47" s="210"/>
      <c r="UP47" s="180"/>
      <c r="UQ47" s="180"/>
      <c r="UR47" s="180"/>
      <c r="US47" s="210" t="s">
        <v>1769</v>
      </c>
      <c r="UT47" s="361"/>
      <c r="UU47" s="180"/>
      <c r="UV47" s="361" t="s">
        <v>1366</v>
      </c>
      <c r="UW47" s="361"/>
      <c r="UX47" s="8" t="s">
        <v>13</v>
      </c>
      <c r="UY47" s="361" t="s">
        <v>1365</v>
      </c>
      <c r="UZ47" s="345" t="s">
        <v>1594</v>
      </c>
      <c r="VA47" s="318"/>
      <c r="VB47" s="311"/>
      <c r="VC47" s="311"/>
      <c r="VD47" s="311"/>
      <c r="VE47" s="311"/>
      <c r="VF47" s="311"/>
      <c r="VG47" s="311"/>
      <c r="VH47" s="311"/>
      <c r="VI47" s="311"/>
      <c r="VJ47" s="311"/>
      <c r="VK47" s="311"/>
      <c r="VL47" s="311"/>
      <c r="VM47" s="311"/>
      <c r="VN47" s="311"/>
      <c r="VO47" s="311"/>
      <c r="VP47" s="311"/>
      <c r="VQ47" s="361" t="s">
        <v>1748</v>
      </c>
      <c r="VR47" s="318"/>
      <c r="VS47" s="319"/>
      <c r="VT47" s="319"/>
      <c r="VU47" s="319"/>
      <c r="VV47" s="319"/>
      <c r="VW47" s="319"/>
      <c r="VX47" s="319"/>
      <c r="VY47" s="319"/>
      <c r="VZ47" s="319"/>
      <c r="WA47" s="319"/>
      <c r="WB47" s="319"/>
      <c r="WC47" s="319"/>
      <c r="WD47" s="8" t="s">
        <v>13</v>
      </c>
      <c r="WE47" s="319" t="s">
        <v>1748</v>
      </c>
      <c r="WF47" s="319"/>
      <c r="WG47" s="319"/>
      <c r="WH47" s="319"/>
      <c r="WI47" s="319"/>
      <c r="WJ47" s="361" t="s">
        <v>1881</v>
      </c>
      <c r="WK47" s="361"/>
      <c r="WL47" s="361" t="s">
        <v>1965</v>
      </c>
      <c r="WM47" s="361"/>
      <c r="WN47" s="361" t="s">
        <v>1882</v>
      </c>
      <c r="WO47" s="361"/>
      <c r="WP47" s="361" t="s">
        <v>1958</v>
      </c>
      <c r="WQ47" s="361"/>
      <c r="WR47" s="361" t="s">
        <v>1953</v>
      </c>
      <c r="WS47" s="361"/>
      <c r="WT47" s="361" t="s">
        <v>1960</v>
      </c>
      <c r="WU47" s="361"/>
      <c r="WV47" s="316"/>
      <c r="WW47" s="316"/>
      <c r="WX47" s="316"/>
      <c r="WY47" s="361" t="s">
        <v>1961</v>
      </c>
      <c r="WZ47" s="361"/>
      <c r="XA47" s="361" t="s">
        <v>2025</v>
      </c>
      <c r="XB47" s="433"/>
      <c r="XC47" s="319"/>
      <c r="XD47" s="319" t="s">
        <v>1972</v>
      </c>
      <c r="XE47" s="319"/>
      <c r="XF47" s="319" t="s">
        <v>1972</v>
      </c>
      <c r="XG47" s="8" t="s">
        <v>13</v>
      </c>
      <c r="XH47" s="361" t="s">
        <v>1902</v>
      </c>
      <c r="XI47" s="318"/>
      <c r="XJ47" s="319"/>
      <c r="XK47" s="319"/>
      <c r="XL47" s="319"/>
      <c r="XM47" s="319"/>
      <c r="XN47" s="319"/>
      <c r="XO47" s="319"/>
      <c r="XP47" s="361" t="s">
        <v>2362</v>
      </c>
      <c r="XQ47" s="318"/>
      <c r="XR47" s="319"/>
      <c r="XS47" s="362"/>
      <c r="XT47" s="319"/>
      <c r="XU47" s="319"/>
      <c r="XV47" s="319"/>
      <c r="XW47" s="319"/>
      <c r="XX47" s="319"/>
      <c r="XY47" s="319"/>
      <c r="XZ47" s="319"/>
      <c r="YA47" s="319"/>
      <c r="YB47" s="361" t="s">
        <v>2022</v>
      </c>
      <c r="YC47" s="318"/>
      <c r="YD47" s="345" t="s">
        <v>1896</v>
      </c>
      <c r="YE47" s="345"/>
      <c r="YF47" s="525"/>
      <c r="YG47" s="525"/>
      <c r="YH47" s="525"/>
      <c r="YI47" s="525"/>
      <c r="YJ47" s="525"/>
      <c r="YK47" s="525"/>
      <c r="YL47" s="361" t="s">
        <v>2119</v>
      </c>
      <c r="YM47" s="8" t="s">
        <v>13</v>
      </c>
      <c r="YN47" s="361" t="s">
        <v>2119</v>
      </c>
      <c r="YO47" s="319"/>
      <c r="YP47" s="319"/>
      <c r="YQ47" s="319"/>
      <c r="YR47" s="319"/>
      <c r="YS47" s="319"/>
      <c r="YT47" s="319"/>
      <c r="YU47" s="319"/>
      <c r="YV47" s="319"/>
      <c r="YW47" s="319"/>
      <c r="YX47" s="319"/>
      <c r="YY47" s="319"/>
      <c r="YZ47" s="319"/>
      <c r="ZA47" s="319"/>
      <c r="ZB47" s="319"/>
      <c r="ZC47" s="319"/>
      <c r="ZD47" s="319"/>
      <c r="ZE47" s="319"/>
      <c r="ZF47" s="319"/>
      <c r="ZG47" s="345" t="s">
        <v>1800</v>
      </c>
      <c r="ZH47" s="345"/>
      <c r="ZI47" s="311"/>
      <c r="ZJ47" s="311"/>
      <c r="ZK47" s="311"/>
      <c r="ZL47" s="311"/>
      <c r="ZM47" s="525"/>
      <c r="ZN47" s="525"/>
      <c r="ZO47" s="525"/>
      <c r="ZP47" s="525"/>
      <c r="ZQ47" s="525"/>
      <c r="ZR47" s="8" t="s">
        <v>13</v>
      </c>
      <c r="ZS47" s="352" t="s">
        <v>1800</v>
      </c>
      <c r="ZT47" s="352"/>
      <c r="ZU47" s="525"/>
      <c r="ZV47" s="525"/>
      <c r="ZW47" s="525"/>
      <c r="ZX47" s="525"/>
      <c r="ZY47" s="525"/>
      <c r="ZZ47" s="525"/>
      <c r="AAA47" s="525"/>
      <c r="AAB47" s="525"/>
      <c r="AAC47" s="525"/>
      <c r="AAD47" s="525"/>
      <c r="AAE47" s="777"/>
      <c r="AAF47" s="705"/>
      <c r="AAG47" s="705"/>
      <c r="AAH47" s="705"/>
      <c r="AAI47" s="778"/>
      <c r="AAJ47" s="352" t="s">
        <v>1800</v>
      </c>
      <c r="AAK47" s="352"/>
      <c r="AAL47" s="352"/>
      <c r="AAM47" s="352"/>
      <c r="AAN47" s="352"/>
      <c r="AAO47" s="352"/>
      <c r="AAP47" s="352"/>
      <c r="AAQ47" s="361" t="s">
        <v>2312</v>
      </c>
      <c r="AAR47" s="318"/>
      <c r="AAS47" s="319"/>
      <c r="AAT47" s="319"/>
      <c r="AAU47" s="319"/>
      <c r="AAV47" s="319"/>
      <c r="AAW47" s="319"/>
      <c r="AAX47" s="8" t="s">
        <v>13</v>
      </c>
      <c r="AAY47" s="319" t="s">
        <v>2229</v>
      </c>
      <c r="AAZ47" s="319"/>
      <c r="ABA47" s="319"/>
      <c r="ABB47" s="319"/>
      <c r="ABC47" s="361" t="s">
        <v>2313</v>
      </c>
      <c r="ABD47" s="318"/>
      <c r="ABE47" s="319"/>
      <c r="ABF47" s="319"/>
      <c r="ABG47" s="319"/>
      <c r="ABH47" s="319"/>
      <c r="ABI47" s="319"/>
      <c r="ABJ47" s="319"/>
      <c r="ABK47" s="361" t="s">
        <v>2314</v>
      </c>
      <c r="ABL47" s="318"/>
      <c r="ABM47" s="319"/>
      <c r="ABN47" s="319"/>
      <c r="ABO47" s="319"/>
      <c r="ABP47" s="376" t="s">
        <v>2318</v>
      </c>
      <c r="ABQ47" s="376"/>
      <c r="ABR47" s="375"/>
      <c r="ABS47" s="375"/>
      <c r="ABT47" s="375"/>
      <c r="ABU47" s="376" t="s">
        <v>2318</v>
      </c>
      <c r="ABV47" s="376"/>
      <c r="ABW47" s="375"/>
      <c r="ABX47" s="375"/>
      <c r="ABY47" s="375"/>
      <c r="ABZ47" s="375"/>
      <c r="ACA47" s="375"/>
      <c r="ACB47" s="375"/>
      <c r="ACC47" s="7" t="s">
        <v>13</v>
      </c>
      <c r="ACD47" s="361" t="s">
        <v>2381</v>
      </c>
      <c r="ACE47" s="361"/>
      <c r="ACF47" s="319"/>
      <c r="ACG47" s="319"/>
      <c r="ACH47" s="319"/>
      <c r="ACI47" s="319"/>
      <c r="ACJ47" s="319"/>
      <c r="ACK47" s="319"/>
      <c r="ACL47" s="319"/>
      <c r="ACM47" s="319"/>
      <c r="ACN47" s="376" t="s">
        <v>2357</v>
      </c>
      <c r="ACO47" s="524"/>
      <c r="ACP47" s="319"/>
      <c r="ACQ47" s="319"/>
      <c r="ACR47" s="319"/>
      <c r="ACS47" s="319"/>
      <c r="ACT47" s="319"/>
      <c r="ACU47" s="319"/>
      <c r="ACV47" s="319"/>
      <c r="ACW47" s="785"/>
      <c r="ACX47" s="786"/>
      <c r="ACY47" s="786"/>
      <c r="ACZ47" s="786"/>
      <c r="ADA47" s="786"/>
      <c r="ADB47" s="786"/>
      <c r="ADC47" s="786"/>
      <c r="ADD47" s="786"/>
      <c r="ADE47" s="786"/>
      <c r="ADF47" s="786"/>
      <c r="ADG47" s="787"/>
      <c r="ADH47" s="314"/>
      <c r="ADI47" s="7" t="s">
        <v>13</v>
      </c>
      <c r="ADJ47" s="319" t="s">
        <v>2357</v>
      </c>
      <c r="ADK47" s="361" t="s">
        <v>2331</v>
      </c>
      <c r="ADL47" s="361"/>
      <c r="ADM47" s="319"/>
      <c r="ADN47" s="319"/>
      <c r="ADO47" s="319"/>
      <c r="ADP47" s="319"/>
      <c r="ADQ47" s="319"/>
      <c r="ADR47" s="319"/>
      <c r="ADS47" s="319"/>
      <c r="ADT47" s="361" t="s">
        <v>2452</v>
      </c>
      <c r="ADU47" s="318"/>
      <c r="ADV47" s="319"/>
      <c r="ADW47" s="319"/>
      <c r="ADX47" s="319"/>
      <c r="ADY47" s="319"/>
      <c r="ADZ47" s="319"/>
      <c r="AEA47" s="319"/>
      <c r="AEB47" s="319"/>
      <c r="AEC47" s="319"/>
      <c r="AED47" s="319"/>
      <c r="AEE47" s="319"/>
      <c r="AEF47" s="345" t="s">
        <v>2240</v>
      </c>
      <c r="AEG47" s="345"/>
      <c r="AEH47" s="352"/>
      <c r="AEI47" s="352"/>
      <c r="AEJ47" s="352"/>
      <c r="AEK47" s="352"/>
      <c r="AEL47" s="352"/>
      <c r="AEM47" s="352"/>
      <c r="AEN47" s="352"/>
      <c r="AEO47" s="7" t="s">
        <v>13</v>
      </c>
      <c r="AEP47" s="352" t="s">
        <v>2240</v>
      </c>
      <c r="AEQ47" s="345" t="s">
        <v>2458</v>
      </c>
      <c r="AER47" s="345"/>
      <c r="AES47" s="352"/>
      <c r="AET47" s="352"/>
      <c r="AEU47" s="352"/>
      <c r="AEV47" s="352"/>
      <c r="AEW47" s="352"/>
      <c r="AEX47" s="352"/>
      <c r="AEY47" s="361" t="s">
        <v>2516</v>
      </c>
      <c r="AEZ47" s="318"/>
      <c r="AFA47" s="319"/>
      <c r="AFB47" s="319"/>
      <c r="AFC47" s="319"/>
      <c r="AFD47" s="319"/>
      <c r="AFE47" s="319"/>
      <c r="AFF47" s="319"/>
      <c r="AFG47" s="319"/>
      <c r="AFH47" s="319"/>
      <c r="AFI47" s="319"/>
      <c r="AFJ47" s="319"/>
      <c r="AFK47" s="319"/>
      <c r="AFL47" s="319"/>
      <c r="AFM47" s="361" t="s">
        <v>2518</v>
      </c>
      <c r="AFN47" s="318"/>
      <c r="AFO47" s="319"/>
      <c r="AFP47" s="319"/>
      <c r="AFQ47" s="319"/>
      <c r="AFR47" s="319"/>
      <c r="AFS47" s="319"/>
      <c r="AFT47" s="7" t="s">
        <v>13</v>
      </c>
      <c r="AFU47" s="319" t="s">
        <v>2600</v>
      </c>
      <c r="AFV47" s="361" t="s">
        <v>2332</v>
      </c>
      <c r="AFW47" s="318"/>
      <c r="AFX47" s="319"/>
      <c r="AFY47" s="319"/>
      <c r="AFZ47" s="361" t="s">
        <v>2676</v>
      </c>
      <c r="AGA47" s="318"/>
      <c r="AGB47" s="319"/>
      <c r="AGC47" s="319"/>
      <c r="AGD47" s="319"/>
      <c r="AGE47" s="319"/>
      <c r="AGF47" s="319"/>
      <c r="AGG47" s="319"/>
      <c r="AGH47" s="319"/>
      <c r="AGI47" s="319"/>
      <c r="AGJ47" s="319"/>
      <c r="AGK47" s="319"/>
      <c r="AGL47" s="361" t="s">
        <v>2597</v>
      </c>
      <c r="AGM47" s="318"/>
      <c r="AGN47" s="319"/>
      <c r="AGO47" s="319"/>
      <c r="AGP47" s="319"/>
      <c r="AGQ47" s="319"/>
      <c r="AGR47" s="361" t="s">
        <v>2604</v>
      </c>
      <c r="AGS47" s="318"/>
      <c r="AGT47" s="319"/>
      <c r="AGU47" s="319"/>
      <c r="AGV47" s="319"/>
      <c r="AGW47" s="319"/>
      <c r="AGX47" s="319"/>
      <c r="AGY47" s="319"/>
      <c r="AGZ47" s="7" t="s">
        <v>13</v>
      </c>
      <c r="AHA47" s="319" t="s">
        <v>2604</v>
      </c>
      <c r="AHB47" s="319"/>
      <c r="AHC47" s="319"/>
      <c r="AHD47" s="319"/>
      <c r="AHE47" s="319"/>
      <c r="AHF47" s="376" t="s">
        <v>2614</v>
      </c>
      <c r="AHG47" s="361" t="s">
        <v>2766</v>
      </c>
      <c r="AHH47" s="361"/>
      <c r="AHI47" s="319"/>
      <c r="AHJ47" s="319"/>
      <c r="AHK47" s="319"/>
      <c r="AHL47" s="319"/>
      <c r="AHM47" s="376" t="s">
        <v>2614</v>
      </c>
      <c r="AHN47" s="524"/>
      <c r="AHO47" s="375"/>
      <c r="AHP47" s="375"/>
      <c r="AHQ47" s="375"/>
      <c r="AHR47" s="375"/>
      <c r="AHS47" s="375"/>
      <c r="AHT47" s="375"/>
      <c r="AHU47" s="375"/>
      <c r="AHV47" s="375"/>
      <c r="AHW47" s="361" t="s">
        <v>2789</v>
      </c>
      <c r="AHX47" s="318"/>
      <c r="AHY47" s="375"/>
      <c r="AHZ47" s="375"/>
      <c r="AIA47" s="375"/>
      <c r="AIB47" s="375"/>
      <c r="AIC47" s="375"/>
      <c r="AID47" s="375"/>
      <c r="AIE47" s="7" t="s">
        <v>13</v>
      </c>
      <c r="AIF47" s="375" t="s">
        <v>2789</v>
      </c>
      <c r="AIG47" s="375"/>
      <c r="AIH47" s="361" t="s">
        <v>2582</v>
      </c>
      <c r="AII47" s="318"/>
      <c r="AIJ47" s="319"/>
      <c r="AIK47" s="319"/>
      <c r="AIL47" s="319"/>
      <c r="AIM47" s="319"/>
      <c r="AIN47" s="319"/>
      <c r="AIO47" s="319"/>
      <c r="AIP47" s="319"/>
      <c r="AIQ47" s="319"/>
      <c r="AIR47" s="319"/>
      <c r="AIS47" s="319"/>
      <c r="AIT47" s="319"/>
      <c r="AIU47" s="319"/>
      <c r="AIV47" s="319"/>
      <c r="AIW47" s="319"/>
      <c r="AIX47" s="319"/>
      <c r="AIY47" s="319"/>
      <c r="AIZ47" s="319"/>
      <c r="AJA47" s="361" t="s">
        <v>2655</v>
      </c>
      <c r="AJB47" s="361"/>
      <c r="AJC47" s="319"/>
      <c r="AJD47" s="319"/>
      <c r="AJE47" s="319"/>
      <c r="AJF47" s="319"/>
      <c r="AJG47" s="375"/>
      <c r="AJH47" s="361" t="s">
        <v>2826</v>
      </c>
      <c r="AJI47" s="361"/>
      <c r="AJJ47" s="375"/>
      <c r="AJK47" s="7" t="s">
        <v>13</v>
      </c>
      <c r="AJL47" s="375" t="s">
        <v>2826</v>
      </c>
      <c r="AJM47" s="375"/>
      <c r="AJN47" s="319"/>
      <c r="AJO47" s="319"/>
      <c r="AJP47" s="319"/>
      <c r="AJQ47" s="319"/>
      <c r="AJR47" s="319"/>
      <c r="AJS47" s="319"/>
      <c r="AJT47" s="319"/>
      <c r="AJU47" s="319"/>
      <c r="AJV47" s="319"/>
      <c r="AJW47" s="319"/>
      <c r="AJX47" s="319"/>
      <c r="AJY47" s="319"/>
      <c r="AJZ47" s="319"/>
      <c r="AKA47" s="319"/>
      <c r="AKB47" s="319"/>
      <c r="AKC47" s="319"/>
      <c r="AKD47" s="361" t="s">
        <v>2827</v>
      </c>
      <c r="AKE47" s="361"/>
      <c r="AKF47" s="319"/>
      <c r="AKG47" s="319"/>
      <c r="AKH47" s="319"/>
      <c r="AKI47" s="319"/>
      <c r="AKJ47" s="319"/>
      <c r="AKK47" s="319"/>
      <c r="AKL47" s="319"/>
      <c r="AKM47" s="361" t="s">
        <v>2832</v>
      </c>
      <c r="AKN47" s="318"/>
      <c r="AKO47" s="319"/>
      <c r="AKP47" s="319"/>
      <c r="AKQ47" s="7" t="s">
        <v>13</v>
      </c>
      <c r="AKR47" s="319" t="s">
        <v>2832</v>
      </c>
      <c r="AKS47" s="319"/>
      <c r="AKT47" s="319"/>
      <c r="AKU47" s="319"/>
      <c r="AKV47" s="361" t="s">
        <v>2796</v>
      </c>
      <c r="AKW47" s="361"/>
      <c r="AKX47" s="319"/>
      <c r="AKY47" s="319"/>
      <c r="AKZ47" s="319"/>
      <c r="ALA47" s="319"/>
      <c r="ALB47" s="319"/>
      <c r="ALC47" s="319"/>
      <c r="ALD47" s="319"/>
      <c r="ALE47" s="319"/>
      <c r="ALF47" s="319"/>
      <c r="ALG47" s="319"/>
      <c r="ALH47" s="319"/>
      <c r="ALI47" s="319"/>
      <c r="ALJ47" s="319"/>
      <c r="ALK47" s="319"/>
      <c r="ALL47" s="345" t="s">
        <v>2845</v>
      </c>
      <c r="ALM47" s="345"/>
      <c r="ALN47" s="352"/>
      <c r="ALO47" s="352"/>
      <c r="ALP47" s="352"/>
      <c r="ALQ47" s="352"/>
      <c r="ALR47" s="352"/>
      <c r="ALS47" s="352"/>
      <c r="ALT47" s="7" t="s">
        <v>13</v>
      </c>
      <c r="ALU47" s="352" t="s">
        <v>2845</v>
      </c>
      <c r="ALV47" s="352"/>
      <c r="ALW47" s="352"/>
      <c r="ALX47" s="352"/>
      <c r="ALY47" s="352"/>
      <c r="ALZ47" s="352"/>
      <c r="AMA47" s="352"/>
      <c r="AMB47" s="352"/>
      <c r="AMC47" s="352"/>
      <c r="AMD47" s="352"/>
      <c r="AME47" s="361" t="s">
        <v>2837</v>
      </c>
      <c r="AMF47" s="318"/>
      <c r="AMG47" s="319"/>
      <c r="AMH47" s="319"/>
      <c r="AMI47" s="319"/>
      <c r="AMJ47" s="319"/>
      <c r="AMK47" s="319"/>
      <c r="AML47" s="319"/>
      <c r="AMM47" s="319"/>
      <c r="AMN47" s="319"/>
      <c r="AMO47" s="361" t="s">
        <v>2838</v>
      </c>
      <c r="AMP47" s="318"/>
      <c r="AMQ47" s="319"/>
      <c r="AMR47" s="319"/>
      <c r="AMS47" s="319"/>
      <c r="AMT47" s="319"/>
      <c r="AMU47" s="361" t="s">
        <v>2847</v>
      </c>
      <c r="AMV47" s="318"/>
      <c r="AMW47" s="319"/>
      <c r="AMX47" s="319"/>
      <c r="AMY47" s="319"/>
      <c r="AMZ47" s="7" t="s">
        <v>13</v>
      </c>
      <c r="ANA47" s="319" t="s">
        <v>2847</v>
      </c>
      <c r="ANB47" s="319"/>
      <c r="ANC47" s="319"/>
      <c r="AND47" s="319"/>
      <c r="ANE47" s="319"/>
      <c r="ANF47" s="319"/>
      <c r="ANG47" s="319"/>
      <c r="ANH47" s="319"/>
      <c r="ANI47" s="319"/>
      <c r="ANJ47" s="319"/>
      <c r="ANK47" s="319"/>
      <c r="ANL47" s="319"/>
      <c r="ANM47" s="319"/>
      <c r="ANN47" s="319"/>
      <c r="ANO47" s="319"/>
      <c r="ANP47" s="319"/>
      <c r="ANQ47" s="319"/>
      <c r="ANR47" s="319"/>
      <c r="ANS47" s="319"/>
      <c r="ANT47" s="319"/>
      <c r="ANU47" s="210" t="s">
        <v>2685</v>
      </c>
      <c r="ANV47" s="210"/>
      <c r="ANW47" s="180"/>
      <c r="ANX47" s="180"/>
      <c r="ANY47" s="180"/>
      <c r="ANZ47" s="180"/>
      <c r="AOA47" s="180"/>
      <c r="AOB47" s="180"/>
      <c r="AOC47" s="180"/>
      <c r="AOD47" s="180"/>
      <c r="AOE47" s="7" t="s">
        <v>13</v>
      </c>
      <c r="AOF47" s="159"/>
      <c r="AOG47" s="159"/>
      <c r="AOH47" s="159"/>
      <c r="AOI47" s="159"/>
      <c r="AOJ47" s="159"/>
      <c r="AOK47" s="159"/>
      <c r="AOL47" s="159"/>
      <c r="AOM47" s="159"/>
      <c r="AON47" s="159"/>
      <c r="AOO47" s="180" t="s">
        <v>2685</v>
      </c>
      <c r="AOP47" s="180"/>
      <c r="AOQ47" s="180"/>
      <c r="AOR47" s="180"/>
      <c r="AOS47" s="180"/>
      <c r="AOT47" s="180"/>
      <c r="AOU47" s="180"/>
      <c r="AOV47" s="180"/>
      <c r="AOW47" s="180"/>
      <c r="AOX47" s="180"/>
      <c r="AOY47" s="180"/>
      <c r="AOZ47" s="180"/>
      <c r="APA47" s="180"/>
      <c r="APB47" s="180"/>
      <c r="APC47" s="180"/>
      <c r="APD47" s="180"/>
      <c r="APE47" s="180"/>
      <c r="APF47" s="180"/>
      <c r="APG47" s="180"/>
      <c r="APH47" s="180"/>
      <c r="API47" s="180"/>
      <c r="APJ47" s="180"/>
      <c r="APK47" s="7" t="s">
        <v>13</v>
      </c>
      <c r="APL47" s="180" t="s">
        <v>2685</v>
      </c>
      <c r="APM47" s="180"/>
      <c r="APN47" s="180"/>
      <c r="APO47" s="180"/>
      <c r="APP47" s="180"/>
      <c r="APQ47" s="180"/>
      <c r="APR47" s="180"/>
      <c r="APS47" s="180"/>
      <c r="APT47" s="180"/>
      <c r="APU47" s="180"/>
      <c r="APV47" s="180"/>
      <c r="APW47" s="180"/>
      <c r="APX47" s="180"/>
      <c r="APY47" s="180"/>
      <c r="APZ47" s="180"/>
      <c r="AQA47" s="180"/>
      <c r="AQB47" s="180"/>
      <c r="AQC47" s="180"/>
      <c r="AQD47" s="180"/>
      <c r="AQE47" s="180"/>
      <c r="AQF47" s="180"/>
      <c r="AQG47" s="180"/>
      <c r="AQH47" s="180"/>
      <c r="AQI47" s="180"/>
      <c r="AQJ47" s="320"/>
      <c r="AQK47" s="320"/>
      <c r="AQL47" s="320"/>
      <c r="AQM47" s="320"/>
      <c r="AQN47" s="320"/>
      <c r="AQO47" s="320"/>
      <c r="AQP47" s="7" t="s">
        <v>13</v>
      </c>
      <c r="AQQ47" s="320"/>
      <c r="AQR47" s="320"/>
      <c r="AQS47" s="320"/>
      <c r="AQT47" s="320"/>
      <c r="AQU47" s="320"/>
      <c r="AQV47" s="320"/>
      <c r="AQW47" s="320"/>
      <c r="AQX47" s="159"/>
      <c r="AQY47" s="159"/>
      <c r="AQZ47" s="159"/>
      <c r="ARA47" s="159"/>
      <c r="ARB47" s="159"/>
      <c r="ARC47" s="159"/>
      <c r="ARD47" s="159"/>
      <c r="ARE47" s="159"/>
      <c r="ARF47" s="159"/>
      <c r="ARG47" s="320"/>
      <c r="ARH47" s="210" t="s">
        <v>2686</v>
      </c>
      <c r="ARI47" s="210"/>
      <c r="ARJ47" s="180"/>
      <c r="ARK47" s="180"/>
      <c r="ARL47" s="180"/>
      <c r="ARM47" s="180"/>
      <c r="ARN47" s="180"/>
      <c r="ARO47" s="180"/>
      <c r="ARP47" s="180"/>
      <c r="ARQ47" s="180"/>
      <c r="ARR47" s="180"/>
      <c r="ARS47" s="180"/>
      <c r="ART47" s="180"/>
      <c r="ARU47" s="180"/>
      <c r="ARV47" s="7" t="s">
        <v>13</v>
      </c>
      <c r="ARW47" s="180" t="s">
        <v>2686</v>
      </c>
      <c r="ARX47" s="180"/>
      <c r="ARY47" s="180"/>
      <c r="ARZ47" s="180"/>
      <c r="ASA47" s="180"/>
      <c r="ASB47" s="180"/>
      <c r="ASC47" s="180"/>
      <c r="ASD47" s="180"/>
      <c r="ASE47" s="180"/>
      <c r="ASF47" s="180"/>
      <c r="ASG47" s="180"/>
      <c r="ASH47" s="180"/>
      <c r="ASI47" s="180"/>
      <c r="ASJ47" s="180"/>
      <c r="ASK47" s="180"/>
      <c r="ASL47" s="180"/>
      <c r="ASM47" s="180"/>
      <c r="ASN47" s="180"/>
      <c r="ASO47" s="180"/>
      <c r="ASP47" s="180"/>
      <c r="ASQ47" s="180"/>
      <c r="ASR47" s="180"/>
      <c r="ASS47" s="180"/>
      <c r="AST47" s="180"/>
      <c r="ASU47" s="180"/>
      <c r="ASV47" s="180"/>
      <c r="ASW47" s="180"/>
      <c r="ASX47" s="180"/>
      <c r="ASY47" s="180"/>
      <c r="ASZ47" s="180"/>
      <c r="ATA47" s="180"/>
      <c r="ATB47" s="7" t="s">
        <v>13</v>
      </c>
      <c r="ATC47" s="180" t="s">
        <v>2686</v>
      </c>
      <c r="ATD47" s="180"/>
      <c r="ATE47" s="180"/>
      <c r="ATF47" s="180"/>
      <c r="ATG47" s="180"/>
      <c r="ATH47" s="180"/>
      <c r="ATI47" s="180"/>
      <c r="ATJ47" s="180"/>
      <c r="ATK47" s="180"/>
      <c r="ATL47" s="180"/>
      <c r="ATM47" s="180"/>
      <c r="ATU47" s="320"/>
      <c r="ATV47" s="320"/>
      <c r="ATW47" s="320"/>
      <c r="ATX47" s="320"/>
      <c r="ATY47" s="320"/>
      <c r="ATZ47" s="320"/>
      <c r="AUA47" s="320"/>
      <c r="AUB47" s="320"/>
      <c r="AUC47" s="320"/>
      <c r="AUD47" s="320"/>
      <c r="AUE47" s="320"/>
      <c r="AUF47" s="320"/>
      <c r="AUG47" s="7" t="s">
        <v>13</v>
      </c>
      <c r="AUH47" s="361" t="s">
        <v>2688</v>
      </c>
      <c r="AUI47" s="361"/>
      <c r="AUJ47" s="316"/>
      <c r="AUK47" s="316"/>
      <c r="AUL47" s="316"/>
      <c r="AUM47" s="316"/>
      <c r="AUN47" s="316"/>
      <c r="AUO47" s="316"/>
      <c r="AUP47" s="316"/>
      <c r="AUQ47" s="316"/>
      <c r="AUR47" s="316"/>
      <c r="AUS47" s="316"/>
      <c r="AUT47" s="316"/>
      <c r="AUU47" s="316"/>
      <c r="AUV47" s="339" t="s">
        <v>2691</v>
      </c>
      <c r="AUW47" s="339"/>
      <c r="AUX47" s="180"/>
      <c r="AUY47" s="180"/>
      <c r="AUZ47" s="180"/>
      <c r="AVA47" s="180"/>
      <c r="AVB47" s="180"/>
      <c r="AVC47" s="180"/>
      <c r="AVD47" s="180"/>
      <c r="AVE47" s="180"/>
      <c r="AVF47" s="180"/>
      <c r="AVG47" s="180"/>
      <c r="AVH47" s="180"/>
      <c r="AVI47" s="180"/>
      <c r="AVJ47" s="180"/>
      <c r="AVK47" s="180"/>
      <c r="AVL47" s="180"/>
      <c r="AVM47" s="7" t="s">
        <v>13</v>
      </c>
      <c r="AVN47" s="339" t="s">
        <v>2691</v>
      </c>
      <c r="AVO47" s="339"/>
      <c r="AVP47" s="180"/>
      <c r="AVQ47" s="180"/>
      <c r="AVR47" s="180"/>
      <c r="AVS47" s="180"/>
      <c r="AVT47" s="180"/>
      <c r="AVU47" s="180"/>
      <c r="AVV47" s="180"/>
      <c r="AVW47" s="180"/>
      <c r="AVX47" s="180"/>
      <c r="AVY47" s="180"/>
      <c r="AVZ47" s="180"/>
      <c r="AWA47" s="180"/>
      <c r="AWB47" s="180"/>
      <c r="AWC47" s="180"/>
      <c r="AWD47" s="180"/>
      <c r="AWE47" s="180"/>
      <c r="AWF47" s="180"/>
      <c r="AWG47" s="180"/>
      <c r="AWH47" s="180"/>
      <c r="AWI47" s="180"/>
      <c r="AWJ47" s="180"/>
      <c r="AWK47" s="180"/>
      <c r="AWL47" s="180"/>
      <c r="AWM47" s="180"/>
      <c r="AWN47" s="180"/>
      <c r="AWO47" s="180"/>
      <c r="AWP47" s="180"/>
      <c r="AWQ47" s="180"/>
      <c r="AWR47" s="7" t="s">
        <v>13</v>
      </c>
      <c r="AWS47" s="361" t="s">
        <v>2690</v>
      </c>
      <c r="AWT47" s="361"/>
      <c r="AWU47" s="316"/>
      <c r="AWV47" s="316"/>
      <c r="AWW47" s="316"/>
      <c r="AWX47" s="316"/>
      <c r="AWY47" s="316"/>
      <c r="AWZ47" s="316"/>
      <c r="AXA47" s="316"/>
      <c r="AXB47" s="316"/>
      <c r="AXC47" s="316"/>
      <c r="AXD47" s="316"/>
      <c r="AXE47" s="316"/>
      <c r="AXF47" s="316"/>
      <c r="AXG47" s="316"/>
      <c r="AXH47" s="314"/>
      <c r="AXI47" s="314"/>
      <c r="AXJ47" s="314"/>
      <c r="AXK47" s="314"/>
      <c r="AXL47" s="314"/>
      <c r="AXM47" s="314"/>
      <c r="AXN47" s="314"/>
      <c r="AXO47" s="314"/>
      <c r="AXP47" s="314"/>
      <c r="AXQ47" s="314"/>
      <c r="AXR47" s="314"/>
      <c r="AXX47" s="7" t="s">
        <v>13</v>
      </c>
    </row>
    <row r="48" spans="1:1324" s="136" customFormat="1" ht="22.8" customHeight="1" x14ac:dyDescent="0.25">
      <c r="A48" s="711"/>
      <c r="B48" s="74"/>
      <c r="AB48" s="136">
        <v>500</v>
      </c>
      <c r="AC48" s="136">
        <v>700</v>
      </c>
      <c r="AD48" s="136">
        <v>900</v>
      </c>
      <c r="AE48" s="136">
        <v>1800</v>
      </c>
      <c r="AF48" s="136">
        <v>2500</v>
      </c>
      <c r="AG48" s="136">
        <v>2500</v>
      </c>
      <c r="AH48" s="75"/>
      <c r="AQ48" s="731"/>
      <c r="AR48" s="732"/>
      <c r="AS48" s="732"/>
      <c r="AT48" s="732"/>
      <c r="AU48" s="732"/>
      <c r="AV48" s="732"/>
      <c r="AW48" s="732"/>
      <c r="AX48" s="732"/>
      <c r="AY48" s="732"/>
      <c r="AZ48" s="733"/>
      <c r="BF48" s="136">
        <v>29575</v>
      </c>
      <c r="BL48" s="136">
        <v>3000</v>
      </c>
      <c r="BN48" s="74"/>
      <c r="BO48" s="136">
        <v>2200</v>
      </c>
      <c r="BQ48" s="136">
        <v>3090</v>
      </c>
      <c r="BS48" s="136">
        <v>3090</v>
      </c>
      <c r="BW48" s="136">
        <v>1875</v>
      </c>
      <c r="BY48" s="136">
        <v>1643</v>
      </c>
      <c r="CC48" s="136">
        <v>3090</v>
      </c>
      <c r="CF48" s="136">
        <v>3090</v>
      </c>
      <c r="CI48" s="136">
        <v>550</v>
      </c>
      <c r="CJ48" s="136">
        <v>1150</v>
      </c>
      <c r="CK48" s="136">
        <v>1650</v>
      </c>
      <c r="CL48" s="136">
        <v>2200</v>
      </c>
      <c r="CM48" s="136">
        <v>2200</v>
      </c>
      <c r="CN48" s="136">
        <v>2200</v>
      </c>
      <c r="CP48" s="136">
        <v>2200</v>
      </c>
      <c r="CQ48" s="136">
        <v>1200</v>
      </c>
      <c r="CR48" s="139">
        <v>425</v>
      </c>
      <c r="CS48" s="74"/>
      <c r="CT48" s="139">
        <v>964</v>
      </c>
      <c r="CX48" s="136">
        <v>4067</v>
      </c>
      <c r="DT48" s="136">
        <v>17495</v>
      </c>
      <c r="DX48" s="136">
        <v>7953</v>
      </c>
      <c r="DY48" s="74"/>
      <c r="DZ48" s="139"/>
      <c r="EE48" s="173">
        <v>8677</v>
      </c>
      <c r="EJ48" s="139"/>
      <c r="EK48" s="139">
        <v>7707</v>
      </c>
      <c r="EL48" s="139"/>
      <c r="EM48" s="136">
        <v>4900</v>
      </c>
      <c r="EN48" s="139"/>
      <c r="EO48" s="139">
        <v>1570</v>
      </c>
      <c r="EP48" s="139">
        <v>1800</v>
      </c>
      <c r="EQ48" s="136">
        <v>1820</v>
      </c>
      <c r="ER48" s="136">
        <v>1800</v>
      </c>
      <c r="ES48" s="136">
        <v>1900</v>
      </c>
      <c r="ET48" s="139">
        <v>1774</v>
      </c>
      <c r="EV48" s="139">
        <v>2028</v>
      </c>
      <c r="EW48" s="139">
        <v>2000</v>
      </c>
      <c r="EX48" s="139">
        <v>1800</v>
      </c>
      <c r="EY48" s="139">
        <v>1800</v>
      </c>
      <c r="EZ48" s="139">
        <v>1800</v>
      </c>
      <c r="FA48" s="139">
        <v>1800</v>
      </c>
      <c r="FB48" s="139"/>
      <c r="FC48" s="136">
        <v>1800</v>
      </c>
      <c r="FD48" s="74"/>
      <c r="FE48" s="137">
        <v>1800</v>
      </c>
      <c r="FF48" s="136">
        <v>1800</v>
      </c>
      <c r="FG48" s="136">
        <v>1800</v>
      </c>
      <c r="FH48" s="136">
        <v>2000</v>
      </c>
      <c r="FI48" s="136">
        <v>2000</v>
      </c>
      <c r="FJ48" s="136">
        <v>1600</v>
      </c>
      <c r="FK48" s="136">
        <v>1836</v>
      </c>
      <c r="FL48" s="136">
        <v>1519</v>
      </c>
      <c r="FM48" s="136">
        <v>1800</v>
      </c>
      <c r="FN48" s="136">
        <v>1800</v>
      </c>
      <c r="FO48" s="136">
        <v>1800</v>
      </c>
      <c r="FP48" s="136">
        <v>1600</v>
      </c>
      <c r="FU48" s="136">
        <v>1800</v>
      </c>
      <c r="FV48" s="137">
        <v>1600</v>
      </c>
      <c r="FW48" s="136">
        <v>2010</v>
      </c>
      <c r="FX48" s="136">
        <v>1600</v>
      </c>
      <c r="FY48" s="136">
        <v>1400</v>
      </c>
      <c r="FZ48" s="136">
        <v>2000</v>
      </c>
      <c r="GA48" s="136">
        <v>2000</v>
      </c>
      <c r="GB48" s="136">
        <v>1600</v>
      </c>
      <c r="GC48" s="136">
        <v>1600</v>
      </c>
      <c r="GD48" s="136">
        <v>1600</v>
      </c>
      <c r="GF48" s="136">
        <v>1600</v>
      </c>
      <c r="GG48" s="136">
        <v>1600</v>
      </c>
      <c r="GH48" s="136">
        <v>1600</v>
      </c>
      <c r="GI48" s="136">
        <v>1600</v>
      </c>
      <c r="GJ48" s="74"/>
      <c r="GK48" s="136">
        <v>1601</v>
      </c>
      <c r="GL48" s="136">
        <v>1700</v>
      </c>
      <c r="GN48" s="136">
        <v>1603</v>
      </c>
      <c r="GO48" s="137">
        <v>1603</v>
      </c>
      <c r="GP48" s="136">
        <v>1600</v>
      </c>
      <c r="GQ48" s="136">
        <v>2000</v>
      </c>
      <c r="GR48" s="136">
        <v>1600</v>
      </c>
      <c r="GS48" s="136">
        <v>1600</v>
      </c>
      <c r="GU48" s="136">
        <v>1600</v>
      </c>
      <c r="GV48" s="136">
        <v>1521</v>
      </c>
      <c r="GW48" s="136">
        <v>1650</v>
      </c>
      <c r="GX48" s="137">
        <v>1700</v>
      </c>
      <c r="GY48" s="136">
        <v>2200</v>
      </c>
      <c r="GZ48" s="136">
        <v>2200</v>
      </c>
      <c r="HB48" s="136">
        <v>2200</v>
      </c>
      <c r="HC48" s="136">
        <v>1623</v>
      </c>
      <c r="HD48" s="136">
        <v>2200</v>
      </c>
      <c r="HE48" s="136">
        <v>2400</v>
      </c>
      <c r="HF48" s="136">
        <v>2011</v>
      </c>
      <c r="HG48" s="136">
        <v>2350</v>
      </c>
      <c r="HI48" s="136">
        <v>2303</v>
      </c>
      <c r="HJ48" s="137">
        <v>2365</v>
      </c>
      <c r="HK48" s="137">
        <v>2200</v>
      </c>
      <c r="HL48" s="136">
        <v>2220</v>
      </c>
      <c r="HM48" s="136">
        <v>2000</v>
      </c>
      <c r="HN48" s="136">
        <v>1199</v>
      </c>
      <c r="HP48" s="74"/>
      <c r="HQ48" s="136">
        <v>2007</v>
      </c>
      <c r="HR48" s="136">
        <v>2170</v>
      </c>
      <c r="HS48" s="136">
        <v>2100</v>
      </c>
      <c r="HT48" s="136">
        <v>2400</v>
      </c>
      <c r="HU48" s="136">
        <v>2000</v>
      </c>
      <c r="HV48" s="136">
        <v>2006</v>
      </c>
      <c r="HX48" s="136">
        <v>2000</v>
      </c>
      <c r="HY48" s="136">
        <v>2200</v>
      </c>
      <c r="HZ48" s="136">
        <v>2200</v>
      </c>
      <c r="IA48" s="136">
        <v>2200</v>
      </c>
      <c r="IB48" s="136">
        <v>1850</v>
      </c>
      <c r="IC48" s="136">
        <v>2209</v>
      </c>
      <c r="IE48" s="137">
        <v>1738</v>
      </c>
      <c r="IF48" s="136">
        <v>1210</v>
      </c>
      <c r="IG48" s="136">
        <v>1760</v>
      </c>
      <c r="IH48" s="137">
        <v>800</v>
      </c>
      <c r="II48" s="136">
        <v>1500</v>
      </c>
      <c r="IJ48" s="136">
        <v>1400</v>
      </c>
      <c r="IL48" s="136">
        <v>1800</v>
      </c>
      <c r="IM48" s="136">
        <v>1650</v>
      </c>
      <c r="IN48" s="136">
        <v>1730</v>
      </c>
      <c r="IO48" s="137">
        <v>1374</v>
      </c>
      <c r="IP48" s="136">
        <v>1260</v>
      </c>
      <c r="IQ48" s="136">
        <v>1230</v>
      </c>
      <c r="IS48" s="136">
        <v>731</v>
      </c>
      <c r="IT48" s="74"/>
      <c r="IU48" s="136">
        <v>110</v>
      </c>
      <c r="IV48" s="136">
        <v>380</v>
      </c>
      <c r="IW48" s="136">
        <v>570</v>
      </c>
      <c r="IX48" s="136">
        <v>920</v>
      </c>
      <c r="IY48" s="136">
        <v>1270</v>
      </c>
      <c r="JA48" s="136">
        <v>1100</v>
      </c>
      <c r="JB48" s="136">
        <v>1370</v>
      </c>
      <c r="JC48" s="136">
        <v>1650</v>
      </c>
      <c r="JD48" s="136">
        <v>1800</v>
      </c>
      <c r="JE48" s="136">
        <v>1800</v>
      </c>
      <c r="JF48" s="136">
        <v>1450</v>
      </c>
      <c r="JG48" s="136">
        <f>679+330</f>
        <v>1009</v>
      </c>
      <c r="JH48" s="136">
        <v>1700</v>
      </c>
      <c r="JI48" s="136">
        <v>1300</v>
      </c>
      <c r="JJ48" s="137">
        <v>1800</v>
      </c>
      <c r="JL48" s="136">
        <f>179+1180</f>
        <v>1359</v>
      </c>
      <c r="JM48" s="136">
        <v>1150</v>
      </c>
      <c r="JO48" s="136">
        <v>1280</v>
      </c>
      <c r="JP48" s="136">
        <v>1280</v>
      </c>
      <c r="JQ48" s="137">
        <v>1274</v>
      </c>
      <c r="JR48" s="136">
        <v>1050</v>
      </c>
      <c r="JS48" s="136">
        <v>1350</v>
      </c>
      <c r="JV48" s="278"/>
      <c r="JW48" s="173"/>
      <c r="JX48" s="173"/>
      <c r="JY48" s="173"/>
      <c r="JZ48" s="281"/>
      <c r="KA48" s="173"/>
      <c r="KB48" s="173"/>
      <c r="KC48" s="173"/>
      <c r="KD48" s="173"/>
      <c r="KE48" s="173"/>
      <c r="KF48" s="173"/>
      <c r="KG48" s="173"/>
      <c r="KH48" s="173"/>
      <c r="KI48" s="173"/>
      <c r="KJ48" s="173"/>
      <c r="KK48" s="173"/>
      <c r="KL48" s="173"/>
      <c r="KM48" s="173"/>
      <c r="KN48" s="173"/>
      <c r="KO48" s="173"/>
      <c r="KP48" s="173"/>
      <c r="KQ48" s="173"/>
      <c r="KR48" s="173"/>
      <c r="KS48" s="173"/>
      <c r="KT48" s="173"/>
      <c r="KU48" s="173"/>
      <c r="KV48" s="173"/>
      <c r="KW48" s="173"/>
      <c r="KX48" s="173"/>
      <c r="KY48" s="280"/>
      <c r="KZ48" s="167"/>
      <c r="LA48" s="167"/>
      <c r="LB48" s="167">
        <f>LB47-LB46</f>
        <v>10030</v>
      </c>
      <c r="LC48" s="167"/>
      <c r="LD48" s="167"/>
      <c r="LE48" s="74"/>
      <c r="LJ48" s="136">
        <v>1000</v>
      </c>
      <c r="LK48" s="136">
        <v>1260</v>
      </c>
      <c r="LL48" s="136">
        <v>1350</v>
      </c>
      <c r="LN48" s="136">
        <v>1400</v>
      </c>
      <c r="LO48" s="136">
        <v>1440</v>
      </c>
      <c r="LP48" s="136">
        <v>1440</v>
      </c>
      <c r="LQ48" s="136">
        <v>1440</v>
      </c>
      <c r="LR48" s="136">
        <v>1440</v>
      </c>
      <c r="LS48" s="136">
        <v>1300</v>
      </c>
      <c r="LU48" s="136">
        <v>1440</v>
      </c>
      <c r="LV48" s="136">
        <v>1440</v>
      </c>
      <c r="LW48" s="137">
        <v>600</v>
      </c>
      <c r="LX48" s="136">
        <v>900</v>
      </c>
      <c r="LY48" s="136">
        <v>1380</v>
      </c>
      <c r="LZ48" s="136">
        <f>231+570</f>
        <v>801</v>
      </c>
      <c r="MA48" s="136">
        <v>950</v>
      </c>
      <c r="MB48" s="716"/>
      <c r="MC48" s="717"/>
      <c r="MD48" s="717"/>
      <c r="ME48" s="718"/>
      <c r="MF48" s="136">
        <v>1400</v>
      </c>
      <c r="MG48" s="314">
        <v>1400</v>
      </c>
      <c r="MI48" s="137">
        <v>945</v>
      </c>
      <c r="MJ48" s="136">
        <v>1000</v>
      </c>
      <c r="MK48" s="286"/>
      <c r="ML48" s="136">
        <f>997+760</f>
        <v>1757</v>
      </c>
      <c r="MM48" s="136">
        <v>1980</v>
      </c>
      <c r="MN48" s="136">
        <v>2000</v>
      </c>
      <c r="MO48" s="136">
        <v>2200</v>
      </c>
      <c r="MQ48" s="136">
        <v>2200</v>
      </c>
      <c r="MR48" s="136">
        <v>2000</v>
      </c>
      <c r="MS48" s="314">
        <v>1850</v>
      </c>
      <c r="MT48" s="314">
        <v>1900</v>
      </c>
      <c r="MU48" s="136">
        <f>1348+660</f>
        <v>2008</v>
      </c>
      <c r="MV48" s="136">
        <v>1930</v>
      </c>
      <c r="MX48" s="136">
        <v>2200</v>
      </c>
      <c r="MY48" s="314">
        <v>2200</v>
      </c>
      <c r="MZ48" s="136">
        <v>2200</v>
      </c>
      <c r="NA48" s="314">
        <v>2200</v>
      </c>
      <c r="NB48" s="314">
        <v>2200</v>
      </c>
      <c r="NC48" s="365">
        <v>1990</v>
      </c>
      <c r="NE48" s="136">
        <v>2100</v>
      </c>
      <c r="NF48" s="136">
        <v>2200</v>
      </c>
      <c r="NG48" s="136">
        <v>2200</v>
      </c>
      <c r="NH48" s="136">
        <v>2310</v>
      </c>
      <c r="NI48" s="314">
        <v>2050</v>
      </c>
      <c r="NJ48" s="314">
        <v>2055</v>
      </c>
      <c r="NK48" s="314"/>
      <c r="NL48" s="314">
        <v>1830</v>
      </c>
      <c r="NM48" s="314">
        <f>562+1460</f>
        <v>2022</v>
      </c>
      <c r="NN48" s="365">
        <f>1750+114</f>
        <v>1864</v>
      </c>
      <c r="NO48" s="136">
        <v>760</v>
      </c>
      <c r="NP48" s="74"/>
      <c r="NQ48" s="314">
        <v>1510</v>
      </c>
      <c r="NR48" s="314">
        <v>1600</v>
      </c>
      <c r="NT48" s="314">
        <v>1800</v>
      </c>
      <c r="NU48" s="365">
        <f>420+670</f>
        <v>1090</v>
      </c>
      <c r="NV48" s="314">
        <v>1710</v>
      </c>
      <c r="NW48" s="314">
        <v>2000</v>
      </c>
      <c r="NX48" s="314">
        <f>1414+80</f>
        <v>1494</v>
      </c>
      <c r="NY48" s="136">
        <v>1300</v>
      </c>
      <c r="NZ48" s="314"/>
      <c r="OA48" s="136">
        <v>1800</v>
      </c>
      <c r="OB48" s="365">
        <f>891+20+75+100</f>
        <v>1086</v>
      </c>
      <c r="OC48" s="314">
        <v>1600</v>
      </c>
      <c r="OD48" s="314">
        <v>2310</v>
      </c>
      <c r="OE48" s="314">
        <v>2310</v>
      </c>
      <c r="OF48" s="314">
        <v>2440</v>
      </c>
      <c r="OH48" s="314">
        <v>2420</v>
      </c>
      <c r="OI48" s="314">
        <v>2420</v>
      </c>
      <c r="OJ48" s="314">
        <v>2200</v>
      </c>
      <c r="OK48" s="314">
        <v>2300</v>
      </c>
      <c r="OL48" s="314">
        <v>2420</v>
      </c>
      <c r="OM48" s="314">
        <v>2420</v>
      </c>
      <c r="ON48" s="314">
        <v>1600</v>
      </c>
      <c r="OO48" s="136">
        <v>2100</v>
      </c>
      <c r="OP48" s="314">
        <v>2170</v>
      </c>
      <c r="OQ48" s="365">
        <v>1598</v>
      </c>
      <c r="OR48" s="314">
        <v>320</v>
      </c>
      <c r="OS48" s="314">
        <v>620</v>
      </c>
      <c r="OT48" s="724"/>
      <c r="OU48" s="725"/>
      <c r="OW48" s="740"/>
      <c r="OX48" s="741"/>
      <c r="OY48" s="741"/>
      <c r="OZ48" s="741"/>
      <c r="PA48" s="741"/>
      <c r="PB48" s="741"/>
      <c r="PC48" s="742"/>
      <c r="PD48" s="314">
        <v>1250</v>
      </c>
      <c r="PE48" s="314">
        <v>1900</v>
      </c>
      <c r="PF48" s="136">
        <v>2100</v>
      </c>
      <c r="PG48" s="136">
        <v>2100</v>
      </c>
      <c r="PH48" s="136">
        <v>2400</v>
      </c>
      <c r="PI48" s="136">
        <v>2400</v>
      </c>
      <c r="PJ48" s="314"/>
      <c r="PK48" s="314"/>
      <c r="PL48" s="314">
        <v>2300</v>
      </c>
      <c r="PM48" s="314">
        <v>2500</v>
      </c>
      <c r="PN48" s="365">
        <f>1113+220</f>
        <v>1333</v>
      </c>
      <c r="PO48" s="314">
        <v>1100</v>
      </c>
      <c r="PP48" s="314">
        <v>1330</v>
      </c>
      <c r="PR48" s="314">
        <v>1650</v>
      </c>
      <c r="PS48" s="365">
        <f>1185+50+30</f>
        <v>1265</v>
      </c>
      <c r="PT48" s="314">
        <v>1200</v>
      </c>
      <c r="PU48" s="314">
        <v>1620</v>
      </c>
      <c r="PV48" s="314">
        <v>1800</v>
      </c>
      <c r="PW48" s="314">
        <v>2100</v>
      </c>
      <c r="PY48" s="365">
        <f>1565+60</f>
        <v>1625</v>
      </c>
      <c r="PZ48" s="314">
        <v>2100</v>
      </c>
      <c r="QA48" s="314">
        <v>2000</v>
      </c>
      <c r="QB48" s="281"/>
      <c r="QC48" s="314">
        <v>2350</v>
      </c>
      <c r="QD48" s="314">
        <v>2020</v>
      </c>
      <c r="QE48" s="136">
        <v>2200</v>
      </c>
      <c r="QF48" s="314"/>
      <c r="QG48" s="136">
        <v>1900</v>
      </c>
      <c r="QH48" s="365">
        <v>1983</v>
      </c>
      <c r="QI48" s="136">
        <v>500</v>
      </c>
      <c r="QJ48" s="136">
        <v>1350</v>
      </c>
      <c r="QK48" s="136">
        <v>1900</v>
      </c>
      <c r="QL48" s="136">
        <v>2400</v>
      </c>
      <c r="QM48" s="136">
        <v>2500</v>
      </c>
      <c r="QN48" s="136">
        <v>2970</v>
      </c>
      <c r="QO48" s="314">
        <v>2520</v>
      </c>
      <c r="QP48" s="314"/>
      <c r="QQ48" s="314">
        <v>2850</v>
      </c>
      <c r="QR48" s="314">
        <v>2400</v>
      </c>
      <c r="QS48" s="314">
        <v>2400</v>
      </c>
      <c r="QT48" s="314"/>
      <c r="QU48" s="136">
        <v>2400</v>
      </c>
      <c r="QV48" s="314">
        <v>2430</v>
      </c>
      <c r="QW48" s="314">
        <v>1500</v>
      </c>
      <c r="QX48" s="136">
        <v>2500</v>
      </c>
      <c r="QY48" s="136">
        <v>2100</v>
      </c>
      <c r="QZ48" s="365">
        <f>2112+290</f>
        <v>2402</v>
      </c>
      <c r="RB48" s="365">
        <f>393+250</f>
        <v>643</v>
      </c>
      <c r="RC48" s="136">
        <f>1250+0</f>
        <v>1250</v>
      </c>
      <c r="RD48" s="136">
        <v>850</v>
      </c>
      <c r="RE48" s="314">
        <v>1000</v>
      </c>
      <c r="RF48" s="136">
        <v>1140</v>
      </c>
      <c r="RG48" s="74"/>
      <c r="RH48" s="136">
        <v>1980</v>
      </c>
      <c r="RJ48" s="314">
        <v>1980</v>
      </c>
      <c r="RK48" s="136">
        <f>226+1230</f>
        <v>1456</v>
      </c>
      <c r="RL48" s="136">
        <v>1700</v>
      </c>
      <c r="RM48" s="136">
        <f>49+1930</f>
        <v>1979</v>
      </c>
      <c r="RN48" s="314">
        <v>1800</v>
      </c>
      <c r="RP48" s="136">
        <f>525+30+30+45+60</f>
        <v>690</v>
      </c>
      <c r="RQ48" s="136">
        <v>1100</v>
      </c>
      <c r="RR48" s="136">
        <v>1550</v>
      </c>
      <c r="RS48" s="136">
        <f>113+1590</f>
        <v>1703</v>
      </c>
      <c r="RT48" s="365">
        <v>1258</v>
      </c>
      <c r="RU48" s="136">
        <v>1000</v>
      </c>
      <c r="RV48" s="365">
        <v>1382</v>
      </c>
      <c r="RX48" s="436">
        <f>27+27+27</f>
        <v>81</v>
      </c>
      <c r="RY48" s="193">
        <v>300</v>
      </c>
      <c r="RZ48" s="314">
        <v>1110</v>
      </c>
      <c r="SA48" s="365">
        <v>1350</v>
      </c>
      <c r="SB48" s="136">
        <f>200+1360</f>
        <v>1560</v>
      </c>
      <c r="SC48" s="136">
        <f>652+1250</f>
        <v>1902</v>
      </c>
      <c r="SE48" s="136">
        <f>1710+46</f>
        <v>1756</v>
      </c>
      <c r="SF48" s="136">
        <f>1010+1190</f>
        <v>2200</v>
      </c>
      <c r="SG48" s="314">
        <f>1883+45</f>
        <v>1928</v>
      </c>
      <c r="SH48" s="136">
        <v>2200</v>
      </c>
      <c r="SI48" s="314">
        <f>860+540+6</f>
        <v>1406</v>
      </c>
      <c r="SJ48" s="314">
        <v>1600</v>
      </c>
      <c r="SL48" s="365">
        <v>1300</v>
      </c>
      <c r="SM48" s="74"/>
      <c r="SN48" s="193">
        <f>2120+100</f>
        <v>2220</v>
      </c>
      <c r="SO48" s="193">
        <f>885+1290+25</f>
        <v>2200</v>
      </c>
      <c r="SP48" s="193">
        <v>2200</v>
      </c>
      <c r="SQ48" s="193">
        <f>1345+830+15+10</f>
        <v>2200</v>
      </c>
      <c r="SR48" s="314">
        <v>2213</v>
      </c>
      <c r="SS48" s="314">
        <f>5+1800</f>
        <v>1805</v>
      </c>
      <c r="ST48" s="314">
        <f>1260+640</f>
        <v>1900</v>
      </c>
      <c r="SU48" s="365">
        <f>1900+15</f>
        <v>1915</v>
      </c>
      <c r="SW48" s="314">
        <f>281+42+210</f>
        <v>533</v>
      </c>
      <c r="SX48" s="314">
        <v>1000</v>
      </c>
      <c r="SY48" s="314">
        <v>1600</v>
      </c>
      <c r="SZ48" s="314"/>
      <c r="TA48" s="314">
        <f>1245+110</f>
        <v>1355</v>
      </c>
      <c r="TB48" s="314">
        <v>1600</v>
      </c>
      <c r="TC48" s="136">
        <f>650+690</f>
        <v>1340</v>
      </c>
      <c r="TD48" s="314">
        <v>1800</v>
      </c>
      <c r="TE48" s="136">
        <v>1920</v>
      </c>
      <c r="TF48" s="136">
        <v>1722</v>
      </c>
      <c r="TH48" s="136">
        <v>1200</v>
      </c>
      <c r="TI48" s="365">
        <v>1858</v>
      </c>
      <c r="TJ48" s="173">
        <f>272+270</f>
        <v>542</v>
      </c>
      <c r="TK48" s="136">
        <v>700</v>
      </c>
      <c r="TL48" s="136">
        <f>326+580</f>
        <v>906</v>
      </c>
      <c r="TM48" s="314">
        <v>1750</v>
      </c>
      <c r="TN48" s="314"/>
      <c r="TO48" s="136">
        <f>190+870</f>
        <v>1060</v>
      </c>
      <c r="TP48" s="136">
        <v>1350</v>
      </c>
      <c r="TQ48" s="136">
        <v>1180</v>
      </c>
      <c r="TR48" s="74"/>
      <c r="TS48" s="136">
        <v>1650</v>
      </c>
      <c r="TT48" s="136">
        <f>261+292+90</f>
        <v>643</v>
      </c>
      <c r="TU48" s="136">
        <f>271+184+650</f>
        <v>1105</v>
      </c>
      <c r="TW48" s="136">
        <v>1700</v>
      </c>
      <c r="TX48" s="365">
        <f>1110+20</f>
        <v>1130</v>
      </c>
      <c r="TY48" s="173">
        <f>260+50</f>
        <v>310</v>
      </c>
      <c r="TZ48" s="136">
        <f>219+510</f>
        <v>729</v>
      </c>
      <c r="UA48" s="136">
        <v>1000</v>
      </c>
      <c r="UB48" s="314">
        <v>1440</v>
      </c>
      <c r="UC48" s="136">
        <v>1430</v>
      </c>
      <c r="UD48" s="136">
        <f>1322+20</f>
        <v>1342</v>
      </c>
      <c r="UE48" s="136">
        <v>630</v>
      </c>
      <c r="UF48" s="136">
        <v>970</v>
      </c>
      <c r="UG48" s="136">
        <f>181+600</f>
        <v>781</v>
      </c>
      <c r="UK48" s="136">
        <v>1000</v>
      </c>
      <c r="UL48" s="136">
        <v>1020</v>
      </c>
      <c r="UM48" s="136">
        <v>1000</v>
      </c>
      <c r="UN48" s="136">
        <f>1034+70</f>
        <v>1104</v>
      </c>
      <c r="UO48" s="136">
        <v>1001</v>
      </c>
      <c r="UP48" s="136">
        <v>1050</v>
      </c>
      <c r="UR48" s="136">
        <f>283+580</f>
        <v>863</v>
      </c>
      <c r="US48" s="136">
        <v>1030</v>
      </c>
      <c r="UT48" s="136">
        <v>1200</v>
      </c>
      <c r="UU48" s="136">
        <f>521+140</f>
        <v>661</v>
      </c>
      <c r="UV48" s="136">
        <v>1100</v>
      </c>
      <c r="UW48" s="314">
        <v>1530</v>
      </c>
      <c r="UX48" s="74"/>
      <c r="UY48" s="314"/>
      <c r="UZ48" s="314">
        <f>320+1680</f>
        <v>2000</v>
      </c>
      <c r="VA48" s="314">
        <f>1400+400</f>
        <v>1800</v>
      </c>
      <c r="VB48" s="314">
        <f>2000+9</f>
        <v>2009</v>
      </c>
      <c r="VC48" s="314">
        <f>692+1310</f>
        <v>2002</v>
      </c>
      <c r="VD48" s="314">
        <v>2000</v>
      </c>
      <c r="VE48" s="314">
        <f>294+1710</f>
        <v>2004</v>
      </c>
      <c r="VG48" s="314">
        <v>2000</v>
      </c>
      <c r="VH48" s="314">
        <f>1141+890</f>
        <v>2031</v>
      </c>
      <c r="VI48" s="314">
        <v>2000</v>
      </c>
      <c r="VJ48" s="314">
        <v>2200</v>
      </c>
      <c r="VK48" s="314">
        <v>2020</v>
      </c>
      <c r="VL48" s="136">
        <f>790+300</f>
        <v>1090</v>
      </c>
      <c r="VN48" s="136">
        <f>1991+42</f>
        <v>2033</v>
      </c>
      <c r="VO48" s="136">
        <f>884+1140</f>
        <v>2024</v>
      </c>
      <c r="VP48" s="136">
        <f>1780+220</f>
        <v>2000</v>
      </c>
      <c r="VQ48" s="136">
        <v>1630</v>
      </c>
      <c r="VR48" s="136">
        <v>2150</v>
      </c>
      <c r="VS48" s="136">
        <f>182+37+0</f>
        <v>219</v>
      </c>
      <c r="VU48" s="136">
        <v>313</v>
      </c>
      <c r="VV48" s="136">
        <v>700</v>
      </c>
      <c r="VW48" s="136">
        <v>1010</v>
      </c>
      <c r="VX48" s="136">
        <v>1510</v>
      </c>
      <c r="VY48" s="136">
        <v>1810</v>
      </c>
      <c r="VZ48" s="136">
        <v>2000</v>
      </c>
      <c r="WB48" s="136">
        <v>1510</v>
      </c>
      <c r="WC48" s="136">
        <v>847</v>
      </c>
      <c r="WD48" s="74"/>
      <c r="WE48" s="314">
        <v>1580</v>
      </c>
      <c r="WF48" s="314">
        <v>1650</v>
      </c>
      <c r="WG48" s="314">
        <v>2050</v>
      </c>
      <c r="WH48" s="314">
        <v>1970</v>
      </c>
      <c r="WJ48" s="136">
        <v>2000</v>
      </c>
      <c r="WK48" s="365">
        <v>1377</v>
      </c>
      <c r="WL48" s="136">
        <f>145+550</f>
        <v>695</v>
      </c>
      <c r="WM48" s="136">
        <f>1+880</f>
        <v>881</v>
      </c>
      <c r="WN48" s="136">
        <f>902+200</f>
        <v>1102</v>
      </c>
      <c r="WO48" s="136">
        <v>1100</v>
      </c>
      <c r="WP48" s="136">
        <v>740</v>
      </c>
      <c r="WQ48" s="314">
        <v>1020</v>
      </c>
      <c r="WR48" s="314">
        <f>780+27</f>
        <v>807</v>
      </c>
      <c r="WS48" s="314">
        <f>33+1067</f>
        <v>1100</v>
      </c>
      <c r="WT48" s="365">
        <v>900</v>
      </c>
      <c r="WU48" s="136">
        <f>262+279+99</f>
        <v>640</v>
      </c>
      <c r="WV48" s="314">
        <v>650</v>
      </c>
      <c r="WZ48" s="314">
        <v>1800</v>
      </c>
      <c r="XA48" s="314">
        <v>2150</v>
      </c>
      <c r="XB48" s="314">
        <v>2400</v>
      </c>
      <c r="XC48" s="314">
        <v>2750</v>
      </c>
      <c r="XE48" s="314">
        <v>2550</v>
      </c>
      <c r="XF48" s="314">
        <v>2310</v>
      </c>
      <c r="XG48" s="74"/>
      <c r="XH48" s="314">
        <v>2860</v>
      </c>
      <c r="XI48" s="314">
        <v>2500</v>
      </c>
      <c r="XJ48" s="124">
        <f>458+109+390</f>
        <v>957</v>
      </c>
      <c r="XK48" s="136">
        <v>1550</v>
      </c>
      <c r="XM48" s="136">
        <v>1800</v>
      </c>
      <c r="XN48" s="136">
        <v>2200</v>
      </c>
      <c r="XO48" s="314">
        <v>2100</v>
      </c>
      <c r="XP48" s="314">
        <v>2100</v>
      </c>
      <c r="XQ48" s="314">
        <v>1800</v>
      </c>
      <c r="XR48" s="314">
        <v>2200</v>
      </c>
      <c r="XS48" s="173"/>
      <c r="XT48" s="314">
        <v>2100</v>
      </c>
      <c r="XU48" s="314">
        <v>2100</v>
      </c>
      <c r="XV48" s="314">
        <f>1668+50</f>
        <v>1718</v>
      </c>
      <c r="XW48" s="124">
        <f>267+30+670</f>
        <v>967</v>
      </c>
      <c r="XX48" s="314">
        <v>1750</v>
      </c>
      <c r="XY48" s="136">
        <v>2000</v>
      </c>
      <c r="XZ48" s="136">
        <v>1800</v>
      </c>
      <c r="YA48" s="136">
        <v>2250</v>
      </c>
      <c r="YB48" s="136">
        <v>2200</v>
      </c>
      <c r="YC48" s="314">
        <v>2200</v>
      </c>
      <c r="YD48" s="124">
        <f>1856+110</f>
        <v>1966</v>
      </c>
      <c r="YE48" s="314">
        <f>187+1070</f>
        <v>1257</v>
      </c>
      <c r="YF48" s="314">
        <v>1550</v>
      </c>
      <c r="YG48" s="173"/>
      <c r="YH48" s="314">
        <v>1850</v>
      </c>
      <c r="YI48" s="314">
        <f>1980+36</f>
        <v>2016</v>
      </c>
      <c r="YJ48" s="136">
        <v>1800</v>
      </c>
      <c r="YK48" s="314"/>
      <c r="YL48" s="314">
        <f>1095+530</f>
        <v>1625</v>
      </c>
      <c r="YM48" s="74"/>
      <c r="YN48" s="136">
        <f>3+2350</f>
        <v>2353</v>
      </c>
      <c r="YP48" s="314">
        <v>2350</v>
      </c>
      <c r="YQ48" s="124">
        <v>2340</v>
      </c>
      <c r="YR48" s="136">
        <f>267+660</f>
        <v>927</v>
      </c>
      <c r="YS48" s="136">
        <f>20+1360</f>
        <v>1380</v>
      </c>
      <c r="YT48" s="136">
        <f>1400+8</f>
        <v>1408</v>
      </c>
      <c r="YU48" s="136">
        <f>1125+525</f>
        <v>1650</v>
      </c>
      <c r="YW48" s="124">
        <v>1900</v>
      </c>
      <c r="YX48" s="136">
        <f>131+970</f>
        <v>1101</v>
      </c>
      <c r="YY48" s="136">
        <v>1870</v>
      </c>
      <c r="YZ48" s="136">
        <f>1257+100</f>
        <v>1357</v>
      </c>
      <c r="ZB48" s="136">
        <v>1100</v>
      </c>
      <c r="ZD48" s="136">
        <v>1357</v>
      </c>
      <c r="ZE48" s="136">
        <v>1200</v>
      </c>
      <c r="ZF48" s="136">
        <v>1350</v>
      </c>
      <c r="ZG48" s="136">
        <v>1422</v>
      </c>
      <c r="ZH48" s="314">
        <f>272+880</f>
        <v>1152</v>
      </c>
      <c r="ZI48" s="314">
        <v>1650</v>
      </c>
      <c r="ZK48" s="314">
        <f>1518+200</f>
        <v>1718</v>
      </c>
      <c r="ZL48" s="136">
        <v>1650</v>
      </c>
      <c r="ZM48" s="136">
        <v>1800</v>
      </c>
      <c r="ZN48" s="136">
        <f>1371+407</f>
        <v>1778</v>
      </c>
      <c r="ZO48" s="136">
        <v>1500</v>
      </c>
      <c r="ZP48" s="314">
        <v>1500</v>
      </c>
      <c r="ZQ48" s="314"/>
      <c r="ZR48" s="74"/>
      <c r="ZT48" s="136">
        <f>912+360</f>
        <v>1272</v>
      </c>
      <c r="ZU48" s="136">
        <v>1000</v>
      </c>
      <c r="ZV48" s="314">
        <v>1390</v>
      </c>
      <c r="ZW48" s="124">
        <f>971+270+10</f>
        <v>1251</v>
      </c>
      <c r="ZX48" s="136">
        <v>1150</v>
      </c>
      <c r="ZZ48" s="136">
        <v>1320</v>
      </c>
      <c r="AAA48" s="136">
        <f>994+300</f>
        <v>1294</v>
      </c>
      <c r="AAB48" s="136">
        <v>1500</v>
      </c>
      <c r="AAC48" s="136">
        <v>1650</v>
      </c>
      <c r="AAD48" s="314">
        <f>90+860</f>
        <v>950</v>
      </c>
      <c r="AAE48" s="777"/>
      <c r="AAF48" s="705"/>
      <c r="AAG48" s="705"/>
      <c r="AAH48" s="705"/>
      <c r="AAI48" s="778"/>
      <c r="AAJ48" s="136">
        <f>1191+200</f>
        <v>1391</v>
      </c>
      <c r="AAK48" s="136">
        <f>74+1230</f>
        <v>1304</v>
      </c>
      <c r="AAL48" s="136">
        <v>1700</v>
      </c>
      <c r="AAM48" s="136">
        <f>1439+80</f>
        <v>1519</v>
      </c>
      <c r="AAN48" s="136">
        <v>1620</v>
      </c>
      <c r="AAO48" s="314">
        <v>1820</v>
      </c>
      <c r="AAP48" s="136">
        <f>548+18+1140</f>
        <v>1706</v>
      </c>
      <c r="AAQ48" s="136">
        <v>2000</v>
      </c>
      <c r="AAR48" s="136">
        <f>105+18+1280</f>
        <v>1403</v>
      </c>
      <c r="AAS48" s="136">
        <f>783+470</f>
        <v>1253</v>
      </c>
      <c r="AAU48" s="136">
        <v>1820</v>
      </c>
      <c r="AAV48" s="136">
        <v>1900</v>
      </c>
      <c r="AAW48" s="136">
        <v>1670</v>
      </c>
      <c r="AAX48" s="72"/>
      <c r="AAY48" s="124">
        <f>463+300+100+18</f>
        <v>881</v>
      </c>
      <c r="AAZ48" s="136">
        <v>1050</v>
      </c>
      <c r="ABA48" s="136">
        <f>599+24+18+350</f>
        <v>991</v>
      </c>
      <c r="ABC48" s="136">
        <v>1760</v>
      </c>
      <c r="ABD48" s="136">
        <f>720+680</f>
        <v>1400</v>
      </c>
      <c r="ABE48" s="136">
        <f>959+880+27</f>
        <v>1866</v>
      </c>
      <c r="ABF48" s="314">
        <f>293+8+755+80</f>
        <v>1136</v>
      </c>
      <c r="ABG48" s="136">
        <v>2000</v>
      </c>
      <c r="ABH48" s="136">
        <f>237+300+550</f>
        <v>1087</v>
      </c>
      <c r="ABJ48" s="136">
        <v>1560</v>
      </c>
      <c r="ABK48" s="136">
        <f>963+560</f>
        <v>1523</v>
      </c>
      <c r="ABL48" s="136">
        <v>1772</v>
      </c>
      <c r="ABM48" s="136">
        <v>1650</v>
      </c>
      <c r="ABN48" s="314">
        <f>1533+170</f>
        <v>1703</v>
      </c>
      <c r="ABO48" s="314">
        <v>1700</v>
      </c>
      <c r="ABP48" s="124">
        <v>1178</v>
      </c>
      <c r="ABQ48" s="314">
        <v>1870</v>
      </c>
      <c r="ABR48" s="136">
        <v>2100</v>
      </c>
      <c r="ABS48" s="136">
        <v>2480</v>
      </c>
      <c r="ABT48" s="136">
        <v>2530</v>
      </c>
      <c r="ABU48" s="136">
        <v>2640</v>
      </c>
      <c r="ABV48" s="314">
        <v>2650</v>
      </c>
      <c r="ABX48" s="124">
        <f>1497+320+50</f>
        <v>1867</v>
      </c>
      <c r="ABY48" s="136">
        <f>105+1845</f>
        <v>1950</v>
      </c>
      <c r="ABZ48" s="314">
        <v>2220</v>
      </c>
      <c r="ACA48" s="314">
        <v>2100</v>
      </c>
      <c r="ACB48" s="314">
        <v>1781</v>
      </c>
      <c r="ACC48" s="74"/>
      <c r="ACD48" s="136">
        <v>2100</v>
      </c>
      <c r="ACE48" s="124">
        <f>311+1060</f>
        <v>1371</v>
      </c>
      <c r="ACF48" s="314">
        <v>1700</v>
      </c>
      <c r="ACG48" s="314">
        <v>2200</v>
      </c>
      <c r="ACH48" s="314">
        <v>2000</v>
      </c>
      <c r="ACI48" s="314">
        <v>1950</v>
      </c>
      <c r="ACJ48" s="136">
        <v>1950</v>
      </c>
      <c r="ACK48" s="136">
        <v>2200</v>
      </c>
      <c r="ACM48" s="136">
        <v>2000</v>
      </c>
      <c r="ACN48" s="136">
        <v>2200</v>
      </c>
      <c r="ACO48" s="314">
        <f>432+1630</f>
        <v>2062</v>
      </c>
      <c r="ACP48" s="314">
        <v>2250</v>
      </c>
      <c r="ACQ48" s="314">
        <v>2200</v>
      </c>
      <c r="ACR48" s="314">
        <v>2200</v>
      </c>
      <c r="ACS48" s="314">
        <v>1800</v>
      </c>
      <c r="ACT48" s="314">
        <v>2150</v>
      </c>
      <c r="ACU48" s="314">
        <v>2200</v>
      </c>
      <c r="ACV48" s="314">
        <v>1100</v>
      </c>
      <c r="ACW48" s="785"/>
      <c r="ACX48" s="786"/>
      <c r="ACY48" s="786"/>
      <c r="ACZ48" s="786"/>
      <c r="ADA48" s="786"/>
      <c r="ADB48" s="786"/>
      <c r="ADC48" s="786"/>
      <c r="ADD48" s="786"/>
      <c r="ADE48" s="786"/>
      <c r="ADF48" s="786"/>
      <c r="ADG48" s="787"/>
      <c r="ADH48" s="314"/>
      <c r="ADI48" s="74"/>
      <c r="ADJ48" s="314">
        <v>1250</v>
      </c>
      <c r="ADK48" s="314">
        <v>2050</v>
      </c>
      <c r="ADL48" s="124">
        <f>723+0</f>
        <v>723</v>
      </c>
      <c r="ADM48" s="314">
        <v>400</v>
      </c>
      <c r="ADN48" s="314">
        <v>650</v>
      </c>
      <c r="ADP48" s="314">
        <v>900</v>
      </c>
      <c r="ADQ48" s="314">
        <v>1100</v>
      </c>
      <c r="ADR48" s="314">
        <v>1100</v>
      </c>
      <c r="ADS48" s="314">
        <v>1300</v>
      </c>
      <c r="ADT48" s="314">
        <v>1460</v>
      </c>
      <c r="ADU48" s="314">
        <v>1540</v>
      </c>
      <c r="ADV48" s="136">
        <v>1120</v>
      </c>
      <c r="ADW48" s="314"/>
      <c r="ADY48" s="314">
        <v>1200</v>
      </c>
      <c r="ADZ48" s="314">
        <v>1650</v>
      </c>
      <c r="AEA48" s="314">
        <v>1650</v>
      </c>
      <c r="AEB48" s="314">
        <v>1650</v>
      </c>
      <c r="AEC48" s="314"/>
      <c r="AED48" s="314">
        <v>1710</v>
      </c>
      <c r="AEE48" s="314">
        <v>1760</v>
      </c>
      <c r="AEF48" s="314">
        <v>1800</v>
      </c>
      <c r="AEG48" s="314">
        <v>1690</v>
      </c>
      <c r="AEH48" s="314">
        <v>1600</v>
      </c>
      <c r="AEI48" s="314">
        <v>1610</v>
      </c>
      <c r="AEJ48" s="314"/>
      <c r="AEK48" s="124">
        <v>1370</v>
      </c>
      <c r="AEL48" s="136">
        <f>940+1</f>
        <v>941</v>
      </c>
      <c r="AEM48" s="314">
        <v>1500</v>
      </c>
      <c r="AEN48" s="314">
        <v>1310</v>
      </c>
      <c r="AEO48" s="613"/>
      <c r="AEP48" s="314">
        <v>1500</v>
      </c>
      <c r="AEQ48" s="314">
        <v>1060</v>
      </c>
      <c r="AER48" s="314"/>
      <c r="AES48" s="124">
        <v>1862</v>
      </c>
      <c r="AET48" s="314">
        <v>1100</v>
      </c>
      <c r="AEU48" s="314">
        <v>1800</v>
      </c>
      <c r="AEV48" s="314">
        <v>1800</v>
      </c>
      <c r="AEW48" s="124">
        <v>1860</v>
      </c>
      <c r="AEX48" s="136">
        <f>133+480</f>
        <v>613</v>
      </c>
      <c r="AEY48" s="612"/>
      <c r="AEZ48" s="612">
        <v>1100</v>
      </c>
      <c r="AFA48" s="612">
        <v>1500</v>
      </c>
      <c r="AFB48" s="612">
        <v>1300</v>
      </c>
      <c r="AFC48" s="612">
        <v>1650</v>
      </c>
      <c r="AFD48" s="612">
        <f>1576+12</f>
        <v>1588</v>
      </c>
      <c r="AFE48" s="314">
        <v>1400</v>
      </c>
      <c r="AFF48" s="314"/>
      <c r="AFG48" s="314">
        <v>1700</v>
      </c>
      <c r="AFH48" s="314">
        <v>1700</v>
      </c>
      <c r="AFI48" s="124">
        <v>1700</v>
      </c>
      <c r="AFJ48" s="314">
        <v>1300</v>
      </c>
      <c r="AFK48" s="314">
        <v>1280</v>
      </c>
      <c r="AFL48" s="314">
        <v>1280</v>
      </c>
      <c r="AFM48" s="314"/>
      <c r="AFN48" s="314">
        <v>1100</v>
      </c>
      <c r="AFO48" s="314">
        <v>1300</v>
      </c>
      <c r="AFP48" s="314">
        <f>1100+400</f>
        <v>1500</v>
      </c>
      <c r="AFQ48" s="314">
        <v>1280</v>
      </c>
      <c r="AFR48" s="314">
        <v>1280</v>
      </c>
      <c r="AFS48" s="314">
        <v>1000</v>
      </c>
      <c r="AFT48" s="74"/>
      <c r="AFU48" s="314"/>
      <c r="AFV48" s="314">
        <v>1400</v>
      </c>
      <c r="AFW48" s="124">
        <f>1113+30</f>
        <v>1143</v>
      </c>
      <c r="AFX48" s="136">
        <v>1000</v>
      </c>
      <c r="AFY48" s="136">
        <v>1450</v>
      </c>
      <c r="AFZ48" s="136">
        <v>1630</v>
      </c>
      <c r="AGA48" s="136">
        <v>1750</v>
      </c>
      <c r="AGB48" s="364"/>
      <c r="AGC48" s="136">
        <v>1610</v>
      </c>
      <c r="AGD48" s="136">
        <f>1283+320</f>
        <v>1603</v>
      </c>
      <c r="AGE48" s="136">
        <f>8+1392</f>
        <v>1400</v>
      </c>
      <c r="AGF48" s="136">
        <v>1700</v>
      </c>
      <c r="AGG48" s="314">
        <v>1600</v>
      </c>
      <c r="AGH48" s="136">
        <f>248+852</f>
        <v>1100</v>
      </c>
      <c r="AGJ48" s="136">
        <v>1500</v>
      </c>
      <c r="AGK48" s="136">
        <f>587+700</f>
        <v>1287</v>
      </c>
      <c r="AGL48" s="136">
        <v>2500</v>
      </c>
      <c r="AGM48" s="136">
        <v>3000</v>
      </c>
      <c r="AGN48" s="136">
        <v>3300</v>
      </c>
      <c r="AGO48" s="136">
        <f>358+2800</f>
        <v>3158</v>
      </c>
      <c r="AGQ48" s="136">
        <v>3630</v>
      </c>
      <c r="AGR48" s="314">
        <v>3640</v>
      </c>
      <c r="AGS48" s="314">
        <v>3310</v>
      </c>
      <c r="AGT48" s="314">
        <v>2640</v>
      </c>
      <c r="AGU48" s="124">
        <v>2539</v>
      </c>
      <c r="AGV48" s="603">
        <v>240</v>
      </c>
      <c r="AGX48" s="603">
        <v>500</v>
      </c>
      <c r="AGY48" s="603">
        <v>960</v>
      </c>
      <c r="AGZ48" s="74"/>
      <c r="AHA48" s="314">
        <v>1500</v>
      </c>
      <c r="AHB48" s="314">
        <v>1400</v>
      </c>
      <c r="AHC48" s="314">
        <v>1400</v>
      </c>
      <c r="AHD48" s="314">
        <v>1550</v>
      </c>
      <c r="AHE48" s="314"/>
      <c r="AHF48" s="124">
        <v>1405</v>
      </c>
      <c r="AHG48" s="314">
        <v>1450</v>
      </c>
      <c r="AHH48" s="314">
        <v>1500</v>
      </c>
      <c r="AHI48" s="314">
        <v>1530</v>
      </c>
      <c r="AHJ48" s="314">
        <v>1760</v>
      </c>
      <c r="AHK48" s="314">
        <v>1350</v>
      </c>
      <c r="AHL48" s="314"/>
      <c r="AHM48" s="314">
        <v>1760</v>
      </c>
      <c r="AHN48" s="314">
        <v>1600</v>
      </c>
      <c r="AHO48" s="314">
        <v>1760</v>
      </c>
      <c r="AHP48" s="314">
        <v>1760</v>
      </c>
      <c r="AHQ48" s="314">
        <v>1760</v>
      </c>
      <c r="AHR48" s="314">
        <v>1705</v>
      </c>
      <c r="AHS48" s="314"/>
      <c r="AHT48" s="314">
        <v>1705</v>
      </c>
      <c r="AHU48" s="314">
        <v>1705</v>
      </c>
      <c r="AHV48" s="314">
        <v>1705</v>
      </c>
      <c r="AHW48" s="314">
        <v>1705</v>
      </c>
      <c r="AHX48" s="314">
        <v>1705</v>
      </c>
      <c r="AHY48" s="314">
        <v>1705</v>
      </c>
      <c r="AHZ48" s="314"/>
      <c r="AIA48" s="314">
        <v>1705</v>
      </c>
      <c r="AIB48" s="314">
        <v>1705</v>
      </c>
      <c r="AIC48" s="314">
        <v>1705</v>
      </c>
      <c r="AID48" s="314">
        <v>1705</v>
      </c>
      <c r="AIE48" s="74"/>
      <c r="AIF48" s="314">
        <v>1705</v>
      </c>
      <c r="AIG48" s="314">
        <v>1705</v>
      </c>
      <c r="AIH48" s="314"/>
      <c r="AII48" s="314">
        <v>1705</v>
      </c>
      <c r="AIJ48" s="314">
        <v>1705</v>
      </c>
      <c r="AIK48" s="314">
        <v>1705</v>
      </c>
      <c r="AIL48" s="314">
        <v>1705</v>
      </c>
      <c r="AIM48" s="603">
        <v>1705</v>
      </c>
      <c r="AIN48" s="604">
        <v>1705</v>
      </c>
      <c r="AIO48" s="603"/>
      <c r="AIP48" s="603">
        <v>1705</v>
      </c>
      <c r="AIQ48" s="603">
        <v>1705</v>
      </c>
      <c r="AIR48" s="603">
        <v>1705</v>
      </c>
      <c r="AIS48" s="603">
        <v>1705</v>
      </c>
      <c r="AIT48" s="604">
        <v>1170</v>
      </c>
      <c r="AIU48" s="603"/>
      <c r="AIV48" s="603"/>
      <c r="AIW48" s="603">
        <f>1705+170</f>
        <v>1875</v>
      </c>
      <c r="AIX48" s="603">
        <v>1705</v>
      </c>
      <c r="AIY48" s="603">
        <v>1705</v>
      </c>
      <c r="AIZ48" s="603">
        <v>1705</v>
      </c>
      <c r="AJA48" s="603">
        <v>1705</v>
      </c>
      <c r="AJB48" s="604">
        <v>1705</v>
      </c>
      <c r="AJD48" s="314">
        <v>700</v>
      </c>
      <c r="AJE48" s="314">
        <v>1400</v>
      </c>
      <c r="AJF48" s="314">
        <v>2200</v>
      </c>
      <c r="AJG48" s="314">
        <v>2200</v>
      </c>
      <c r="AJH48" s="314">
        <v>2200</v>
      </c>
      <c r="AJI48" s="314">
        <v>2200</v>
      </c>
      <c r="AJJ48" s="314"/>
      <c r="AJK48" s="74"/>
      <c r="AJL48" s="314">
        <v>2200</v>
      </c>
      <c r="AJM48" s="314">
        <v>2200</v>
      </c>
      <c r="AJN48" s="314">
        <v>2200</v>
      </c>
      <c r="AJO48" s="314">
        <v>2200</v>
      </c>
      <c r="AJP48" s="124">
        <v>2200</v>
      </c>
      <c r="AJQ48" s="314">
        <v>2200</v>
      </c>
      <c r="AJR48" s="603"/>
      <c r="AJS48" s="603">
        <v>2200</v>
      </c>
      <c r="AJT48" s="603">
        <v>2200</v>
      </c>
      <c r="AJU48" s="604">
        <v>2700</v>
      </c>
      <c r="AJV48" s="603">
        <v>350</v>
      </c>
      <c r="AJW48" s="603">
        <v>700</v>
      </c>
      <c r="AJX48" s="603">
        <v>1050</v>
      </c>
      <c r="AJY48" s="603"/>
      <c r="AJZ48" s="603">
        <v>1200</v>
      </c>
      <c r="AKA48" s="603">
        <v>1705</v>
      </c>
      <c r="AKB48" s="603">
        <v>1705</v>
      </c>
      <c r="AKC48" s="603">
        <v>1705</v>
      </c>
      <c r="AKD48" s="603">
        <v>1705</v>
      </c>
      <c r="AKE48" s="603">
        <v>1705</v>
      </c>
      <c r="AKF48" s="603"/>
      <c r="AKG48" s="603">
        <v>1705</v>
      </c>
      <c r="AKH48" s="603">
        <v>1705</v>
      </c>
      <c r="AKI48" s="603">
        <v>1705</v>
      </c>
      <c r="AKJ48" s="604">
        <v>1705</v>
      </c>
      <c r="AKK48" s="603">
        <v>1705</v>
      </c>
      <c r="AKL48" s="603">
        <v>1705</v>
      </c>
      <c r="AKM48" s="603"/>
      <c r="AKN48" s="603">
        <v>1705</v>
      </c>
      <c r="AKO48" s="603">
        <v>1705</v>
      </c>
      <c r="AKP48" s="603">
        <v>1705</v>
      </c>
      <c r="AKQ48" s="603"/>
      <c r="AKR48" s="603">
        <v>1705</v>
      </c>
      <c r="AKS48" s="603">
        <v>1705</v>
      </c>
      <c r="AKT48" s="603">
        <v>1705</v>
      </c>
      <c r="AKU48" s="603"/>
      <c r="AKV48" s="604">
        <v>1705</v>
      </c>
      <c r="AKW48" s="603">
        <v>1705</v>
      </c>
      <c r="AKX48" s="603">
        <v>1705</v>
      </c>
      <c r="AKY48" s="603">
        <v>1705</v>
      </c>
      <c r="AKZ48" s="603">
        <v>1705</v>
      </c>
      <c r="ALA48" s="603">
        <v>1705</v>
      </c>
      <c r="ALB48" s="603"/>
      <c r="ALC48" s="604">
        <v>1000</v>
      </c>
      <c r="ALD48" s="603">
        <v>1705</v>
      </c>
      <c r="ALE48" s="603">
        <v>1705</v>
      </c>
      <c r="ALF48" s="603">
        <v>1705</v>
      </c>
      <c r="ALG48" s="603">
        <v>1705</v>
      </c>
      <c r="ALH48" s="603">
        <v>1705</v>
      </c>
      <c r="ALI48" s="603"/>
      <c r="ALJ48" s="603">
        <v>1705</v>
      </c>
      <c r="ALK48" s="603">
        <v>1705</v>
      </c>
      <c r="ALL48" s="603"/>
      <c r="ALM48" s="603">
        <v>1705</v>
      </c>
      <c r="ALN48" s="603">
        <v>1705</v>
      </c>
      <c r="ALO48" s="603">
        <v>1705</v>
      </c>
      <c r="ALP48" s="603"/>
      <c r="ALQ48" s="603">
        <v>1705</v>
      </c>
      <c r="ALR48" s="603">
        <v>1705</v>
      </c>
      <c r="ALS48" s="603">
        <v>1705</v>
      </c>
      <c r="ALT48" s="603"/>
      <c r="ALU48" s="604">
        <v>1705</v>
      </c>
      <c r="ALV48" s="139">
        <v>500</v>
      </c>
      <c r="ALW48" s="139">
        <v>1000</v>
      </c>
      <c r="ALX48" s="139"/>
      <c r="ALY48" s="139">
        <v>1500</v>
      </c>
      <c r="ALZ48" s="139">
        <v>2000</v>
      </c>
      <c r="AMA48" s="139">
        <v>2000</v>
      </c>
      <c r="AMB48" s="139">
        <v>2000</v>
      </c>
      <c r="AMC48" s="139">
        <v>2000</v>
      </c>
      <c r="AMD48" s="139">
        <v>2000</v>
      </c>
      <c r="AME48" s="139"/>
      <c r="AMF48" s="139">
        <v>2000</v>
      </c>
      <c r="AMG48" s="139">
        <v>2000</v>
      </c>
      <c r="AMH48" s="139">
        <v>2000</v>
      </c>
      <c r="AMI48" s="139">
        <v>2000</v>
      </c>
      <c r="AMJ48" s="139">
        <v>2000</v>
      </c>
      <c r="AMK48" s="139">
        <v>2000</v>
      </c>
      <c r="AML48" s="139"/>
      <c r="AMM48" s="139">
        <v>2000</v>
      </c>
      <c r="AMN48" s="139">
        <v>2000</v>
      </c>
      <c r="AMO48" s="139">
        <v>2000</v>
      </c>
      <c r="AMP48" s="139">
        <v>2000</v>
      </c>
      <c r="AMQ48" s="139">
        <v>2000</v>
      </c>
      <c r="AMR48" s="139">
        <v>2000</v>
      </c>
      <c r="AMS48" s="139"/>
      <c r="AMT48" s="139"/>
      <c r="AMU48" s="139">
        <v>2000</v>
      </c>
      <c r="AMV48" s="139">
        <v>2000</v>
      </c>
      <c r="AMW48" s="139">
        <v>2000</v>
      </c>
      <c r="AMX48" s="139">
        <v>2000</v>
      </c>
      <c r="AMY48" s="124">
        <v>2000</v>
      </c>
      <c r="AMZ48" s="603"/>
      <c r="ANA48" s="603"/>
      <c r="ANB48" s="603">
        <v>350</v>
      </c>
      <c r="ANC48" s="603">
        <v>700</v>
      </c>
      <c r="AND48" s="603">
        <v>1050</v>
      </c>
      <c r="ANE48" s="603">
        <v>1350</v>
      </c>
      <c r="ANF48" s="603">
        <v>1350</v>
      </c>
      <c r="ANG48" s="603">
        <v>1350</v>
      </c>
      <c r="ANH48" s="603">
        <v>1350</v>
      </c>
      <c r="ANI48" s="603">
        <v>1350</v>
      </c>
      <c r="ANJ48" s="603">
        <v>1350</v>
      </c>
      <c r="ANK48" s="603">
        <v>1350</v>
      </c>
      <c r="ANL48" s="603">
        <v>1350</v>
      </c>
      <c r="ANM48" s="603">
        <v>1350</v>
      </c>
      <c r="ANN48" s="603"/>
      <c r="ANO48" s="603"/>
      <c r="ANP48" s="603">
        <v>1350</v>
      </c>
      <c r="ANQ48" s="604">
        <v>1350</v>
      </c>
      <c r="ANR48" s="314">
        <v>1260</v>
      </c>
      <c r="ANS48" s="314">
        <v>1260</v>
      </c>
      <c r="ANT48" s="314">
        <v>1260</v>
      </c>
      <c r="ANU48" s="314">
        <v>1260</v>
      </c>
      <c r="ANV48" s="314">
        <v>1260</v>
      </c>
      <c r="ANW48" s="314">
        <v>1260</v>
      </c>
      <c r="ANX48" s="314">
        <v>1260</v>
      </c>
      <c r="ANY48" s="314">
        <v>1260</v>
      </c>
      <c r="ANZ48" s="314">
        <v>1260</v>
      </c>
      <c r="AOA48" s="314">
        <v>1260</v>
      </c>
      <c r="AOB48" s="314">
        <v>1260</v>
      </c>
      <c r="AOC48" s="314"/>
      <c r="AOD48" s="314">
        <v>1260</v>
      </c>
      <c r="AOE48" s="603"/>
      <c r="AOF48" s="142"/>
      <c r="AOG48" s="142"/>
      <c r="AOH48" s="142"/>
      <c r="AOI48" s="142"/>
      <c r="AOJ48" s="142"/>
      <c r="AOK48" s="142"/>
      <c r="AOL48" s="142"/>
      <c r="AOM48" s="142"/>
      <c r="AON48" s="142"/>
      <c r="AOO48" s="314">
        <v>1540</v>
      </c>
      <c r="AOP48" s="314">
        <v>1540</v>
      </c>
      <c r="AOQ48" s="314">
        <v>1540</v>
      </c>
      <c r="AOR48" s="314"/>
      <c r="AOS48" s="314">
        <v>1540</v>
      </c>
      <c r="AOT48" s="314">
        <v>1540</v>
      </c>
      <c r="AOU48" s="314">
        <v>1540</v>
      </c>
      <c r="AOV48" s="314">
        <v>1540</v>
      </c>
      <c r="AOW48" s="314">
        <v>1540</v>
      </c>
      <c r="AOX48" s="314">
        <v>1540</v>
      </c>
      <c r="AOY48" s="314"/>
      <c r="AOZ48" s="314">
        <v>1540</v>
      </c>
      <c r="APA48" s="314">
        <v>1540</v>
      </c>
      <c r="APB48" s="314">
        <v>1540</v>
      </c>
      <c r="APC48" s="314">
        <v>1540</v>
      </c>
      <c r="APD48" s="314">
        <v>1540</v>
      </c>
      <c r="APE48" s="314">
        <v>1540</v>
      </c>
      <c r="APF48" s="314"/>
      <c r="APG48" s="314">
        <v>1540</v>
      </c>
      <c r="APH48" s="314">
        <v>1540</v>
      </c>
      <c r="API48" s="314">
        <v>1540</v>
      </c>
      <c r="APJ48" s="314">
        <v>1540</v>
      </c>
      <c r="APK48" s="603"/>
      <c r="APL48" s="314">
        <v>1540</v>
      </c>
      <c r="APM48" s="314">
        <v>1540</v>
      </c>
      <c r="APN48" s="314">
        <v>1040</v>
      </c>
      <c r="APO48" s="314">
        <v>1540</v>
      </c>
      <c r="APP48" s="314">
        <v>1540</v>
      </c>
      <c r="APQ48" s="314">
        <v>1540</v>
      </c>
      <c r="APR48" s="314">
        <v>1540</v>
      </c>
      <c r="APS48" s="314">
        <v>1540</v>
      </c>
      <c r="APT48" s="314">
        <v>1540</v>
      </c>
      <c r="APU48" s="314"/>
      <c r="APV48" s="314">
        <v>1540</v>
      </c>
      <c r="APW48" s="314">
        <v>1540</v>
      </c>
      <c r="APX48" s="314">
        <v>1540</v>
      </c>
      <c r="APY48" s="314">
        <v>1540</v>
      </c>
      <c r="APZ48" s="314">
        <v>1540</v>
      </c>
      <c r="AQA48" s="314">
        <v>1540</v>
      </c>
      <c r="AQB48" s="314"/>
      <c r="AQC48" s="314">
        <v>1540</v>
      </c>
      <c r="AQD48" s="314">
        <v>1540</v>
      </c>
      <c r="AQE48" s="314">
        <v>1540</v>
      </c>
      <c r="AQF48" s="314">
        <v>1540</v>
      </c>
      <c r="AQG48" s="314">
        <v>1540</v>
      </c>
      <c r="AQH48" s="314">
        <v>1540</v>
      </c>
      <c r="AQI48" s="124">
        <v>1040</v>
      </c>
      <c r="AQJ48" s="314"/>
      <c r="AQK48" s="314"/>
      <c r="AQL48" s="314"/>
      <c r="AQM48" s="314"/>
      <c r="AQN48" s="314"/>
      <c r="AQP48" s="603"/>
      <c r="AQQ48" s="314"/>
      <c r="AQR48" s="314"/>
      <c r="AQS48" s="314"/>
      <c r="AQT48" s="314"/>
      <c r="AQU48" s="314"/>
      <c r="AQV48" s="314"/>
      <c r="AQW48" s="314"/>
      <c r="AQX48" s="142"/>
      <c r="AQY48" s="142"/>
      <c r="AQZ48" s="142"/>
      <c r="ARA48" s="142"/>
      <c r="ARB48" s="142"/>
      <c r="ARC48" s="142"/>
      <c r="ARD48" s="142"/>
      <c r="ARE48" s="142"/>
      <c r="ARF48" s="142"/>
      <c r="ARG48" s="314"/>
      <c r="ARH48" s="314"/>
      <c r="ARI48" s="314"/>
      <c r="ARJ48" s="314"/>
      <c r="ARK48" s="314"/>
      <c r="ARL48" s="314"/>
      <c r="ARM48" s="314"/>
      <c r="ARN48" s="314"/>
      <c r="ARO48" s="314"/>
      <c r="ARP48" s="314"/>
      <c r="ARQ48" s="314">
        <v>600</v>
      </c>
      <c r="ARR48" s="314">
        <v>1200</v>
      </c>
      <c r="ARS48" s="314"/>
      <c r="ART48" s="314">
        <v>1900</v>
      </c>
      <c r="ARU48" s="314">
        <v>1900</v>
      </c>
      <c r="ARV48" s="603"/>
      <c r="ARW48" s="136">
        <v>1900</v>
      </c>
      <c r="ARX48" s="136">
        <v>1900</v>
      </c>
      <c r="ARY48" s="136">
        <v>1900</v>
      </c>
      <c r="ARZ48" s="136">
        <v>1900</v>
      </c>
      <c r="ASB48" s="136">
        <v>1900</v>
      </c>
      <c r="ASC48" s="136">
        <v>1900</v>
      </c>
      <c r="ASD48" s="136">
        <v>1900</v>
      </c>
      <c r="ASE48" s="124">
        <v>1900</v>
      </c>
      <c r="ASF48" s="314"/>
      <c r="ASG48" s="314"/>
      <c r="ASH48" s="314"/>
      <c r="ASI48" s="314"/>
      <c r="ASJ48" s="314"/>
      <c r="ASK48" s="314"/>
      <c r="ASL48" s="314"/>
      <c r="ASM48" s="314"/>
      <c r="ASN48" s="314"/>
      <c r="ASO48" s="314"/>
      <c r="ASP48" s="314"/>
      <c r="ASQ48" s="314"/>
      <c r="ASR48" s="314"/>
      <c r="ASS48" s="314"/>
      <c r="AST48" s="314"/>
      <c r="ASU48" s="314"/>
      <c r="ASV48" s="314"/>
      <c r="ASW48" s="314"/>
      <c r="ASX48" s="314"/>
      <c r="ASY48" s="314"/>
      <c r="ASZ48" s="314"/>
      <c r="ATA48" s="314"/>
      <c r="ATB48" s="603"/>
      <c r="ATU48" s="314"/>
      <c r="ATV48" s="314"/>
      <c r="ATW48" s="314"/>
      <c r="ATX48" s="314"/>
      <c r="ATY48" s="314"/>
      <c r="ATZ48" s="314"/>
      <c r="AUA48" s="314"/>
      <c r="AUB48" s="314"/>
      <c r="AUC48" s="314"/>
      <c r="AUD48" s="314"/>
      <c r="AUE48" s="314"/>
      <c r="AUF48" s="314"/>
      <c r="AUG48" s="603"/>
      <c r="AUH48" s="314"/>
      <c r="AUI48" s="314"/>
      <c r="AUJ48" s="314"/>
      <c r="AUK48" s="314"/>
      <c r="AUL48" s="314"/>
      <c r="AUM48" s="314"/>
      <c r="AUN48" s="314"/>
      <c r="AUO48" s="314"/>
      <c r="AUP48" s="314"/>
      <c r="AUQ48" s="314"/>
      <c r="AUR48" s="314"/>
      <c r="AUS48" s="314"/>
      <c r="AUT48" s="314"/>
      <c r="AUU48" s="314"/>
      <c r="AUV48" s="314"/>
      <c r="AUW48" s="314"/>
      <c r="AUX48" s="314"/>
      <c r="AUY48" s="314"/>
      <c r="AUZ48" s="314"/>
      <c r="AVA48" s="314"/>
      <c r="AVB48" s="314"/>
      <c r="AVC48" s="314"/>
      <c r="AVD48" s="314"/>
      <c r="AVE48" s="314"/>
      <c r="AVF48" s="314"/>
      <c r="AVG48" s="314"/>
      <c r="AVH48" s="314"/>
      <c r="AVI48" s="314"/>
      <c r="AVJ48" s="314"/>
      <c r="AVK48" s="314"/>
      <c r="AVL48" s="314"/>
      <c r="AVM48" s="603"/>
      <c r="AVN48" s="314">
        <v>1550</v>
      </c>
      <c r="AVO48" s="314">
        <v>1550</v>
      </c>
      <c r="AVP48" s="314">
        <v>1550</v>
      </c>
      <c r="AVQ48" s="314"/>
      <c r="AVR48" s="314">
        <v>1550</v>
      </c>
      <c r="AVS48" s="314">
        <v>1550</v>
      </c>
      <c r="AVT48" s="314">
        <v>1550</v>
      </c>
      <c r="AVU48" s="314">
        <v>1550</v>
      </c>
      <c r="AVV48" s="314">
        <v>1550</v>
      </c>
      <c r="AVW48" s="314">
        <v>1550</v>
      </c>
      <c r="AVX48" s="314"/>
      <c r="AVY48" s="314">
        <v>1550</v>
      </c>
      <c r="AVZ48" s="314">
        <v>1550</v>
      </c>
      <c r="AWA48" s="314">
        <v>1550</v>
      </c>
      <c r="AWB48" s="124">
        <v>1550</v>
      </c>
      <c r="AWR48" s="603"/>
      <c r="AXX48" s="603"/>
    </row>
    <row r="49" spans="1:1324" s="164" customFormat="1" ht="22.8" customHeight="1" x14ac:dyDescent="0.3">
      <c r="A49" s="711"/>
      <c r="B49" s="8" t="s">
        <v>14</v>
      </c>
      <c r="C49" s="153" t="s">
        <v>81</v>
      </c>
      <c r="D49" s="155" t="s">
        <v>82</v>
      </c>
      <c r="E49" s="156"/>
      <c r="F49" s="154"/>
      <c r="G49" s="155" t="s">
        <v>50</v>
      </c>
      <c r="H49" s="156"/>
      <c r="I49" s="154"/>
      <c r="J49" s="154"/>
      <c r="K49" s="154"/>
      <c r="L49" s="155" t="s">
        <v>51</v>
      </c>
      <c r="M49" s="156"/>
      <c r="N49" s="154"/>
      <c r="O49" s="154"/>
      <c r="P49" s="154"/>
      <c r="Q49" s="154"/>
      <c r="R49" s="155" t="s">
        <v>57</v>
      </c>
      <c r="S49" s="156"/>
      <c r="T49" s="154"/>
      <c r="U49" s="154"/>
      <c r="V49" s="161" t="s">
        <v>93</v>
      </c>
      <c r="W49" s="174"/>
      <c r="X49" s="160"/>
      <c r="Y49" s="160"/>
      <c r="AC49" s="158"/>
      <c r="AD49" s="158"/>
      <c r="AE49" s="158"/>
      <c r="AF49" s="158"/>
      <c r="AG49" s="158"/>
      <c r="AH49" s="28" t="s">
        <v>14</v>
      </c>
      <c r="AI49" s="155" t="s">
        <v>78</v>
      </c>
      <c r="AJ49" s="156"/>
      <c r="AK49" s="158"/>
      <c r="AL49" s="158"/>
      <c r="AM49" s="158"/>
      <c r="AN49" s="158"/>
      <c r="AO49" s="158"/>
      <c r="AP49" s="158"/>
      <c r="AQ49" s="731"/>
      <c r="AR49" s="732"/>
      <c r="AS49" s="732"/>
      <c r="AT49" s="732"/>
      <c r="AU49" s="732"/>
      <c r="AV49" s="732"/>
      <c r="AW49" s="732"/>
      <c r="AX49" s="732"/>
      <c r="AY49" s="732"/>
      <c r="AZ49" s="733"/>
      <c r="BA49" s="157" t="s">
        <v>78</v>
      </c>
      <c r="BB49" s="158"/>
      <c r="BC49" s="158"/>
      <c r="BD49" s="158"/>
      <c r="BE49" s="158"/>
      <c r="BF49" s="158"/>
      <c r="BG49" s="158"/>
      <c r="BH49" s="155" t="s">
        <v>110</v>
      </c>
      <c r="BI49" s="156"/>
      <c r="BJ49" s="154"/>
      <c r="BK49" s="154"/>
      <c r="BL49" s="154"/>
      <c r="BM49" s="154"/>
      <c r="BN49" s="8" t="s">
        <v>14</v>
      </c>
      <c r="BO49" s="155" t="s">
        <v>134</v>
      </c>
      <c r="BP49" s="155" t="s">
        <v>110</v>
      </c>
      <c r="BQ49" s="156"/>
      <c r="BR49" s="155" t="s">
        <v>133</v>
      </c>
      <c r="BS49" s="159"/>
      <c r="BT49" s="162"/>
      <c r="BU49" s="155" t="s">
        <v>127</v>
      </c>
      <c r="BV49" s="159"/>
      <c r="BW49" s="162"/>
      <c r="BX49" s="155" t="s">
        <v>128</v>
      </c>
      <c r="BY49" s="159"/>
      <c r="BZ49" s="155" t="s">
        <v>122</v>
      </c>
      <c r="CA49" s="156"/>
      <c r="CB49" s="154"/>
      <c r="CC49" s="154"/>
      <c r="CD49" s="155" t="s">
        <v>131</v>
      </c>
      <c r="CE49" s="159"/>
      <c r="CF49" s="162"/>
      <c r="CG49" s="155" t="s">
        <v>194</v>
      </c>
      <c r="CH49" s="156"/>
      <c r="CI49" s="158"/>
      <c r="CJ49" s="158"/>
      <c r="CK49" s="158"/>
      <c r="CL49" s="158"/>
      <c r="CM49" s="158"/>
      <c r="CN49" s="158"/>
      <c r="CO49" s="158"/>
      <c r="CP49" s="155" t="s">
        <v>242</v>
      </c>
      <c r="CQ49" s="156"/>
      <c r="CR49" s="162"/>
      <c r="CS49" s="8" t="s">
        <v>14</v>
      </c>
      <c r="CT49" s="155" t="s">
        <v>129</v>
      </c>
      <c r="CU49" s="154"/>
      <c r="CV49" s="154"/>
      <c r="CW49" s="155" t="s">
        <v>209</v>
      </c>
      <c r="CX49" s="159"/>
      <c r="CY49" s="162"/>
      <c r="CZ49" s="162"/>
      <c r="DA49" s="162"/>
      <c r="DB49" s="162"/>
      <c r="DC49" s="162"/>
      <c r="DD49" s="162"/>
      <c r="DE49" s="162"/>
      <c r="DF49" s="162"/>
      <c r="DG49" s="162"/>
      <c r="DH49" s="162"/>
      <c r="DI49" s="162"/>
      <c r="DJ49" s="162"/>
      <c r="DK49" s="162"/>
      <c r="DL49" s="162"/>
      <c r="DM49" s="162"/>
      <c r="DN49" s="162"/>
      <c r="DO49" s="162"/>
      <c r="DP49" s="162"/>
      <c r="DQ49" s="162"/>
      <c r="DR49" s="162"/>
      <c r="DS49" s="155" t="s">
        <v>211</v>
      </c>
      <c r="DT49" s="159"/>
      <c r="DU49" s="162"/>
      <c r="DV49" s="162"/>
      <c r="DW49" s="162"/>
      <c r="DX49" s="162"/>
      <c r="DY49" s="8" t="s">
        <v>14</v>
      </c>
      <c r="DZ49" s="153" t="s">
        <v>211</v>
      </c>
      <c r="EA49" s="153"/>
      <c r="EB49" s="162"/>
      <c r="EC49" s="162"/>
      <c r="ED49" s="155" t="s">
        <v>205</v>
      </c>
      <c r="EE49" s="159"/>
      <c r="EF49" s="162"/>
      <c r="EG49" s="162"/>
      <c r="EH49" s="162"/>
      <c r="EI49" s="162"/>
      <c r="EJ49" s="155" t="s">
        <v>262</v>
      </c>
      <c r="EK49" s="159"/>
      <c r="EL49" s="162"/>
      <c r="EM49" s="155" t="s">
        <v>206</v>
      </c>
      <c r="EN49" s="159"/>
      <c r="EO49" s="153"/>
      <c r="EP49" s="153"/>
      <c r="EQ49" s="162"/>
      <c r="ER49" s="162"/>
      <c r="ES49" s="155" t="s">
        <v>212</v>
      </c>
      <c r="ET49" s="156"/>
      <c r="EU49" s="153"/>
      <c r="EV49" s="153"/>
      <c r="EW49" s="153"/>
      <c r="EX49" s="153"/>
      <c r="EY49" s="153"/>
      <c r="EZ49" s="153"/>
      <c r="FA49" s="153"/>
      <c r="FB49" s="155" t="s">
        <v>213</v>
      </c>
      <c r="FC49" s="159"/>
      <c r="FD49" s="8" t="s">
        <v>14</v>
      </c>
      <c r="FE49" s="155" t="s">
        <v>208</v>
      </c>
      <c r="FF49" s="159"/>
      <c r="FG49" s="162"/>
      <c r="FH49" s="162"/>
      <c r="FI49" s="155" t="s">
        <v>207</v>
      </c>
      <c r="FJ49" s="159"/>
      <c r="FK49" s="155" t="s">
        <v>300</v>
      </c>
      <c r="FL49" s="159"/>
      <c r="FM49" s="162"/>
      <c r="FN49" s="162"/>
      <c r="FO49" s="162"/>
      <c r="FP49" s="162"/>
      <c r="FQ49" s="162"/>
      <c r="FR49" s="162"/>
      <c r="FS49" s="162"/>
      <c r="FT49" s="162"/>
      <c r="FU49" s="155" t="s">
        <v>414</v>
      </c>
      <c r="FV49" s="159"/>
      <c r="FW49" s="162"/>
      <c r="FX49" s="162"/>
      <c r="FY49" s="162"/>
      <c r="FZ49" s="155" t="s">
        <v>412</v>
      </c>
      <c r="GA49" s="159"/>
      <c r="GB49" s="162"/>
      <c r="GC49" s="162"/>
      <c r="GD49" s="162"/>
      <c r="GE49" s="162"/>
      <c r="GF49" s="162"/>
      <c r="GG49" s="162"/>
      <c r="GH49" s="155" t="s">
        <v>413</v>
      </c>
      <c r="GI49" s="159"/>
      <c r="GJ49" s="8" t="s">
        <v>14</v>
      </c>
      <c r="GK49" s="153" t="s">
        <v>413</v>
      </c>
      <c r="GL49" s="162"/>
      <c r="GM49" s="162"/>
      <c r="GN49" s="155" t="s">
        <v>411</v>
      </c>
      <c r="GO49" s="159"/>
      <c r="GP49" s="162"/>
      <c r="GQ49" s="162"/>
      <c r="GR49" s="162"/>
      <c r="GS49" s="162"/>
      <c r="GT49" s="155" t="s">
        <v>415</v>
      </c>
      <c r="GU49" s="159"/>
      <c r="GV49" s="162"/>
      <c r="GW49" s="155" t="s">
        <v>455</v>
      </c>
      <c r="GX49" s="159"/>
      <c r="GY49" s="162"/>
      <c r="GZ49" s="155" t="s">
        <v>456</v>
      </c>
      <c r="HA49" s="159"/>
      <c r="HB49" s="162"/>
      <c r="HC49" s="162"/>
      <c r="HD49" s="162"/>
      <c r="HE49" s="162"/>
      <c r="HF49" s="162"/>
      <c r="HG49" s="162"/>
      <c r="HH49" s="155" t="s">
        <v>455</v>
      </c>
      <c r="HI49" s="159"/>
      <c r="HJ49" s="155" t="s">
        <v>452</v>
      </c>
      <c r="HK49" s="159"/>
      <c r="HL49" s="155" t="s">
        <v>453</v>
      </c>
      <c r="HM49" s="159"/>
      <c r="HN49" s="153"/>
      <c r="HO49" s="153"/>
      <c r="HP49" s="8" t="s">
        <v>14</v>
      </c>
      <c r="HQ49" s="155" t="s">
        <v>453</v>
      </c>
      <c r="HR49" s="159"/>
      <c r="HS49" s="162"/>
      <c r="HT49" s="162"/>
      <c r="HU49" s="155" t="s">
        <v>454</v>
      </c>
      <c r="HV49" s="159"/>
      <c r="HW49" s="154"/>
      <c r="HX49" s="154"/>
      <c r="HY49" s="155" t="s">
        <v>451</v>
      </c>
      <c r="HZ49" s="159"/>
      <c r="IA49" s="155" t="s">
        <v>455</v>
      </c>
      <c r="IB49" s="159"/>
      <c r="IC49" s="162"/>
      <c r="ID49" s="155" t="s">
        <v>457</v>
      </c>
      <c r="IE49" s="159"/>
      <c r="IF49" s="153"/>
      <c r="IG49" s="126" t="s">
        <v>388</v>
      </c>
      <c r="IH49" s="159"/>
      <c r="II49" s="171"/>
      <c r="IJ49" s="171"/>
      <c r="IK49" s="171"/>
      <c r="IL49" s="171"/>
      <c r="IM49" s="126" t="s">
        <v>392</v>
      </c>
      <c r="IN49" s="159"/>
      <c r="IO49" s="171"/>
      <c r="IP49" s="171"/>
      <c r="IQ49" s="171"/>
      <c r="IR49" s="155" t="s">
        <v>489</v>
      </c>
      <c r="IS49" s="127"/>
      <c r="IT49" s="208" t="s">
        <v>14</v>
      </c>
      <c r="IU49" s="153" t="s">
        <v>489</v>
      </c>
      <c r="IV49" s="207"/>
      <c r="IW49" s="207"/>
      <c r="IX49" s="207"/>
      <c r="IY49" s="207"/>
      <c r="IZ49" s="207"/>
      <c r="JA49" s="207"/>
      <c r="JB49" s="207"/>
      <c r="JC49" s="207"/>
      <c r="JD49" s="207"/>
      <c r="JE49" s="155" t="s">
        <v>497</v>
      </c>
      <c r="JF49" s="127"/>
      <c r="JG49" s="163"/>
      <c r="JH49" s="207"/>
      <c r="JI49" s="155" t="s">
        <v>496</v>
      </c>
      <c r="JJ49" s="127"/>
      <c r="JK49" s="207"/>
      <c r="JL49" s="207"/>
      <c r="JM49" s="207"/>
      <c r="JN49" s="207"/>
      <c r="JO49" s="207"/>
      <c r="JP49" s="155" t="s">
        <v>490</v>
      </c>
      <c r="JQ49" s="155"/>
      <c r="JR49" s="163"/>
      <c r="JS49" s="163"/>
      <c r="JT49" s="163"/>
      <c r="JU49" s="163"/>
      <c r="JV49" s="278"/>
      <c r="JW49" s="173"/>
      <c r="JX49" s="173"/>
      <c r="JY49" s="173"/>
      <c r="JZ49" s="12" t="s">
        <v>14</v>
      </c>
      <c r="KA49" s="173"/>
      <c r="KB49" s="173"/>
      <c r="KC49" s="173"/>
      <c r="KD49" s="173"/>
      <c r="KE49" s="173"/>
      <c r="KF49" s="173"/>
      <c r="KG49" s="173"/>
      <c r="KH49" s="173"/>
      <c r="KI49" s="173"/>
      <c r="KJ49" s="173"/>
      <c r="KK49" s="173"/>
      <c r="KL49" s="173"/>
      <c r="KM49" s="173"/>
      <c r="KN49" s="173"/>
      <c r="KO49" s="173"/>
      <c r="KP49" s="173"/>
      <c r="KQ49" s="173"/>
      <c r="KR49" s="173"/>
      <c r="KS49" s="173"/>
      <c r="KT49" s="173"/>
      <c r="KU49" s="173"/>
      <c r="KV49" s="173"/>
      <c r="KW49" s="173"/>
      <c r="KX49" s="173"/>
      <c r="KY49" s="280"/>
      <c r="KZ49" s="167"/>
      <c r="LA49" s="167"/>
      <c r="LB49" s="167">
        <f>45000*1.05</f>
        <v>47250</v>
      </c>
      <c r="LC49" s="167"/>
      <c r="LD49" s="167"/>
      <c r="LE49" s="8" t="s">
        <v>14</v>
      </c>
      <c r="LH49" s="155" t="s">
        <v>738</v>
      </c>
      <c r="LI49" s="155"/>
      <c r="LJ49" s="153"/>
      <c r="LK49" s="153"/>
      <c r="LL49" s="153"/>
      <c r="LM49" s="153"/>
      <c r="LN49" s="153"/>
      <c r="LO49" s="153"/>
      <c r="LP49" s="153"/>
      <c r="LQ49" s="153"/>
      <c r="LR49" s="153"/>
      <c r="LS49" s="153"/>
      <c r="LT49" s="153"/>
      <c r="LU49" s="153"/>
      <c r="LV49" s="155" t="s">
        <v>711</v>
      </c>
      <c r="LW49" s="155"/>
      <c r="LX49" s="153"/>
      <c r="LY49" s="155" t="s">
        <v>710</v>
      </c>
      <c r="LZ49" s="155"/>
      <c r="MA49" s="153"/>
      <c r="MB49" s="716"/>
      <c r="MC49" s="717"/>
      <c r="MD49" s="717"/>
      <c r="ME49" s="718"/>
      <c r="MF49" s="153" t="s">
        <v>710</v>
      </c>
      <c r="MG49" s="126" t="s">
        <v>807</v>
      </c>
      <c r="MH49" s="126"/>
      <c r="MI49" s="126" t="s">
        <v>896</v>
      </c>
      <c r="MJ49" s="126"/>
      <c r="MK49" s="287" t="s">
        <v>14</v>
      </c>
      <c r="ML49" s="123" t="s">
        <v>897</v>
      </c>
      <c r="MM49" s="122"/>
      <c r="MN49" s="122"/>
      <c r="MO49" s="122"/>
      <c r="MP49" s="122"/>
      <c r="MQ49" s="122"/>
      <c r="MR49" s="311"/>
      <c r="MS49" s="345" t="s">
        <v>819</v>
      </c>
      <c r="MT49" s="345"/>
      <c r="MU49" s="122"/>
      <c r="MV49" s="122"/>
      <c r="MW49" s="122"/>
      <c r="MX49" s="311"/>
      <c r="MY49" s="311"/>
      <c r="MZ49" s="311"/>
      <c r="NA49" s="311"/>
      <c r="NB49" s="345" t="s">
        <v>896</v>
      </c>
      <c r="NC49" s="345"/>
      <c r="ND49" s="122"/>
      <c r="NE49" s="311"/>
      <c r="NF49" s="311"/>
      <c r="NG49" s="122"/>
      <c r="NH49" s="122"/>
      <c r="NI49" s="311"/>
      <c r="NJ49" s="313" t="s">
        <v>819</v>
      </c>
      <c r="NK49" s="313"/>
      <c r="NL49" s="311"/>
      <c r="NM49" s="179" t="s">
        <v>772</v>
      </c>
      <c r="NN49" s="339"/>
      <c r="NO49" s="171"/>
      <c r="NP49" s="8" t="s">
        <v>14</v>
      </c>
      <c r="NQ49" s="180" t="s">
        <v>785</v>
      </c>
      <c r="NR49" s="171"/>
      <c r="NS49" s="171"/>
      <c r="NT49" s="179" t="s">
        <v>906</v>
      </c>
      <c r="NU49" s="179"/>
      <c r="NV49" s="171"/>
      <c r="NW49" s="179" t="s">
        <v>954</v>
      </c>
      <c r="NX49" s="156"/>
      <c r="NY49" s="171"/>
      <c r="NZ49" s="180"/>
      <c r="OA49" s="345" t="s">
        <v>911</v>
      </c>
      <c r="OB49" s="345"/>
      <c r="OC49" s="352"/>
      <c r="OD49" s="352"/>
      <c r="OE49" s="352"/>
      <c r="OF49" s="352"/>
      <c r="OG49" s="352"/>
      <c r="OH49" s="352"/>
      <c r="OI49" s="352"/>
      <c r="OJ49" s="352"/>
      <c r="OK49" s="352"/>
      <c r="OL49" s="352"/>
      <c r="OM49" s="352"/>
      <c r="ON49" s="352"/>
      <c r="OO49" s="352"/>
      <c r="OP49" s="317" t="s">
        <v>1066</v>
      </c>
      <c r="OQ49" s="318"/>
      <c r="OR49" s="319"/>
      <c r="OS49" s="319"/>
      <c r="OT49" s="724"/>
      <c r="OU49" s="725"/>
      <c r="OV49" s="303" t="s">
        <v>14</v>
      </c>
      <c r="OW49" s="740"/>
      <c r="OX49" s="741"/>
      <c r="OY49" s="741"/>
      <c r="OZ49" s="741"/>
      <c r="PA49" s="741"/>
      <c r="PB49" s="741"/>
      <c r="PC49" s="742"/>
      <c r="PD49" s="319" t="s">
        <v>1066</v>
      </c>
      <c r="PE49" s="319"/>
      <c r="PF49" s="319"/>
      <c r="PG49" s="319"/>
      <c r="PH49" s="319"/>
      <c r="PI49" s="319"/>
      <c r="PJ49" s="319"/>
      <c r="PK49" s="319"/>
      <c r="PL49" s="319"/>
      <c r="PM49" s="179" t="s">
        <v>1019</v>
      </c>
      <c r="PN49" s="204"/>
      <c r="PO49" s="171"/>
      <c r="PP49" s="171"/>
      <c r="PQ49" s="171"/>
      <c r="PR49" s="345" t="s">
        <v>1013</v>
      </c>
      <c r="PS49" s="345"/>
      <c r="PT49" s="324"/>
      <c r="PU49" s="324"/>
      <c r="PV49" s="324"/>
      <c r="PW49" s="324"/>
      <c r="PX49" s="345" t="s">
        <v>1014</v>
      </c>
      <c r="PY49" s="345"/>
      <c r="PZ49" s="323"/>
      <c r="QA49" s="323"/>
      <c r="QB49" s="12" t="s">
        <v>14</v>
      </c>
      <c r="QC49" s="323" t="s">
        <v>1014</v>
      </c>
      <c r="QD49" s="323"/>
      <c r="QE49" s="323"/>
      <c r="QF49" s="323"/>
      <c r="QG49" s="361" t="s">
        <v>1270</v>
      </c>
      <c r="QH49" s="318"/>
      <c r="QI49" s="319"/>
      <c r="QJ49" s="319"/>
      <c r="QK49" s="319"/>
      <c r="QL49" s="319"/>
      <c r="QM49" s="319"/>
      <c r="QN49" s="319"/>
      <c r="QO49" s="319"/>
      <c r="QP49" s="319"/>
      <c r="QQ49" s="319"/>
      <c r="QR49" s="319"/>
      <c r="QS49" s="319"/>
      <c r="QT49" s="319"/>
      <c r="QU49" s="319"/>
      <c r="QV49" s="319"/>
      <c r="QW49" s="319"/>
      <c r="QX49" s="319"/>
      <c r="QY49" s="376" t="s">
        <v>1159</v>
      </c>
      <c r="QZ49" s="361" t="s">
        <v>1018</v>
      </c>
      <c r="RA49" s="155" t="s">
        <v>1083</v>
      </c>
      <c r="RB49" s="155"/>
      <c r="RC49" s="316"/>
      <c r="RD49" s="316"/>
      <c r="RE49" s="155" t="s">
        <v>1082</v>
      </c>
      <c r="RF49" s="155"/>
      <c r="RG49" s="208" t="s">
        <v>14</v>
      </c>
      <c r="RH49" s="316" t="s">
        <v>1082</v>
      </c>
      <c r="RI49" s="316"/>
      <c r="RJ49" s="316"/>
      <c r="RK49" s="316"/>
      <c r="RL49" s="316"/>
      <c r="RM49" s="361" t="s">
        <v>1288</v>
      </c>
      <c r="RN49" s="361"/>
      <c r="RO49" s="361" t="s">
        <v>1289</v>
      </c>
      <c r="RP49" s="361"/>
      <c r="RQ49" s="316"/>
      <c r="RR49" s="316"/>
      <c r="RS49" s="361" t="s">
        <v>1402</v>
      </c>
      <c r="RT49" s="361"/>
      <c r="RU49" s="316"/>
      <c r="RV49" s="316"/>
      <c r="RW49" s="361" t="s">
        <v>1458</v>
      </c>
      <c r="RX49" s="361"/>
      <c r="RY49" s="316"/>
      <c r="RZ49" s="361" t="s">
        <v>1452</v>
      </c>
      <c r="SA49" s="361" t="s">
        <v>1406</v>
      </c>
      <c r="SB49" s="361"/>
      <c r="SC49" s="316"/>
      <c r="SD49" s="361" t="s">
        <v>1407</v>
      </c>
      <c r="SE49" s="361"/>
      <c r="SF49" s="361" t="s">
        <v>1431</v>
      </c>
      <c r="SG49" s="361" t="s">
        <v>1430</v>
      </c>
      <c r="SH49" s="361"/>
      <c r="SI49" s="316"/>
      <c r="SJ49" s="316"/>
      <c r="SK49" s="361" t="s">
        <v>1453</v>
      </c>
      <c r="SL49" s="361" t="s">
        <v>1451</v>
      </c>
      <c r="SM49" s="8" t="s">
        <v>14</v>
      </c>
      <c r="SN49" s="316" t="s">
        <v>1451</v>
      </c>
      <c r="SO49" s="361" t="s">
        <v>1456</v>
      </c>
      <c r="SP49" s="361"/>
      <c r="SQ49" s="361" t="s">
        <v>1429</v>
      </c>
      <c r="SR49" s="361"/>
      <c r="SS49" s="376" t="s">
        <v>1126</v>
      </c>
      <c r="ST49" s="376"/>
      <c r="SU49" s="210" t="s">
        <v>1413</v>
      </c>
      <c r="SV49" s="210"/>
      <c r="SW49" s="180" t="s">
        <v>1413</v>
      </c>
      <c r="SX49" s="180"/>
      <c r="SY49" s="210" t="s">
        <v>1480</v>
      </c>
      <c r="SZ49" s="210"/>
      <c r="TA49" s="210" t="s">
        <v>1477</v>
      </c>
      <c r="TB49" s="210"/>
      <c r="TC49" s="180"/>
      <c r="TD49" s="180"/>
      <c r="TE49" s="210" t="s">
        <v>1466</v>
      </c>
      <c r="TF49" s="210"/>
      <c r="TG49" s="180"/>
      <c r="TH49" s="361" t="s">
        <v>1412</v>
      </c>
      <c r="TI49" s="361"/>
      <c r="TJ49" s="210" t="s">
        <v>1478</v>
      </c>
      <c r="TK49" s="210"/>
      <c r="TL49" s="180"/>
      <c r="TM49" s="210" t="s">
        <v>1682</v>
      </c>
      <c r="TN49" s="210"/>
      <c r="TO49" s="180"/>
      <c r="TP49" s="180"/>
      <c r="TQ49" s="180"/>
      <c r="TR49" s="8" t="s">
        <v>14</v>
      </c>
      <c r="TS49" s="210" t="s">
        <v>1683</v>
      </c>
      <c r="TT49" s="210"/>
      <c r="TU49" s="180"/>
      <c r="TV49" s="180"/>
      <c r="TW49" s="210" t="s">
        <v>1635</v>
      </c>
      <c r="TX49" s="210"/>
      <c r="TY49" s="180"/>
      <c r="TZ49" s="180"/>
      <c r="UA49" s="180"/>
      <c r="UB49" s="180"/>
      <c r="UC49" s="210" t="s">
        <v>1633</v>
      </c>
      <c r="UD49" s="210"/>
      <c r="UE49" s="180"/>
      <c r="UF49" s="210" t="s">
        <v>1634</v>
      </c>
      <c r="UG49" s="210"/>
      <c r="UH49" s="180"/>
      <c r="UI49" s="180"/>
      <c r="UJ49" s="180"/>
      <c r="UK49" s="180"/>
      <c r="UL49" s="180"/>
      <c r="UM49" s="210" t="s">
        <v>1633</v>
      </c>
      <c r="UN49" s="210"/>
      <c r="UO49" s="180"/>
      <c r="UP49" s="210" t="s">
        <v>1636</v>
      </c>
      <c r="UQ49" s="210"/>
      <c r="UR49" s="180"/>
      <c r="US49" s="180"/>
      <c r="UT49" s="361" t="s">
        <v>1455</v>
      </c>
      <c r="UU49" s="361"/>
      <c r="UV49" s="376" t="s">
        <v>1457</v>
      </c>
      <c r="UW49" s="376"/>
      <c r="UX49" s="8" t="s">
        <v>14</v>
      </c>
      <c r="UY49" s="376" t="s">
        <v>1459</v>
      </c>
      <c r="UZ49" s="376"/>
      <c r="VA49" s="376" t="s">
        <v>1369</v>
      </c>
      <c r="VB49" s="376"/>
      <c r="VC49" s="376" t="s">
        <v>1454</v>
      </c>
      <c r="VD49" s="376"/>
      <c r="VE49" s="316"/>
      <c r="VF49" s="361" t="s">
        <v>1584</v>
      </c>
      <c r="VG49" s="361"/>
      <c r="VH49" s="316"/>
      <c r="VI49" s="316"/>
      <c r="VJ49" s="361" t="s">
        <v>1586</v>
      </c>
      <c r="VK49" s="361"/>
      <c r="VL49" s="316"/>
      <c r="VM49" s="361" t="s">
        <v>1583</v>
      </c>
      <c r="VN49" s="361" t="s">
        <v>1585</v>
      </c>
      <c r="VO49" s="361"/>
      <c r="VP49" s="316"/>
      <c r="VQ49" s="361" t="s">
        <v>1749</v>
      </c>
      <c r="VR49" s="318"/>
      <c r="VS49" s="319"/>
      <c r="VT49" s="319"/>
      <c r="VU49" s="319"/>
      <c r="VV49" s="319"/>
      <c r="VW49" s="319"/>
      <c r="VX49" s="319"/>
      <c r="VY49" s="319"/>
      <c r="VZ49" s="319"/>
      <c r="WA49" s="319"/>
      <c r="WB49" s="319"/>
      <c r="WC49" s="319"/>
      <c r="WD49" s="8" t="s">
        <v>14</v>
      </c>
      <c r="WE49" s="319" t="s">
        <v>1749</v>
      </c>
      <c r="WF49" s="319"/>
      <c r="WG49" s="319"/>
      <c r="WH49" s="319"/>
      <c r="WI49" s="319"/>
      <c r="WJ49" s="210" t="s">
        <v>1890</v>
      </c>
      <c r="WK49" s="210"/>
      <c r="WL49" s="180"/>
      <c r="WM49" s="210" t="s">
        <v>1812</v>
      </c>
      <c r="WN49" s="210"/>
      <c r="WO49" s="180"/>
      <c r="WP49" s="180"/>
      <c r="WQ49" s="210" t="s">
        <v>1890</v>
      </c>
      <c r="WR49" s="210"/>
      <c r="WS49" s="361" t="s">
        <v>1891</v>
      </c>
      <c r="WT49" s="318"/>
      <c r="WU49" s="319"/>
      <c r="WV49" s="319"/>
      <c r="WW49" s="319"/>
      <c r="WX49" s="319"/>
      <c r="WY49" s="319"/>
      <c r="WZ49" s="319"/>
      <c r="XA49" s="319"/>
      <c r="XB49" s="319"/>
      <c r="XC49" s="319"/>
      <c r="XD49" s="319"/>
      <c r="XE49" s="319"/>
      <c r="XF49" s="319"/>
      <c r="XG49" s="8" t="s">
        <v>14</v>
      </c>
      <c r="XH49" s="345" t="s">
        <v>1898</v>
      </c>
      <c r="XI49" s="345"/>
      <c r="XJ49" s="352"/>
      <c r="XK49" s="352"/>
      <c r="XL49" s="311"/>
      <c r="XM49" s="311"/>
      <c r="XN49" s="311"/>
      <c r="XO49" s="311"/>
      <c r="XP49" s="311"/>
      <c r="XQ49" s="311"/>
      <c r="XR49" s="311"/>
      <c r="XS49" s="311"/>
      <c r="XT49" s="311"/>
      <c r="XU49" s="551" t="s">
        <v>2055</v>
      </c>
      <c r="XV49" s="551"/>
      <c r="XW49" s="525"/>
      <c r="XX49" s="311"/>
      <c r="XY49" s="311"/>
      <c r="XZ49" s="311"/>
      <c r="YA49" s="311"/>
      <c r="YB49" s="311"/>
      <c r="YC49" s="345" t="s">
        <v>1976</v>
      </c>
      <c r="YD49" s="345"/>
      <c r="YE49" s="311"/>
      <c r="YF49" s="311"/>
      <c r="YG49" s="311"/>
      <c r="YH49" s="311"/>
      <c r="YI49" s="523" t="s">
        <v>2070</v>
      </c>
      <c r="YJ49" s="523"/>
      <c r="YK49" s="311"/>
      <c r="YL49" s="311"/>
      <c r="YM49" s="8" t="s">
        <v>14</v>
      </c>
      <c r="YN49" s="352" t="s">
        <v>2070</v>
      </c>
      <c r="YO49" s="352"/>
      <c r="YP49" s="210" t="s">
        <v>2052</v>
      </c>
      <c r="YQ49" s="210"/>
      <c r="YR49" s="210" t="s">
        <v>2051</v>
      </c>
      <c r="YS49" s="210"/>
      <c r="YT49" s="210" t="s">
        <v>2050</v>
      </c>
      <c r="YU49" s="210"/>
      <c r="YV49" s="545" t="s">
        <v>2097</v>
      </c>
      <c r="YW49" s="545"/>
      <c r="YX49" s="547"/>
      <c r="YY49" s="545" t="s">
        <v>2127</v>
      </c>
      <c r="YZ49" s="545"/>
      <c r="ZA49" s="547"/>
      <c r="ZB49" s="547"/>
      <c r="ZC49" s="210" t="s">
        <v>2132</v>
      </c>
      <c r="ZD49" s="210"/>
      <c r="ZE49" s="180"/>
      <c r="ZF49" s="210" t="s">
        <v>2096</v>
      </c>
      <c r="ZG49" s="545"/>
      <c r="ZH49" s="180"/>
      <c r="ZI49" s="180"/>
      <c r="ZJ49" s="210" t="s">
        <v>2130</v>
      </c>
      <c r="ZK49" s="210"/>
      <c r="ZL49" s="180"/>
      <c r="ZM49" s="545" t="s">
        <v>2098</v>
      </c>
      <c r="ZN49" s="545"/>
      <c r="ZO49" s="180"/>
      <c r="ZP49" s="180"/>
      <c r="ZQ49" s="180"/>
      <c r="ZR49" s="8" t="s">
        <v>14</v>
      </c>
      <c r="ZS49" s="545" t="s">
        <v>2108</v>
      </c>
      <c r="ZT49" s="545"/>
      <c r="ZU49" s="545" t="s">
        <v>2128</v>
      </c>
      <c r="ZV49" s="545"/>
      <c r="ZW49" s="180"/>
      <c r="ZX49" s="180"/>
      <c r="ZY49" s="210" t="s">
        <v>2105</v>
      </c>
      <c r="ZZ49" s="210"/>
      <c r="AAA49" s="180"/>
      <c r="AAB49" s="210" t="s">
        <v>2208</v>
      </c>
      <c r="AAC49" s="210"/>
      <c r="AAD49" s="519" t="s">
        <v>2148</v>
      </c>
      <c r="AAE49" s="777"/>
      <c r="AAF49" s="705"/>
      <c r="AAG49" s="705"/>
      <c r="AAH49" s="705"/>
      <c r="AAI49" s="778"/>
      <c r="AAJ49" s="519" t="s">
        <v>2148</v>
      </c>
      <c r="AAK49" s="545" t="s">
        <v>2106</v>
      </c>
      <c r="AAL49" s="545"/>
      <c r="AAM49" s="547"/>
      <c r="AAN49" s="545" t="s">
        <v>2107</v>
      </c>
      <c r="AAO49" s="545"/>
      <c r="AAP49" s="545" t="s">
        <v>2145</v>
      </c>
      <c r="AAQ49" s="545"/>
      <c r="AAR49" s="545" t="s">
        <v>2224</v>
      </c>
      <c r="AAS49" s="210"/>
      <c r="AAT49" s="180"/>
      <c r="AAU49" s="180"/>
      <c r="AAV49" s="180"/>
      <c r="AAW49" s="210" t="s">
        <v>2294</v>
      </c>
      <c r="AAX49" s="208" t="s">
        <v>14</v>
      </c>
      <c r="AAY49" s="210" t="s">
        <v>2139</v>
      </c>
      <c r="AAZ49" s="210"/>
      <c r="ABA49" s="180"/>
      <c r="ABB49" s="210" t="s">
        <v>2261</v>
      </c>
      <c r="ABC49" s="210"/>
      <c r="ABD49" s="210" t="s">
        <v>2260</v>
      </c>
      <c r="ABE49" s="545" t="s">
        <v>2149</v>
      </c>
      <c r="ABF49" s="210" t="s">
        <v>2141</v>
      </c>
      <c r="ABG49" s="210"/>
      <c r="ABH49" s="180"/>
      <c r="ABI49" s="519" t="s">
        <v>2142</v>
      </c>
      <c r="ABJ49" s="210"/>
      <c r="ABK49" s="210" t="s">
        <v>2304</v>
      </c>
      <c r="ABL49" s="210"/>
      <c r="ABM49" s="210" t="s">
        <v>2298</v>
      </c>
      <c r="ABN49" s="210"/>
      <c r="ABO49" s="345" t="s">
        <v>2240</v>
      </c>
      <c r="ABP49" s="345"/>
      <c r="ABQ49" s="352"/>
      <c r="ABR49" s="352"/>
      <c r="ABS49" s="352"/>
      <c r="ABT49" s="352"/>
      <c r="ABU49" s="352"/>
      <c r="ABV49" s="345" t="s">
        <v>2235</v>
      </c>
      <c r="ABW49" s="345"/>
      <c r="ABX49" s="352"/>
      <c r="ABY49" s="352"/>
      <c r="ABZ49" s="352"/>
      <c r="ACA49" s="352"/>
      <c r="ACB49" s="352"/>
      <c r="ACC49" s="7" t="s">
        <v>14</v>
      </c>
      <c r="ACD49" s="345" t="s">
        <v>2238</v>
      </c>
      <c r="ACE49" s="345"/>
      <c r="ACF49" s="352"/>
      <c r="ACG49" s="352"/>
      <c r="ACH49" s="352"/>
      <c r="ACI49" s="352"/>
      <c r="ACJ49" s="352"/>
      <c r="ACK49" s="352"/>
      <c r="ACL49" s="352"/>
      <c r="ACM49" s="345" t="s">
        <v>2235</v>
      </c>
      <c r="ACN49" s="345"/>
      <c r="ACO49" s="352"/>
      <c r="ACP49" s="352"/>
      <c r="ACQ49" s="352"/>
      <c r="ACR49" s="352"/>
      <c r="ACS49" s="352"/>
      <c r="ACT49" s="352"/>
      <c r="ACU49" s="352"/>
      <c r="ACV49" s="352"/>
      <c r="ACW49" s="785"/>
      <c r="ACX49" s="786"/>
      <c r="ACY49" s="786"/>
      <c r="ACZ49" s="786"/>
      <c r="ADA49" s="786"/>
      <c r="ADB49" s="786"/>
      <c r="ADC49" s="786"/>
      <c r="ADD49" s="786"/>
      <c r="ADE49" s="786"/>
      <c r="ADF49" s="786"/>
      <c r="ADG49" s="787"/>
      <c r="ADH49" s="314"/>
      <c r="ADI49" s="7" t="s">
        <v>14</v>
      </c>
      <c r="ADJ49" s="352" t="s">
        <v>2235</v>
      </c>
      <c r="ADK49" s="361" t="s">
        <v>2361</v>
      </c>
      <c r="ADL49" s="361"/>
      <c r="ADM49" s="319"/>
      <c r="ADN49" s="319"/>
      <c r="ADO49" s="319"/>
      <c r="ADP49" s="319"/>
      <c r="ADQ49" s="319"/>
      <c r="ADR49" s="319"/>
      <c r="ADS49" s="319"/>
      <c r="ADT49" s="319"/>
      <c r="ADU49" s="319"/>
      <c r="ADV49" s="319"/>
      <c r="ADW49" s="319"/>
      <c r="ADX49" s="319"/>
      <c r="ADY49" s="319"/>
      <c r="ADZ49" s="319"/>
      <c r="AEA49" s="319"/>
      <c r="AEB49" s="319"/>
      <c r="AEC49" s="319"/>
      <c r="AED49" s="319"/>
      <c r="AEE49" s="319"/>
      <c r="AEF49" s="319"/>
      <c r="AEG49" s="319"/>
      <c r="AEH49" s="319"/>
      <c r="AEI49" s="319"/>
      <c r="AEJ49" s="345" t="s">
        <v>2242</v>
      </c>
      <c r="AEK49" s="345"/>
      <c r="AEL49" s="352"/>
      <c r="AEM49" s="352"/>
      <c r="AEN49" s="352"/>
      <c r="AEO49" s="7" t="s">
        <v>14</v>
      </c>
      <c r="AEP49" s="352" t="s">
        <v>2242</v>
      </c>
      <c r="AEQ49" s="352"/>
      <c r="AER49" s="361" t="s">
        <v>2463</v>
      </c>
      <c r="AES49" s="318"/>
      <c r="AET49" s="319"/>
      <c r="AEU49" s="319"/>
      <c r="AEV49" s="361" t="s">
        <v>2361</v>
      </c>
      <c r="AEW49" s="318"/>
      <c r="AEX49" s="319"/>
      <c r="AEY49" s="319"/>
      <c r="AEZ49" s="319"/>
      <c r="AFA49" s="319"/>
      <c r="AFB49" s="319"/>
      <c r="AFC49" s="319"/>
      <c r="AFD49" s="319"/>
      <c r="AFE49" s="319"/>
      <c r="AFF49" s="319"/>
      <c r="AFG49" s="319"/>
      <c r="AFH49" s="361" t="s">
        <v>2520</v>
      </c>
      <c r="AFI49" s="318"/>
      <c r="AFJ49" s="319"/>
      <c r="AFK49" s="319"/>
      <c r="AFL49" s="319"/>
      <c r="AFM49" s="319"/>
      <c r="AFN49" s="319"/>
      <c r="AFO49" s="319"/>
      <c r="AFP49" s="319"/>
      <c r="AFQ49" s="319"/>
      <c r="AFR49" s="319"/>
      <c r="AFS49" s="319"/>
      <c r="AFT49" s="7" t="s">
        <v>14</v>
      </c>
      <c r="AFU49" s="361" t="s">
        <v>2367</v>
      </c>
      <c r="AFV49" s="361"/>
      <c r="AFW49" s="316"/>
      <c r="AFX49" s="316"/>
      <c r="AFY49" s="316"/>
      <c r="AFZ49" s="316"/>
      <c r="AGA49" s="316"/>
      <c r="AGB49" s="316"/>
      <c r="AGC49" s="361" t="s">
        <v>2368</v>
      </c>
      <c r="AGD49" s="361"/>
      <c r="AGE49" s="316"/>
      <c r="AGF49" s="361" t="s">
        <v>2481</v>
      </c>
      <c r="AGG49" s="361"/>
      <c r="AGH49" s="316"/>
      <c r="AGI49" s="361" t="s">
        <v>2518</v>
      </c>
      <c r="AGJ49" s="318"/>
      <c r="AGK49" s="319"/>
      <c r="AGL49" s="319"/>
      <c r="AGM49" s="376" t="s">
        <v>2491</v>
      </c>
      <c r="AGN49" s="524"/>
      <c r="AGO49" s="375"/>
      <c r="AGP49" s="375"/>
      <c r="AGQ49" s="375"/>
      <c r="AGR49" s="375"/>
      <c r="AGS49" s="375"/>
      <c r="AGT49" s="361" t="s">
        <v>2525</v>
      </c>
      <c r="AGU49" s="318"/>
      <c r="AGV49" s="319"/>
      <c r="AGW49" s="319"/>
      <c r="AGX49" s="319"/>
      <c r="AGY49" s="319"/>
      <c r="AGZ49" s="7" t="s">
        <v>14</v>
      </c>
      <c r="AHA49" s="375" t="s">
        <v>2588</v>
      </c>
      <c r="AHB49" s="319"/>
      <c r="AHC49" s="361" t="s">
        <v>2725</v>
      </c>
      <c r="AHD49" s="318"/>
      <c r="AHE49" s="319"/>
      <c r="AHF49" s="319"/>
      <c r="AHG49" s="319"/>
      <c r="AHH49" s="319"/>
      <c r="AHI49" s="319"/>
      <c r="AHJ49" s="319"/>
      <c r="AHK49" s="319"/>
      <c r="AHL49" s="319"/>
      <c r="AHM49" s="319"/>
      <c r="AHN49" s="319"/>
      <c r="AHO49" s="319"/>
      <c r="AHP49" s="319"/>
      <c r="AHQ49" s="319"/>
      <c r="AHR49" s="319"/>
      <c r="AHS49" s="319"/>
      <c r="AHT49" s="319"/>
      <c r="AHU49" s="319"/>
      <c r="AHV49" s="319"/>
      <c r="AHW49" s="319"/>
      <c r="AHX49" s="319"/>
      <c r="AHY49" s="319"/>
      <c r="AHZ49" s="319"/>
      <c r="AIA49" s="319"/>
      <c r="AIB49" s="319"/>
      <c r="AIC49" s="319"/>
      <c r="AID49" s="319"/>
      <c r="AIE49" s="7" t="s">
        <v>14</v>
      </c>
      <c r="AIF49" s="319" t="s">
        <v>2725</v>
      </c>
      <c r="AIG49" s="319"/>
      <c r="AIH49" s="319"/>
      <c r="AII49" s="319"/>
      <c r="AIJ49" s="319"/>
      <c r="AIK49" s="376" t="s">
        <v>2776</v>
      </c>
      <c r="AIL49" s="524"/>
      <c r="AIM49" s="319"/>
      <c r="AIN49" s="319"/>
      <c r="AIO49" s="319"/>
      <c r="AIP49" s="319"/>
      <c r="AIQ49" s="319"/>
      <c r="AIR49" s="319"/>
      <c r="AIS49" s="376" t="s">
        <v>2778</v>
      </c>
      <c r="AIT49" s="524"/>
      <c r="AIU49" s="319"/>
      <c r="AIV49" s="319"/>
      <c r="AIW49" s="319"/>
      <c r="AIX49" s="319"/>
      <c r="AIY49" s="319"/>
      <c r="AIZ49" s="319"/>
      <c r="AJA49" s="361" t="s">
        <v>2681</v>
      </c>
      <c r="AJB49" s="361"/>
      <c r="AJC49" s="319"/>
      <c r="AJD49" s="319"/>
      <c r="AJE49" s="319"/>
      <c r="AJF49" s="319"/>
      <c r="AJG49" s="319"/>
      <c r="AJH49" s="319"/>
      <c r="AJI49" s="319"/>
      <c r="AJJ49" s="319"/>
      <c r="AJK49" s="7" t="s">
        <v>14</v>
      </c>
      <c r="AJL49" s="319" t="s">
        <v>2681</v>
      </c>
      <c r="AJM49" s="319"/>
      <c r="AJN49" s="361" t="s">
        <v>2607</v>
      </c>
      <c r="AJO49" s="318"/>
      <c r="AJP49" s="319"/>
      <c r="AJQ49" s="319"/>
      <c r="AJR49" s="319"/>
      <c r="AJS49" s="319"/>
      <c r="AJT49" s="361" t="s">
        <v>2608</v>
      </c>
      <c r="AJU49" s="361"/>
      <c r="AJV49" s="319"/>
      <c r="AJW49" s="319"/>
      <c r="AJX49" s="319"/>
      <c r="AJY49" s="319"/>
      <c r="AJZ49" s="319"/>
      <c r="AKA49" s="319"/>
      <c r="AKB49" s="319"/>
      <c r="AKC49" s="319"/>
      <c r="AKD49" s="319"/>
      <c r="AKE49" s="319"/>
      <c r="AKF49" s="319"/>
      <c r="AKG49" s="319"/>
      <c r="AKH49" s="319"/>
      <c r="AKI49" s="361" t="s">
        <v>2780</v>
      </c>
      <c r="AKJ49" s="361"/>
      <c r="AKK49" s="319"/>
      <c r="AKL49" s="319"/>
      <c r="AKM49" s="319"/>
      <c r="AKN49" s="319"/>
      <c r="AKO49" s="319"/>
      <c r="AKP49" s="319"/>
      <c r="AKQ49" s="7" t="s">
        <v>14</v>
      </c>
      <c r="AKR49" s="319" t="s">
        <v>2540</v>
      </c>
      <c r="AKS49" s="319"/>
      <c r="AKT49" s="319"/>
      <c r="AKU49" s="361" t="s">
        <v>2781</v>
      </c>
      <c r="AKV49" s="361"/>
      <c r="AKW49" s="319"/>
      <c r="AKX49" s="319"/>
      <c r="AKY49" s="319"/>
      <c r="AKZ49" s="319"/>
      <c r="ALA49" s="319"/>
      <c r="ALB49" s="361" t="s">
        <v>2782</v>
      </c>
      <c r="ALC49" s="361"/>
      <c r="ALD49" s="319"/>
      <c r="ALE49" s="319"/>
      <c r="ALF49" s="319"/>
      <c r="ALG49" s="319"/>
      <c r="ALH49" s="319"/>
      <c r="ALI49" s="319"/>
      <c r="ALJ49" s="319"/>
      <c r="ALK49" s="319"/>
      <c r="ALL49" s="319"/>
      <c r="ALM49" s="319"/>
      <c r="ALN49" s="319"/>
      <c r="ALO49" s="319"/>
      <c r="ALP49" s="319"/>
      <c r="ALQ49" s="319"/>
      <c r="ALR49" s="319"/>
      <c r="ALS49" s="319"/>
      <c r="ALT49" s="7" t="s">
        <v>14</v>
      </c>
      <c r="ALU49" s="345" t="s">
        <v>2845</v>
      </c>
      <c r="ALV49" s="345"/>
      <c r="ALW49" s="352"/>
      <c r="ALX49" s="352"/>
      <c r="ALY49" s="352"/>
      <c r="ALZ49" s="352"/>
      <c r="AMA49" s="352"/>
      <c r="AMB49" s="352"/>
      <c r="AMC49" s="352"/>
      <c r="AMD49" s="352"/>
      <c r="AME49" s="352"/>
      <c r="AMF49" s="352"/>
      <c r="AMG49" s="352"/>
      <c r="AMH49" s="352"/>
      <c r="AMI49" s="352"/>
      <c r="AMJ49" s="352"/>
      <c r="AMK49" s="352"/>
      <c r="AML49" s="352"/>
      <c r="AMM49" s="352"/>
      <c r="AMN49" s="352"/>
      <c r="AMO49" s="352"/>
      <c r="AMP49" s="352"/>
      <c r="AMQ49" s="352"/>
      <c r="AMR49" s="352"/>
      <c r="AMS49" s="352"/>
      <c r="AMT49" s="352"/>
      <c r="AMU49" s="352"/>
      <c r="AMV49" s="352"/>
      <c r="AMW49" s="352"/>
      <c r="AMX49" s="361" t="s">
        <v>2783</v>
      </c>
      <c r="AMY49" s="361"/>
      <c r="AMZ49" s="7" t="s">
        <v>14</v>
      </c>
      <c r="ANA49" s="319" t="s">
        <v>2783</v>
      </c>
      <c r="ANB49" s="319"/>
      <c r="ANC49" s="319"/>
      <c r="AND49" s="319"/>
      <c r="ANE49" s="319"/>
      <c r="ANF49" s="319"/>
      <c r="ANG49" s="319"/>
      <c r="ANH49" s="319"/>
      <c r="ANI49" s="319"/>
      <c r="ANJ49" s="319"/>
      <c r="ANK49" s="319"/>
      <c r="ANL49" s="319"/>
      <c r="ANM49" s="319"/>
      <c r="ANN49" s="319"/>
      <c r="ANO49" s="319"/>
      <c r="ANP49" s="210" t="s">
        <v>2685</v>
      </c>
      <c r="ANQ49" s="210"/>
      <c r="ANR49" s="180"/>
      <c r="ANS49" s="180"/>
      <c r="ANT49" s="180"/>
      <c r="ANU49" s="180"/>
      <c r="ANV49" s="180"/>
      <c r="ANW49" s="180"/>
      <c r="ANX49" s="180"/>
      <c r="ANY49" s="180"/>
      <c r="ANZ49" s="180"/>
      <c r="AOA49" s="180"/>
      <c r="AOB49" s="180"/>
      <c r="AOC49" s="180"/>
      <c r="AOD49" s="180"/>
      <c r="AOE49" s="7" t="s">
        <v>14</v>
      </c>
      <c r="AOF49" s="159"/>
      <c r="AOG49" s="159"/>
      <c r="AOH49" s="159"/>
      <c r="AOI49" s="159"/>
      <c r="AOJ49" s="159"/>
      <c r="AOK49" s="159"/>
      <c r="AOL49" s="159"/>
      <c r="AOM49" s="159"/>
      <c r="AON49" s="159"/>
      <c r="AOO49" s="180" t="s">
        <v>2685</v>
      </c>
      <c r="AOP49" s="180"/>
      <c r="AOQ49" s="180"/>
      <c r="AOR49" s="180"/>
      <c r="AOS49" s="180"/>
      <c r="AOT49" s="180"/>
      <c r="AOU49" s="180"/>
      <c r="AOV49" s="180"/>
      <c r="AOW49" s="180"/>
      <c r="AOX49" s="180"/>
      <c r="AOY49" s="180"/>
      <c r="AOZ49" s="180"/>
      <c r="APA49" s="180"/>
      <c r="APB49" s="180"/>
      <c r="APC49" s="180"/>
      <c r="APD49" s="180"/>
      <c r="APE49" s="180"/>
      <c r="APF49" s="180"/>
      <c r="APG49" s="180"/>
      <c r="APH49" s="180"/>
      <c r="API49" s="180"/>
      <c r="APJ49" s="180"/>
      <c r="APK49" s="7" t="s">
        <v>14</v>
      </c>
      <c r="APL49" s="180" t="s">
        <v>2685</v>
      </c>
      <c r="APM49" s="180"/>
      <c r="APN49" s="180"/>
      <c r="APO49" s="180"/>
      <c r="APP49" s="180"/>
      <c r="APQ49" s="180"/>
      <c r="APR49" s="180"/>
      <c r="APS49" s="180"/>
      <c r="APT49" s="180"/>
      <c r="APU49" s="180"/>
      <c r="APV49" s="180"/>
      <c r="APW49" s="180"/>
      <c r="APX49" s="180"/>
      <c r="APY49" s="180"/>
      <c r="APZ49" s="180"/>
      <c r="AQA49" s="180"/>
      <c r="AQB49" s="180"/>
      <c r="AQC49" s="180"/>
      <c r="AQD49" s="180"/>
      <c r="AQE49" s="180"/>
      <c r="AQF49" s="180"/>
      <c r="AQG49" s="180"/>
      <c r="AQH49" s="180"/>
      <c r="AQI49" s="180"/>
      <c r="AQJ49" s="320"/>
      <c r="AQK49" s="320"/>
      <c r="AQL49" s="320"/>
      <c r="AQM49" s="320"/>
      <c r="AQN49" s="320"/>
      <c r="AQP49" s="7" t="s">
        <v>14</v>
      </c>
      <c r="AQQ49" s="320"/>
      <c r="AQR49" s="320"/>
      <c r="AQS49" s="320"/>
      <c r="AQT49" s="320"/>
      <c r="AQU49" s="320"/>
      <c r="AQV49" s="320"/>
      <c r="AQW49" s="320"/>
      <c r="AQX49" s="159"/>
      <c r="AQY49" s="159"/>
      <c r="AQZ49" s="159"/>
      <c r="ARA49" s="159"/>
      <c r="ARB49" s="159"/>
      <c r="ARC49" s="159"/>
      <c r="ARD49" s="159"/>
      <c r="ARE49" s="159"/>
      <c r="ARF49" s="159"/>
      <c r="ARK49" s="320"/>
      <c r="ARL49" s="320"/>
      <c r="ARM49" s="320"/>
      <c r="ARN49" s="320"/>
      <c r="ARO49" s="361" t="s">
        <v>2801</v>
      </c>
      <c r="ARP49" s="361"/>
      <c r="ARQ49" s="316"/>
      <c r="ARR49" s="316"/>
      <c r="ARS49" s="316"/>
      <c r="ART49" s="316"/>
      <c r="ARU49" s="316"/>
      <c r="ARV49" s="7" t="s">
        <v>14</v>
      </c>
      <c r="ARW49" s="316" t="s">
        <v>2801</v>
      </c>
      <c r="ARX49" s="316"/>
      <c r="ARY49" s="316"/>
      <c r="ARZ49" s="316"/>
      <c r="ASA49" s="316"/>
      <c r="ASB49" s="316"/>
      <c r="ASC49" s="316"/>
      <c r="ASD49" s="316"/>
      <c r="ASE49" s="316"/>
      <c r="ASF49" s="320"/>
      <c r="ASG49" s="320"/>
      <c r="ASH49" s="320"/>
      <c r="ASI49" s="320"/>
      <c r="ASJ49" s="320"/>
      <c r="ASK49" s="320"/>
      <c r="ASL49" s="320"/>
      <c r="ASM49" s="320"/>
      <c r="ASN49" s="320"/>
      <c r="ASO49" s="320"/>
      <c r="ASP49" s="320"/>
      <c r="ASQ49" s="320"/>
      <c r="ASR49" s="320"/>
      <c r="ASS49" s="320"/>
      <c r="AST49" s="320"/>
      <c r="ASU49" s="320"/>
      <c r="ASV49" s="320"/>
      <c r="ASW49" s="320"/>
      <c r="ASX49" s="320"/>
      <c r="ASY49" s="320"/>
      <c r="ASZ49" s="320"/>
      <c r="ATA49" s="320"/>
      <c r="ATB49" s="7" t="s">
        <v>14</v>
      </c>
      <c r="ATU49" s="320"/>
      <c r="ATV49" s="320"/>
      <c r="ATW49" s="320"/>
      <c r="ATX49" s="320"/>
      <c r="ATY49" s="320"/>
      <c r="ATZ49" s="320"/>
      <c r="AUA49" s="320"/>
      <c r="AUB49" s="320"/>
      <c r="AUC49" s="320"/>
      <c r="AUD49" s="320"/>
      <c r="AUE49" s="320"/>
      <c r="AUF49" s="320"/>
      <c r="AUG49" s="7" t="s">
        <v>14</v>
      </c>
      <c r="AUH49" s="320"/>
      <c r="AUI49" s="320"/>
      <c r="AUJ49" s="320"/>
      <c r="AUK49" s="320"/>
      <c r="AUL49" s="320"/>
      <c r="AUM49" s="320"/>
      <c r="AUN49" s="320"/>
      <c r="AUO49" s="320"/>
      <c r="AUP49" s="320"/>
      <c r="AUQ49" s="320"/>
      <c r="AUR49" s="320"/>
      <c r="AUS49" s="320"/>
      <c r="AUT49" s="320"/>
      <c r="AUU49" s="320"/>
      <c r="AUV49" s="320"/>
      <c r="AUW49" s="320"/>
      <c r="AUX49" s="320"/>
      <c r="AUY49" s="320"/>
      <c r="AUZ49" s="320"/>
      <c r="AVA49" s="320"/>
      <c r="AVB49" s="320"/>
      <c r="AVC49" s="320"/>
      <c r="AVD49" s="320"/>
      <c r="AVE49" s="320"/>
      <c r="AVF49" s="320"/>
      <c r="AVG49" s="320"/>
      <c r="AVH49" s="320"/>
      <c r="AVI49" s="320"/>
      <c r="AVJ49" s="320"/>
      <c r="AVK49" s="320"/>
      <c r="AVL49" s="320"/>
      <c r="AVM49" s="7" t="s">
        <v>14</v>
      </c>
      <c r="AVN49" s="361" t="s">
        <v>2689</v>
      </c>
      <c r="AVO49" s="361"/>
      <c r="AVP49" s="316"/>
      <c r="AVQ49" s="316"/>
      <c r="AVR49" s="316"/>
      <c r="AVS49" s="316"/>
      <c r="AVT49" s="316"/>
      <c r="AVU49" s="316"/>
      <c r="AVV49" s="316"/>
      <c r="AVW49" s="316"/>
      <c r="AVX49" s="316"/>
      <c r="AVY49" s="316"/>
      <c r="AVZ49" s="316"/>
      <c r="AWA49" s="316"/>
      <c r="AWB49" s="316"/>
      <c r="AWR49" s="7" t="s">
        <v>14</v>
      </c>
      <c r="AXX49" s="7" t="s">
        <v>14</v>
      </c>
    </row>
    <row r="50" spans="1:1324" s="136" customFormat="1" ht="22.8" customHeight="1" x14ac:dyDescent="0.25">
      <c r="A50" s="711"/>
      <c r="B50" s="72"/>
      <c r="C50" s="136">
        <v>1800</v>
      </c>
      <c r="D50" s="136">
        <v>1800</v>
      </c>
      <c r="E50" s="136">
        <v>1800</v>
      </c>
      <c r="F50" s="136">
        <v>1800</v>
      </c>
      <c r="H50" s="136">
        <v>1800</v>
      </c>
      <c r="AH50" s="73"/>
      <c r="AI50" s="139"/>
      <c r="AQ50" s="731"/>
      <c r="AR50" s="732"/>
      <c r="AS50" s="732"/>
      <c r="AT50" s="732"/>
      <c r="AU50" s="732"/>
      <c r="AV50" s="732"/>
      <c r="AW50" s="732"/>
      <c r="AX50" s="732"/>
      <c r="AY50" s="732"/>
      <c r="AZ50" s="733"/>
      <c r="BA50" s="139"/>
      <c r="BB50" s="139"/>
      <c r="BC50" s="139"/>
      <c r="BD50" s="139"/>
      <c r="BE50" s="139"/>
      <c r="BF50" s="139"/>
      <c r="BG50" s="139"/>
      <c r="BH50" s="139"/>
      <c r="BI50" s="136">
        <v>32245</v>
      </c>
      <c r="BN50" s="72"/>
      <c r="BR50" s="136">
        <v>7000</v>
      </c>
      <c r="CD50" s="136">
        <v>10320</v>
      </c>
      <c r="CE50" s="136">
        <v>600</v>
      </c>
      <c r="CF50" s="136">
        <v>1200</v>
      </c>
      <c r="CG50" s="136">
        <v>1800</v>
      </c>
      <c r="CI50" s="136">
        <v>2400</v>
      </c>
      <c r="CJ50" s="136">
        <v>2400</v>
      </c>
      <c r="CK50" s="136">
        <v>2400</v>
      </c>
      <c r="CL50" s="136">
        <v>2400</v>
      </c>
      <c r="CM50" s="136">
        <v>2400</v>
      </c>
      <c r="CN50" s="136">
        <v>2400</v>
      </c>
      <c r="CP50" s="136">
        <v>2400</v>
      </c>
      <c r="CQ50" s="136">
        <v>1800</v>
      </c>
      <c r="CR50" s="136">
        <v>1636</v>
      </c>
      <c r="CS50" s="72"/>
      <c r="CT50" s="139"/>
      <c r="DX50" s="136">
        <v>50080</v>
      </c>
      <c r="DY50" s="72"/>
      <c r="EP50" s="175">
        <v>27000</v>
      </c>
      <c r="EQ50" s="136">
        <v>2000</v>
      </c>
      <c r="ER50" s="136">
        <v>2000</v>
      </c>
      <c r="ES50" s="136">
        <v>2000</v>
      </c>
      <c r="ET50" s="136">
        <v>2000</v>
      </c>
      <c r="EV50" s="136">
        <v>2000</v>
      </c>
      <c r="EW50" s="136">
        <v>2000</v>
      </c>
      <c r="EX50" s="136">
        <v>2000</v>
      </c>
      <c r="EY50" s="136">
        <v>2000</v>
      </c>
      <c r="EZ50" s="136">
        <v>2000</v>
      </c>
      <c r="FA50" s="136">
        <v>2000</v>
      </c>
      <c r="FC50" s="136">
        <v>2000</v>
      </c>
      <c r="FD50" s="72"/>
      <c r="FE50" s="136">
        <v>1800</v>
      </c>
      <c r="FF50" s="136">
        <v>1520</v>
      </c>
      <c r="FG50" s="136">
        <v>1800</v>
      </c>
      <c r="FH50" s="136">
        <v>2000</v>
      </c>
      <c r="FI50" s="136">
        <v>2000</v>
      </c>
      <c r="FJ50" s="136">
        <v>1600</v>
      </c>
      <c r="FK50" s="136">
        <v>1800</v>
      </c>
      <c r="FL50" s="136">
        <v>1800</v>
      </c>
      <c r="FM50" s="136">
        <v>1800</v>
      </c>
      <c r="FN50" s="136">
        <v>1800</v>
      </c>
      <c r="FO50" s="136">
        <v>2200</v>
      </c>
      <c r="FP50" s="137">
        <v>859</v>
      </c>
      <c r="FU50" s="136">
        <v>700</v>
      </c>
      <c r="FV50" s="136">
        <v>1600</v>
      </c>
      <c r="FW50" s="137">
        <v>2262</v>
      </c>
      <c r="FX50" s="136">
        <f>118+180</f>
        <v>298</v>
      </c>
      <c r="FY50" s="136">
        <v>960</v>
      </c>
      <c r="FZ50" s="136">
        <v>1300</v>
      </c>
      <c r="GA50" s="136">
        <f>652+648</f>
        <v>1300</v>
      </c>
      <c r="GB50" s="137">
        <f>1000+665</f>
        <v>1665</v>
      </c>
      <c r="GC50" s="136">
        <v>1600</v>
      </c>
      <c r="GD50" s="137">
        <f>490+1000</f>
        <v>1490</v>
      </c>
      <c r="GF50" s="136">
        <v>1600</v>
      </c>
      <c r="GG50" s="137">
        <f>1000+490</f>
        <v>1490</v>
      </c>
      <c r="GH50" s="136">
        <v>1600</v>
      </c>
      <c r="GI50" s="137">
        <f>490+1000</f>
        <v>1490</v>
      </c>
      <c r="GJ50" s="74"/>
      <c r="GK50" s="136">
        <v>1520</v>
      </c>
      <c r="GL50" s="137">
        <v>1103</v>
      </c>
      <c r="GN50" s="136">
        <v>840</v>
      </c>
      <c r="GO50" s="136">
        <v>1280</v>
      </c>
      <c r="GP50" s="137">
        <v>1601</v>
      </c>
      <c r="GQ50" s="136">
        <v>200</v>
      </c>
      <c r="GR50" s="136">
        <v>1040</v>
      </c>
      <c r="GS50" s="136">
        <v>1640</v>
      </c>
      <c r="GU50" s="137">
        <v>1344</v>
      </c>
      <c r="GV50" s="136">
        <v>1949</v>
      </c>
      <c r="GW50" s="137">
        <v>2057</v>
      </c>
      <c r="GX50" s="136">
        <v>1301</v>
      </c>
      <c r="GY50" s="137">
        <v>1700</v>
      </c>
      <c r="GZ50" s="136">
        <v>302</v>
      </c>
      <c r="HB50" s="136">
        <v>750</v>
      </c>
      <c r="HC50" s="136">
        <v>1300</v>
      </c>
      <c r="HD50" s="136">
        <v>1350</v>
      </c>
      <c r="HE50" s="136">
        <v>1400</v>
      </c>
      <c r="HF50" s="137">
        <v>888</v>
      </c>
      <c r="HG50" s="136">
        <v>1500</v>
      </c>
      <c r="HI50" s="136">
        <v>1700</v>
      </c>
      <c r="HJ50" s="136">
        <v>1850</v>
      </c>
      <c r="HK50" s="136">
        <v>2020</v>
      </c>
      <c r="HL50" s="136">
        <v>2200</v>
      </c>
      <c r="HM50" s="136">
        <v>1850</v>
      </c>
      <c r="HN50" s="136">
        <v>1500</v>
      </c>
      <c r="HP50" s="72"/>
      <c r="HQ50" s="136">
        <v>2050</v>
      </c>
      <c r="HR50" s="136">
        <v>2100</v>
      </c>
      <c r="HS50" s="136">
        <v>2100</v>
      </c>
      <c r="HT50" s="136">
        <v>2350</v>
      </c>
      <c r="HU50" s="136">
        <v>2200</v>
      </c>
      <c r="HV50" s="136">
        <v>2250</v>
      </c>
      <c r="HX50" s="136">
        <v>2200</v>
      </c>
      <c r="HY50" s="136">
        <v>2200</v>
      </c>
      <c r="HZ50" s="136">
        <v>2100</v>
      </c>
      <c r="IA50" s="136">
        <v>2100</v>
      </c>
      <c r="IB50" s="136">
        <v>2200</v>
      </c>
      <c r="IC50" s="137">
        <v>1850</v>
      </c>
      <c r="IE50" s="136">
        <v>1207</v>
      </c>
      <c r="IF50" s="136">
        <v>1700</v>
      </c>
      <c r="IG50" s="136">
        <v>1800</v>
      </c>
      <c r="IH50" s="136">
        <v>2250</v>
      </c>
      <c r="II50" s="136">
        <v>2100</v>
      </c>
      <c r="IJ50" s="136">
        <v>2100</v>
      </c>
      <c r="IL50" s="136">
        <v>2300</v>
      </c>
      <c r="IM50" s="136">
        <v>2200</v>
      </c>
      <c r="IN50" s="137">
        <v>1470</v>
      </c>
      <c r="IO50" s="136">
        <v>1001</v>
      </c>
      <c r="IP50" s="136">
        <v>1500</v>
      </c>
      <c r="IQ50" s="136">
        <v>1600</v>
      </c>
      <c r="IS50" s="136">
        <v>1900</v>
      </c>
      <c r="IT50" s="72"/>
      <c r="IU50" s="136">
        <v>2050</v>
      </c>
      <c r="IV50" s="139">
        <v>2000</v>
      </c>
      <c r="IW50" s="137">
        <f>1231+220</f>
        <v>1451</v>
      </c>
      <c r="IX50" s="136">
        <v>1450</v>
      </c>
      <c r="IY50" s="136">
        <v>1600</v>
      </c>
      <c r="JA50" s="137">
        <f>818+250</f>
        <v>1068</v>
      </c>
      <c r="JB50" s="136">
        <v>1100</v>
      </c>
      <c r="JC50" s="136">
        <v>1970</v>
      </c>
      <c r="JD50" s="137">
        <v>1585</v>
      </c>
      <c r="JE50" s="139">
        <v>1100</v>
      </c>
      <c r="JF50" s="136">
        <v>1300</v>
      </c>
      <c r="JG50" s="136">
        <v>1700</v>
      </c>
      <c r="JH50" s="136">
        <v>1850</v>
      </c>
      <c r="JI50" s="136">
        <v>2020</v>
      </c>
      <c r="JJ50" s="137">
        <v>2078</v>
      </c>
      <c r="JL50" s="136">
        <v>660</v>
      </c>
      <c r="JM50" s="136">
        <v>1200</v>
      </c>
      <c r="JO50" s="136">
        <v>1320</v>
      </c>
      <c r="JP50" s="136">
        <v>1600</v>
      </c>
      <c r="JQ50" s="136">
        <v>1600</v>
      </c>
      <c r="JR50" s="136">
        <v>1600</v>
      </c>
      <c r="JS50" s="136">
        <v>1500</v>
      </c>
      <c r="JV50" s="278"/>
      <c r="JW50" s="173"/>
      <c r="JX50" s="173"/>
      <c r="JY50" s="173"/>
      <c r="JZ50" s="282"/>
      <c r="KA50" s="173"/>
      <c r="KB50" s="173"/>
      <c r="KC50" s="173"/>
      <c r="KD50" s="173"/>
      <c r="KE50" s="173"/>
      <c r="KF50" s="173"/>
      <c r="KG50" s="173"/>
      <c r="KH50" s="173"/>
      <c r="KI50" s="173"/>
      <c r="KJ50" s="173"/>
      <c r="KK50" s="173"/>
      <c r="KL50" s="173"/>
      <c r="KM50" s="173"/>
      <c r="KN50" s="173"/>
      <c r="KO50" s="173"/>
      <c r="KP50" s="173"/>
      <c r="KQ50" s="173"/>
      <c r="KR50" s="173"/>
      <c r="KS50" s="173"/>
      <c r="KT50" s="173"/>
      <c r="KU50" s="173"/>
      <c r="KV50" s="173"/>
      <c r="KW50" s="173"/>
      <c r="KX50" s="173"/>
      <c r="KY50" s="280"/>
      <c r="KZ50" s="167"/>
      <c r="LA50" s="167"/>
      <c r="LB50" s="167">
        <v>32535</v>
      </c>
      <c r="LC50" s="167"/>
      <c r="LD50" s="167"/>
      <c r="LE50" s="72"/>
      <c r="LG50" s="136">
        <v>770</v>
      </c>
      <c r="LH50" s="136">
        <v>1220</v>
      </c>
      <c r="LI50" s="136">
        <v>1440</v>
      </c>
      <c r="LJ50" s="136">
        <v>1700</v>
      </c>
      <c r="LK50" s="136">
        <v>1710</v>
      </c>
      <c r="LL50" s="136">
        <v>1710</v>
      </c>
      <c r="LN50" s="136">
        <v>1710</v>
      </c>
      <c r="LO50" s="136">
        <v>1910</v>
      </c>
      <c r="LP50" s="136">
        <v>1800</v>
      </c>
      <c r="LQ50" s="136">
        <v>1900</v>
      </c>
      <c r="LR50" s="136">
        <v>1800</v>
      </c>
      <c r="LS50" s="137">
        <v>1800</v>
      </c>
      <c r="LU50" s="136">
        <v>1800</v>
      </c>
      <c r="LV50" s="136">
        <v>1440</v>
      </c>
      <c r="LW50" s="136">
        <v>1800</v>
      </c>
      <c r="LX50" s="136">
        <v>1500</v>
      </c>
      <c r="LY50" s="136">
        <v>1800</v>
      </c>
      <c r="LZ50" s="301">
        <v>1500</v>
      </c>
      <c r="MA50" s="301">
        <v>1550</v>
      </c>
      <c r="MB50" s="716"/>
      <c r="MC50" s="717"/>
      <c r="MD50" s="717"/>
      <c r="ME50" s="718"/>
      <c r="MF50" s="136">
        <v>1820</v>
      </c>
      <c r="MG50" s="297">
        <v>1400</v>
      </c>
      <c r="MI50" s="136">
        <v>1600</v>
      </c>
      <c r="MJ50" s="136">
        <v>1750</v>
      </c>
      <c r="MK50" s="288"/>
      <c r="ML50" s="136">
        <v>2200</v>
      </c>
      <c r="MM50" s="136">
        <v>2250</v>
      </c>
      <c r="MN50" s="136">
        <v>2200</v>
      </c>
      <c r="MO50" s="136">
        <v>2210</v>
      </c>
      <c r="MQ50" s="136">
        <v>2220</v>
      </c>
      <c r="MR50" s="136">
        <v>2200</v>
      </c>
      <c r="MS50" s="136">
        <v>2000</v>
      </c>
      <c r="MT50" s="136">
        <v>2200</v>
      </c>
      <c r="MU50" s="136">
        <v>2200</v>
      </c>
      <c r="MV50" s="136">
        <v>2200</v>
      </c>
      <c r="MX50" s="315">
        <v>2200</v>
      </c>
      <c r="MY50" s="314">
        <v>2200</v>
      </c>
      <c r="MZ50" s="136">
        <v>2200</v>
      </c>
      <c r="NA50" s="136">
        <v>2200</v>
      </c>
      <c r="NB50" s="136">
        <v>2200</v>
      </c>
      <c r="NC50" s="136">
        <v>2200</v>
      </c>
      <c r="NE50" s="136">
        <v>2200</v>
      </c>
      <c r="NF50" s="136">
        <v>2200</v>
      </c>
      <c r="NG50" s="136">
        <v>2200</v>
      </c>
      <c r="NH50" s="136">
        <v>2200</v>
      </c>
      <c r="NI50" s="136">
        <v>2200</v>
      </c>
      <c r="NJ50" s="136">
        <v>2240</v>
      </c>
      <c r="NL50" s="136">
        <v>2200</v>
      </c>
      <c r="NM50" s="314">
        <v>2200</v>
      </c>
      <c r="NN50" s="137">
        <v>2250</v>
      </c>
      <c r="NO50" s="136">
        <v>2018</v>
      </c>
      <c r="NP50" s="72"/>
      <c r="NQ50" s="136">
        <v>2100</v>
      </c>
      <c r="NR50" s="136">
        <v>2020</v>
      </c>
      <c r="NT50" s="136">
        <v>2200</v>
      </c>
      <c r="NU50" s="136">
        <v>2100</v>
      </c>
      <c r="NV50" s="136">
        <v>2100</v>
      </c>
      <c r="NW50" s="136">
        <v>2310</v>
      </c>
      <c r="NX50" s="297">
        <v>2310</v>
      </c>
      <c r="NY50" s="136">
        <v>2250</v>
      </c>
      <c r="OA50" s="136">
        <v>2000</v>
      </c>
      <c r="OB50" s="314">
        <v>2310</v>
      </c>
      <c r="OC50" s="314">
        <v>2310</v>
      </c>
      <c r="OD50" s="314">
        <v>2360</v>
      </c>
      <c r="OE50" s="314">
        <v>2310</v>
      </c>
      <c r="OF50" s="314">
        <v>2310</v>
      </c>
      <c r="OH50" s="136">
        <f>1303+497</f>
        <v>1800</v>
      </c>
      <c r="OI50" s="136">
        <v>2200</v>
      </c>
      <c r="OJ50" s="136">
        <v>2310</v>
      </c>
      <c r="OK50" s="314">
        <v>2330</v>
      </c>
      <c r="OL50" s="136">
        <v>2310</v>
      </c>
      <c r="OM50" s="136">
        <v>2310</v>
      </c>
      <c r="ON50" s="136">
        <v>1680</v>
      </c>
      <c r="OO50" s="136">
        <v>2310</v>
      </c>
      <c r="OP50" s="136">
        <v>2000</v>
      </c>
      <c r="OQ50" s="365">
        <v>1905</v>
      </c>
      <c r="OR50" s="136">
        <v>1340</v>
      </c>
      <c r="OS50" s="314">
        <v>1000</v>
      </c>
      <c r="OT50" s="724"/>
      <c r="OU50" s="725"/>
      <c r="OV50" s="304"/>
      <c r="OW50" s="740"/>
      <c r="OX50" s="741"/>
      <c r="OY50" s="741"/>
      <c r="OZ50" s="741"/>
      <c r="PA50" s="741"/>
      <c r="PB50" s="741"/>
      <c r="PC50" s="742"/>
      <c r="PD50" s="136">
        <v>1850</v>
      </c>
      <c r="PE50" s="136">
        <v>2110</v>
      </c>
      <c r="PF50" s="136">
        <v>2200</v>
      </c>
      <c r="PG50" s="136">
        <v>2200</v>
      </c>
      <c r="PH50" s="136">
        <v>2000</v>
      </c>
      <c r="PI50" s="136">
        <v>2300</v>
      </c>
      <c r="PL50" s="136">
        <v>2450</v>
      </c>
      <c r="PM50" s="136">
        <v>2350</v>
      </c>
      <c r="PN50" s="136">
        <v>2530</v>
      </c>
      <c r="PO50" s="136">
        <v>2530</v>
      </c>
      <c r="PP50" s="314">
        <v>2530</v>
      </c>
      <c r="PQ50" s="314"/>
      <c r="PR50" s="136">
        <v>2100</v>
      </c>
      <c r="PS50" s="136">
        <v>2100</v>
      </c>
      <c r="PT50" s="136">
        <v>2150</v>
      </c>
      <c r="PU50" s="136">
        <v>2160</v>
      </c>
      <c r="PV50" s="136">
        <v>2160</v>
      </c>
      <c r="PW50" s="136">
        <v>2160</v>
      </c>
      <c r="PX50" s="314"/>
      <c r="PY50" s="136">
        <v>2400</v>
      </c>
      <c r="PZ50" s="136">
        <v>2400</v>
      </c>
      <c r="QA50" s="136">
        <v>1920</v>
      </c>
      <c r="QB50" s="72"/>
      <c r="QC50" s="314">
        <v>2400</v>
      </c>
      <c r="QD50" s="314">
        <v>2500</v>
      </c>
      <c r="QE50" s="314">
        <v>2500</v>
      </c>
      <c r="QF50" s="314"/>
      <c r="QG50" s="314">
        <v>2300</v>
      </c>
      <c r="QH50" s="365">
        <v>1552</v>
      </c>
      <c r="QI50" s="136">
        <v>950</v>
      </c>
      <c r="QJ50" s="136">
        <v>1600</v>
      </c>
      <c r="QK50" s="136">
        <v>2000</v>
      </c>
      <c r="QL50" s="136">
        <v>2400</v>
      </c>
      <c r="QM50" s="136">
        <v>2100</v>
      </c>
      <c r="QN50" s="136">
        <v>1840</v>
      </c>
      <c r="QO50" s="314">
        <v>2350</v>
      </c>
      <c r="QP50" s="314"/>
      <c r="QQ50" s="314">
        <v>2200</v>
      </c>
      <c r="QR50" s="314">
        <v>2220</v>
      </c>
      <c r="QS50" s="314">
        <v>2500</v>
      </c>
      <c r="QT50" s="314"/>
      <c r="QU50" s="314">
        <v>2200</v>
      </c>
      <c r="QV50" s="314">
        <v>2100</v>
      </c>
      <c r="QW50" s="365">
        <f>711+40+380</f>
        <v>1131</v>
      </c>
      <c r="QX50" s="136">
        <v>1200</v>
      </c>
      <c r="QY50" s="365">
        <f>607+20</f>
        <v>627</v>
      </c>
      <c r="QZ50" s="136">
        <v>400</v>
      </c>
      <c r="RB50" s="136">
        <v>750</v>
      </c>
      <c r="RC50" s="136">
        <v>1200</v>
      </c>
      <c r="RD50" s="136">
        <v>1500</v>
      </c>
      <c r="RE50" s="136">
        <v>950</v>
      </c>
      <c r="RF50" s="136">
        <v>1000</v>
      </c>
      <c r="RG50" s="72"/>
      <c r="RH50" s="314">
        <v>1760</v>
      </c>
      <c r="RJ50" s="314">
        <v>1760</v>
      </c>
      <c r="RK50" s="136">
        <v>1760</v>
      </c>
      <c r="RL50" s="136">
        <v>1760</v>
      </c>
      <c r="RM50" s="136">
        <v>1770</v>
      </c>
      <c r="RN50" s="136">
        <v>1760</v>
      </c>
      <c r="RP50" s="365">
        <v>1660</v>
      </c>
      <c r="RQ50" s="314">
        <v>1460</v>
      </c>
      <c r="RR50" s="314">
        <v>1760</v>
      </c>
      <c r="RS50" s="314">
        <v>1400</v>
      </c>
      <c r="RT50" s="314">
        <v>1800</v>
      </c>
      <c r="RU50" s="365">
        <v>1760</v>
      </c>
      <c r="RV50" s="314">
        <v>1760</v>
      </c>
      <c r="RW50" s="314"/>
      <c r="RX50" s="314">
        <v>1760</v>
      </c>
      <c r="RY50" s="136">
        <v>1760</v>
      </c>
      <c r="RZ50" s="314">
        <v>1870</v>
      </c>
      <c r="SA50" s="314">
        <v>2100</v>
      </c>
      <c r="SB50" s="365">
        <v>1732</v>
      </c>
      <c r="SC50" s="314">
        <v>900</v>
      </c>
      <c r="SE50" s="136">
        <v>1760</v>
      </c>
      <c r="SF50" s="136">
        <v>2200</v>
      </c>
      <c r="SG50" s="136">
        <v>2200</v>
      </c>
      <c r="SH50" s="136">
        <v>1840</v>
      </c>
      <c r="SI50" s="136">
        <v>1840</v>
      </c>
      <c r="SJ50" s="314">
        <v>1840</v>
      </c>
      <c r="SK50" s="314"/>
      <c r="SL50" s="314">
        <v>1570</v>
      </c>
      <c r="SM50" s="72"/>
      <c r="SN50" s="314">
        <v>2570</v>
      </c>
      <c r="SO50" s="136">
        <v>2580</v>
      </c>
      <c r="SP50" s="136">
        <v>2530</v>
      </c>
      <c r="SQ50" s="136">
        <v>2250</v>
      </c>
      <c r="SR50" s="365">
        <v>1289</v>
      </c>
      <c r="SS50" s="314">
        <v>110</v>
      </c>
      <c r="ST50" s="314">
        <v>720</v>
      </c>
      <c r="SU50" s="136">
        <v>900</v>
      </c>
      <c r="SV50" s="314"/>
      <c r="SW50" s="314">
        <v>1000</v>
      </c>
      <c r="SX50" s="314">
        <v>620</v>
      </c>
      <c r="SY50" s="314">
        <v>1200</v>
      </c>
      <c r="SZ50" s="314"/>
      <c r="TA50" s="136">
        <v>1400</v>
      </c>
      <c r="TB50" s="136">
        <v>1440</v>
      </c>
      <c r="TC50" s="136">
        <f>119+1381</f>
        <v>1500</v>
      </c>
      <c r="TD50" s="136">
        <v>1420</v>
      </c>
      <c r="TE50" s="365">
        <f>654+380</f>
        <v>1034</v>
      </c>
      <c r="TF50" s="314">
        <f>390+810</f>
        <v>1200</v>
      </c>
      <c r="TG50" s="314"/>
      <c r="TH50" s="314">
        <v>2400</v>
      </c>
      <c r="TI50" s="314">
        <v>2450</v>
      </c>
      <c r="TJ50" s="365">
        <f>325+820</f>
        <v>1145</v>
      </c>
      <c r="TK50" s="136">
        <v>2200</v>
      </c>
      <c r="TL50" s="136">
        <v>2400</v>
      </c>
      <c r="TM50" s="136">
        <v>2100</v>
      </c>
      <c r="TO50" s="136">
        <v>2350</v>
      </c>
      <c r="TP50" s="136">
        <f>25+2200</f>
        <v>2225</v>
      </c>
      <c r="TQ50" s="136">
        <v>1650</v>
      </c>
      <c r="TR50" s="72"/>
      <c r="TS50" s="136">
        <v>2400</v>
      </c>
      <c r="TT50" s="314">
        <v>2300</v>
      </c>
      <c r="TU50" s="314">
        <v>2300</v>
      </c>
      <c r="TW50" s="314">
        <f>98+1010</f>
        <v>1108</v>
      </c>
      <c r="TX50" s="314">
        <v>1870</v>
      </c>
      <c r="TY50" s="314">
        <f>256+1400</f>
        <v>1656</v>
      </c>
      <c r="TZ50" s="314">
        <f>1616+150</f>
        <v>1766</v>
      </c>
      <c r="UA50" s="136">
        <v>1100</v>
      </c>
      <c r="UB50" s="136">
        <v>1620</v>
      </c>
      <c r="UC50" s="365">
        <v>1250</v>
      </c>
      <c r="UD50" s="173">
        <f>254+20+272</f>
        <v>546</v>
      </c>
      <c r="UE50" s="136">
        <f>180+157+170</f>
        <v>507</v>
      </c>
      <c r="UF50" s="136">
        <v>1900</v>
      </c>
      <c r="UG50" s="365">
        <v>975</v>
      </c>
      <c r="UJ50" s="314"/>
      <c r="UK50" s="314">
        <v>1020</v>
      </c>
      <c r="UL50" s="314">
        <v>1760</v>
      </c>
      <c r="UM50" s="136">
        <v>1720</v>
      </c>
      <c r="UN50" s="136">
        <v>1730</v>
      </c>
      <c r="UO50" s="136">
        <v>1730</v>
      </c>
      <c r="UP50" s="136">
        <f>657+590</f>
        <v>1247</v>
      </c>
      <c r="UR50" s="136">
        <v>1700</v>
      </c>
      <c r="US50" s="136">
        <v>2020</v>
      </c>
      <c r="UT50" s="136">
        <v>1900</v>
      </c>
      <c r="UU50" s="136">
        <v>2000</v>
      </c>
      <c r="UV50" s="314">
        <v>2000</v>
      </c>
      <c r="UW50" s="365">
        <f>949+40+550</f>
        <v>1539</v>
      </c>
      <c r="UX50" s="72"/>
      <c r="UZ50" s="136">
        <f>448+670</f>
        <v>1118</v>
      </c>
      <c r="VA50" s="136">
        <f>1369+50</f>
        <v>1419</v>
      </c>
      <c r="VB50" s="314">
        <v>1600</v>
      </c>
      <c r="VC50" s="314">
        <v>2200</v>
      </c>
      <c r="VD50" s="314">
        <v>2200</v>
      </c>
      <c r="VE50" s="314">
        <v>2300</v>
      </c>
      <c r="VG50" s="314">
        <v>2300</v>
      </c>
      <c r="VH50" s="314">
        <v>2300</v>
      </c>
      <c r="VI50" s="314">
        <v>2400</v>
      </c>
      <c r="VJ50" s="314">
        <v>2640</v>
      </c>
      <c r="VK50" s="314">
        <v>2660</v>
      </c>
      <c r="VL50" s="314">
        <v>1250</v>
      </c>
      <c r="VN50" s="314">
        <f>1422+280</f>
        <v>1702</v>
      </c>
      <c r="VO50" s="314">
        <v>1500</v>
      </c>
      <c r="VP50" s="314">
        <v>2200</v>
      </c>
      <c r="VQ50" s="314">
        <v>2100</v>
      </c>
      <c r="VR50" s="314">
        <v>2200</v>
      </c>
      <c r="VS50" s="314">
        <v>2750</v>
      </c>
      <c r="VU50" s="314">
        <v>2320</v>
      </c>
      <c r="VV50" s="314">
        <v>2150</v>
      </c>
      <c r="VW50" s="314">
        <v>2500</v>
      </c>
      <c r="VX50" s="314">
        <v>2500</v>
      </c>
      <c r="VY50" s="314">
        <v>2500</v>
      </c>
      <c r="VZ50" s="314">
        <v>2500</v>
      </c>
      <c r="WB50" s="314">
        <v>2500</v>
      </c>
      <c r="WC50" s="314">
        <v>2400</v>
      </c>
      <c r="WD50" s="72"/>
      <c r="WE50" s="314">
        <v>2750</v>
      </c>
      <c r="WF50" s="314">
        <v>2750</v>
      </c>
      <c r="WG50" s="314">
        <v>2520</v>
      </c>
      <c r="WH50" s="314">
        <v>2350</v>
      </c>
      <c r="WJ50" s="365">
        <f>858+35+35+180</f>
        <v>1108</v>
      </c>
      <c r="WK50" s="136">
        <v>1320</v>
      </c>
      <c r="WL50" s="365">
        <v>1588</v>
      </c>
      <c r="WM50" s="314">
        <f>1+660</f>
        <v>661</v>
      </c>
      <c r="WN50" s="314">
        <v>1000</v>
      </c>
      <c r="WO50" s="314">
        <v>1210</v>
      </c>
      <c r="WP50" s="136">
        <v>1060</v>
      </c>
      <c r="WQ50" s="314">
        <v>1600</v>
      </c>
      <c r="WR50" s="365">
        <f>534+350</f>
        <v>884</v>
      </c>
      <c r="WS50" s="314">
        <f>1330+50</f>
        <v>1380</v>
      </c>
      <c r="WT50" s="314">
        <v>1760</v>
      </c>
      <c r="WU50" s="314">
        <v>2200</v>
      </c>
      <c r="WV50" s="314">
        <v>1450</v>
      </c>
      <c r="WX50" s="314"/>
      <c r="WY50" s="314"/>
      <c r="WZ50" s="136">
        <f>1115+825</f>
        <v>1940</v>
      </c>
      <c r="XA50" s="136">
        <v>2040</v>
      </c>
      <c r="XB50" s="314">
        <v>2150</v>
      </c>
      <c r="XC50" s="314">
        <v>2100</v>
      </c>
      <c r="XE50" s="314">
        <v>1920</v>
      </c>
      <c r="XF50" s="314">
        <f>1250+21+90</f>
        <v>1361</v>
      </c>
      <c r="XG50" s="72"/>
      <c r="XH50" s="314">
        <v>1250</v>
      </c>
      <c r="XI50" s="314">
        <v>1600</v>
      </c>
      <c r="XJ50" s="314">
        <v>2000</v>
      </c>
      <c r="XK50" s="314">
        <v>2060</v>
      </c>
      <c r="XL50" s="314"/>
      <c r="XM50" s="314">
        <v>1900</v>
      </c>
      <c r="XN50" s="314">
        <v>2000</v>
      </c>
      <c r="XO50" s="314">
        <v>2100</v>
      </c>
      <c r="XP50" s="314">
        <v>2100</v>
      </c>
      <c r="XQ50" s="314">
        <v>2100</v>
      </c>
      <c r="XR50" s="314">
        <v>2200</v>
      </c>
      <c r="XS50" s="173"/>
      <c r="XT50" s="314">
        <v>2100</v>
      </c>
      <c r="XU50" s="314">
        <v>2100</v>
      </c>
      <c r="XV50" s="314">
        <v>2150</v>
      </c>
      <c r="XW50" s="314">
        <v>2010</v>
      </c>
      <c r="XX50" s="314">
        <v>2100</v>
      </c>
      <c r="XY50" s="314">
        <v>2200</v>
      </c>
      <c r="XZ50" s="314">
        <v>2000</v>
      </c>
      <c r="YA50" s="314">
        <v>2200</v>
      </c>
      <c r="YB50" s="314">
        <v>2100</v>
      </c>
      <c r="YC50" s="136">
        <v>2200</v>
      </c>
      <c r="YD50" s="136">
        <v>2200</v>
      </c>
      <c r="YE50" s="124">
        <v>2200</v>
      </c>
      <c r="YF50" s="136">
        <f>411+750</f>
        <v>1161</v>
      </c>
      <c r="YG50" s="178"/>
      <c r="YH50" s="136">
        <v>1850</v>
      </c>
      <c r="YI50" s="136">
        <v>2120</v>
      </c>
      <c r="YJ50" s="314">
        <v>1900</v>
      </c>
      <c r="YL50" s="136">
        <f>1317+278</f>
        <v>1595</v>
      </c>
      <c r="YM50" s="74"/>
      <c r="YN50" s="136">
        <v>2300</v>
      </c>
      <c r="YP50" s="136">
        <v>2350</v>
      </c>
      <c r="YQ50" s="314">
        <v>2330</v>
      </c>
      <c r="YR50" s="314">
        <v>1950</v>
      </c>
      <c r="YS50" s="314">
        <v>2200</v>
      </c>
      <c r="YT50" s="314">
        <v>2200</v>
      </c>
      <c r="YU50" s="314">
        <v>2100</v>
      </c>
      <c r="YW50" s="139">
        <v>2200</v>
      </c>
      <c r="YX50" s="139">
        <v>2200</v>
      </c>
      <c r="YY50" s="139">
        <v>2000</v>
      </c>
      <c r="YZ50" s="139">
        <v>1800</v>
      </c>
      <c r="ZA50" s="139"/>
      <c r="ZB50" s="139">
        <v>1600</v>
      </c>
      <c r="ZC50" s="139"/>
      <c r="ZD50" s="124">
        <f>1119+100</f>
        <v>1219</v>
      </c>
      <c r="ZE50" s="139">
        <v>1450</v>
      </c>
      <c r="ZF50" s="139">
        <f>3+1700</f>
        <v>1703</v>
      </c>
      <c r="ZG50" s="139">
        <v>1730</v>
      </c>
      <c r="ZH50" s="139">
        <v>1600</v>
      </c>
      <c r="ZI50" s="139">
        <v>1200</v>
      </c>
      <c r="ZJ50" s="139"/>
      <c r="ZK50" s="139">
        <v>1650</v>
      </c>
      <c r="ZL50" s="139">
        <v>1800</v>
      </c>
      <c r="ZM50" s="139">
        <v>1800</v>
      </c>
      <c r="ZN50" s="139">
        <v>1720</v>
      </c>
      <c r="ZO50" s="139">
        <v>1650</v>
      </c>
      <c r="ZP50" s="139">
        <v>1600</v>
      </c>
      <c r="ZQ50" s="314"/>
      <c r="ZR50" s="74"/>
      <c r="ZS50" s="314"/>
      <c r="ZT50" s="314">
        <v>1850</v>
      </c>
      <c r="ZU50" s="314">
        <v>1850</v>
      </c>
      <c r="ZV50" s="314">
        <v>1900</v>
      </c>
      <c r="ZW50" s="124">
        <v>1700</v>
      </c>
      <c r="ZX50" s="136">
        <f>994+150</f>
        <v>1144</v>
      </c>
      <c r="ZZ50" s="136">
        <v>1110</v>
      </c>
      <c r="AAA50" s="136">
        <v>1300</v>
      </c>
      <c r="AAB50" s="136">
        <f>507+700</f>
        <v>1207</v>
      </c>
      <c r="AAC50" s="136">
        <v>1330</v>
      </c>
      <c r="AAD50" s="314">
        <f>1+1300</f>
        <v>1301</v>
      </c>
      <c r="AAE50" s="777"/>
      <c r="AAF50" s="705"/>
      <c r="AAG50" s="705"/>
      <c r="AAH50" s="705"/>
      <c r="AAI50" s="778"/>
      <c r="AAJ50" s="136">
        <v>1800</v>
      </c>
      <c r="AAK50" s="136">
        <f>542+510</f>
        <v>1052</v>
      </c>
      <c r="AAL50" s="136">
        <v>1650</v>
      </c>
      <c r="AAM50" s="136">
        <v>1600</v>
      </c>
      <c r="AAN50" s="124">
        <v>1910</v>
      </c>
      <c r="AAO50" s="136">
        <f>159+10+21+960</f>
        <v>1150</v>
      </c>
      <c r="AAP50" s="136">
        <v>1780</v>
      </c>
      <c r="AAQ50" s="136">
        <v>1928</v>
      </c>
      <c r="AAR50" s="314">
        <f>1300+8</f>
        <v>1308</v>
      </c>
      <c r="AAS50" s="136">
        <f>1500+12</f>
        <v>1512</v>
      </c>
      <c r="AAU50" s="136">
        <f>304+1150</f>
        <v>1454</v>
      </c>
      <c r="AAV50" s="136">
        <v>1860</v>
      </c>
      <c r="AAW50" s="136">
        <v>1240</v>
      </c>
      <c r="AAX50" s="72"/>
      <c r="AAY50" s="136">
        <f>2082+18</f>
        <v>2100</v>
      </c>
      <c r="AAZ50" s="136">
        <v>2200</v>
      </c>
      <c r="ABA50" s="136">
        <f>447+1330</f>
        <v>1777</v>
      </c>
      <c r="ABC50" s="136">
        <v>1950</v>
      </c>
      <c r="ABD50" s="314">
        <v>1600</v>
      </c>
      <c r="ABE50" s="314">
        <v>1520</v>
      </c>
      <c r="ABF50" s="314">
        <v>1900</v>
      </c>
      <c r="ABG50" s="314">
        <v>2000</v>
      </c>
      <c r="ABH50" s="314">
        <v>2060</v>
      </c>
      <c r="ABJ50" s="136">
        <v>2060</v>
      </c>
      <c r="ABK50" s="124">
        <f>1569+340</f>
        <v>1909</v>
      </c>
      <c r="ABL50" s="136">
        <v>2060</v>
      </c>
      <c r="ABM50" s="136">
        <v>2100</v>
      </c>
      <c r="ABN50" s="124">
        <f>1754+316</f>
        <v>2070</v>
      </c>
      <c r="ABO50" s="136">
        <v>2150</v>
      </c>
      <c r="ABP50" s="136">
        <v>1550</v>
      </c>
      <c r="ABQ50" s="124">
        <f>1655+200</f>
        <v>1855</v>
      </c>
      <c r="ABR50" s="136">
        <v>2100</v>
      </c>
      <c r="ABS50" s="136">
        <v>2000</v>
      </c>
      <c r="ABT50" s="136">
        <f>761+1240</f>
        <v>2001</v>
      </c>
      <c r="ABU50" s="136">
        <v>2160</v>
      </c>
      <c r="ABV50" s="124">
        <v>2102</v>
      </c>
      <c r="ABX50" s="314">
        <f>1+20+1550</f>
        <v>1571</v>
      </c>
      <c r="ABY50" s="136">
        <v>1654</v>
      </c>
      <c r="ABZ50" s="136">
        <f>1120+20+60</f>
        <v>1200</v>
      </c>
      <c r="ACA50" s="136">
        <v>950</v>
      </c>
      <c r="ACB50" s="314">
        <v>1360</v>
      </c>
      <c r="ACC50" s="72"/>
      <c r="ACD50" s="136">
        <f>654+20+600</f>
        <v>1274</v>
      </c>
      <c r="ACE50" s="314">
        <f>1400+4+20</f>
        <v>1424</v>
      </c>
      <c r="ACF50" s="314">
        <v>1980</v>
      </c>
      <c r="ACG50" s="136">
        <f>884+830</f>
        <v>1714</v>
      </c>
      <c r="ACH50" s="136">
        <v>2090</v>
      </c>
      <c r="ACI50" s="136">
        <f>80+1770</f>
        <v>1850</v>
      </c>
      <c r="ACJ50" s="136">
        <f>1246+80</f>
        <v>1326</v>
      </c>
      <c r="ACK50" s="314">
        <v>1260</v>
      </c>
      <c r="ACM50" s="314">
        <v>1350</v>
      </c>
      <c r="ACN50" s="136">
        <f>392+1060</f>
        <v>1452</v>
      </c>
      <c r="ACO50" s="314">
        <v>1960</v>
      </c>
      <c r="ACP50" s="136">
        <v>2200</v>
      </c>
      <c r="ACQ50" s="314">
        <v>2420</v>
      </c>
      <c r="ACR50" s="314">
        <v>2270</v>
      </c>
      <c r="ACS50" s="136">
        <v>2000</v>
      </c>
      <c r="ACT50" s="314">
        <v>2420</v>
      </c>
      <c r="ACU50" s="314">
        <v>2350</v>
      </c>
      <c r="ACV50" s="136">
        <v>1050</v>
      </c>
      <c r="ACW50" s="785"/>
      <c r="ACX50" s="786"/>
      <c r="ACY50" s="786"/>
      <c r="ACZ50" s="786"/>
      <c r="ADA50" s="786"/>
      <c r="ADB50" s="786"/>
      <c r="ADC50" s="786"/>
      <c r="ADD50" s="786"/>
      <c r="ADE50" s="786"/>
      <c r="ADF50" s="786"/>
      <c r="ADG50" s="787"/>
      <c r="ADH50" s="314"/>
      <c r="ADI50" s="72"/>
      <c r="ADJ50" s="314">
        <v>1450</v>
      </c>
      <c r="ADK50" s="314">
        <v>2150</v>
      </c>
      <c r="ADL50" s="314">
        <v>2200</v>
      </c>
      <c r="ADM50" s="314">
        <v>2200</v>
      </c>
      <c r="ADN50" s="124">
        <f>527+730</f>
        <v>1257</v>
      </c>
      <c r="ADO50" s="314"/>
      <c r="ADP50" s="314">
        <v>1760</v>
      </c>
      <c r="ADQ50" s="314">
        <f>480+1500</f>
        <v>1980</v>
      </c>
      <c r="ADR50" s="124">
        <f>1300+20</f>
        <v>1320</v>
      </c>
      <c r="ADS50" s="314">
        <v>1050</v>
      </c>
      <c r="ADT50" s="314">
        <f>980+18+72</f>
        <v>1070</v>
      </c>
      <c r="ADU50" s="314">
        <f>990+170</f>
        <v>1160</v>
      </c>
      <c r="ADV50" s="314">
        <v>960</v>
      </c>
      <c r="ADW50" s="314"/>
      <c r="ADY50" s="314">
        <v>1300</v>
      </c>
      <c r="ADZ50" s="136">
        <v>1320</v>
      </c>
      <c r="AEA50" s="136">
        <v>1700</v>
      </c>
      <c r="AEB50" s="124">
        <f>773+730</f>
        <v>1503</v>
      </c>
      <c r="AED50" s="314">
        <v>1700</v>
      </c>
      <c r="AEE50" s="314">
        <f>806+145</f>
        <v>951</v>
      </c>
      <c r="AEF50" s="314">
        <v>1450</v>
      </c>
      <c r="AEG50" s="124">
        <f>1033+20</f>
        <v>1053</v>
      </c>
      <c r="AEH50" s="136">
        <v>910</v>
      </c>
      <c r="AEI50" s="136">
        <v>1400</v>
      </c>
      <c r="AEK50" s="136">
        <f>758+360</f>
        <v>1118</v>
      </c>
      <c r="AEL50" s="314">
        <f>1650+1</f>
        <v>1651</v>
      </c>
      <c r="AEM50" s="314">
        <f>1692+8</f>
        <v>1700</v>
      </c>
      <c r="AEN50" s="136">
        <v>1440</v>
      </c>
      <c r="AEO50" s="72"/>
      <c r="AEP50" s="136">
        <v>950</v>
      </c>
      <c r="AEQ50" s="136">
        <f>1290+99</f>
        <v>1389</v>
      </c>
      <c r="AES50" s="136">
        <f>156+1320</f>
        <v>1476</v>
      </c>
      <c r="AET50" s="136">
        <v>1700</v>
      </c>
      <c r="AEU50" s="136">
        <f>73+1280</f>
        <v>1353</v>
      </c>
      <c r="AEV50" s="136">
        <f>277+291+250</f>
        <v>818</v>
      </c>
      <c r="AEW50" s="136">
        <v>1500</v>
      </c>
      <c r="AEX50" s="136">
        <f>1180+40</f>
        <v>1220</v>
      </c>
      <c r="AEZ50" s="136">
        <v>1300</v>
      </c>
      <c r="AFA50" s="136">
        <v>1850</v>
      </c>
      <c r="AFB50" s="136">
        <v>2000</v>
      </c>
      <c r="AFC50" s="314">
        <v>1750</v>
      </c>
      <c r="AFD50" s="314">
        <v>1600</v>
      </c>
      <c r="AFE50" s="314">
        <v>1960</v>
      </c>
      <c r="AFG50" s="314">
        <v>1850</v>
      </c>
      <c r="AFH50" s="314">
        <v>1450</v>
      </c>
      <c r="AFI50" s="124">
        <f>198+810</f>
        <v>1008</v>
      </c>
      <c r="AFJ50" s="124">
        <v>1700</v>
      </c>
      <c r="AFK50" s="136">
        <f>284+520</f>
        <v>804</v>
      </c>
      <c r="AFL50" s="136">
        <v>1800</v>
      </c>
      <c r="AFN50" s="136">
        <v>2100</v>
      </c>
      <c r="AFO50" s="136">
        <v>2000</v>
      </c>
      <c r="AFP50" s="136">
        <v>2100</v>
      </c>
      <c r="AFQ50" s="136">
        <v>2200</v>
      </c>
      <c r="AFR50" s="314">
        <v>2120</v>
      </c>
      <c r="AFS50" s="314">
        <v>1756</v>
      </c>
      <c r="AFT50" s="72"/>
      <c r="AFU50" s="314"/>
      <c r="AFV50" s="314">
        <v>1750</v>
      </c>
      <c r="AFW50" s="124">
        <f>1831+1</f>
        <v>1832</v>
      </c>
      <c r="AFX50" s="314">
        <v>1020</v>
      </c>
      <c r="AFY50" s="314">
        <v>1800</v>
      </c>
      <c r="AFZ50" s="314">
        <v>1600</v>
      </c>
      <c r="AGA50" s="314">
        <v>1900</v>
      </c>
      <c r="AGC50" s="314">
        <v>1920</v>
      </c>
      <c r="AGD50" s="314">
        <v>1920</v>
      </c>
      <c r="AGE50" s="314">
        <v>1950</v>
      </c>
      <c r="AGF50" s="314">
        <v>1950</v>
      </c>
      <c r="AGG50" s="314">
        <v>1700</v>
      </c>
      <c r="AGH50" s="314">
        <v>2000</v>
      </c>
      <c r="AGJ50" s="314">
        <v>1700</v>
      </c>
      <c r="AGK50" s="136">
        <v>1700</v>
      </c>
      <c r="AGL50" s="314">
        <v>1300</v>
      </c>
      <c r="AGM50" s="314">
        <v>1250</v>
      </c>
      <c r="AGN50" s="124">
        <f>687+373</f>
        <v>1060</v>
      </c>
      <c r="AGO50" s="314">
        <v>1600</v>
      </c>
      <c r="AGQ50" s="136">
        <v>2000</v>
      </c>
      <c r="AGR50" s="314">
        <v>1900</v>
      </c>
      <c r="AGS50" s="314">
        <v>1720</v>
      </c>
      <c r="AGT50" s="314">
        <v>2050</v>
      </c>
      <c r="AGU50" s="314">
        <v>2060</v>
      </c>
      <c r="AGV50" s="314">
        <v>2000</v>
      </c>
      <c r="AGW50" s="314"/>
      <c r="AGX50" s="136">
        <v>1900</v>
      </c>
      <c r="AGY50" s="136">
        <v>1800</v>
      </c>
      <c r="AGZ50" s="72"/>
      <c r="AHA50" s="124">
        <v>2168</v>
      </c>
      <c r="AHB50" s="136">
        <v>1750</v>
      </c>
      <c r="AHC50" s="124">
        <f>1342+25+109</f>
        <v>1476</v>
      </c>
      <c r="AHD50" s="314">
        <v>2000</v>
      </c>
      <c r="AHE50" s="314"/>
      <c r="AHF50" s="314">
        <v>2000</v>
      </c>
      <c r="AHG50" s="314">
        <v>1800</v>
      </c>
      <c r="AHH50" s="124">
        <v>2024</v>
      </c>
      <c r="AHI50" s="136">
        <f>153+150+150+450</f>
        <v>903</v>
      </c>
      <c r="AHJ50" s="136">
        <v>1800</v>
      </c>
      <c r="AHK50" s="314">
        <f>821+880</f>
        <v>1701</v>
      </c>
      <c r="AHM50" s="314">
        <v>1700</v>
      </c>
      <c r="AHN50" s="314">
        <f>301+60</f>
        <v>361</v>
      </c>
      <c r="AHO50" s="136">
        <v>800</v>
      </c>
      <c r="AHP50" s="136">
        <v>1500</v>
      </c>
      <c r="AHQ50" s="136">
        <v>2000</v>
      </c>
      <c r="AHR50" s="136">
        <v>1430</v>
      </c>
      <c r="AHT50" s="314">
        <v>1430</v>
      </c>
      <c r="AHU50" s="314">
        <v>1830</v>
      </c>
      <c r="AHV50" s="136">
        <v>1030</v>
      </c>
      <c r="AHW50" s="136">
        <v>1430</v>
      </c>
      <c r="AHX50" s="136">
        <v>1430</v>
      </c>
      <c r="AHY50" s="136">
        <v>1430</v>
      </c>
      <c r="AIA50" s="136">
        <f>800+630</f>
        <v>1430</v>
      </c>
      <c r="AIB50" s="136">
        <v>1430</v>
      </c>
      <c r="AIC50" s="136">
        <v>1430</v>
      </c>
      <c r="AID50" s="314">
        <v>1430</v>
      </c>
      <c r="AIE50" s="72"/>
      <c r="AIF50" s="124">
        <v>1200</v>
      </c>
      <c r="AIG50" s="314">
        <v>1630</v>
      </c>
      <c r="AII50" s="314">
        <v>1430</v>
      </c>
      <c r="AIJ50" s="314">
        <v>1430</v>
      </c>
      <c r="AIK50" s="314">
        <v>1260</v>
      </c>
      <c r="AIL50" s="314">
        <v>1600</v>
      </c>
      <c r="AIM50" s="136">
        <v>1670</v>
      </c>
      <c r="AIN50" s="136">
        <v>1190</v>
      </c>
      <c r="AIP50" s="136">
        <v>1430</v>
      </c>
      <c r="AIQ50" s="124">
        <v>950</v>
      </c>
      <c r="AIR50" s="136">
        <v>1430</v>
      </c>
      <c r="AIS50" s="136">
        <v>1430</v>
      </c>
      <c r="AIT50" s="136">
        <v>1220</v>
      </c>
      <c r="AIW50" s="136">
        <v>1600</v>
      </c>
      <c r="AIX50" s="136">
        <v>1600</v>
      </c>
      <c r="AIY50" s="124">
        <v>1700</v>
      </c>
      <c r="AIZ50" s="136">
        <v>600</v>
      </c>
      <c r="AJA50" s="136">
        <v>710</v>
      </c>
      <c r="AJB50" s="136">
        <v>1500</v>
      </c>
      <c r="AJD50" s="314">
        <v>1925</v>
      </c>
      <c r="AJE50" s="314">
        <v>1925</v>
      </c>
      <c r="AJF50" s="314">
        <v>1925</v>
      </c>
      <c r="AJG50" s="314">
        <v>1925</v>
      </c>
      <c r="AJH50" s="314">
        <v>1925</v>
      </c>
      <c r="AJI50" s="314">
        <v>1925</v>
      </c>
      <c r="AJK50" s="72"/>
      <c r="AJL50" s="314">
        <v>1925</v>
      </c>
      <c r="AJM50" s="314">
        <v>1925</v>
      </c>
      <c r="AJN50" s="314">
        <v>1925</v>
      </c>
      <c r="AJO50" s="314">
        <v>1925</v>
      </c>
      <c r="AJP50" s="136">
        <v>1925</v>
      </c>
      <c r="AJQ50" s="314">
        <v>1925</v>
      </c>
      <c r="AJS50" s="314">
        <v>1925</v>
      </c>
      <c r="AJT50" s="314">
        <v>1925</v>
      </c>
      <c r="AJU50" s="314">
        <v>1925</v>
      </c>
      <c r="AJV50" s="314">
        <v>1925</v>
      </c>
      <c r="AJW50" s="314">
        <v>1925</v>
      </c>
      <c r="AJX50" s="314">
        <v>1925</v>
      </c>
      <c r="AJZ50" s="314">
        <v>1925</v>
      </c>
      <c r="AKA50" s="314">
        <v>1925</v>
      </c>
      <c r="AKB50" s="124">
        <v>1775</v>
      </c>
      <c r="AKC50" s="136">
        <v>1430</v>
      </c>
      <c r="AKD50" s="136">
        <v>1430</v>
      </c>
      <c r="AKE50" s="136">
        <v>1430</v>
      </c>
      <c r="AKG50" s="124">
        <v>1630</v>
      </c>
      <c r="AKH50" s="314">
        <v>500</v>
      </c>
      <c r="AKI50" s="314">
        <v>1000</v>
      </c>
      <c r="AKJ50" s="314">
        <v>1500</v>
      </c>
      <c r="AKK50" s="314">
        <v>2200</v>
      </c>
      <c r="AKL50" s="314">
        <v>2200</v>
      </c>
      <c r="AKM50" s="314"/>
      <c r="AKN50" s="314">
        <v>2200</v>
      </c>
      <c r="AKO50" s="314">
        <v>2200</v>
      </c>
      <c r="AKP50" s="314">
        <v>2200</v>
      </c>
      <c r="AKQ50" s="72"/>
      <c r="AKR50" s="314">
        <v>2200</v>
      </c>
      <c r="AKS50" s="314">
        <v>2200</v>
      </c>
      <c r="AKT50" s="314">
        <v>2200</v>
      </c>
      <c r="AKV50" s="314">
        <v>2200</v>
      </c>
      <c r="AKW50" s="314">
        <v>2200</v>
      </c>
      <c r="AKX50" s="124">
        <v>2200</v>
      </c>
      <c r="AKY50" s="314">
        <v>2200</v>
      </c>
      <c r="AKZ50" s="314">
        <v>2200</v>
      </c>
      <c r="ALA50" s="314">
        <v>2200</v>
      </c>
      <c r="ALB50" s="314"/>
      <c r="ALC50" s="314">
        <v>2200</v>
      </c>
      <c r="ALD50" s="314">
        <v>2200</v>
      </c>
      <c r="ALE50" s="314">
        <v>2200</v>
      </c>
      <c r="ALF50" s="314">
        <v>2200</v>
      </c>
      <c r="ALG50" s="314">
        <v>2200</v>
      </c>
      <c r="ALH50" s="314">
        <v>2200</v>
      </c>
      <c r="ALI50" s="314"/>
      <c r="ALJ50" s="314">
        <v>2200</v>
      </c>
      <c r="ALK50" s="314">
        <v>2200</v>
      </c>
      <c r="ALL50" s="314"/>
      <c r="ALM50" s="314">
        <v>2200</v>
      </c>
      <c r="ALN50" s="314">
        <v>2200</v>
      </c>
      <c r="ALO50" s="314">
        <v>2200</v>
      </c>
      <c r="ALP50" s="314"/>
      <c r="ALQ50" s="314">
        <v>2200</v>
      </c>
      <c r="ALR50" s="314">
        <v>2200</v>
      </c>
      <c r="ALS50" s="314">
        <v>2200</v>
      </c>
      <c r="ALT50" s="72"/>
      <c r="ALU50" s="314">
        <v>2200</v>
      </c>
      <c r="ALV50" s="314">
        <v>2200</v>
      </c>
      <c r="ALW50" s="314">
        <v>2200</v>
      </c>
      <c r="ALX50" s="314"/>
      <c r="ALY50" s="314">
        <v>2200</v>
      </c>
      <c r="ALZ50" s="314">
        <v>2200</v>
      </c>
      <c r="AMA50" s="314">
        <v>2200</v>
      </c>
      <c r="AMB50" s="314">
        <v>2200</v>
      </c>
      <c r="AMC50" s="314">
        <v>2200</v>
      </c>
      <c r="AMD50" s="314">
        <v>2200</v>
      </c>
      <c r="AME50" s="314"/>
      <c r="AMF50" s="314">
        <v>2200</v>
      </c>
      <c r="AMG50" s="314">
        <v>2200</v>
      </c>
      <c r="AMH50" s="314">
        <v>2200</v>
      </c>
      <c r="AMI50" s="314">
        <v>2200</v>
      </c>
      <c r="AMJ50" s="314">
        <v>2200</v>
      </c>
      <c r="AMK50" s="124">
        <v>2200</v>
      </c>
      <c r="AML50" s="314"/>
      <c r="AMM50" s="314">
        <v>2200</v>
      </c>
      <c r="AMN50" s="314">
        <v>2200</v>
      </c>
      <c r="AMO50" s="314">
        <v>2200</v>
      </c>
      <c r="AMP50" s="314">
        <v>2200</v>
      </c>
      <c r="AMQ50" s="314">
        <v>2200</v>
      </c>
      <c r="AMR50" s="314">
        <v>2200</v>
      </c>
      <c r="AMS50" s="314"/>
      <c r="AMT50" s="314"/>
      <c r="AMU50" s="314">
        <v>2200</v>
      </c>
      <c r="AMV50" s="314">
        <v>2200</v>
      </c>
      <c r="AMW50" s="314">
        <v>2200</v>
      </c>
      <c r="AMX50" s="314">
        <v>2200</v>
      </c>
      <c r="AMY50" s="314">
        <v>2200</v>
      </c>
      <c r="AMZ50" s="72"/>
      <c r="ANB50" s="314">
        <v>1800</v>
      </c>
      <c r="ANC50" s="314">
        <v>1800</v>
      </c>
      <c r="AND50" s="314">
        <v>1800</v>
      </c>
      <c r="ANE50" s="124">
        <v>1800</v>
      </c>
      <c r="ANF50" s="314">
        <v>1800</v>
      </c>
      <c r="ANG50" s="314">
        <v>1800</v>
      </c>
      <c r="ANH50" s="314">
        <v>1800</v>
      </c>
      <c r="ANI50" s="314">
        <v>1800</v>
      </c>
      <c r="ANJ50" s="314">
        <v>1800</v>
      </c>
      <c r="ANK50" s="314">
        <v>1800</v>
      </c>
      <c r="ANL50" s="314">
        <v>1800</v>
      </c>
      <c r="ANM50" s="314">
        <v>1800</v>
      </c>
      <c r="ANN50" s="314"/>
      <c r="ANO50" s="314"/>
      <c r="ANP50" s="314">
        <v>1800</v>
      </c>
      <c r="ANQ50" s="314">
        <v>1800</v>
      </c>
      <c r="ANR50" s="314">
        <v>1800</v>
      </c>
      <c r="ANS50" s="124">
        <v>1800</v>
      </c>
      <c r="ANT50" s="603"/>
      <c r="ANU50" s="603"/>
      <c r="ANV50" s="603"/>
      <c r="ANW50" s="603"/>
      <c r="ANX50" s="603"/>
      <c r="ANY50" s="603"/>
      <c r="ANZ50" s="603"/>
      <c r="AOA50" s="603"/>
      <c r="AOB50" s="603"/>
      <c r="AOC50" s="603"/>
      <c r="AOD50" s="603"/>
      <c r="AOE50" s="72"/>
      <c r="AOF50" s="142"/>
      <c r="AOG50" s="142"/>
      <c r="AOH50" s="142"/>
      <c r="AOI50" s="142"/>
      <c r="AOJ50" s="142"/>
      <c r="AOK50" s="142"/>
      <c r="AOL50" s="142"/>
      <c r="AOM50" s="142"/>
      <c r="AON50" s="142"/>
      <c r="AOO50" s="184"/>
      <c r="AOP50" s="184"/>
      <c r="AOQ50" s="184"/>
      <c r="AOR50" s="184"/>
      <c r="APK50" s="72"/>
      <c r="APL50" s="603"/>
      <c r="APM50" s="603"/>
      <c r="APN50" s="603"/>
      <c r="APO50" s="603"/>
      <c r="APP50" s="603"/>
      <c r="APQ50" s="603"/>
      <c r="APR50" s="603"/>
      <c r="APS50" s="603"/>
      <c r="APT50" s="603"/>
      <c r="APU50" s="603"/>
      <c r="APV50" s="603"/>
      <c r="APW50" s="603"/>
      <c r="APX50" s="603"/>
      <c r="APY50" s="603"/>
      <c r="APZ50" s="603"/>
      <c r="AQA50" s="603"/>
      <c r="AQB50" s="603"/>
      <c r="AQC50" s="603"/>
      <c r="AQD50" s="603"/>
      <c r="AQE50" s="603"/>
      <c r="AQF50" s="603"/>
      <c r="AQG50" s="603"/>
      <c r="AQH50" s="603"/>
      <c r="AQI50" s="603"/>
      <c r="AQJ50" s="603"/>
      <c r="AQK50" s="603"/>
      <c r="AQL50" s="603"/>
      <c r="AQM50" s="603"/>
      <c r="AQN50" s="603"/>
      <c r="AQO50" s="603"/>
      <c r="AQP50" s="72"/>
      <c r="AQQ50" s="320"/>
      <c r="AQR50" s="320"/>
      <c r="AQS50" s="320"/>
      <c r="AQT50" s="320"/>
      <c r="AQU50" s="320"/>
      <c r="AQV50" s="320"/>
      <c r="AQW50" s="320"/>
      <c r="AQX50" s="142"/>
      <c r="AQY50" s="142"/>
      <c r="AQZ50" s="142"/>
      <c r="ARA50" s="142"/>
      <c r="ARB50" s="142"/>
      <c r="ARC50" s="142"/>
      <c r="ARD50" s="142"/>
      <c r="ARE50" s="142"/>
      <c r="ARF50" s="142"/>
      <c r="ARG50" s="320"/>
      <c r="ARH50" s="314"/>
      <c r="ARI50" s="314"/>
      <c r="ARJ50" s="314">
        <v>1540</v>
      </c>
      <c r="ARK50" s="314">
        <v>1540</v>
      </c>
      <c r="ARL50" s="314"/>
      <c r="ARM50" s="314">
        <v>1540</v>
      </c>
      <c r="ARN50" s="314">
        <v>1540</v>
      </c>
      <c r="ARO50" s="314">
        <v>1540</v>
      </c>
      <c r="ARP50" s="314">
        <v>1540</v>
      </c>
      <c r="ARQ50" s="314">
        <v>1540</v>
      </c>
      <c r="ARR50" s="314">
        <v>1540</v>
      </c>
      <c r="ARS50" s="314"/>
      <c r="ART50" s="314">
        <v>1540</v>
      </c>
      <c r="ARU50" s="314">
        <v>1540</v>
      </c>
      <c r="ARV50" s="72"/>
      <c r="ARW50" s="314">
        <v>1400</v>
      </c>
      <c r="ARX50" s="314">
        <v>1400</v>
      </c>
      <c r="ARY50" s="314">
        <v>1400</v>
      </c>
      <c r="ARZ50" s="314">
        <v>1400</v>
      </c>
      <c r="ASA50" s="314"/>
      <c r="ASB50" s="314">
        <v>1400</v>
      </c>
      <c r="ASC50" s="314">
        <v>1400</v>
      </c>
      <c r="ASD50" s="314">
        <v>1400</v>
      </c>
      <c r="ASE50" s="314">
        <v>1400</v>
      </c>
      <c r="ASF50" s="314">
        <v>1400</v>
      </c>
      <c r="ASG50" s="314">
        <v>1400</v>
      </c>
      <c r="ASH50" s="314"/>
      <c r="ASI50" s="314">
        <v>1400</v>
      </c>
      <c r="ASJ50" s="314">
        <v>1400</v>
      </c>
      <c r="ASK50" s="314"/>
      <c r="ASL50" s="314">
        <v>1400</v>
      </c>
      <c r="ASM50" s="314">
        <v>1400</v>
      </c>
      <c r="ASN50" s="314">
        <v>1400</v>
      </c>
      <c r="ASO50" s="314"/>
      <c r="ASP50" s="314">
        <v>1400</v>
      </c>
      <c r="ASQ50" s="314">
        <v>1400</v>
      </c>
      <c r="ASR50" s="314">
        <v>1400</v>
      </c>
      <c r="ASS50" s="314">
        <v>1400</v>
      </c>
      <c r="AST50" s="314">
        <v>1400</v>
      </c>
      <c r="ASU50" s="314">
        <v>1400</v>
      </c>
      <c r="ASV50" s="314"/>
      <c r="ASW50" s="314">
        <v>1400</v>
      </c>
      <c r="ASX50" s="314">
        <v>1400</v>
      </c>
      <c r="ASY50" s="314">
        <v>1400</v>
      </c>
      <c r="ASZ50" s="314">
        <v>1400</v>
      </c>
      <c r="ATA50" s="314">
        <v>1400</v>
      </c>
      <c r="ATB50" s="72"/>
      <c r="ATC50" s="314">
        <v>1400</v>
      </c>
      <c r="ATD50" s="314"/>
      <c r="ATE50" s="314">
        <v>1400</v>
      </c>
      <c r="ATF50" s="314">
        <v>1400</v>
      </c>
      <c r="ATG50" s="314">
        <v>1400</v>
      </c>
      <c r="ATH50" s="314">
        <v>1400</v>
      </c>
      <c r="ATI50" s="314">
        <v>1400</v>
      </c>
      <c r="ATJ50" s="314">
        <v>1400</v>
      </c>
      <c r="ATK50" s="314"/>
      <c r="ATL50" s="124">
        <v>1400</v>
      </c>
      <c r="ATM50" s="603"/>
      <c r="ATN50" s="603"/>
      <c r="ATO50" s="603"/>
      <c r="ATP50" s="603"/>
      <c r="ATQ50" s="603"/>
      <c r="ATR50" s="603"/>
      <c r="ATS50" s="603"/>
      <c r="ATT50" s="603"/>
      <c r="ATU50" s="603"/>
      <c r="ATV50" s="603"/>
      <c r="ATW50" s="603"/>
      <c r="ATX50" s="603"/>
      <c r="ATY50" s="603"/>
      <c r="ATZ50" s="603"/>
      <c r="AUA50" s="603"/>
      <c r="AUB50" s="603"/>
      <c r="AUC50" s="603"/>
      <c r="AUD50" s="603"/>
      <c r="AUE50" s="603"/>
      <c r="AUF50" s="603"/>
      <c r="AUG50" s="72"/>
      <c r="AUH50" s="310"/>
      <c r="AUI50" s="310"/>
      <c r="AUJ50" s="310"/>
      <c r="AUK50" s="310"/>
      <c r="AUL50" s="310"/>
      <c r="AUM50" s="310"/>
      <c r="AUN50" s="310"/>
      <c r="AUO50" s="310"/>
      <c r="AUP50" s="310"/>
      <c r="AUQ50" s="310"/>
      <c r="AUR50" s="310"/>
      <c r="AUS50" s="310"/>
      <c r="AUT50" s="310"/>
      <c r="AUU50" s="310"/>
      <c r="AUV50" s="310"/>
      <c r="AUW50" s="310"/>
      <c r="AUX50" s="310"/>
      <c r="AUY50" s="310"/>
      <c r="AUZ50" s="310"/>
      <c r="AVA50" s="310"/>
      <c r="AVB50" s="310"/>
      <c r="AVC50" s="310"/>
      <c r="AVD50" s="310"/>
      <c r="AVE50" s="310"/>
      <c r="AVF50" s="310"/>
      <c r="AVG50" s="310"/>
      <c r="AVH50" s="310"/>
      <c r="AVI50" s="310"/>
      <c r="AVJ50" s="310"/>
      <c r="AVK50" s="310"/>
      <c r="AVL50" s="310"/>
      <c r="AVM50" s="72"/>
      <c r="AVN50" s="603"/>
      <c r="AVO50" s="603"/>
      <c r="AVP50" s="603"/>
      <c r="AVQ50" s="603"/>
      <c r="AVR50" s="603"/>
      <c r="AVS50" s="603"/>
      <c r="AVT50" s="603"/>
      <c r="AVU50" s="603"/>
      <c r="AVV50" s="603"/>
      <c r="AVW50" s="603"/>
      <c r="AVX50" s="603"/>
      <c r="AVY50" s="603"/>
      <c r="AVZ50" s="603"/>
      <c r="AWA50" s="603"/>
      <c r="AWB50" s="603"/>
      <c r="AWC50" s="603"/>
      <c r="AWD50" s="603"/>
      <c r="AWE50" s="603"/>
      <c r="AWF50" s="603"/>
      <c r="AWG50" s="603"/>
      <c r="AWH50" s="603"/>
      <c r="AWI50" s="603"/>
      <c r="AWJ50" s="603"/>
      <c r="AWK50" s="603"/>
      <c r="AWL50" s="603"/>
      <c r="AWM50" s="603"/>
      <c r="AWN50" s="603"/>
      <c r="AWO50" s="603"/>
      <c r="AWP50" s="603"/>
      <c r="AWQ50" s="603"/>
      <c r="AWR50" s="72"/>
      <c r="AWS50" s="603"/>
      <c r="AWT50" s="603"/>
      <c r="AWU50" s="603"/>
      <c r="AWV50" s="603"/>
      <c r="AWW50" s="603"/>
      <c r="AWX50" s="603"/>
      <c r="AWY50" s="603"/>
      <c r="AWZ50" s="603"/>
      <c r="AXA50" s="603"/>
      <c r="AXB50" s="603"/>
      <c r="AXC50" s="603"/>
      <c r="AXD50" s="603"/>
      <c r="AXE50" s="603"/>
      <c r="AXF50" s="603"/>
      <c r="AXG50" s="603"/>
      <c r="AXH50" s="603"/>
      <c r="AXI50" s="603"/>
      <c r="AXJ50" s="603"/>
      <c r="AXK50" s="603"/>
      <c r="AXL50" s="603"/>
      <c r="AXM50" s="603"/>
      <c r="AXN50" s="603"/>
      <c r="AXO50" s="603"/>
      <c r="AXP50" s="603"/>
      <c r="AXQ50" s="603"/>
      <c r="AXR50" s="603"/>
      <c r="AXS50" s="603"/>
      <c r="AXT50" s="603"/>
      <c r="AXU50" s="603"/>
      <c r="AXV50" s="603"/>
      <c r="AXW50" s="603"/>
      <c r="AXX50" s="72"/>
    </row>
    <row r="51" spans="1:1324" s="164" customFormat="1" ht="22.8" customHeight="1" x14ac:dyDescent="0.25">
      <c r="A51" s="711"/>
      <c r="B51" s="8" t="s">
        <v>15</v>
      </c>
      <c r="C51" s="165" t="s">
        <v>65</v>
      </c>
      <c r="D51" s="166"/>
      <c r="E51" s="166"/>
      <c r="F51" s="166"/>
      <c r="G51" s="155" t="s">
        <v>74</v>
      </c>
      <c r="H51" s="156"/>
      <c r="I51" s="154"/>
      <c r="J51" s="154"/>
      <c r="K51" s="155" t="s">
        <v>68</v>
      </c>
      <c r="L51" s="156"/>
      <c r="M51" s="154"/>
      <c r="N51" s="154"/>
      <c r="O51" s="155" t="s">
        <v>48</v>
      </c>
      <c r="P51" s="156"/>
      <c r="Q51" s="154"/>
      <c r="R51" s="154"/>
      <c r="S51" s="155" t="s">
        <v>73</v>
      </c>
      <c r="T51" s="156"/>
      <c r="U51" s="154"/>
      <c r="V51" s="154"/>
      <c r="Z51" s="154"/>
      <c r="AA51" s="154"/>
      <c r="AB51" s="154"/>
      <c r="AC51" s="161" t="s">
        <v>90</v>
      </c>
      <c r="AD51" s="174"/>
      <c r="AE51" s="160"/>
      <c r="AF51" s="161" t="s">
        <v>91</v>
      </c>
      <c r="AG51" s="174"/>
      <c r="AH51" s="28" t="s">
        <v>15</v>
      </c>
      <c r="AI51" s="155" t="s">
        <v>95</v>
      </c>
      <c r="AJ51" s="156"/>
      <c r="AK51" s="158"/>
      <c r="AL51" s="158"/>
      <c r="AM51" s="158"/>
      <c r="AN51" s="158"/>
      <c r="AO51" s="158"/>
      <c r="AP51" s="158"/>
      <c r="AQ51" s="731"/>
      <c r="AR51" s="732"/>
      <c r="AS51" s="732"/>
      <c r="AT51" s="732"/>
      <c r="AU51" s="732"/>
      <c r="AV51" s="732"/>
      <c r="AW51" s="732"/>
      <c r="AX51" s="732"/>
      <c r="AY51" s="732"/>
      <c r="AZ51" s="733"/>
      <c r="BA51" s="157" t="s">
        <v>95</v>
      </c>
      <c r="BB51" s="158"/>
      <c r="BC51" s="158"/>
      <c r="BD51" s="158"/>
      <c r="BE51" s="158"/>
      <c r="BF51" s="158"/>
      <c r="BG51" s="158"/>
      <c r="BH51" s="158"/>
      <c r="BI51" s="158"/>
      <c r="BJ51" s="158"/>
      <c r="BK51" s="156"/>
      <c r="BL51" s="156"/>
      <c r="BM51" s="156"/>
      <c r="BN51" s="8" t="s">
        <v>15</v>
      </c>
      <c r="BO51" s="122" t="s">
        <v>608</v>
      </c>
      <c r="BP51" s="122"/>
      <c r="BQ51" s="122"/>
      <c r="BR51" s="122"/>
      <c r="BS51" s="155" t="s">
        <v>143</v>
      </c>
      <c r="BT51" s="156"/>
      <c r="BU51" s="158"/>
      <c r="BV51" s="158"/>
      <c r="BW51" s="158"/>
      <c r="BX51" s="158"/>
      <c r="BY51" s="158"/>
      <c r="BZ51" s="158"/>
      <c r="CA51" s="158"/>
      <c r="CB51" s="158"/>
      <c r="CC51" s="155" t="s">
        <v>144</v>
      </c>
      <c r="CD51" s="156"/>
      <c r="CE51" s="158"/>
      <c r="CF51" s="158"/>
      <c r="CG51" s="158"/>
      <c r="CH51" s="158"/>
      <c r="CI51" s="158"/>
      <c r="CJ51" s="158"/>
      <c r="CK51" s="158"/>
      <c r="CL51" s="158"/>
      <c r="CM51" s="158"/>
      <c r="CN51" s="158"/>
      <c r="CO51" s="158"/>
      <c r="CP51" s="155" t="s">
        <v>145</v>
      </c>
      <c r="CQ51" s="155"/>
      <c r="CR51" s="154"/>
      <c r="CS51" s="8" t="s">
        <v>15</v>
      </c>
      <c r="CT51" s="163" t="s">
        <v>197</v>
      </c>
      <c r="CU51" s="154"/>
      <c r="CV51" s="154"/>
      <c r="CW51" s="154"/>
      <c r="CX51" s="154"/>
      <c r="CY51" s="154"/>
      <c r="CZ51" s="154"/>
      <c r="DA51" s="154"/>
      <c r="DB51" s="154"/>
      <c r="DC51" s="154"/>
      <c r="DD51" s="154"/>
      <c r="DE51" s="154"/>
      <c r="DF51" s="154"/>
      <c r="DG51" s="154"/>
      <c r="DH51" s="154"/>
      <c r="DI51" s="154"/>
      <c r="DJ51" s="154"/>
      <c r="DK51" s="154"/>
      <c r="DL51" s="154"/>
      <c r="DM51" s="154"/>
      <c r="DN51" s="154"/>
      <c r="DO51" s="154"/>
      <c r="DP51" s="154"/>
      <c r="DQ51" s="154"/>
      <c r="DR51" s="154"/>
      <c r="DS51" s="154"/>
      <c r="DT51" s="154"/>
      <c r="DU51" s="154"/>
      <c r="DV51" s="154"/>
      <c r="DW51" s="154"/>
      <c r="DX51" s="154"/>
      <c r="DY51" s="8" t="s">
        <v>15</v>
      </c>
      <c r="DZ51" s="153" t="s">
        <v>197</v>
      </c>
      <c r="EA51" s="154"/>
      <c r="EB51" s="154"/>
      <c r="EC51" s="154"/>
      <c r="ED51" s="154"/>
      <c r="EE51" s="154"/>
      <c r="EF51" s="154"/>
      <c r="EG51" s="154"/>
      <c r="EH51" s="154"/>
      <c r="EI51" s="154"/>
      <c r="EJ51" s="154"/>
      <c r="EK51" s="154"/>
      <c r="EL51" s="154"/>
      <c r="EM51" s="154"/>
      <c r="EN51" s="154"/>
      <c r="EO51" s="154"/>
      <c r="EP51" s="154"/>
      <c r="EQ51" s="154"/>
      <c r="ER51" s="154"/>
      <c r="ES51" s="154"/>
      <c r="ET51" s="154"/>
      <c r="EU51" s="154"/>
      <c r="EV51" s="154"/>
      <c r="EW51" s="154"/>
      <c r="EX51" s="154"/>
      <c r="EY51" s="154"/>
      <c r="EZ51" s="154"/>
      <c r="FA51" s="154"/>
      <c r="FB51" s="154"/>
      <c r="FC51" s="154"/>
      <c r="FD51" s="8" t="s">
        <v>15</v>
      </c>
      <c r="FE51" s="153" t="s">
        <v>197</v>
      </c>
      <c r="FF51" s="154"/>
      <c r="FG51" s="154"/>
      <c r="FH51" s="154"/>
      <c r="FI51" s="154"/>
      <c r="FJ51" s="154"/>
      <c r="FK51" s="154"/>
      <c r="FL51" s="154"/>
      <c r="FM51" s="154"/>
      <c r="FN51" s="154"/>
      <c r="FO51" s="126" t="s">
        <v>305</v>
      </c>
      <c r="FP51" s="159"/>
      <c r="FQ51" s="171"/>
      <c r="FR51" s="171"/>
      <c r="FS51" s="171"/>
      <c r="FT51" s="171"/>
      <c r="FU51" s="171"/>
      <c r="FV51" s="171"/>
      <c r="FW51" s="155" t="s">
        <v>222</v>
      </c>
      <c r="FX51" s="159"/>
      <c r="FY51" s="154"/>
      <c r="FZ51" s="155" t="s">
        <v>221</v>
      </c>
      <c r="GA51" s="159"/>
      <c r="GB51" s="155" t="s">
        <v>312</v>
      </c>
      <c r="GC51" s="159"/>
      <c r="GD51" s="154"/>
      <c r="GE51" s="154"/>
      <c r="GF51" s="155" t="s">
        <v>416</v>
      </c>
      <c r="GG51" s="159"/>
      <c r="GH51" s="155" t="s">
        <v>417</v>
      </c>
      <c r="GI51" s="159"/>
      <c r="GJ51" s="8" t="s">
        <v>15</v>
      </c>
      <c r="GK51" s="155" t="s">
        <v>421</v>
      </c>
      <c r="GL51" s="155"/>
      <c r="GM51" s="162"/>
      <c r="GN51" s="162"/>
      <c r="GO51" s="155" t="s">
        <v>439</v>
      </c>
      <c r="GP51" s="156"/>
      <c r="GQ51" s="162"/>
      <c r="GR51" s="162"/>
      <c r="GS51" s="162"/>
      <c r="GT51" s="155" t="s">
        <v>438</v>
      </c>
      <c r="GU51" s="156"/>
      <c r="GV51" s="155" t="s">
        <v>418</v>
      </c>
      <c r="GW51" s="159"/>
      <c r="GX51" s="126" t="s">
        <v>424</v>
      </c>
      <c r="GY51" s="126"/>
      <c r="GZ51" s="171"/>
      <c r="HA51" s="171"/>
      <c r="HB51" s="171"/>
      <c r="HC51" s="171"/>
      <c r="HD51" s="126" t="s">
        <v>258</v>
      </c>
      <c r="HE51" s="155" t="s">
        <v>466</v>
      </c>
      <c r="HF51" s="156"/>
      <c r="HG51" s="154"/>
      <c r="HH51" s="154"/>
      <c r="HI51" s="154"/>
      <c r="HJ51" s="154"/>
      <c r="HK51" s="154"/>
      <c r="HL51" s="154"/>
      <c r="HM51" s="154"/>
      <c r="HN51" s="154"/>
      <c r="HO51" s="154"/>
      <c r="HP51" s="8" t="s">
        <v>15</v>
      </c>
      <c r="HQ51" s="153" t="s">
        <v>466</v>
      </c>
      <c r="HR51" s="153"/>
      <c r="HS51" s="153"/>
      <c r="HT51" s="153"/>
      <c r="HU51" s="153"/>
      <c r="HV51" s="153"/>
      <c r="HW51" s="153"/>
      <c r="HX51" s="153"/>
      <c r="HY51" s="153"/>
      <c r="HZ51" s="153"/>
      <c r="IA51" s="153"/>
      <c r="IB51" s="126" t="s">
        <v>609</v>
      </c>
      <c r="IC51" s="126"/>
      <c r="ID51" s="122"/>
      <c r="IE51" s="122"/>
      <c r="IF51" s="122"/>
      <c r="IG51" s="122"/>
      <c r="IH51" s="122"/>
      <c r="II51" s="122"/>
      <c r="IJ51" s="122"/>
      <c r="IK51" s="122"/>
      <c r="IL51" s="122"/>
      <c r="IM51" s="126" t="s">
        <v>315</v>
      </c>
      <c r="IN51" s="159"/>
      <c r="IO51" s="171"/>
      <c r="IP51" s="171"/>
      <c r="IQ51" s="171"/>
      <c r="IR51" s="171"/>
      <c r="IS51" s="171"/>
      <c r="IT51" s="8" t="s">
        <v>15</v>
      </c>
      <c r="IU51" s="171" t="s">
        <v>315</v>
      </c>
      <c r="IV51" s="126" t="s">
        <v>640</v>
      </c>
      <c r="IW51" s="126"/>
      <c r="IX51" s="171"/>
      <c r="IY51" s="171"/>
      <c r="IZ51" s="126" t="s">
        <v>515</v>
      </c>
      <c r="JA51" s="156"/>
      <c r="JB51" s="122"/>
      <c r="JC51" s="155" t="s">
        <v>526</v>
      </c>
      <c r="JD51" s="155"/>
      <c r="JE51" s="163"/>
      <c r="JF51" s="163"/>
      <c r="JG51" s="163"/>
      <c r="JH51" s="163"/>
      <c r="JI51" s="155" t="s">
        <v>473</v>
      </c>
      <c r="JJ51" s="155"/>
      <c r="JK51" s="153"/>
      <c r="JL51" s="153"/>
      <c r="JM51" s="153"/>
      <c r="JN51" s="153"/>
      <c r="JO51" s="153"/>
      <c r="JP51" s="153"/>
      <c r="JQ51" s="153"/>
      <c r="JR51" s="153"/>
      <c r="JS51" s="153"/>
      <c r="JT51" s="153"/>
      <c r="JU51" s="153"/>
      <c r="JV51" s="278"/>
      <c r="JW51" s="173"/>
      <c r="JX51" s="173"/>
      <c r="JY51" s="173"/>
      <c r="JZ51" s="12" t="s">
        <v>15</v>
      </c>
      <c r="KA51" s="173"/>
      <c r="KB51" s="173"/>
      <c r="KC51" s="173"/>
      <c r="KD51" s="173"/>
      <c r="KE51" s="173"/>
      <c r="KF51" s="173"/>
      <c r="KG51" s="173"/>
      <c r="KH51" s="173"/>
      <c r="KI51" s="173"/>
      <c r="KJ51" s="173"/>
      <c r="KK51" s="173"/>
      <c r="KL51" s="173"/>
      <c r="KM51" s="173"/>
      <c r="KN51" s="173"/>
      <c r="KO51" s="173"/>
      <c r="KP51" s="173"/>
      <c r="KQ51" s="173"/>
      <c r="KR51" s="173"/>
      <c r="KS51" s="173"/>
      <c r="KT51" s="173"/>
      <c r="KU51" s="173"/>
      <c r="KV51" s="173"/>
      <c r="KW51" s="173"/>
      <c r="KX51" s="173"/>
      <c r="KY51" s="280"/>
      <c r="KZ51" s="167"/>
      <c r="LA51" s="167"/>
      <c r="LB51" s="167">
        <f>LB49-LB50</f>
        <v>14715</v>
      </c>
      <c r="LC51" s="167"/>
      <c r="LD51" s="167"/>
      <c r="LE51" s="8" t="s">
        <v>15</v>
      </c>
      <c r="LF51" s="155" t="s">
        <v>739</v>
      </c>
      <c r="LG51" s="155"/>
      <c r="LH51" s="153"/>
      <c r="LI51" s="153"/>
      <c r="LJ51" s="153"/>
      <c r="LK51" s="153"/>
      <c r="LL51" s="153"/>
      <c r="LM51" s="153"/>
      <c r="LN51" s="153"/>
      <c r="LO51" s="153"/>
      <c r="LP51" s="153"/>
      <c r="LQ51" s="153"/>
      <c r="LR51" s="153"/>
      <c r="LS51" s="155" t="s">
        <v>700</v>
      </c>
      <c r="LT51" s="155"/>
      <c r="LU51" s="153"/>
      <c r="LV51" s="153"/>
      <c r="LW51" s="153"/>
      <c r="LX51" s="153"/>
      <c r="LY51" s="153"/>
      <c r="LZ51" s="153"/>
      <c r="MA51" s="153"/>
      <c r="MB51" s="716"/>
      <c r="MC51" s="717"/>
      <c r="MD51" s="717"/>
      <c r="ME51" s="718"/>
      <c r="MF51" s="155" t="s">
        <v>701</v>
      </c>
      <c r="MG51" s="155"/>
      <c r="MH51" s="153"/>
      <c r="MI51" s="153"/>
      <c r="MJ51" s="153"/>
      <c r="MK51" s="287" t="s">
        <v>15</v>
      </c>
      <c r="ML51" s="153" t="s">
        <v>702</v>
      </c>
      <c r="MM51" s="153"/>
      <c r="MN51" s="153"/>
      <c r="MO51" s="153"/>
      <c r="MP51" s="153"/>
      <c r="MQ51" s="153"/>
      <c r="MR51" s="153"/>
      <c r="MS51" s="153"/>
      <c r="MT51" s="153"/>
      <c r="MU51" s="153"/>
      <c r="MV51" s="317" t="s">
        <v>806</v>
      </c>
      <c r="MW51" s="155"/>
      <c r="MX51" s="316"/>
      <c r="MY51" s="316"/>
      <c r="MZ51" s="153"/>
      <c r="NA51" s="153"/>
      <c r="NB51" s="153"/>
      <c r="NC51" s="153"/>
      <c r="ND51" s="153"/>
      <c r="NE51" s="153"/>
      <c r="NF51" s="153"/>
      <c r="NG51" s="153"/>
      <c r="NH51" s="153"/>
      <c r="NI51" s="153"/>
      <c r="NJ51" s="153"/>
      <c r="NK51" s="316"/>
      <c r="NL51" s="316"/>
      <c r="NM51" s="155" t="s">
        <v>823</v>
      </c>
      <c r="NN51" s="155"/>
      <c r="NO51" s="153"/>
      <c r="NP51" s="8" t="s">
        <v>15</v>
      </c>
      <c r="NQ51" s="153" t="s">
        <v>703</v>
      </c>
      <c r="NR51" s="153"/>
      <c r="NS51" s="153"/>
      <c r="NT51" s="153"/>
      <c r="NU51" s="153"/>
      <c r="NV51" s="153"/>
      <c r="NW51" s="317" t="s">
        <v>824</v>
      </c>
      <c r="NX51" s="317"/>
      <c r="NY51" s="153"/>
      <c r="NZ51" s="153"/>
      <c r="OA51" s="153"/>
      <c r="OB51" s="153"/>
      <c r="OC51" s="153"/>
      <c r="OD51" s="316"/>
      <c r="OE51" s="317" t="s">
        <v>826</v>
      </c>
      <c r="OF51" s="317"/>
      <c r="OG51" s="153"/>
      <c r="OH51" s="153"/>
      <c r="OI51" s="153"/>
      <c r="OJ51" s="316"/>
      <c r="OK51" s="316"/>
      <c r="OL51" s="153"/>
      <c r="OM51" s="153"/>
      <c r="ON51" s="153"/>
      <c r="OO51" s="153"/>
      <c r="OP51" s="313" t="s">
        <v>1000</v>
      </c>
      <c r="OQ51" s="313"/>
      <c r="OR51" s="352"/>
      <c r="OS51" s="352"/>
      <c r="OT51" s="724"/>
      <c r="OU51" s="725"/>
      <c r="OV51" s="303" t="s">
        <v>15</v>
      </c>
      <c r="OW51" s="740"/>
      <c r="OX51" s="741"/>
      <c r="OY51" s="741"/>
      <c r="OZ51" s="741"/>
      <c r="PA51" s="741"/>
      <c r="PB51" s="741"/>
      <c r="PC51" s="742"/>
      <c r="PD51" s="323" t="s">
        <v>861</v>
      </c>
      <c r="PE51" s="323"/>
      <c r="PF51" s="324"/>
      <c r="PG51" s="324"/>
      <c r="PH51" s="324"/>
      <c r="PI51" s="324"/>
      <c r="PJ51" s="324"/>
      <c r="PK51" s="324"/>
      <c r="PL51" s="324"/>
      <c r="PM51" s="324"/>
      <c r="PN51" s="324"/>
      <c r="PO51" s="324"/>
      <c r="PP51" s="324"/>
      <c r="PQ51" s="324"/>
      <c r="PR51" s="324"/>
      <c r="PS51" s="324"/>
      <c r="PT51" s="324"/>
      <c r="PU51" s="324"/>
      <c r="PV51" s="324"/>
      <c r="PW51" s="324"/>
      <c r="PX51" s="324"/>
      <c r="PY51" s="324"/>
      <c r="PZ51" s="324"/>
      <c r="QA51" s="324"/>
      <c r="QB51" s="8" t="s">
        <v>15</v>
      </c>
      <c r="QC51" s="323" t="s">
        <v>978</v>
      </c>
      <c r="QD51" s="323"/>
      <c r="QE51" s="323"/>
      <c r="QF51" s="323"/>
      <c r="QG51" s="361" t="s">
        <v>1269</v>
      </c>
      <c r="QH51" s="318"/>
      <c r="QI51" s="319"/>
      <c r="QJ51" s="319"/>
      <c r="QK51" s="319"/>
      <c r="QL51" s="319"/>
      <c r="QM51" s="319"/>
      <c r="QN51" s="319"/>
      <c r="QO51" s="319"/>
      <c r="QP51" s="375"/>
      <c r="QQ51" s="375"/>
      <c r="QR51" s="375"/>
      <c r="QS51" s="375"/>
      <c r="QT51" s="375"/>
      <c r="QU51" s="210" t="s">
        <v>981</v>
      </c>
      <c r="QV51" s="210"/>
      <c r="QW51" s="171"/>
      <c r="QX51" s="361" t="s">
        <v>1084</v>
      </c>
      <c r="QY51" s="361"/>
      <c r="QZ51" s="316"/>
      <c r="RA51" s="316"/>
      <c r="RB51" s="316"/>
      <c r="RC51" s="316"/>
      <c r="RD51" s="316"/>
      <c r="RE51" s="316"/>
      <c r="RF51" s="316"/>
      <c r="RG51" s="8" t="s">
        <v>15</v>
      </c>
      <c r="RH51" s="316" t="s">
        <v>1084</v>
      </c>
      <c r="RI51" s="316"/>
      <c r="RJ51" s="316"/>
      <c r="RK51" s="316"/>
      <c r="RL51" s="316"/>
      <c r="RM51" s="316"/>
      <c r="RN51" s="361" t="s">
        <v>1296</v>
      </c>
      <c r="RO51" s="361"/>
      <c r="RP51" s="316"/>
      <c r="RQ51" s="316"/>
      <c r="RR51" s="316"/>
      <c r="RS51" s="316"/>
      <c r="RT51" s="361" t="s">
        <v>1432</v>
      </c>
      <c r="RU51" s="361"/>
      <c r="RV51" s="316"/>
      <c r="RW51" s="316"/>
      <c r="RX51" s="316"/>
      <c r="RY51" s="316"/>
      <c r="RZ51" s="316"/>
      <c r="SA51" s="361" t="s">
        <v>1440</v>
      </c>
      <c r="SB51" s="361"/>
      <c r="SC51" s="316"/>
      <c r="SD51" s="316"/>
      <c r="SE51" s="316"/>
      <c r="SF51" s="316"/>
      <c r="SG51" s="316"/>
      <c r="SH51" s="316"/>
      <c r="SI51" s="316"/>
      <c r="SJ51" s="316"/>
      <c r="SK51" s="316"/>
      <c r="SL51" s="316"/>
      <c r="SM51" s="8" t="s">
        <v>15</v>
      </c>
      <c r="SN51" s="316" t="s">
        <v>1440</v>
      </c>
      <c r="SO51" s="316"/>
      <c r="SP51" s="316"/>
      <c r="SQ51" s="361" t="s">
        <v>1405</v>
      </c>
      <c r="SR51" s="361"/>
      <c r="SS51" s="316"/>
      <c r="ST51" s="316"/>
      <c r="SU51" s="316"/>
      <c r="SV51" s="316"/>
      <c r="SW51" s="316"/>
      <c r="SX51" s="316"/>
      <c r="SY51" s="316"/>
      <c r="SZ51" s="316"/>
      <c r="TA51" s="361" t="s">
        <v>1613</v>
      </c>
      <c r="TB51" s="361"/>
      <c r="TC51" s="316"/>
      <c r="TD51" s="361" t="s">
        <v>1129</v>
      </c>
      <c r="TE51" s="361"/>
      <c r="TF51" s="316"/>
      <c r="TG51" s="316"/>
      <c r="TH51" s="316"/>
      <c r="TI51" s="361" t="s">
        <v>1434</v>
      </c>
      <c r="TJ51" s="361"/>
      <c r="TK51" s="319" t="s">
        <v>1434</v>
      </c>
      <c r="TL51" s="319"/>
      <c r="TM51" s="319"/>
      <c r="TN51" s="319"/>
      <c r="TO51" s="319"/>
      <c r="TP51" s="319"/>
      <c r="TQ51" s="319"/>
      <c r="TR51" s="8" t="s">
        <v>15</v>
      </c>
      <c r="TS51" s="319" t="s">
        <v>1434</v>
      </c>
      <c r="TT51" s="361" t="s">
        <v>1669</v>
      </c>
      <c r="TU51" s="361"/>
      <c r="TV51" s="316"/>
      <c r="TW51" s="361" t="s">
        <v>1670</v>
      </c>
      <c r="TX51" s="361"/>
      <c r="TY51" s="361" t="s">
        <v>1668</v>
      </c>
      <c r="TZ51" s="361"/>
      <c r="UA51" s="316" t="s">
        <v>1245</v>
      </c>
      <c r="UB51" s="361" t="s">
        <v>1667</v>
      </c>
      <c r="UC51" s="361"/>
      <c r="UD51" s="316"/>
      <c r="UE51" s="361" t="s">
        <v>1309</v>
      </c>
      <c r="UF51" s="361"/>
      <c r="UG51" s="316"/>
      <c r="UH51" s="316"/>
      <c r="UI51" s="316"/>
      <c r="UJ51" s="316"/>
      <c r="UK51" s="316"/>
      <c r="UL51" s="316"/>
      <c r="UM51" s="316"/>
      <c r="UN51" s="361" t="s">
        <v>1666</v>
      </c>
      <c r="UO51" s="361"/>
      <c r="UP51" s="316"/>
      <c r="UQ51" s="316"/>
      <c r="UR51" s="316"/>
      <c r="US51" s="316"/>
      <c r="UT51" s="316"/>
      <c r="UU51" s="316"/>
      <c r="UV51" s="361" t="s">
        <v>1376</v>
      </c>
      <c r="UW51" s="361"/>
      <c r="UX51" s="8" t="s">
        <v>15</v>
      </c>
      <c r="UY51" s="361" t="s">
        <v>1368</v>
      </c>
      <c r="UZ51" s="361" t="s">
        <v>1441</v>
      </c>
      <c r="VA51" s="361"/>
      <c r="VB51" s="316"/>
      <c r="VC51" s="316"/>
      <c r="VD51" s="316"/>
      <c r="VE51" s="316"/>
      <c r="VF51" s="316"/>
      <c r="VG51" s="316"/>
      <c r="VH51" s="316"/>
      <c r="VI51" s="316"/>
      <c r="VJ51" s="316"/>
      <c r="VK51" s="316"/>
      <c r="VL51" s="361" t="s">
        <v>1813</v>
      </c>
      <c r="VM51" s="318"/>
      <c r="VN51" s="319"/>
      <c r="VO51" s="319"/>
      <c r="VP51" s="319"/>
      <c r="VQ51" s="319"/>
      <c r="VR51" s="319"/>
      <c r="VS51" s="319"/>
      <c r="VT51" s="319"/>
      <c r="VU51" s="319"/>
      <c r="VV51" s="319"/>
      <c r="VW51" s="319"/>
      <c r="VX51" s="319"/>
      <c r="VY51" s="319"/>
      <c r="VZ51" s="319"/>
      <c r="WA51" s="319"/>
      <c r="WB51" s="319"/>
      <c r="WC51" s="319"/>
      <c r="WD51" s="8" t="s">
        <v>15</v>
      </c>
      <c r="WE51" s="319" t="s">
        <v>1813</v>
      </c>
      <c r="WF51" s="319"/>
      <c r="WG51" s="319"/>
      <c r="WH51" s="319"/>
      <c r="WI51" s="361" t="s">
        <v>2039</v>
      </c>
      <c r="WJ51" s="361"/>
      <c r="WK51" s="210" t="s">
        <v>1883</v>
      </c>
      <c r="WL51" s="210"/>
      <c r="WM51" s="180"/>
      <c r="WN51" s="180"/>
      <c r="WO51" s="180"/>
      <c r="WP51" s="361" t="s">
        <v>1959</v>
      </c>
      <c r="WQ51" s="361"/>
      <c r="WR51" s="316"/>
      <c r="WS51" s="316"/>
      <c r="WT51" s="316"/>
      <c r="WU51" s="316"/>
      <c r="WV51" s="316"/>
      <c r="WW51" s="316"/>
      <c r="WX51" s="361" t="s">
        <v>2027</v>
      </c>
      <c r="WY51" s="361"/>
      <c r="WZ51" s="316"/>
      <c r="XA51" s="316"/>
      <c r="XB51" s="316"/>
      <c r="XC51" s="316"/>
      <c r="XD51" s="316"/>
      <c r="XE51" s="345" t="s">
        <v>1898</v>
      </c>
      <c r="XF51" s="345"/>
      <c r="XG51" s="8" t="s">
        <v>15</v>
      </c>
      <c r="XH51" s="352" t="s">
        <v>1898</v>
      </c>
      <c r="XI51" s="352"/>
      <c r="XJ51" s="352"/>
      <c r="XK51" s="311"/>
      <c r="XL51" s="311"/>
      <c r="XM51" s="311"/>
      <c r="XN51" s="311"/>
      <c r="XO51" s="311"/>
      <c r="XP51" s="311"/>
      <c r="XQ51" s="311"/>
      <c r="XR51" s="311"/>
      <c r="XS51" s="311"/>
      <c r="XT51" s="311"/>
      <c r="XU51" s="311"/>
      <c r="XV51" s="311"/>
      <c r="XW51" s="311"/>
      <c r="XX51" s="311"/>
      <c r="XY51" s="311"/>
      <c r="XZ51" s="311"/>
      <c r="YA51" s="311"/>
      <c r="YB51" s="311"/>
      <c r="YC51" s="311"/>
      <c r="YD51" s="345" t="s">
        <v>1976</v>
      </c>
      <c r="YE51" s="345"/>
      <c r="YF51" s="311"/>
      <c r="YG51" s="311"/>
      <c r="YH51" s="311"/>
      <c r="YI51" s="523" t="s">
        <v>2070</v>
      </c>
      <c r="YJ51" s="523"/>
      <c r="YK51" s="311"/>
      <c r="YL51" s="311"/>
      <c r="YM51" s="8" t="s">
        <v>15</v>
      </c>
      <c r="YN51" s="352" t="s">
        <v>2070</v>
      </c>
      <c r="YO51" s="352"/>
      <c r="YP51" s="352"/>
      <c r="YQ51" s="352"/>
      <c r="YR51" s="352"/>
      <c r="YS51" s="352"/>
      <c r="YT51" s="352"/>
      <c r="YU51" s="352"/>
      <c r="YV51" s="352"/>
      <c r="YW51" s="352"/>
      <c r="YX51" s="352"/>
      <c r="YY51" s="352"/>
      <c r="YZ51" s="352"/>
      <c r="ZA51" s="352"/>
      <c r="ZB51" s="345" t="s">
        <v>1976</v>
      </c>
      <c r="ZC51" s="345"/>
      <c r="ZD51" s="352"/>
      <c r="ZE51" s="352"/>
      <c r="ZF51" s="352"/>
      <c r="ZG51" s="352"/>
      <c r="ZH51" s="352"/>
      <c r="ZI51" s="352"/>
      <c r="ZJ51" s="352"/>
      <c r="ZK51" s="352"/>
      <c r="ZL51" s="352"/>
      <c r="ZM51" s="352"/>
      <c r="ZN51" s="352"/>
      <c r="ZO51" s="352"/>
      <c r="ZP51" s="352"/>
      <c r="ZQ51" s="352"/>
      <c r="ZR51" s="8" t="s">
        <v>15</v>
      </c>
      <c r="ZS51" s="352" t="s">
        <v>1976</v>
      </c>
      <c r="ZT51" s="352"/>
      <c r="ZU51" s="352"/>
      <c r="ZV51" s="361" t="s">
        <v>2044</v>
      </c>
      <c r="ZW51" s="361"/>
      <c r="ZX51" s="316"/>
      <c r="ZY51" s="316"/>
      <c r="ZZ51" s="361" t="s">
        <v>2045</v>
      </c>
      <c r="AAA51" s="361"/>
      <c r="AAB51" s="361" t="s">
        <v>2043</v>
      </c>
      <c r="AAC51" s="361"/>
      <c r="AAD51" s="316"/>
      <c r="AAE51" s="777"/>
      <c r="AAF51" s="705"/>
      <c r="AAG51" s="705"/>
      <c r="AAH51" s="705"/>
      <c r="AAI51" s="778"/>
      <c r="AAJ51" s="15" t="s">
        <v>1896</v>
      </c>
      <c r="AAK51" s="352"/>
      <c r="AAL51" s="352"/>
      <c r="AAM51" s="361" t="s">
        <v>1985</v>
      </c>
      <c r="AAN51" s="361"/>
      <c r="AAO51" s="316"/>
      <c r="AAP51" s="361" t="s">
        <v>1990</v>
      </c>
      <c r="AAQ51" s="361"/>
      <c r="AAR51" s="361" t="s">
        <v>1991</v>
      </c>
      <c r="AAS51" s="361"/>
      <c r="AAT51" s="316"/>
      <c r="AAU51" s="316"/>
      <c r="AAV51" s="316"/>
      <c r="AAW51" s="316"/>
      <c r="AAX51" s="8" t="s">
        <v>15</v>
      </c>
      <c r="AAY51" s="361" t="s">
        <v>2271</v>
      </c>
      <c r="AAZ51" s="361"/>
      <c r="ABA51" s="316"/>
      <c r="ABB51" s="316"/>
      <c r="ABC51" s="316"/>
      <c r="ABD51" s="316"/>
      <c r="ABE51" s="316"/>
      <c r="ABF51" s="316"/>
      <c r="ABG51" s="316"/>
      <c r="ABH51" s="316"/>
      <c r="ABI51" s="361" t="s">
        <v>2273</v>
      </c>
      <c r="ABJ51" s="361"/>
      <c r="ABK51" s="316"/>
      <c r="ABL51" s="316"/>
      <c r="ABM51" s="361" t="s">
        <v>2274</v>
      </c>
      <c r="ABN51" s="361"/>
      <c r="ABO51" s="316"/>
      <c r="ABP51" s="361" t="s">
        <v>2275</v>
      </c>
      <c r="ABQ51" s="361"/>
      <c r="ABR51" s="316"/>
      <c r="ABS51" s="361" t="s">
        <v>2277</v>
      </c>
      <c r="ABT51" s="361"/>
      <c r="ABU51" s="361" t="s">
        <v>2086</v>
      </c>
      <c r="ABV51" s="361"/>
      <c r="ABW51" s="361" t="s">
        <v>2276</v>
      </c>
      <c r="ABX51" s="361"/>
      <c r="ABY51" s="361" t="s">
        <v>2089</v>
      </c>
      <c r="ABZ51" s="361"/>
      <c r="ACA51" s="361" t="s">
        <v>2276</v>
      </c>
      <c r="ACB51" s="361" t="s">
        <v>2173</v>
      </c>
      <c r="ACC51" s="7" t="s">
        <v>15</v>
      </c>
      <c r="ACD51" s="316" t="s">
        <v>2170</v>
      </c>
      <c r="ACE51" s="361" t="s">
        <v>2170</v>
      </c>
      <c r="ACF51" s="361"/>
      <c r="ACG51" s="361" t="s">
        <v>2171</v>
      </c>
      <c r="ACH51" s="361"/>
      <c r="ACI51" s="361" t="s">
        <v>2040</v>
      </c>
      <c r="ACJ51" s="361"/>
      <c r="ACK51" s="316"/>
      <c r="ACL51" s="345" t="s">
        <v>2189</v>
      </c>
      <c r="ACM51" s="345"/>
      <c r="ACN51" s="352"/>
      <c r="ACO51" s="352"/>
      <c r="ACP51" s="352"/>
      <c r="ACQ51" s="352"/>
      <c r="ACR51" s="352"/>
      <c r="ACS51" s="352"/>
      <c r="ACT51" s="352"/>
      <c r="ACU51" s="352"/>
      <c r="ACV51" s="352"/>
      <c r="ACW51" s="785"/>
      <c r="ACX51" s="786"/>
      <c r="ACY51" s="786"/>
      <c r="ACZ51" s="786"/>
      <c r="ADA51" s="786"/>
      <c r="ADB51" s="786"/>
      <c r="ADC51" s="786"/>
      <c r="ADD51" s="786"/>
      <c r="ADE51" s="786"/>
      <c r="ADF51" s="786"/>
      <c r="ADG51" s="787"/>
      <c r="ADH51" s="314"/>
      <c r="ADI51" s="7" t="s">
        <v>15</v>
      </c>
      <c r="ADJ51" s="352" t="s">
        <v>2189</v>
      </c>
      <c r="ADK51" s="352"/>
      <c r="ADL51" s="352"/>
      <c r="ADM51" s="361" t="s">
        <v>2091</v>
      </c>
      <c r="ADN51" s="361"/>
      <c r="ADO51" s="361" t="s">
        <v>2093</v>
      </c>
      <c r="ADP51" s="361"/>
      <c r="ADQ51" s="210" t="s">
        <v>2377</v>
      </c>
      <c r="ADR51" s="293"/>
      <c r="ADS51" s="210" t="s">
        <v>2441</v>
      </c>
      <c r="ADT51" s="210"/>
      <c r="ADU51" s="180"/>
      <c r="ADV51" s="180"/>
      <c r="ADW51" s="180"/>
      <c r="ADX51" s="180"/>
      <c r="ADY51" s="180"/>
      <c r="ADZ51" s="210" t="s">
        <v>2375</v>
      </c>
      <c r="AEA51" s="210"/>
      <c r="AEB51" s="180"/>
      <c r="AEC51" s="210" t="s">
        <v>2373</v>
      </c>
      <c r="AED51" s="210"/>
      <c r="AEE51" s="361" t="s">
        <v>2175</v>
      </c>
      <c r="AEF51" s="361"/>
      <c r="AEG51" s="316"/>
      <c r="AEH51" s="316"/>
      <c r="AEI51" s="361" t="s">
        <v>2176</v>
      </c>
      <c r="AEJ51" s="361"/>
      <c r="AEK51" s="316"/>
      <c r="AEL51" s="361" t="s">
        <v>2182</v>
      </c>
      <c r="AEM51" s="361"/>
      <c r="AEN51" s="361" t="s">
        <v>2174</v>
      </c>
      <c r="AEO51" s="7" t="s">
        <v>15</v>
      </c>
      <c r="AEP51" s="361" t="s">
        <v>2184</v>
      </c>
      <c r="AEQ51" s="361"/>
      <c r="AER51" s="316"/>
      <c r="AES51" s="361" t="s">
        <v>2175</v>
      </c>
      <c r="AET51" s="361" t="s">
        <v>2185</v>
      </c>
      <c r="AEU51" s="361"/>
      <c r="AEV51" s="316"/>
      <c r="AEW51" s="361" t="s">
        <v>2508</v>
      </c>
      <c r="AEX51" s="361"/>
      <c r="AEY51" s="316"/>
      <c r="AEZ51" s="316"/>
      <c r="AFA51" s="316"/>
      <c r="AFB51" s="316"/>
      <c r="AFC51" s="316"/>
      <c r="AFD51" s="316"/>
      <c r="AFE51" s="316"/>
      <c r="AFF51" s="316"/>
      <c r="AFG51" s="361" t="s">
        <v>2464</v>
      </c>
      <c r="AFH51" s="318"/>
      <c r="AFI51" s="361" t="s">
        <v>2404</v>
      </c>
      <c r="AFJ51" s="361"/>
      <c r="AFK51" s="316"/>
      <c r="AFL51" s="316"/>
      <c r="AFM51" s="316"/>
      <c r="AFN51" s="316"/>
      <c r="AFO51" s="316"/>
      <c r="AFP51" s="316"/>
      <c r="AFQ51" s="316"/>
      <c r="AFR51" s="361" t="s">
        <v>2405</v>
      </c>
      <c r="AFS51" s="361"/>
      <c r="AFT51" s="7" t="s">
        <v>15</v>
      </c>
      <c r="AFU51" s="316" t="s">
        <v>2405</v>
      </c>
      <c r="AFV51" s="345" t="s">
        <v>2601</v>
      </c>
      <c r="AFW51" s="345"/>
      <c r="AFX51" s="352"/>
      <c r="AFY51" s="352"/>
      <c r="AFZ51" s="352"/>
      <c r="AGA51" s="352"/>
      <c r="AGB51" s="352"/>
      <c r="AGC51" s="352"/>
      <c r="AGD51" s="352"/>
      <c r="AGE51" s="352"/>
      <c r="AGF51" s="352"/>
      <c r="AGG51" s="352"/>
      <c r="AGH51" s="352"/>
      <c r="AGI51" s="352"/>
      <c r="AGJ51" s="352"/>
      <c r="AGK51" s="352"/>
      <c r="AGL51" s="361" t="s">
        <v>2586</v>
      </c>
      <c r="AGM51" s="361"/>
      <c r="AGN51" s="316"/>
      <c r="AGO51" s="316"/>
      <c r="AGP51" s="316"/>
      <c r="AGQ51" s="316"/>
      <c r="AGR51" s="316"/>
      <c r="AGS51" s="316"/>
      <c r="AGT51" s="316"/>
      <c r="AGU51" s="316"/>
      <c r="AGV51" s="316"/>
      <c r="AGW51" s="316"/>
      <c r="AGX51" s="361" t="s">
        <v>2401</v>
      </c>
      <c r="AGY51" s="361"/>
      <c r="AGZ51" s="7" t="s">
        <v>15</v>
      </c>
      <c r="AHA51" s="316" t="s">
        <v>2401</v>
      </c>
      <c r="AHB51" s="361" t="s">
        <v>2443</v>
      </c>
      <c r="AHC51" s="361"/>
      <c r="AHD51" s="316"/>
      <c r="AHE51" s="316"/>
      <c r="AHF51" s="316"/>
      <c r="AHG51" s="361" t="s">
        <v>2584</v>
      </c>
      <c r="AHH51" s="361"/>
      <c r="AHI51" s="361" t="s">
        <v>2447</v>
      </c>
      <c r="AHJ51" s="361"/>
      <c r="AHK51" s="316"/>
      <c r="AHL51" s="376" t="s">
        <v>2614</v>
      </c>
      <c r="AHM51" s="524"/>
      <c r="AHN51" s="375"/>
      <c r="AHO51" s="375"/>
      <c r="AHP51" s="375"/>
      <c r="AHQ51" s="375"/>
      <c r="AHR51" s="375"/>
      <c r="AHT51" s="210" t="s">
        <v>2771</v>
      </c>
      <c r="AHU51" s="293"/>
      <c r="AHV51" s="180"/>
      <c r="AHW51" s="180"/>
      <c r="AHX51" s="210" t="s">
        <v>2763</v>
      </c>
      <c r="AHY51" s="293"/>
      <c r="AHZ51" s="180"/>
      <c r="AIA51" s="180"/>
      <c r="AIB51" s="180"/>
      <c r="AIC51" s="210" t="s">
        <v>2770</v>
      </c>
      <c r="AID51" s="210"/>
      <c r="AIE51" s="7" t="s">
        <v>15</v>
      </c>
      <c r="AIF51" s="180" t="s">
        <v>2770</v>
      </c>
      <c r="AIG51" s="180"/>
      <c r="AIH51" s="180"/>
      <c r="AII51" s="180"/>
      <c r="AIJ51" s="210" t="s">
        <v>2408</v>
      </c>
      <c r="AIK51" s="210"/>
      <c r="AIL51" s="210" t="s">
        <v>2596</v>
      </c>
      <c r="AIM51" s="210"/>
      <c r="AIN51" s="180"/>
      <c r="AIO51" s="180"/>
      <c r="AIP51" s="210" t="s">
        <v>2773</v>
      </c>
      <c r="AIQ51" s="210"/>
      <c r="AIR51" s="180"/>
      <c r="AIS51" s="210" t="s">
        <v>2734</v>
      </c>
      <c r="AIT51" s="210"/>
      <c r="AIU51" s="180"/>
      <c r="AIV51" s="180"/>
      <c r="AIW51" s="180"/>
      <c r="AIX51" s="361" t="s">
        <v>2775</v>
      </c>
      <c r="AIY51" s="361"/>
      <c r="AIZ51" s="361" t="s">
        <v>2532</v>
      </c>
      <c r="AJA51" s="361"/>
      <c r="AJB51" s="316"/>
      <c r="AJC51" s="316"/>
      <c r="AJD51" s="316"/>
      <c r="AJE51" s="316"/>
      <c r="AJF51" s="316"/>
      <c r="AJG51" s="316"/>
      <c r="AJH51" s="316"/>
      <c r="AJI51" s="316"/>
      <c r="AJJ51" s="316"/>
      <c r="AJK51" s="7" t="s">
        <v>15</v>
      </c>
      <c r="AJL51" s="316" t="s">
        <v>2532</v>
      </c>
      <c r="AJM51" s="316"/>
      <c r="AJN51" s="361" t="s">
        <v>2623</v>
      </c>
      <c r="AJO51" s="361"/>
      <c r="AJP51" s="316"/>
      <c r="AJQ51" s="316"/>
      <c r="AJR51" s="316"/>
      <c r="AJS51" s="361" t="s">
        <v>2535</v>
      </c>
      <c r="AJT51" s="361"/>
      <c r="AJU51" s="316"/>
      <c r="AJV51" s="316"/>
      <c r="AJW51" s="316"/>
      <c r="AJX51" s="316"/>
      <c r="AJY51" s="316"/>
      <c r="AJZ51" s="316"/>
      <c r="AKA51" s="210" t="s">
        <v>2420</v>
      </c>
      <c r="AKB51" s="210"/>
      <c r="AKC51" s="180"/>
      <c r="AKD51" s="180"/>
      <c r="AKE51" s="180"/>
      <c r="AKF51" s="361" t="s">
        <v>2784</v>
      </c>
      <c r="AKG51" s="318"/>
      <c r="AKH51" s="319"/>
      <c r="AKI51" s="319"/>
      <c r="AKJ51" s="319"/>
      <c r="AKK51" s="319"/>
      <c r="AKL51" s="319"/>
      <c r="AKM51" s="319"/>
      <c r="AKN51" s="319"/>
      <c r="AKO51" s="361" t="s">
        <v>2631</v>
      </c>
      <c r="AKP51" s="318"/>
      <c r="AKQ51" s="7" t="s">
        <v>15</v>
      </c>
      <c r="AKR51" s="319" t="s">
        <v>2631</v>
      </c>
      <c r="AKS51" s="319"/>
      <c r="AKT51" s="319"/>
      <c r="AKU51" s="319"/>
      <c r="AKV51" s="319"/>
      <c r="AKW51" s="319"/>
      <c r="AKX51" s="319"/>
      <c r="AKY51" s="319"/>
      <c r="AKZ51" s="319"/>
      <c r="ALA51" s="319"/>
      <c r="ALB51" s="319"/>
      <c r="ALC51" s="319"/>
      <c r="ALD51" s="319"/>
      <c r="ALE51" s="319"/>
      <c r="ALF51" s="319"/>
      <c r="ALG51" s="319"/>
      <c r="ALH51" s="319"/>
      <c r="ALI51" s="319"/>
      <c r="ALJ51" s="319"/>
      <c r="ALK51" s="319"/>
      <c r="ALL51" s="319"/>
      <c r="ALM51" s="319"/>
      <c r="ALN51" s="319"/>
      <c r="ALO51" s="319"/>
      <c r="ALP51" s="319"/>
      <c r="ALQ51" s="319"/>
      <c r="ALR51" s="319"/>
      <c r="ALS51" s="319"/>
      <c r="ALT51" s="7" t="s">
        <v>15</v>
      </c>
      <c r="ALU51" s="361" t="s">
        <v>2785</v>
      </c>
      <c r="ALV51" s="318"/>
      <c r="ALW51" s="319"/>
      <c r="ALX51" s="319"/>
      <c r="ALY51" s="319"/>
      <c r="ALZ51" s="319"/>
      <c r="AMA51" s="319"/>
      <c r="AMB51" s="319"/>
      <c r="AMC51" s="319"/>
      <c r="AMD51" s="319"/>
      <c r="AME51" s="319"/>
      <c r="AMF51" s="319"/>
      <c r="AMG51" s="319"/>
      <c r="AMH51" s="319"/>
      <c r="AMI51" s="319"/>
      <c r="AMJ51" s="361" t="s">
        <v>2786</v>
      </c>
      <c r="AMK51" s="318"/>
      <c r="AML51" s="319"/>
      <c r="AMM51" s="319"/>
      <c r="AMN51" s="319"/>
      <c r="AMO51" s="319"/>
      <c r="AMP51" s="319"/>
      <c r="AMQ51" s="319"/>
      <c r="AMR51" s="319"/>
      <c r="AMS51" s="319"/>
      <c r="AMT51" s="319"/>
      <c r="AMU51" s="319"/>
      <c r="AMV51" s="319"/>
      <c r="AMW51" s="319"/>
      <c r="AMX51" s="319"/>
      <c r="AMY51" s="319"/>
      <c r="AMZ51" s="7" t="s">
        <v>15</v>
      </c>
      <c r="ANA51" s="319" t="s">
        <v>2633</v>
      </c>
      <c r="ANB51" s="319"/>
      <c r="ANC51" s="319"/>
      <c r="AND51" s="361" t="s">
        <v>2836</v>
      </c>
      <c r="ANE51" s="318"/>
      <c r="ANF51" s="319"/>
      <c r="ANG51" s="319"/>
      <c r="ANH51" s="319"/>
      <c r="ANI51" s="319"/>
      <c r="ANJ51" s="319"/>
      <c r="ANK51" s="319"/>
      <c r="ANL51" s="319"/>
      <c r="ANM51" s="319"/>
      <c r="ANN51" s="319"/>
      <c r="ANO51" s="319"/>
      <c r="ANP51" s="319"/>
      <c r="ANQ51" s="319"/>
      <c r="ANR51" s="319"/>
      <c r="ANS51" s="319"/>
      <c r="ANT51" s="603"/>
      <c r="ANU51" s="603"/>
      <c r="ANV51" s="603"/>
      <c r="ANW51" s="603"/>
      <c r="ANX51" s="603"/>
      <c r="ANY51" s="603"/>
      <c r="ANZ51" s="603"/>
      <c r="AOA51" s="603"/>
      <c r="AOB51" s="603"/>
      <c r="AOC51" s="603"/>
      <c r="AOD51" s="603"/>
      <c r="AOE51" s="7" t="s">
        <v>15</v>
      </c>
      <c r="AOF51" s="159"/>
      <c r="AOG51" s="159"/>
      <c r="AOH51" s="159"/>
      <c r="AOI51" s="159"/>
      <c r="AOJ51" s="159"/>
      <c r="AOK51" s="159"/>
      <c r="AOL51" s="159"/>
      <c r="AOM51" s="159"/>
      <c r="AON51" s="159"/>
      <c r="AOO51" s="184"/>
      <c r="AOP51" s="184"/>
      <c r="AOQ51" s="184"/>
      <c r="AOR51" s="184"/>
      <c r="APK51" s="7" t="s">
        <v>15</v>
      </c>
      <c r="APL51" s="603"/>
      <c r="APM51" s="603"/>
      <c r="APN51" s="603"/>
      <c r="APO51" s="603"/>
      <c r="APP51" s="603"/>
      <c r="APQ51" s="603"/>
      <c r="APR51" s="603"/>
      <c r="APS51" s="603"/>
      <c r="APT51" s="603"/>
      <c r="APU51" s="603"/>
      <c r="APV51" s="603"/>
      <c r="APW51" s="603"/>
      <c r="APX51" s="603"/>
      <c r="APY51" s="603"/>
      <c r="APZ51" s="603"/>
      <c r="AQA51" s="603"/>
      <c r="AQB51" s="603"/>
      <c r="AQC51" s="603"/>
      <c r="AQD51" s="603"/>
      <c r="AQE51" s="603"/>
      <c r="AQF51" s="603"/>
      <c r="AQG51" s="603"/>
      <c r="AQH51" s="603"/>
      <c r="AQI51" s="603"/>
      <c r="AQJ51" s="603"/>
      <c r="AQK51" s="603"/>
      <c r="AQL51" s="603"/>
      <c r="AQM51" s="603"/>
      <c r="AQN51" s="603"/>
      <c r="AQO51" s="603"/>
      <c r="AQP51" s="7" t="s">
        <v>15</v>
      </c>
      <c r="AQQ51" s="320"/>
      <c r="AQR51" s="320"/>
      <c r="AQS51" s="320"/>
      <c r="AQT51" s="320"/>
      <c r="AQU51" s="320"/>
      <c r="AQV51" s="320"/>
      <c r="AQW51" s="320"/>
      <c r="AQX51" s="159"/>
      <c r="AQY51" s="159"/>
      <c r="AQZ51" s="159"/>
      <c r="ARA51" s="159"/>
      <c r="ARB51" s="159"/>
      <c r="ARC51" s="159"/>
      <c r="ARD51" s="159"/>
      <c r="ARE51" s="159"/>
      <c r="ARF51" s="159"/>
      <c r="ARG51" s="320"/>
      <c r="ARH51" s="210" t="s">
        <v>2686</v>
      </c>
      <c r="ARI51" s="210"/>
      <c r="ARJ51" s="180"/>
      <c r="ARK51" s="180"/>
      <c r="ARL51" s="180"/>
      <c r="ARM51" s="180"/>
      <c r="ARN51" s="180"/>
      <c r="ARO51" s="180"/>
      <c r="ARP51" s="180"/>
      <c r="ARQ51" s="180"/>
      <c r="ARR51" s="180"/>
      <c r="ARS51" s="180"/>
      <c r="ART51" s="180"/>
      <c r="ARU51" s="180"/>
      <c r="ARV51" s="7" t="s">
        <v>15</v>
      </c>
      <c r="ARW51" s="180" t="s">
        <v>2686</v>
      </c>
      <c r="ARX51" s="180"/>
      <c r="ARY51" s="180"/>
      <c r="ARZ51" s="180"/>
      <c r="ASA51" s="180"/>
      <c r="ASB51" s="180"/>
      <c r="ASC51" s="180"/>
      <c r="ASD51" s="180"/>
      <c r="ASE51" s="180"/>
      <c r="ASF51" s="180"/>
      <c r="ASG51" s="180"/>
      <c r="ASH51" s="180"/>
      <c r="ASI51" s="180"/>
      <c r="ASJ51" s="180"/>
      <c r="ASK51" s="180"/>
      <c r="ASL51" s="180"/>
      <c r="ASM51" s="180"/>
      <c r="ASN51" s="180"/>
      <c r="ASO51" s="180"/>
      <c r="ASP51" s="180"/>
      <c r="ASQ51" s="180"/>
      <c r="ASR51" s="180"/>
      <c r="ASS51" s="180"/>
      <c r="AST51" s="180"/>
      <c r="ASU51" s="180"/>
      <c r="ASV51" s="180"/>
      <c r="ASW51" s="180"/>
      <c r="ASX51" s="180"/>
      <c r="ASY51" s="180"/>
      <c r="ASZ51" s="180"/>
      <c r="ATA51" s="180"/>
      <c r="ATB51" s="7" t="s">
        <v>15</v>
      </c>
      <c r="ATC51" s="180" t="s">
        <v>2686</v>
      </c>
      <c r="ATD51" s="180"/>
      <c r="ATE51" s="180"/>
      <c r="ATF51" s="180"/>
      <c r="ATG51" s="180"/>
      <c r="ATH51" s="180"/>
      <c r="ATI51" s="180"/>
      <c r="ATJ51" s="180"/>
      <c r="ATK51" s="180"/>
      <c r="ATL51" s="180"/>
      <c r="ATM51" s="603"/>
      <c r="ATN51" s="603"/>
      <c r="ATO51" s="603"/>
      <c r="ATP51" s="603"/>
      <c r="ATQ51" s="603"/>
      <c r="ATR51" s="603"/>
      <c r="ATS51" s="603"/>
      <c r="ATT51" s="603"/>
      <c r="ATU51" s="603"/>
      <c r="ATV51" s="603"/>
      <c r="ATW51" s="603"/>
      <c r="ATX51" s="603"/>
      <c r="ATY51" s="603"/>
      <c r="ATZ51" s="603"/>
      <c r="AUA51" s="603"/>
      <c r="AUB51" s="603"/>
      <c r="AUC51" s="603"/>
      <c r="AUD51" s="603"/>
      <c r="AUE51" s="603"/>
      <c r="AUF51" s="603"/>
      <c r="AUG51" s="7" t="s">
        <v>15</v>
      </c>
      <c r="AUH51" s="310"/>
      <c r="AUI51" s="310"/>
      <c r="AUJ51" s="310"/>
      <c r="AUK51" s="310"/>
      <c r="AUL51" s="310"/>
      <c r="AUM51" s="310"/>
      <c r="AUN51" s="310"/>
      <c r="AUO51" s="310"/>
      <c r="AUP51" s="310"/>
      <c r="AUQ51" s="310"/>
      <c r="AUR51" s="310"/>
      <c r="AUS51" s="310"/>
      <c r="AUT51" s="310"/>
      <c r="AUU51" s="310"/>
      <c r="AUV51" s="310"/>
      <c r="AUW51" s="310"/>
      <c r="AUX51" s="310"/>
      <c r="AUY51" s="310"/>
      <c r="AUZ51" s="310"/>
      <c r="AVA51" s="310"/>
      <c r="AVB51" s="310"/>
      <c r="AVC51" s="310"/>
      <c r="AVD51" s="310"/>
      <c r="AVE51" s="310"/>
      <c r="AVF51" s="310"/>
      <c r="AVG51" s="310"/>
      <c r="AVH51" s="310"/>
      <c r="AVI51" s="310"/>
      <c r="AVJ51" s="310"/>
      <c r="AVK51" s="310"/>
      <c r="AVL51" s="310"/>
      <c r="AVM51" s="7" t="s">
        <v>15</v>
      </c>
      <c r="AVN51" s="603"/>
      <c r="AVO51" s="603"/>
      <c r="AVP51" s="603"/>
      <c r="AVQ51" s="603"/>
      <c r="AVR51" s="603"/>
      <c r="AVS51" s="603"/>
      <c r="AVT51" s="603"/>
      <c r="AVU51" s="603"/>
      <c r="AVV51" s="603"/>
      <c r="AVW51" s="603"/>
      <c r="AVX51" s="603"/>
      <c r="AVY51" s="603"/>
      <c r="AVZ51" s="603"/>
      <c r="AWA51" s="603"/>
      <c r="AWB51" s="603"/>
      <c r="AWC51" s="603"/>
      <c r="AWD51" s="603"/>
      <c r="AWE51" s="603"/>
      <c r="AWF51" s="603"/>
      <c r="AWG51" s="603"/>
      <c r="AWH51" s="603"/>
      <c r="AWI51" s="603"/>
      <c r="AWJ51" s="603"/>
      <c r="AWK51" s="603"/>
      <c r="AWL51" s="603"/>
      <c r="AWM51" s="603"/>
      <c r="AWN51" s="603"/>
      <c r="AWO51" s="603"/>
      <c r="AWP51" s="603"/>
      <c r="AWQ51" s="603"/>
      <c r="AWR51" s="7" t="s">
        <v>15</v>
      </c>
      <c r="AWS51" s="603"/>
      <c r="AWT51" s="603"/>
      <c r="AWU51" s="603"/>
      <c r="AWV51" s="603"/>
      <c r="AWW51" s="603"/>
      <c r="AWX51" s="603"/>
      <c r="AWY51" s="603"/>
      <c r="AWZ51" s="603"/>
      <c r="AXA51" s="603"/>
      <c r="AXB51" s="603"/>
      <c r="AXC51" s="603"/>
      <c r="AXD51" s="603"/>
      <c r="AXE51" s="603"/>
      <c r="AXF51" s="603"/>
      <c r="AXG51" s="603"/>
      <c r="AXH51" s="603"/>
      <c r="AXI51" s="603"/>
      <c r="AXJ51" s="603"/>
      <c r="AXK51" s="603"/>
      <c r="AXL51" s="603"/>
      <c r="AXM51" s="603"/>
      <c r="AXN51" s="603"/>
      <c r="AXO51" s="603"/>
      <c r="AXP51" s="603"/>
      <c r="AXQ51" s="603"/>
      <c r="AXR51" s="603"/>
      <c r="AXS51" s="603"/>
      <c r="AXT51" s="603"/>
      <c r="AXU51" s="603"/>
      <c r="AXV51" s="603"/>
      <c r="AXW51" s="603"/>
      <c r="AXX51" s="7" t="s">
        <v>15</v>
      </c>
    </row>
    <row r="52" spans="1:1324" s="136" customFormat="1" ht="22.8" customHeight="1" x14ac:dyDescent="0.25">
      <c r="A52" s="711"/>
      <c r="B52" s="74"/>
      <c r="H52" s="136">
        <v>500</v>
      </c>
      <c r="I52" s="136">
        <v>700</v>
      </c>
      <c r="J52" s="136">
        <v>900</v>
      </c>
      <c r="K52" s="136">
        <v>1620</v>
      </c>
      <c r="L52" s="136">
        <v>1620</v>
      </c>
      <c r="M52" s="136">
        <v>1620</v>
      </c>
      <c r="O52" s="136">
        <v>1620</v>
      </c>
      <c r="P52" s="136">
        <v>1620</v>
      </c>
      <c r="Q52" s="136">
        <v>1620</v>
      </c>
      <c r="R52" s="136">
        <v>1620</v>
      </c>
      <c r="S52" s="136">
        <v>1620</v>
      </c>
      <c r="T52" s="136">
        <v>1620</v>
      </c>
      <c r="V52" s="136">
        <v>1620</v>
      </c>
      <c r="W52" s="136">
        <v>1620</v>
      </c>
      <c r="X52" s="136">
        <v>1620</v>
      </c>
      <c r="Y52" s="136">
        <v>1620</v>
      </c>
      <c r="Z52" s="136">
        <v>1620</v>
      </c>
      <c r="AA52" s="136">
        <v>1620</v>
      </c>
      <c r="AC52" s="136">
        <v>500</v>
      </c>
      <c r="AD52" s="136">
        <v>700</v>
      </c>
      <c r="AE52" s="136">
        <v>1500</v>
      </c>
      <c r="AF52" s="136">
        <v>2160</v>
      </c>
      <c r="AG52" s="136">
        <v>2160</v>
      </c>
      <c r="AH52" s="75"/>
      <c r="AJ52" s="136">
        <v>1260</v>
      </c>
      <c r="AQ52" s="731"/>
      <c r="AR52" s="732"/>
      <c r="AS52" s="732"/>
      <c r="AT52" s="732"/>
      <c r="AU52" s="732"/>
      <c r="AV52" s="732"/>
      <c r="AW52" s="732"/>
      <c r="AX52" s="732"/>
      <c r="AY52" s="732"/>
      <c r="AZ52" s="733"/>
      <c r="BL52" s="136">
        <v>22800</v>
      </c>
      <c r="BN52" s="74"/>
      <c r="BU52" s="136">
        <v>8900</v>
      </c>
      <c r="BX52" s="136">
        <v>1133</v>
      </c>
      <c r="CD52" s="136">
        <v>4200</v>
      </c>
      <c r="CE52" s="136">
        <v>2400</v>
      </c>
      <c r="CF52" s="136">
        <v>2400</v>
      </c>
      <c r="CG52" s="136">
        <v>2400</v>
      </c>
      <c r="CI52" s="136">
        <v>2400</v>
      </c>
      <c r="CJ52" s="136">
        <v>2400</v>
      </c>
      <c r="CK52" s="136">
        <v>2400</v>
      </c>
      <c r="CL52" s="136">
        <v>2400</v>
      </c>
      <c r="CM52" s="136">
        <v>2400</v>
      </c>
      <c r="CN52" s="136">
        <v>2400</v>
      </c>
      <c r="CP52" s="136">
        <v>2400</v>
      </c>
      <c r="CR52" s="136">
        <v>2400</v>
      </c>
      <c r="CS52" s="74"/>
      <c r="CT52" s="139">
        <v>2500</v>
      </c>
      <c r="CU52" s="136">
        <v>2700</v>
      </c>
      <c r="CV52" s="139">
        <v>2300</v>
      </c>
      <c r="CX52" s="136">
        <v>2700</v>
      </c>
      <c r="CY52" s="136">
        <v>1933</v>
      </c>
      <c r="CZ52" s="139">
        <v>450</v>
      </c>
      <c r="DA52" s="136">
        <v>1150</v>
      </c>
      <c r="DB52" s="139">
        <v>1650</v>
      </c>
      <c r="DC52" s="136">
        <v>1700</v>
      </c>
      <c r="DE52" s="136">
        <v>594</v>
      </c>
      <c r="DF52" s="139"/>
      <c r="DH52" s="136">
        <v>3285</v>
      </c>
      <c r="DJ52" s="136">
        <v>3150</v>
      </c>
      <c r="DM52" s="136">
        <v>3124</v>
      </c>
      <c r="DS52" s="136">
        <v>4306</v>
      </c>
      <c r="DX52" s="136">
        <v>5284</v>
      </c>
      <c r="DY52" s="74"/>
      <c r="EA52" s="136">
        <v>1296</v>
      </c>
      <c r="EC52" s="136">
        <v>3015</v>
      </c>
      <c r="EF52" s="136">
        <v>2753</v>
      </c>
      <c r="EJ52" s="136">
        <v>3931</v>
      </c>
      <c r="EL52" s="136">
        <v>3075</v>
      </c>
      <c r="EO52" s="136">
        <v>1430</v>
      </c>
      <c r="EP52" s="136">
        <v>980</v>
      </c>
      <c r="EQ52" s="136">
        <v>2007</v>
      </c>
      <c r="ER52" s="136">
        <v>1000</v>
      </c>
      <c r="ES52" s="136">
        <v>1800</v>
      </c>
      <c r="ET52" s="136">
        <v>2232</v>
      </c>
      <c r="EV52" s="136">
        <v>1540</v>
      </c>
      <c r="EW52" s="136">
        <v>1800</v>
      </c>
      <c r="EX52" s="136">
        <v>1800</v>
      </c>
      <c r="EY52" s="136">
        <v>1800</v>
      </c>
      <c r="EZ52" s="137">
        <v>1200</v>
      </c>
      <c r="FA52" s="136">
        <v>450</v>
      </c>
      <c r="FC52" s="136">
        <v>900</v>
      </c>
      <c r="FD52" s="74"/>
      <c r="FE52" s="136">
        <v>870</v>
      </c>
      <c r="FF52" s="136">
        <v>965</v>
      </c>
      <c r="FG52" s="136">
        <v>1400</v>
      </c>
      <c r="FH52" s="136">
        <v>1650</v>
      </c>
      <c r="FI52" s="136">
        <v>1660</v>
      </c>
      <c r="FJ52" s="136">
        <v>1300</v>
      </c>
      <c r="FK52" s="136">
        <v>1520</v>
      </c>
      <c r="FL52" s="136">
        <v>1500</v>
      </c>
      <c r="FM52" s="137">
        <v>967</v>
      </c>
      <c r="FN52" s="136">
        <v>900</v>
      </c>
      <c r="FO52" s="136">
        <v>1200</v>
      </c>
      <c r="FP52" s="136">
        <v>1400</v>
      </c>
      <c r="FU52" s="137">
        <f>770+180</f>
        <v>950</v>
      </c>
      <c r="FV52" s="136">
        <v>800</v>
      </c>
      <c r="FW52" s="137">
        <f>598+210</f>
        <v>808</v>
      </c>
      <c r="FX52" s="136">
        <f>136+1450</f>
        <v>1586</v>
      </c>
      <c r="FY52" s="136">
        <v>2000</v>
      </c>
      <c r="FZ52" s="136">
        <v>1600</v>
      </c>
      <c r="GA52" s="136">
        <v>1520</v>
      </c>
      <c r="GB52" s="136">
        <v>1440</v>
      </c>
      <c r="GC52" s="136">
        <v>1440</v>
      </c>
      <c r="GD52" s="136">
        <v>1440</v>
      </c>
      <c r="GF52" s="137">
        <v>900</v>
      </c>
      <c r="GH52" s="136">
        <v>1440</v>
      </c>
      <c r="GI52" s="136">
        <v>1440</v>
      </c>
      <c r="GJ52" s="74"/>
      <c r="GK52" s="136">
        <v>1280</v>
      </c>
      <c r="GL52" s="136">
        <v>1440</v>
      </c>
      <c r="GN52" s="136">
        <v>1500</v>
      </c>
      <c r="GO52" s="137">
        <v>1077</v>
      </c>
      <c r="GP52" s="136">
        <v>800</v>
      </c>
      <c r="GQ52" s="136">
        <v>1500</v>
      </c>
      <c r="GR52" s="136">
        <v>2000</v>
      </c>
      <c r="GS52" s="136">
        <v>2000</v>
      </c>
      <c r="GU52" s="136">
        <v>1600</v>
      </c>
      <c r="GV52" s="136">
        <v>1700</v>
      </c>
      <c r="GW52" s="137">
        <v>1675</v>
      </c>
      <c r="GX52" s="136">
        <v>420</v>
      </c>
      <c r="GY52" s="136">
        <v>1760</v>
      </c>
      <c r="GZ52" s="136">
        <v>2375</v>
      </c>
      <c r="HB52" s="136">
        <v>2400</v>
      </c>
      <c r="HC52" s="136">
        <v>2850</v>
      </c>
      <c r="HD52" s="136">
        <v>2700</v>
      </c>
      <c r="HE52" s="136">
        <v>3120</v>
      </c>
      <c r="HF52" s="136">
        <v>2700</v>
      </c>
      <c r="HG52" s="137">
        <v>2742</v>
      </c>
      <c r="HI52" s="136">
        <v>2500</v>
      </c>
      <c r="HJ52" s="136">
        <v>3250</v>
      </c>
      <c r="HK52" s="136">
        <v>3300</v>
      </c>
      <c r="HL52" s="136">
        <v>3200</v>
      </c>
      <c r="HM52" s="136">
        <v>3000</v>
      </c>
      <c r="HN52" s="136">
        <v>2050</v>
      </c>
      <c r="HP52" s="74"/>
      <c r="HQ52" s="136">
        <v>2500</v>
      </c>
      <c r="HR52" s="137">
        <v>1655</v>
      </c>
      <c r="HS52" s="136">
        <v>870</v>
      </c>
      <c r="HT52" s="136">
        <v>1650</v>
      </c>
      <c r="HU52" s="136">
        <v>1800</v>
      </c>
      <c r="HV52" s="136">
        <v>1720</v>
      </c>
      <c r="HX52" s="136">
        <v>1310</v>
      </c>
      <c r="HY52" s="136">
        <v>1800</v>
      </c>
      <c r="HZ52" s="136">
        <v>2200</v>
      </c>
      <c r="IA52" s="137">
        <v>1027</v>
      </c>
      <c r="IB52" s="136">
        <v>1410</v>
      </c>
      <c r="IC52" s="136">
        <v>1700</v>
      </c>
      <c r="IE52" s="136">
        <v>1820</v>
      </c>
      <c r="IF52" s="136">
        <v>1900</v>
      </c>
      <c r="IG52" s="136">
        <v>1950</v>
      </c>
      <c r="IH52" s="137">
        <v>957</v>
      </c>
      <c r="II52" s="136">
        <v>700</v>
      </c>
      <c r="IJ52" s="136">
        <v>1200</v>
      </c>
      <c r="IL52" s="137">
        <v>499</v>
      </c>
      <c r="IM52" s="136">
        <v>850</v>
      </c>
      <c r="IN52" s="136">
        <v>1650</v>
      </c>
      <c r="IO52" s="136">
        <v>2100</v>
      </c>
      <c r="IP52" s="136">
        <v>2300</v>
      </c>
      <c r="IQ52" s="136">
        <v>2200</v>
      </c>
      <c r="IS52" s="136">
        <v>2300</v>
      </c>
      <c r="IT52" s="74"/>
      <c r="IU52" s="136">
        <v>2640</v>
      </c>
      <c r="IV52" s="136">
        <v>2640</v>
      </c>
      <c r="IW52" s="136">
        <v>2640</v>
      </c>
      <c r="IX52" s="136">
        <v>2420</v>
      </c>
      <c r="IY52" s="136">
        <v>2640</v>
      </c>
      <c r="JA52" s="136">
        <v>2700</v>
      </c>
      <c r="JB52" s="137">
        <f>568+532</f>
        <v>1100</v>
      </c>
      <c r="JC52" s="136">
        <v>1540</v>
      </c>
      <c r="JD52" s="136">
        <v>2090</v>
      </c>
      <c r="JE52" s="136">
        <v>2100</v>
      </c>
      <c r="JF52" s="136">
        <v>2150</v>
      </c>
      <c r="JG52" s="136">
        <v>1900</v>
      </c>
      <c r="JH52" s="137">
        <f>1079+530</f>
        <v>1609</v>
      </c>
      <c r="JI52" s="136">
        <v>1810</v>
      </c>
      <c r="JJ52" s="136">
        <v>2110</v>
      </c>
      <c r="JL52" s="136">
        <v>1940</v>
      </c>
      <c r="JM52" s="136">
        <v>1520</v>
      </c>
      <c r="JO52" s="136">
        <v>1550</v>
      </c>
      <c r="JP52" s="136">
        <v>1520</v>
      </c>
      <c r="JQ52" s="136">
        <v>1520</v>
      </c>
      <c r="JR52" s="136">
        <v>1100</v>
      </c>
      <c r="JS52" s="137">
        <f>533+100</f>
        <v>633</v>
      </c>
      <c r="JV52" s="278"/>
      <c r="JW52" s="173"/>
      <c r="JX52" s="173"/>
      <c r="JY52" s="173"/>
      <c r="JZ52" s="281"/>
      <c r="KA52" s="173"/>
      <c r="KB52" s="173"/>
      <c r="KC52" s="173"/>
      <c r="KD52" s="173"/>
      <c r="KE52" s="173"/>
      <c r="KF52" s="173"/>
      <c r="KG52" s="173"/>
      <c r="KH52" s="173"/>
      <c r="KI52" s="173"/>
      <c r="KJ52" s="173"/>
      <c r="KK52" s="173"/>
      <c r="KL52" s="173"/>
      <c r="KM52" s="173"/>
      <c r="KN52" s="173"/>
      <c r="KO52" s="173"/>
      <c r="KP52" s="173"/>
      <c r="KQ52" s="173"/>
      <c r="KR52" s="173"/>
      <c r="KS52" s="173"/>
      <c r="KT52" s="173"/>
      <c r="KU52" s="173"/>
      <c r="KV52" s="173"/>
      <c r="KW52" s="173"/>
      <c r="KX52" s="173"/>
      <c r="KY52" s="280"/>
      <c r="KZ52" s="167"/>
      <c r="LA52" s="167"/>
      <c r="LB52" s="167"/>
      <c r="LC52" s="167"/>
      <c r="LD52" s="167"/>
      <c r="LE52" s="74"/>
      <c r="LK52" s="136">
        <v>700</v>
      </c>
      <c r="LL52" s="136">
        <v>1200</v>
      </c>
      <c r="LN52" s="136">
        <f>725+320</f>
        <v>1045</v>
      </c>
      <c r="LO52" s="136">
        <v>1440</v>
      </c>
      <c r="LP52" s="136">
        <v>1600</v>
      </c>
      <c r="LQ52" s="136">
        <v>1600</v>
      </c>
      <c r="LR52" s="136">
        <v>1400</v>
      </c>
      <c r="LS52" s="136">
        <v>1600</v>
      </c>
      <c r="LU52" s="136">
        <v>1550</v>
      </c>
      <c r="LV52" s="136">
        <v>1250</v>
      </c>
      <c r="LW52" s="136">
        <v>1600</v>
      </c>
      <c r="LX52" s="136">
        <v>1600</v>
      </c>
      <c r="LY52" s="136">
        <v>1600</v>
      </c>
      <c r="LZ52" s="136">
        <f>667+440</f>
        <v>1107</v>
      </c>
      <c r="MA52" s="136">
        <v>1350</v>
      </c>
      <c r="MB52" s="716"/>
      <c r="MC52" s="717"/>
      <c r="MD52" s="717"/>
      <c r="ME52" s="718"/>
      <c r="MF52" s="137">
        <v>1700</v>
      </c>
      <c r="MG52" s="136">
        <f>680+450</f>
        <v>1130</v>
      </c>
      <c r="MI52" s="137">
        <f>507+1000</f>
        <v>1507</v>
      </c>
      <c r="MJ52" s="136">
        <v>1800</v>
      </c>
      <c r="MK52" s="286"/>
      <c r="ML52" s="136">
        <v>2200</v>
      </c>
      <c r="MM52" s="314">
        <v>2200</v>
      </c>
      <c r="MN52" s="314">
        <v>2200</v>
      </c>
      <c r="MO52" s="314">
        <v>2250</v>
      </c>
      <c r="MQ52" s="315">
        <v>2250</v>
      </c>
      <c r="MR52" s="136">
        <v>2250</v>
      </c>
      <c r="MS52" s="136">
        <v>2310</v>
      </c>
      <c r="MT52" s="136">
        <v>2310</v>
      </c>
      <c r="MU52" s="136">
        <v>2310</v>
      </c>
      <c r="MV52" s="315">
        <v>2310</v>
      </c>
      <c r="MX52" s="136">
        <f>338+1160</f>
        <v>1498</v>
      </c>
      <c r="MY52" s="136">
        <v>2100</v>
      </c>
      <c r="MZ52" s="365">
        <v>1881</v>
      </c>
      <c r="NA52" s="314">
        <v>700</v>
      </c>
      <c r="NB52" s="314">
        <v>1650</v>
      </c>
      <c r="NC52" s="314">
        <v>2050</v>
      </c>
      <c r="NE52" s="136">
        <v>2000</v>
      </c>
      <c r="NF52" s="136">
        <v>2420</v>
      </c>
      <c r="NG52" s="314">
        <v>2300</v>
      </c>
      <c r="NH52" s="365">
        <f>1020+190</f>
        <v>1210</v>
      </c>
      <c r="NI52" s="314">
        <v>1650</v>
      </c>
      <c r="NJ52" s="136">
        <v>1980</v>
      </c>
      <c r="NL52" s="314">
        <v>1250</v>
      </c>
      <c r="NM52" s="314">
        <f>495+460</f>
        <v>955</v>
      </c>
      <c r="NN52" s="314">
        <v>1540</v>
      </c>
      <c r="NO52" s="314">
        <v>1800</v>
      </c>
      <c r="NP52" s="74"/>
      <c r="NQ52" s="314">
        <v>2000</v>
      </c>
      <c r="NR52" s="136">
        <v>2100</v>
      </c>
      <c r="NT52" s="136">
        <v>2050</v>
      </c>
      <c r="NU52" s="136">
        <v>2100</v>
      </c>
      <c r="NV52" s="136">
        <v>2100</v>
      </c>
      <c r="NW52" s="136">
        <v>1900</v>
      </c>
      <c r="NX52" s="314">
        <f>954+360</f>
        <v>1314</v>
      </c>
      <c r="NY52" s="314">
        <v>1650</v>
      </c>
      <c r="NZ52" s="314"/>
      <c r="OA52" s="136">
        <v>1800</v>
      </c>
      <c r="OB52" s="136">
        <v>2200</v>
      </c>
      <c r="OC52" s="365">
        <f>1103+200</f>
        <v>1303</v>
      </c>
      <c r="OD52" s="136">
        <v>1500</v>
      </c>
      <c r="OE52" s="136">
        <v>2000</v>
      </c>
      <c r="OF52" s="136">
        <v>2310</v>
      </c>
      <c r="OH52" s="314">
        <v>2420</v>
      </c>
      <c r="OI52" s="314">
        <v>2420</v>
      </c>
      <c r="OJ52" s="314">
        <v>1800</v>
      </c>
      <c r="OK52" s="136">
        <v>2420</v>
      </c>
      <c r="OL52" s="136">
        <v>2420</v>
      </c>
      <c r="OM52" s="136">
        <v>2420</v>
      </c>
      <c r="ON52" s="136">
        <v>1800</v>
      </c>
      <c r="OO52" s="136">
        <v>2420</v>
      </c>
      <c r="OP52" s="136">
        <v>2420</v>
      </c>
      <c r="OQ52" s="136">
        <v>2420</v>
      </c>
      <c r="OR52" s="365">
        <f>1717+10</f>
        <v>1727</v>
      </c>
      <c r="OS52" s="136">
        <v>1000</v>
      </c>
      <c r="OT52" s="724"/>
      <c r="OU52" s="725"/>
      <c r="OW52" s="740"/>
      <c r="OX52" s="741"/>
      <c r="OY52" s="741"/>
      <c r="OZ52" s="741"/>
      <c r="PA52" s="741"/>
      <c r="PB52" s="741"/>
      <c r="PC52" s="742"/>
      <c r="PD52" s="314">
        <v>1850</v>
      </c>
      <c r="PE52" s="136">
        <v>2100</v>
      </c>
      <c r="PF52" s="136">
        <v>2200</v>
      </c>
      <c r="PG52" s="136">
        <v>2200</v>
      </c>
      <c r="PH52" s="365">
        <f>610+1610</f>
        <v>2220</v>
      </c>
      <c r="PI52" s="136">
        <v>2300</v>
      </c>
      <c r="PL52" s="314">
        <v>2530</v>
      </c>
      <c r="PM52" s="314">
        <v>2310</v>
      </c>
      <c r="PN52" s="136">
        <v>2420</v>
      </c>
      <c r="PO52" s="136">
        <v>2200</v>
      </c>
      <c r="PP52" s="136">
        <v>2640</v>
      </c>
      <c r="PR52" s="136">
        <v>2160</v>
      </c>
      <c r="PS52" s="136">
        <v>2100</v>
      </c>
      <c r="PT52" s="136">
        <v>2100</v>
      </c>
      <c r="PU52" s="136">
        <v>2160</v>
      </c>
      <c r="PV52" s="136">
        <v>2070</v>
      </c>
      <c r="PW52" s="314">
        <v>1750</v>
      </c>
      <c r="PX52" s="314"/>
      <c r="PY52" s="314">
        <v>1800</v>
      </c>
      <c r="PZ52" s="314">
        <v>2200</v>
      </c>
      <c r="QA52" s="314">
        <v>2210</v>
      </c>
      <c r="QB52" s="74"/>
      <c r="QC52" s="314">
        <v>2400</v>
      </c>
      <c r="QD52" s="314">
        <v>2400</v>
      </c>
      <c r="QE52" s="314">
        <v>2400</v>
      </c>
      <c r="QF52" s="314"/>
      <c r="QG52" s="365">
        <v>1999</v>
      </c>
      <c r="QH52" s="314">
        <v>1100</v>
      </c>
      <c r="QI52" s="136">
        <v>1500</v>
      </c>
      <c r="QJ52" s="136">
        <v>2000</v>
      </c>
      <c r="QK52" s="136">
        <v>2100</v>
      </c>
      <c r="QL52" s="136">
        <v>2530</v>
      </c>
      <c r="QM52" s="314">
        <v>2300</v>
      </c>
      <c r="QN52" s="136">
        <v>2530</v>
      </c>
      <c r="QO52" s="136">
        <v>2970</v>
      </c>
      <c r="QQ52" s="314">
        <v>2750</v>
      </c>
      <c r="QR52" s="314">
        <v>3020</v>
      </c>
      <c r="QS52" s="314">
        <v>2800</v>
      </c>
      <c r="QT52" s="314"/>
      <c r="QU52" s="365">
        <f>438+10</f>
        <v>448</v>
      </c>
      <c r="QV52" s="314">
        <f>70+200</f>
        <v>270</v>
      </c>
      <c r="QW52" s="314">
        <v>1000</v>
      </c>
      <c r="QX52" s="314">
        <v>1300</v>
      </c>
      <c r="QY52" s="314">
        <v>1020</v>
      </c>
      <c r="QZ52" s="314">
        <v>1300</v>
      </c>
      <c r="RA52" s="314"/>
      <c r="RB52" s="314">
        <v>1450</v>
      </c>
      <c r="RC52" s="314">
        <v>1500</v>
      </c>
      <c r="RD52" s="314">
        <v>1600</v>
      </c>
      <c r="RE52" s="314">
        <v>1280</v>
      </c>
      <c r="RF52" s="314">
        <v>1270</v>
      </c>
      <c r="RG52" s="74"/>
      <c r="RH52" s="314">
        <v>1650</v>
      </c>
      <c r="RJ52" s="314">
        <v>1650</v>
      </c>
      <c r="RK52" s="314">
        <v>1760</v>
      </c>
      <c r="RL52" s="136">
        <v>1760</v>
      </c>
      <c r="RM52" s="314">
        <v>1760</v>
      </c>
      <c r="RN52" s="314">
        <v>1760</v>
      </c>
      <c r="RP52" s="314">
        <v>1500</v>
      </c>
      <c r="RQ52" s="365">
        <v>1760</v>
      </c>
      <c r="RR52" s="136">
        <v>1760</v>
      </c>
      <c r="RS52" s="314">
        <v>1760</v>
      </c>
      <c r="RT52" s="314">
        <v>1760</v>
      </c>
      <c r="RU52" s="314">
        <v>1760</v>
      </c>
      <c r="RV52" s="314">
        <v>1760</v>
      </c>
      <c r="RW52" s="314"/>
      <c r="RX52" s="136">
        <v>1760</v>
      </c>
      <c r="RY52" s="314">
        <v>1815</v>
      </c>
      <c r="RZ52" s="314">
        <v>1870</v>
      </c>
      <c r="SA52" s="314">
        <v>1870</v>
      </c>
      <c r="SB52" s="314">
        <v>1870</v>
      </c>
      <c r="SC52" s="314">
        <v>1880</v>
      </c>
      <c r="SE52" s="314">
        <v>1360</v>
      </c>
      <c r="SF52" s="314">
        <v>1360</v>
      </c>
      <c r="SG52" s="365">
        <f>798+27+27</f>
        <v>852</v>
      </c>
      <c r="SH52" s="314">
        <v>687</v>
      </c>
      <c r="SI52" s="314">
        <v>1280</v>
      </c>
      <c r="SJ52" s="314">
        <v>1760</v>
      </c>
      <c r="SL52" s="314">
        <v>1730</v>
      </c>
      <c r="SN52" s="365">
        <v>2582</v>
      </c>
      <c r="SO52" s="136">
        <v>50</v>
      </c>
      <c r="SP52" s="136">
        <v>400</v>
      </c>
      <c r="SQ52" s="136">
        <v>900</v>
      </c>
      <c r="SR52" s="136">
        <f>597+255</f>
        <v>852</v>
      </c>
      <c r="SS52" s="314">
        <v>830</v>
      </c>
      <c r="ST52" s="314">
        <v>1350</v>
      </c>
      <c r="SU52" s="314">
        <v>1000</v>
      </c>
      <c r="SW52" s="314">
        <v>1200</v>
      </c>
      <c r="SX52" s="314">
        <f>1155+295</f>
        <v>1450</v>
      </c>
      <c r="SY52" s="314">
        <v>1500</v>
      </c>
      <c r="SZ52" s="314"/>
      <c r="TA52" s="314">
        <f>1920+34</f>
        <v>1954</v>
      </c>
      <c r="TB52" s="314">
        <v>1900</v>
      </c>
      <c r="TC52" s="314">
        <v>2000</v>
      </c>
      <c r="TD52" s="314">
        <f>1191+670</f>
        <v>1861</v>
      </c>
      <c r="TE52" s="136">
        <v>1800</v>
      </c>
      <c r="TF52" s="365">
        <f>413+47+560</f>
        <v>1020</v>
      </c>
      <c r="TH52" s="136">
        <v>2160</v>
      </c>
      <c r="TI52" s="136">
        <f>734+1270</f>
        <v>2004</v>
      </c>
      <c r="TJ52" s="136">
        <v>2400</v>
      </c>
      <c r="TK52" s="136">
        <v>2400</v>
      </c>
      <c r="TL52" s="365">
        <v>2050</v>
      </c>
      <c r="TM52" s="314">
        <f>44+210</f>
        <v>254</v>
      </c>
      <c r="TO52" s="136">
        <v>1200</v>
      </c>
      <c r="TP52" s="136">
        <v>1400</v>
      </c>
      <c r="TQ52" s="136">
        <v>1045</v>
      </c>
      <c r="TS52" s="136">
        <v>2310</v>
      </c>
      <c r="TT52" s="314">
        <v>2350</v>
      </c>
      <c r="TU52" s="314">
        <v>2300</v>
      </c>
      <c r="TW52" s="136">
        <v>2250</v>
      </c>
      <c r="TX52" s="314">
        <v>2200</v>
      </c>
      <c r="TY52" s="314">
        <v>2400</v>
      </c>
      <c r="TZ52" s="314">
        <v>2300</v>
      </c>
      <c r="UA52" s="365">
        <f>1517+100</f>
        <v>1617</v>
      </c>
      <c r="UB52" s="136">
        <v>950</v>
      </c>
      <c r="UC52" s="136">
        <f>333+620</f>
        <v>953</v>
      </c>
      <c r="UD52" s="136">
        <v>1300</v>
      </c>
      <c r="UE52" s="136">
        <v>1220</v>
      </c>
      <c r="UF52" s="365">
        <v>1499</v>
      </c>
      <c r="UG52" s="136">
        <v>810</v>
      </c>
      <c r="UH52" s="314"/>
      <c r="UI52" s="314"/>
      <c r="UK52" s="136">
        <v>1600</v>
      </c>
      <c r="UL52" s="136">
        <v>2270</v>
      </c>
      <c r="UM52" s="136">
        <f>1476+150</f>
        <v>1626</v>
      </c>
      <c r="UN52" s="314">
        <v>1770</v>
      </c>
      <c r="UO52" s="314">
        <v>800</v>
      </c>
      <c r="UP52" s="136">
        <v>1600</v>
      </c>
      <c r="UR52" s="136">
        <v>1500</v>
      </c>
      <c r="US52" s="314">
        <f>507+430</f>
        <v>937</v>
      </c>
      <c r="UT52" s="136">
        <v>2000</v>
      </c>
      <c r="UU52" s="136">
        <v>2150</v>
      </c>
      <c r="UV52" s="136">
        <f>628+250</f>
        <v>878</v>
      </c>
      <c r="UW52" s="136">
        <v>600</v>
      </c>
      <c r="UX52" s="74"/>
      <c r="UZ52" s="136">
        <f>400+250</f>
        <v>650</v>
      </c>
      <c r="VA52" s="314">
        <v>1980</v>
      </c>
      <c r="VB52" s="314">
        <v>1500</v>
      </c>
      <c r="VC52" s="314">
        <v>2000</v>
      </c>
      <c r="VD52" s="314">
        <f>1798+202</f>
        <v>2000</v>
      </c>
      <c r="VE52" s="314">
        <f>632+1470+3</f>
        <v>2105</v>
      </c>
      <c r="VG52" s="136">
        <v>2100</v>
      </c>
      <c r="VH52" s="365">
        <f>1531+30</f>
        <v>1561</v>
      </c>
      <c r="VI52" s="314">
        <v>1400</v>
      </c>
      <c r="VJ52" s="314">
        <v>2420</v>
      </c>
      <c r="VK52" s="314">
        <v>2750</v>
      </c>
      <c r="VL52" s="314">
        <v>1350</v>
      </c>
      <c r="VN52" s="314">
        <v>2300</v>
      </c>
      <c r="VO52" s="314">
        <v>2400</v>
      </c>
      <c r="VP52" s="314">
        <v>2600</v>
      </c>
      <c r="VQ52" s="314">
        <v>2610</v>
      </c>
      <c r="VR52" s="314">
        <v>2650</v>
      </c>
      <c r="VS52" s="314">
        <v>2700</v>
      </c>
      <c r="VT52" s="314"/>
      <c r="VU52" s="314">
        <v>2700</v>
      </c>
      <c r="VV52" s="314">
        <v>2700</v>
      </c>
      <c r="VW52" s="314">
        <v>2800</v>
      </c>
      <c r="VX52" s="314">
        <v>2800</v>
      </c>
      <c r="VY52" s="314">
        <v>2800</v>
      </c>
      <c r="VZ52" s="314">
        <v>2500</v>
      </c>
      <c r="WA52" s="314"/>
      <c r="WB52" s="314">
        <v>2100</v>
      </c>
      <c r="WC52" s="365">
        <f>292+0</f>
        <v>292</v>
      </c>
      <c r="WD52" s="74"/>
      <c r="WE52" s="136">
        <v>140</v>
      </c>
      <c r="WF52" s="136">
        <v>400</v>
      </c>
      <c r="WG52" s="136">
        <v>600</v>
      </c>
      <c r="WH52" s="136">
        <v>700</v>
      </c>
      <c r="WI52" s="314"/>
      <c r="WJ52" s="314">
        <v>950</v>
      </c>
      <c r="WK52" s="314">
        <v>950</v>
      </c>
      <c r="WL52" s="314">
        <v>1100</v>
      </c>
      <c r="WM52" s="314">
        <v>1100</v>
      </c>
      <c r="WN52" s="314">
        <v>1210</v>
      </c>
      <c r="WO52" s="314">
        <v>1300</v>
      </c>
      <c r="WP52" s="314">
        <v>1200</v>
      </c>
      <c r="WQ52" s="314">
        <v>1750</v>
      </c>
      <c r="WR52" s="314">
        <v>1650</v>
      </c>
      <c r="WS52" s="314">
        <v>1800</v>
      </c>
      <c r="WT52" s="314">
        <v>1500</v>
      </c>
      <c r="WU52" s="314">
        <v>1700</v>
      </c>
      <c r="WV52" s="314">
        <v>1100</v>
      </c>
      <c r="WW52" s="314"/>
      <c r="WX52" s="314"/>
      <c r="WY52" s="314"/>
      <c r="WZ52" s="314">
        <v>1800</v>
      </c>
      <c r="XA52" s="314">
        <v>1800</v>
      </c>
      <c r="XB52" s="314">
        <v>1850</v>
      </c>
      <c r="XC52" s="314">
        <v>1800</v>
      </c>
      <c r="XD52" s="314"/>
      <c r="XE52" s="314">
        <v>1401</v>
      </c>
      <c r="XF52" s="314">
        <v>1200</v>
      </c>
      <c r="XG52" s="74"/>
      <c r="XH52" s="136">
        <v>1600</v>
      </c>
      <c r="XI52" s="136">
        <v>1500</v>
      </c>
      <c r="XJ52" s="136">
        <v>1760</v>
      </c>
      <c r="XK52" s="136">
        <v>1550</v>
      </c>
      <c r="XM52" s="314">
        <v>1350</v>
      </c>
      <c r="XN52" s="314">
        <v>1550</v>
      </c>
      <c r="XO52" s="314">
        <v>1550</v>
      </c>
      <c r="XP52" s="314">
        <v>1700</v>
      </c>
      <c r="XQ52" s="314">
        <v>1700</v>
      </c>
      <c r="XR52" s="314">
        <v>1700</v>
      </c>
      <c r="XS52" s="178"/>
      <c r="XT52" s="314">
        <v>1700</v>
      </c>
      <c r="XU52" s="314">
        <v>1800</v>
      </c>
      <c r="XV52" s="314">
        <v>1800</v>
      </c>
      <c r="XW52" s="314">
        <v>1700</v>
      </c>
      <c r="XX52" s="314">
        <v>1700</v>
      </c>
      <c r="XY52" s="314">
        <v>1760</v>
      </c>
      <c r="XZ52" s="136">
        <v>1600</v>
      </c>
      <c r="YA52" s="314">
        <v>1650</v>
      </c>
      <c r="YB52" s="314">
        <v>1820</v>
      </c>
      <c r="YC52" s="314">
        <v>1820</v>
      </c>
      <c r="YD52" s="314">
        <v>1760</v>
      </c>
      <c r="YE52" s="314">
        <v>1760</v>
      </c>
      <c r="YF52" s="314">
        <v>1760</v>
      </c>
      <c r="YG52" s="178"/>
      <c r="YH52" s="314">
        <v>1760</v>
      </c>
      <c r="YI52" s="314">
        <v>1770</v>
      </c>
      <c r="YJ52" s="314">
        <v>1600</v>
      </c>
      <c r="YK52" s="314"/>
      <c r="YL52" s="314">
        <v>1600</v>
      </c>
      <c r="YM52" s="74"/>
      <c r="YN52" s="136">
        <v>1870</v>
      </c>
      <c r="YP52" s="136">
        <v>1870</v>
      </c>
      <c r="YQ52" s="124">
        <f>886+30</f>
        <v>916</v>
      </c>
      <c r="YR52" s="314">
        <v>1000</v>
      </c>
      <c r="YS52" s="314">
        <v>1600</v>
      </c>
      <c r="YT52" s="314">
        <v>1900</v>
      </c>
      <c r="YU52" s="314">
        <v>2000</v>
      </c>
      <c r="YW52" s="314">
        <v>1800</v>
      </c>
      <c r="YX52" s="124">
        <v>1897</v>
      </c>
      <c r="YY52" s="314">
        <f>16+870</f>
        <v>886</v>
      </c>
      <c r="YZ52" s="136">
        <v>1800</v>
      </c>
      <c r="ZB52" s="136">
        <v>1900</v>
      </c>
      <c r="ZD52" s="136">
        <v>2150</v>
      </c>
      <c r="ZE52" s="136">
        <v>2250</v>
      </c>
      <c r="ZF52" s="136">
        <v>2520</v>
      </c>
      <c r="ZG52" s="136">
        <v>2520</v>
      </c>
      <c r="ZH52" s="314">
        <v>2520</v>
      </c>
      <c r="ZI52" s="314">
        <v>2520</v>
      </c>
      <c r="ZK52" s="136">
        <v>2610</v>
      </c>
      <c r="ZL52" s="314">
        <v>2630</v>
      </c>
      <c r="ZM52" s="314">
        <v>2630</v>
      </c>
      <c r="ZN52" s="314">
        <v>2610</v>
      </c>
      <c r="ZO52" s="124">
        <f>1629+20</f>
        <v>1649</v>
      </c>
      <c r="ZP52" s="314">
        <v>1057</v>
      </c>
      <c r="ZR52" s="74"/>
      <c r="ZT52" s="136">
        <v>1700</v>
      </c>
      <c r="ZU52" s="314">
        <v>1800</v>
      </c>
      <c r="ZV52" s="314">
        <v>1860</v>
      </c>
      <c r="ZW52" s="314">
        <v>2000</v>
      </c>
      <c r="ZX52" s="314">
        <v>2040</v>
      </c>
      <c r="ZY52" s="314"/>
      <c r="ZZ52" s="314">
        <v>2000</v>
      </c>
      <c r="AAA52" s="314">
        <v>1800</v>
      </c>
      <c r="AAB52" s="314">
        <v>2030</v>
      </c>
      <c r="AAC52" s="136">
        <v>1820</v>
      </c>
      <c r="AAD52" s="314">
        <v>1620</v>
      </c>
      <c r="AAE52" s="777"/>
      <c r="AAF52" s="705"/>
      <c r="AAG52" s="705"/>
      <c r="AAH52" s="705"/>
      <c r="AAI52" s="778"/>
      <c r="AAJ52" s="136">
        <v>2050</v>
      </c>
      <c r="AAK52" s="136">
        <v>1700</v>
      </c>
      <c r="AAL52" s="136">
        <v>1730</v>
      </c>
      <c r="AAM52" s="136">
        <f>90+270</f>
        <v>360</v>
      </c>
      <c r="AAN52" s="136">
        <v>850</v>
      </c>
      <c r="AAO52" s="136">
        <v>1100</v>
      </c>
      <c r="AAP52" s="136">
        <v>1550</v>
      </c>
      <c r="AAQ52" s="136">
        <v>1650</v>
      </c>
      <c r="AAR52" s="136">
        <v>1650</v>
      </c>
      <c r="AAS52" s="314">
        <v>1550</v>
      </c>
      <c r="AAU52" s="314">
        <v>1300</v>
      </c>
      <c r="AAV52" s="124">
        <v>894</v>
      </c>
      <c r="AAW52" s="314">
        <v>310</v>
      </c>
      <c r="AAX52" s="74"/>
      <c r="AAY52" s="314">
        <v>800</v>
      </c>
      <c r="AAZ52" s="314">
        <v>900</v>
      </c>
      <c r="ABA52" s="314">
        <v>1050</v>
      </c>
      <c r="ABC52" s="314">
        <v>1250</v>
      </c>
      <c r="ABD52" s="314">
        <v>1350</v>
      </c>
      <c r="ABE52" s="314">
        <v>1300</v>
      </c>
      <c r="ABF52" s="314">
        <v>1400</v>
      </c>
      <c r="ABG52" s="314">
        <v>1400</v>
      </c>
      <c r="ABH52" s="314">
        <v>1450</v>
      </c>
      <c r="ABJ52" s="314">
        <v>1320</v>
      </c>
      <c r="ABK52" s="314">
        <v>1540</v>
      </c>
      <c r="ABL52" s="314">
        <v>1550</v>
      </c>
      <c r="ABM52" s="314">
        <v>1450</v>
      </c>
      <c r="ABN52" s="314">
        <v>1550</v>
      </c>
      <c r="ABO52" s="314">
        <v>1600</v>
      </c>
      <c r="ABP52" s="314">
        <v>920</v>
      </c>
      <c r="ABQ52" s="314">
        <v>1550</v>
      </c>
      <c r="ABR52" s="314">
        <v>1560</v>
      </c>
      <c r="ABS52" s="314">
        <v>1560</v>
      </c>
      <c r="ABT52" s="314">
        <v>1560</v>
      </c>
      <c r="ABU52" s="314">
        <v>1600</v>
      </c>
      <c r="ABV52" s="314">
        <v>1600</v>
      </c>
      <c r="ABX52" s="314">
        <v>1540</v>
      </c>
      <c r="ABY52" s="314">
        <v>1450</v>
      </c>
      <c r="ABZ52" s="314">
        <v>1540</v>
      </c>
      <c r="ACA52" s="314">
        <v>1300</v>
      </c>
      <c r="ACB52" s="314">
        <v>1350</v>
      </c>
      <c r="ACC52" s="74"/>
      <c r="ACD52" s="314">
        <v>1500</v>
      </c>
      <c r="ACE52" s="314">
        <v>1350</v>
      </c>
      <c r="ACF52" s="314">
        <v>1650</v>
      </c>
      <c r="ACG52" s="314">
        <v>1540</v>
      </c>
      <c r="ACH52" s="314">
        <v>1600</v>
      </c>
      <c r="ACI52" s="314">
        <v>1600</v>
      </c>
      <c r="ACJ52" s="314">
        <v>1540</v>
      </c>
      <c r="ACK52" s="314">
        <v>1540</v>
      </c>
      <c r="ACM52" s="314">
        <v>1610</v>
      </c>
      <c r="ACN52" s="314">
        <v>1610</v>
      </c>
      <c r="ACO52" s="314">
        <v>1610</v>
      </c>
      <c r="ACP52" s="314">
        <v>1600</v>
      </c>
      <c r="ACQ52" s="124">
        <v>1600</v>
      </c>
      <c r="ACR52" s="314">
        <v>1630</v>
      </c>
      <c r="ACS52" s="314">
        <v>1310</v>
      </c>
      <c r="ACT52" s="314">
        <v>1650</v>
      </c>
      <c r="ACU52" s="314">
        <v>1650</v>
      </c>
      <c r="ACV52" s="314">
        <v>970</v>
      </c>
      <c r="ACW52" s="785"/>
      <c r="ACX52" s="786"/>
      <c r="ACY52" s="786"/>
      <c r="ACZ52" s="786"/>
      <c r="ADA52" s="786"/>
      <c r="ADB52" s="786"/>
      <c r="ADC52" s="786"/>
      <c r="ADD52" s="786"/>
      <c r="ADE52" s="786"/>
      <c r="ADF52" s="786"/>
      <c r="ADG52" s="787"/>
      <c r="ADH52" s="314"/>
      <c r="ADI52" s="74"/>
      <c r="ADJ52" s="314">
        <v>750</v>
      </c>
      <c r="ADK52" s="314">
        <v>1200</v>
      </c>
      <c r="ADL52" s="314">
        <v>1300</v>
      </c>
      <c r="ADM52" s="314">
        <v>1251</v>
      </c>
      <c r="ADN52" s="314">
        <v>1350</v>
      </c>
      <c r="ADO52" s="314"/>
      <c r="ADP52" s="314">
        <v>1150</v>
      </c>
      <c r="ADQ52" s="314">
        <v>1540</v>
      </c>
      <c r="ADR52" s="314">
        <v>1600</v>
      </c>
      <c r="ADS52" s="314">
        <v>1650</v>
      </c>
      <c r="ADT52" s="314">
        <v>1500</v>
      </c>
      <c r="ADU52" s="314">
        <v>1550</v>
      </c>
      <c r="ADV52" s="314">
        <v>1200</v>
      </c>
      <c r="ADW52" s="314"/>
      <c r="ADX52" s="314"/>
      <c r="ADY52" s="314">
        <v>1450</v>
      </c>
      <c r="ADZ52" s="314">
        <v>1363</v>
      </c>
      <c r="AEA52" s="314">
        <v>1650</v>
      </c>
      <c r="AEB52" s="314">
        <v>1650</v>
      </c>
      <c r="AEC52" s="314"/>
      <c r="AED52" s="612">
        <v>1170</v>
      </c>
      <c r="AEE52" s="612">
        <v>1240</v>
      </c>
      <c r="AEF52" s="612">
        <v>1760</v>
      </c>
      <c r="AEG52" s="612">
        <v>1760</v>
      </c>
      <c r="AEH52" s="612">
        <v>1500</v>
      </c>
      <c r="AEI52" s="612">
        <v>1600</v>
      </c>
      <c r="AEJ52" s="612"/>
      <c r="AEK52" s="612">
        <v>1300</v>
      </c>
      <c r="AEL52" s="612">
        <v>1600</v>
      </c>
      <c r="AEM52" s="612">
        <v>1600</v>
      </c>
      <c r="AEN52" s="612">
        <v>1200</v>
      </c>
      <c r="AEO52" s="74"/>
      <c r="AEP52" s="612">
        <v>1280</v>
      </c>
      <c r="AEQ52" s="612">
        <v>1600</v>
      </c>
      <c r="AER52" s="612"/>
      <c r="AES52" s="612">
        <v>1530</v>
      </c>
      <c r="AET52" s="630">
        <v>1600</v>
      </c>
      <c r="AEU52" s="612">
        <v>1550</v>
      </c>
      <c r="AEV52" s="612">
        <v>1600</v>
      </c>
      <c r="AEW52" s="612">
        <v>1600</v>
      </c>
      <c r="AEX52" s="612">
        <v>1600</v>
      </c>
      <c r="AEY52" s="612"/>
      <c r="AEZ52" s="612">
        <v>1500</v>
      </c>
      <c r="AFA52" s="612">
        <v>1560</v>
      </c>
      <c r="AFB52" s="612">
        <v>1600</v>
      </c>
      <c r="AFC52" s="631">
        <v>1400</v>
      </c>
      <c r="AFD52" s="314">
        <v>1550</v>
      </c>
      <c r="AFE52" s="314">
        <v>1550</v>
      </c>
      <c r="AFF52" s="314"/>
      <c r="AFG52" s="314">
        <v>1550</v>
      </c>
      <c r="AFH52" s="314">
        <v>1650</v>
      </c>
      <c r="AFI52" s="124">
        <v>1650</v>
      </c>
      <c r="AFJ52" s="314">
        <v>1300</v>
      </c>
      <c r="AFK52" s="314">
        <v>1280</v>
      </c>
      <c r="AFL52" s="314">
        <v>1200</v>
      </c>
      <c r="AFM52" s="314"/>
      <c r="AFN52" s="314">
        <v>1150</v>
      </c>
      <c r="AFO52" s="314">
        <v>1280</v>
      </c>
      <c r="AFP52" s="314">
        <f>990+290</f>
        <v>1280</v>
      </c>
      <c r="AFQ52" s="314">
        <f>1176+104</f>
        <v>1280</v>
      </c>
      <c r="AFR52" s="314">
        <v>1280</v>
      </c>
      <c r="AFS52" s="314">
        <v>1050</v>
      </c>
      <c r="AFT52" s="74"/>
      <c r="AFU52" s="314"/>
      <c r="AFV52" s="314">
        <v>1440</v>
      </c>
      <c r="AFW52" s="314">
        <v>1440</v>
      </c>
      <c r="AFX52" s="314">
        <v>1500</v>
      </c>
      <c r="AFY52" s="314">
        <v>1500</v>
      </c>
      <c r="AFZ52" s="124">
        <f>759+841</f>
        <v>1600</v>
      </c>
      <c r="AGA52" s="314">
        <v>1500</v>
      </c>
      <c r="AGB52" s="314"/>
      <c r="AGC52" s="314">
        <v>1500</v>
      </c>
      <c r="AGD52" s="314">
        <v>1500</v>
      </c>
      <c r="AGE52" s="314">
        <v>1280</v>
      </c>
      <c r="AGF52" s="314">
        <v>1350</v>
      </c>
      <c r="AGG52" s="314">
        <v>1350</v>
      </c>
      <c r="AGH52" s="314">
        <v>1200</v>
      </c>
      <c r="AGI52" s="314"/>
      <c r="AGJ52" s="314">
        <v>1440</v>
      </c>
      <c r="AGK52" s="314">
        <v>1350</v>
      </c>
      <c r="AGL52" s="314">
        <v>1600</v>
      </c>
      <c r="AGM52" s="314">
        <v>1500</v>
      </c>
      <c r="AGN52" s="314">
        <v>1600</v>
      </c>
      <c r="AGO52" s="314">
        <v>1600</v>
      </c>
      <c r="AGP52" s="314"/>
      <c r="AGQ52" s="314">
        <v>1600</v>
      </c>
      <c r="AGR52" s="314">
        <v>1440</v>
      </c>
      <c r="AGS52" s="314">
        <v>1600</v>
      </c>
      <c r="AGT52" s="314">
        <v>1500</v>
      </c>
      <c r="AGU52" s="314">
        <v>1650</v>
      </c>
      <c r="AGV52" s="314">
        <v>1620</v>
      </c>
      <c r="AGW52" s="314"/>
      <c r="AGX52" s="314">
        <v>1500</v>
      </c>
      <c r="AGY52" s="314">
        <v>1370</v>
      </c>
      <c r="AGZ52" s="74"/>
      <c r="AHA52" s="314">
        <v>1600</v>
      </c>
      <c r="AHB52" s="314">
        <v>1800</v>
      </c>
      <c r="AHC52" s="314">
        <v>1760</v>
      </c>
      <c r="AHD52" s="314">
        <v>1760</v>
      </c>
      <c r="AHE52" s="314"/>
      <c r="AHF52" s="314">
        <v>1500</v>
      </c>
      <c r="AHG52" s="314">
        <v>1760</v>
      </c>
      <c r="AHH52" s="314">
        <v>1760</v>
      </c>
      <c r="AHI52" s="314">
        <v>1660</v>
      </c>
      <c r="AHJ52" s="314">
        <v>1760</v>
      </c>
      <c r="AHK52" s="314">
        <v>1600</v>
      </c>
      <c r="AHL52" s="314"/>
      <c r="AHM52" s="314">
        <v>1760</v>
      </c>
      <c r="AHN52" s="314">
        <v>1760</v>
      </c>
      <c r="AHO52" s="314">
        <v>1760</v>
      </c>
      <c r="AHP52" s="314">
        <v>1760</v>
      </c>
      <c r="AHQ52" s="314">
        <v>1710</v>
      </c>
      <c r="AHR52" s="314">
        <v>1705</v>
      </c>
      <c r="AHS52" s="314"/>
      <c r="AHT52" s="314">
        <v>1705</v>
      </c>
      <c r="AHU52" s="314">
        <v>1705</v>
      </c>
      <c r="AHV52" s="314">
        <v>1705</v>
      </c>
      <c r="AHW52" s="314">
        <v>1705</v>
      </c>
      <c r="AHX52" s="124">
        <v>1705</v>
      </c>
      <c r="AHY52" s="314">
        <v>1705</v>
      </c>
      <c r="AHZ52" s="314"/>
      <c r="AIA52" s="314">
        <v>1705</v>
      </c>
      <c r="AIB52" s="314">
        <v>1705</v>
      </c>
      <c r="AIC52" s="314">
        <v>1705</v>
      </c>
      <c r="AID52" s="314">
        <v>1705</v>
      </c>
      <c r="AIE52" s="74"/>
      <c r="AIF52" s="314">
        <v>1705</v>
      </c>
      <c r="AIG52" s="124">
        <v>1105</v>
      </c>
      <c r="AIH52" s="314"/>
      <c r="AII52" s="603">
        <f>1705+170</f>
        <v>1875</v>
      </c>
      <c r="AIJ52" s="314">
        <v>1705</v>
      </c>
      <c r="AIK52" s="314">
        <v>1705</v>
      </c>
      <c r="AIL52" s="314">
        <v>1705</v>
      </c>
      <c r="AIM52" s="314">
        <v>1705</v>
      </c>
      <c r="AIN52" s="124">
        <v>1705</v>
      </c>
      <c r="AIP52" s="314">
        <v>800</v>
      </c>
      <c r="AIQ52" s="136">
        <v>1600</v>
      </c>
      <c r="AIR52" s="136">
        <v>2640</v>
      </c>
      <c r="AIS52" s="314">
        <v>2640</v>
      </c>
      <c r="AIT52" s="314">
        <v>2640</v>
      </c>
      <c r="AIW52" s="314">
        <v>2640</v>
      </c>
      <c r="AIX52" s="314">
        <v>2640</v>
      </c>
      <c r="AIY52" s="314">
        <v>2640</v>
      </c>
      <c r="AIZ52" s="314">
        <v>2640</v>
      </c>
      <c r="AJA52" s="314">
        <v>2640</v>
      </c>
      <c r="AJB52" s="124">
        <v>2640</v>
      </c>
      <c r="AJD52" s="136">
        <v>1290</v>
      </c>
      <c r="AJE52" s="314">
        <v>1800</v>
      </c>
      <c r="AJF52" s="314">
        <v>2000</v>
      </c>
      <c r="AJG52" s="314">
        <v>2000</v>
      </c>
      <c r="AJH52" s="136">
        <v>2000</v>
      </c>
      <c r="AJI52" s="314">
        <v>2000</v>
      </c>
      <c r="AJJ52" s="603"/>
      <c r="AJK52" s="74"/>
      <c r="AJL52" s="314">
        <v>2000</v>
      </c>
      <c r="AJM52" s="314">
        <v>2000</v>
      </c>
      <c r="AJN52" s="314">
        <f>360+1090</f>
        <v>1450</v>
      </c>
      <c r="AJO52" s="314">
        <v>2000</v>
      </c>
      <c r="AJP52" s="314">
        <v>2000</v>
      </c>
      <c r="AJQ52" s="136">
        <v>1090</v>
      </c>
      <c r="AJS52" s="139">
        <v>1800</v>
      </c>
      <c r="AJT52" s="139">
        <v>1290</v>
      </c>
      <c r="AJU52" s="136">
        <v>1800</v>
      </c>
      <c r="AJV52" s="136">
        <v>1290</v>
      </c>
      <c r="AJW52" s="136">
        <v>1800</v>
      </c>
      <c r="AJX52" s="124">
        <v>1290</v>
      </c>
      <c r="AJZ52" s="314"/>
      <c r="AKA52" s="314"/>
      <c r="AKB52" s="314"/>
      <c r="AKC52" s="603">
        <v>350</v>
      </c>
      <c r="AKD52" s="603">
        <v>700</v>
      </c>
      <c r="AKE52" s="603">
        <v>1050</v>
      </c>
      <c r="AKF52" s="603"/>
      <c r="AKG52" s="603">
        <v>1200</v>
      </c>
      <c r="AKH52" s="603">
        <v>1705</v>
      </c>
      <c r="AKI52" s="603">
        <v>1705</v>
      </c>
      <c r="AKJ52" s="604">
        <v>1705</v>
      </c>
      <c r="AKK52" s="603">
        <v>1705</v>
      </c>
      <c r="AKL52" s="603">
        <v>1705</v>
      </c>
      <c r="AKM52" s="603"/>
      <c r="AKN52" s="603">
        <v>1705</v>
      </c>
      <c r="AKO52" s="603">
        <v>1705</v>
      </c>
      <c r="AKP52" s="603">
        <v>1705</v>
      </c>
      <c r="AKQ52" s="603"/>
      <c r="AKR52" s="603">
        <v>1705</v>
      </c>
      <c r="AKS52" s="603">
        <v>1705</v>
      </c>
      <c r="AKT52" s="603">
        <v>1705</v>
      </c>
      <c r="AKU52" s="603"/>
      <c r="AKV52" s="604">
        <v>1705</v>
      </c>
      <c r="AKW52" s="603">
        <v>1705</v>
      </c>
      <c r="AKX52" s="603">
        <v>1705</v>
      </c>
      <c r="AKY52" s="603">
        <v>1705</v>
      </c>
      <c r="AKZ52" s="603">
        <v>1705</v>
      </c>
      <c r="ALA52" s="603">
        <v>1705</v>
      </c>
      <c r="ALB52" s="603"/>
      <c r="ALC52" s="604">
        <v>1000</v>
      </c>
      <c r="ALD52" s="603">
        <v>700</v>
      </c>
      <c r="ALE52" s="603">
        <v>1400</v>
      </c>
      <c r="ALF52" s="603">
        <v>2100</v>
      </c>
      <c r="ALG52" s="603">
        <v>2300</v>
      </c>
      <c r="ALH52" s="603">
        <v>2300</v>
      </c>
      <c r="ALJ52" s="603">
        <v>2300</v>
      </c>
      <c r="ALK52" s="603">
        <v>2300</v>
      </c>
      <c r="ALL52" s="603"/>
      <c r="ALM52" s="604">
        <v>2200</v>
      </c>
      <c r="ALN52" s="136">
        <v>500</v>
      </c>
      <c r="ALO52" s="136">
        <v>1000</v>
      </c>
      <c r="ALQ52" s="136">
        <v>1500</v>
      </c>
      <c r="ALR52" s="136">
        <v>2000</v>
      </c>
      <c r="ALS52" s="136">
        <v>2000</v>
      </c>
      <c r="ALT52" s="603"/>
      <c r="ALU52" s="136">
        <v>2000</v>
      </c>
      <c r="ALV52" s="136">
        <v>2000</v>
      </c>
      <c r="ALW52" s="136">
        <v>1000</v>
      </c>
      <c r="ALY52" s="136">
        <v>1500</v>
      </c>
      <c r="ALZ52" s="136">
        <v>2100</v>
      </c>
      <c r="AMA52" s="136">
        <v>2100</v>
      </c>
      <c r="AMB52" s="136">
        <v>2100</v>
      </c>
      <c r="AMC52" s="136">
        <v>2100</v>
      </c>
      <c r="AMD52" s="136">
        <v>2100</v>
      </c>
      <c r="AMF52" s="136">
        <v>2100</v>
      </c>
      <c r="AMG52" s="136">
        <v>2100</v>
      </c>
      <c r="AMH52" s="136">
        <v>2100</v>
      </c>
      <c r="AMI52" s="136">
        <v>2100</v>
      </c>
      <c r="AMJ52" s="136">
        <v>2100</v>
      </c>
      <c r="AMK52" s="136">
        <v>2100</v>
      </c>
      <c r="AMM52" s="136">
        <v>2100</v>
      </c>
      <c r="AMN52" s="136">
        <v>2100</v>
      </c>
      <c r="AMO52" s="136">
        <v>2100</v>
      </c>
      <c r="AMP52" s="136">
        <v>2100</v>
      </c>
      <c r="AMQ52" s="136">
        <v>2100</v>
      </c>
      <c r="AMR52" s="136">
        <v>2100</v>
      </c>
      <c r="AMU52" s="136">
        <v>2100</v>
      </c>
      <c r="AMV52" s="136">
        <v>2100</v>
      </c>
      <c r="AMW52" s="136">
        <v>2100</v>
      </c>
      <c r="AMX52" s="136">
        <v>2100</v>
      </c>
      <c r="AMY52" s="136">
        <v>2100</v>
      </c>
      <c r="AMZ52" s="603"/>
      <c r="ANA52" s="603"/>
      <c r="ANB52" s="603">
        <v>350</v>
      </c>
      <c r="ANC52" s="603">
        <v>700</v>
      </c>
      <c r="AND52" s="603">
        <v>1050</v>
      </c>
      <c r="ANE52" s="603">
        <v>1350</v>
      </c>
      <c r="ANF52" s="603">
        <v>1350</v>
      </c>
      <c r="ANG52" s="603">
        <v>1350</v>
      </c>
      <c r="ANH52" s="603">
        <v>1350</v>
      </c>
      <c r="ANI52" s="603">
        <v>1350</v>
      </c>
      <c r="ANJ52" s="603">
        <v>1350</v>
      </c>
      <c r="ANK52" s="603">
        <v>1350</v>
      </c>
      <c r="ANL52" s="603">
        <v>1350</v>
      </c>
      <c r="ANM52" s="603">
        <v>1350</v>
      </c>
      <c r="ANN52" s="603"/>
      <c r="ANO52" s="603"/>
      <c r="ANP52" s="603">
        <v>1350</v>
      </c>
      <c r="ANQ52" s="604">
        <v>1350</v>
      </c>
      <c r="ANR52" s="603">
        <v>600</v>
      </c>
      <c r="ANS52" s="603">
        <v>1200</v>
      </c>
      <c r="ANT52" s="603">
        <v>1980</v>
      </c>
      <c r="ANU52" s="603">
        <v>1980</v>
      </c>
      <c r="ANV52" s="603">
        <v>1980</v>
      </c>
      <c r="ANW52" s="603">
        <v>1980</v>
      </c>
      <c r="ANX52" s="603">
        <v>1980</v>
      </c>
      <c r="ANY52" s="603">
        <v>1980</v>
      </c>
      <c r="ANZ52" s="603">
        <v>1980</v>
      </c>
      <c r="AOA52" s="603">
        <v>1980</v>
      </c>
      <c r="AOB52" s="603">
        <v>1980</v>
      </c>
      <c r="AOC52" s="603"/>
      <c r="AOD52" s="603">
        <v>1980</v>
      </c>
      <c r="AOE52" s="603"/>
      <c r="AOF52" s="142"/>
      <c r="AOG52" s="142"/>
      <c r="AOH52" s="142"/>
      <c r="AOI52" s="142"/>
      <c r="AOJ52" s="142"/>
      <c r="AOK52" s="142"/>
      <c r="AOL52" s="142"/>
      <c r="AOM52" s="142"/>
      <c r="AON52" s="142"/>
      <c r="AOO52" s="603">
        <v>2300</v>
      </c>
      <c r="AOP52" s="603">
        <v>2300</v>
      </c>
      <c r="AOQ52" s="603">
        <v>2300</v>
      </c>
      <c r="AOS52" s="603">
        <v>2300</v>
      </c>
      <c r="AOT52" s="603">
        <v>2300</v>
      </c>
      <c r="AOU52" s="603">
        <v>2300</v>
      </c>
      <c r="AOV52" s="603">
        <v>2300</v>
      </c>
      <c r="AOW52" s="603">
        <v>2300</v>
      </c>
      <c r="AOX52" s="603">
        <v>2300</v>
      </c>
      <c r="AOZ52" s="603">
        <v>2300</v>
      </c>
      <c r="APA52" s="603">
        <v>2300</v>
      </c>
      <c r="APB52" s="603">
        <v>2300</v>
      </c>
      <c r="APC52" s="604">
        <v>2300</v>
      </c>
      <c r="APD52" s="603">
        <v>2300</v>
      </c>
      <c r="APE52" s="603">
        <v>2300</v>
      </c>
      <c r="APG52" s="603">
        <v>2300</v>
      </c>
      <c r="APH52" s="603">
        <v>2300</v>
      </c>
      <c r="API52" s="603">
        <v>2300</v>
      </c>
      <c r="APJ52" s="603">
        <v>2300</v>
      </c>
      <c r="APK52" s="603"/>
      <c r="APL52" s="314">
        <v>2300</v>
      </c>
      <c r="APM52" s="314">
        <v>2300</v>
      </c>
      <c r="APN52" s="314">
        <v>1840</v>
      </c>
      <c r="APO52" s="314">
        <v>2300</v>
      </c>
      <c r="APP52" s="314">
        <v>2300</v>
      </c>
      <c r="APQ52" s="314">
        <v>2300</v>
      </c>
      <c r="APR52" s="314">
        <v>2300</v>
      </c>
      <c r="APS52" s="314">
        <v>2300</v>
      </c>
      <c r="APT52" s="314">
        <v>2300</v>
      </c>
      <c r="APU52" s="314"/>
      <c r="APV52" s="314">
        <v>2300</v>
      </c>
      <c r="APW52" s="314">
        <v>2300</v>
      </c>
      <c r="APX52" s="314">
        <v>2300</v>
      </c>
      <c r="APY52" s="314">
        <v>2300</v>
      </c>
      <c r="APZ52" s="314">
        <v>2300</v>
      </c>
      <c r="AQA52" s="314">
        <v>2300</v>
      </c>
      <c r="AQB52" s="314"/>
      <c r="AQC52" s="314">
        <v>2300</v>
      </c>
      <c r="AQD52" s="314">
        <v>2300</v>
      </c>
      <c r="AQE52" s="314">
        <v>2300</v>
      </c>
      <c r="AQF52" s="314">
        <v>2300</v>
      </c>
      <c r="AQG52" s="314">
        <v>2300</v>
      </c>
      <c r="AQH52" s="314">
        <v>2300</v>
      </c>
      <c r="AQI52" s="314">
        <v>1840</v>
      </c>
      <c r="AQJ52" s="314">
        <v>2300</v>
      </c>
      <c r="AQK52" s="314">
        <v>2300</v>
      </c>
      <c r="AQL52" s="314">
        <v>2300</v>
      </c>
      <c r="AQM52" s="314">
        <v>2300</v>
      </c>
      <c r="AQN52" s="314">
        <v>2300</v>
      </c>
      <c r="AQO52" s="314">
        <v>2300</v>
      </c>
      <c r="AQP52" s="603"/>
      <c r="AQQ52" s="314"/>
      <c r="AQR52" s="603">
        <v>2300</v>
      </c>
      <c r="AQS52" s="603">
        <v>2300</v>
      </c>
      <c r="AQT52" s="603">
        <v>2300</v>
      </c>
      <c r="AQU52" s="603">
        <v>2300</v>
      </c>
      <c r="AQV52" s="603">
        <v>2300</v>
      </c>
      <c r="AQW52" s="603">
        <v>2300</v>
      </c>
      <c r="AQX52" s="142"/>
      <c r="AQY52" s="142"/>
      <c r="AQZ52" s="142"/>
      <c r="ARA52" s="142"/>
      <c r="ARB52" s="142"/>
      <c r="ARC52" s="142"/>
      <c r="ARD52" s="142"/>
      <c r="ARE52" s="142"/>
      <c r="ARF52" s="142"/>
      <c r="ARG52" s="603">
        <v>2300</v>
      </c>
      <c r="ARH52" s="603">
        <v>2300</v>
      </c>
      <c r="ARI52" s="603">
        <v>2300</v>
      </c>
      <c r="ARJ52" s="603">
        <v>2300</v>
      </c>
      <c r="ARK52" s="603">
        <v>2300</v>
      </c>
      <c r="ARL52" s="184"/>
      <c r="ARM52" s="603">
        <v>2300</v>
      </c>
      <c r="ARN52" s="603">
        <v>2300</v>
      </c>
      <c r="ARO52" s="603">
        <v>2300</v>
      </c>
      <c r="ARP52" s="603">
        <v>2300</v>
      </c>
      <c r="ARQ52" s="603">
        <v>2300</v>
      </c>
      <c r="ARR52" s="603">
        <v>2300</v>
      </c>
      <c r="ARS52" s="603"/>
      <c r="ART52" s="603">
        <v>2300</v>
      </c>
      <c r="ARU52" s="604">
        <v>2300</v>
      </c>
      <c r="ARV52" s="603"/>
      <c r="ARW52" s="314"/>
      <c r="ARX52" s="314"/>
      <c r="ARY52" s="314"/>
      <c r="ARZ52" s="314"/>
      <c r="ASA52" s="314"/>
      <c r="ASB52" s="314"/>
      <c r="ASC52" s="314"/>
      <c r="ASD52" s="314"/>
      <c r="ASE52" s="314"/>
      <c r="ASF52" s="314"/>
      <c r="ASG52" s="314"/>
      <c r="ASH52" s="314"/>
      <c r="ASI52" s="314"/>
      <c r="ASJ52" s="314"/>
      <c r="ASK52" s="314"/>
      <c r="ASL52" s="314"/>
      <c r="ASM52" s="314"/>
      <c r="ASN52" s="314"/>
      <c r="ASO52" s="314"/>
      <c r="ASP52" s="314"/>
      <c r="ASQ52" s="314"/>
      <c r="ASR52" s="314"/>
      <c r="ASS52" s="314"/>
      <c r="AST52" s="314"/>
      <c r="ASU52" s="314"/>
      <c r="ASV52" s="314"/>
      <c r="ASW52" s="314"/>
      <c r="ASX52" s="314"/>
      <c r="ASY52" s="314"/>
      <c r="ASZ52" s="314"/>
      <c r="ATA52" s="314"/>
      <c r="ATB52" s="603"/>
      <c r="ATC52" s="314"/>
      <c r="ATD52" s="314"/>
      <c r="ATE52" s="314"/>
      <c r="ATF52" s="314"/>
      <c r="ATG52" s="314"/>
      <c r="ATH52" s="314"/>
      <c r="ATI52" s="314"/>
      <c r="ATJ52" s="314"/>
      <c r="ATK52" s="314"/>
      <c r="ATL52" s="314"/>
      <c r="ATM52" s="314"/>
      <c r="ATN52" s="314"/>
      <c r="ATO52" s="314"/>
      <c r="ATP52" s="314"/>
      <c r="ATQ52" s="314"/>
      <c r="ATR52" s="314"/>
      <c r="ATS52" s="314"/>
      <c r="ATT52" s="314"/>
      <c r="ATU52" s="314"/>
      <c r="ATV52" s="314"/>
      <c r="ATW52" s="314"/>
      <c r="ATX52" s="314"/>
      <c r="ATY52" s="314"/>
      <c r="ATZ52" s="314"/>
      <c r="AUA52" s="314"/>
      <c r="AUB52" s="314"/>
      <c r="AUC52" s="314"/>
      <c r="AUD52" s="314"/>
      <c r="AUE52" s="314"/>
      <c r="AUF52" s="314"/>
      <c r="AUG52" s="603"/>
      <c r="AUH52" s="314"/>
      <c r="AUI52" s="314"/>
      <c r="AUJ52" s="314"/>
      <c r="AUK52" s="314"/>
      <c r="AUL52" s="314"/>
      <c r="AUM52" s="314"/>
      <c r="AUN52" s="314"/>
      <c r="AUO52" s="314"/>
      <c r="AUP52" s="314"/>
      <c r="AUQ52" s="314"/>
      <c r="AUR52" s="314"/>
      <c r="AUS52" s="314"/>
      <c r="AUT52" s="314"/>
      <c r="AUU52" s="314"/>
      <c r="AUV52" s="314"/>
      <c r="AUW52" s="314"/>
      <c r="AUX52" s="314"/>
      <c r="AUY52" s="314"/>
      <c r="AUZ52" s="314"/>
      <c r="AVA52" s="314">
        <v>1400</v>
      </c>
      <c r="AVB52" s="314"/>
      <c r="AVC52" s="314">
        <v>1400</v>
      </c>
      <c r="AVD52" s="314">
        <v>1400</v>
      </c>
      <c r="AVE52" s="314">
        <v>1400</v>
      </c>
      <c r="AVF52" s="314">
        <v>1400</v>
      </c>
      <c r="AVG52" s="314">
        <v>1400</v>
      </c>
      <c r="AVH52" s="314">
        <v>1400</v>
      </c>
      <c r="AVI52" s="314"/>
      <c r="AVJ52" s="314">
        <v>1400</v>
      </c>
      <c r="AVK52" s="314">
        <v>1400</v>
      </c>
      <c r="AVL52" s="314">
        <v>1400</v>
      </c>
      <c r="AVM52" s="603"/>
      <c r="AVN52" s="314">
        <v>1400</v>
      </c>
      <c r="AVO52" s="314">
        <v>1400</v>
      </c>
      <c r="AVP52" s="314">
        <v>1400</v>
      </c>
      <c r="AVQ52" s="314"/>
      <c r="AVR52" s="314">
        <v>1400</v>
      </c>
      <c r="AVS52" s="314">
        <v>1400</v>
      </c>
      <c r="AVT52" s="314">
        <v>1400</v>
      </c>
      <c r="AVU52" s="314">
        <v>1400</v>
      </c>
      <c r="AVV52" s="314">
        <v>1400</v>
      </c>
      <c r="AVW52" s="314">
        <v>1400</v>
      </c>
      <c r="AVX52" s="314"/>
      <c r="AVY52" s="314">
        <v>1400</v>
      </c>
      <c r="AVZ52" s="314">
        <v>1400</v>
      </c>
      <c r="AWA52" s="314">
        <v>1400</v>
      </c>
      <c r="AWB52" s="314">
        <v>1400</v>
      </c>
      <c r="AWC52" s="314">
        <v>1400</v>
      </c>
      <c r="AWD52" s="314">
        <v>1400</v>
      </c>
      <c r="AWE52" s="314"/>
      <c r="AWF52" s="314">
        <v>1400</v>
      </c>
      <c r="AWG52" s="314">
        <v>1400</v>
      </c>
      <c r="AWH52" s="314">
        <v>1400</v>
      </c>
      <c r="AWI52" s="314">
        <v>1400</v>
      </c>
      <c r="AWJ52" s="314">
        <v>1400</v>
      </c>
      <c r="AWK52" s="314">
        <v>1400</v>
      </c>
      <c r="AWL52" s="314"/>
      <c r="AWM52" s="314">
        <v>1400</v>
      </c>
      <c r="AWN52" s="314">
        <v>1400</v>
      </c>
      <c r="AWO52" s="314">
        <v>1400</v>
      </c>
      <c r="AWP52" s="314">
        <v>1400</v>
      </c>
      <c r="AWQ52" s="314">
        <v>1400</v>
      </c>
      <c r="AWR52" s="603"/>
      <c r="AWS52" s="314"/>
      <c r="AWT52" s="314">
        <v>1400</v>
      </c>
      <c r="AWU52" s="314">
        <v>1400</v>
      </c>
      <c r="AWV52" s="314">
        <v>1400</v>
      </c>
      <c r="AWW52" s="314">
        <v>1400</v>
      </c>
      <c r="AWX52" s="314">
        <v>1400</v>
      </c>
      <c r="AWY52" s="314">
        <v>1400</v>
      </c>
      <c r="AWZ52" s="314">
        <v>1400</v>
      </c>
      <c r="AXA52" s="314"/>
      <c r="AXB52" s="314">
        <v>1400</v>
      </c>
      <c r="AXC52" s="314">
        <v>1400</v>
      </c>
      <c r="AXD52" s="314">
        <v>1400</v>
      </c>
      <c r="AXE52" s="314">
        <v>1400</v>
      </c>
      <c r="AXF52" s="314">
        <v>1400</v>
      </c>
      <c r="AXG52" s="314">
        <v>1400</v>
      </c>
      <c r="AXH52" s="314"/>
      <c r="AXI52" s="314">
        <v>1400</v>
      </c>
      <c r="AXJ52" s="314">
        <v>1400</v>
      </c>
      <c r="AXK52" s="314">
        <v>1400</v>
      </c>
      <c r="AXL52" s="314">
        <v>1400</v>
      </c>
      <c r="AXM52" s="314">
        <v>1400</v>
      </c>
      <c r="AXN52" s="314">
        <v>1400</v>
      </c>
      <c r="AXO52" s="314"/>
      <c r="AXP52" s="124">
        <v>1400</v>
      </c>
      <c r="AXQ52" s="314"/>
      <c r="AXR52" s="314"/>
      <c r="AXS52" s="314"/>
      <c r="AXT52" s="314"/>
      <c r="AXU52" s="314"/>
      <c r="AXV52" s="314"/>
      <c r="AXW52" s="314"/>
      <c r="AXX52" s="603"/>
    </row>
    <row r="53" spans="1:1324" s="164" customFormat="1" ht="22.8" customHeight="1" x14ac:dyDescent="0.25">
      <c r="A53" s="711"/>
      <c r="B53" s="8" t="s">
        <v>16</v>
      </c>
      <c r="C53" s="153" t="s">
        <v>83</v>
      </c>
      <c r="D53" s="155" t="s">
        <v>71</v>
      </c>
      <c r="E53" s="156"/>
      <c r="F53" s="126" t="s">
        <v>85</v>
      </c>
      <c r="G53" s="159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55" t="s">
        <v>610</v>
      </c>
      <c r="AA53" s="156"/>
      <c r="AB53" s="158"/>
      <c r="AC53" s="158"/>
      <c r="AD53" s="158"/>
      <c r="AE53" s="158"/>
      <c r="AF53" s="158"/>
      <c r="AG53" s="158"/>
      <c r="AH53" s="28" t="s">
        <v>16</v>
      </c>
      <c r="AI53" s="155" t="s">
        <v>611</v>
      </c>
      <c r="AJ53" s="156"/>
      <c r="AK53" s="154"/>
      <c r="AL53" s="126" t="s">
        <v>612</v>
      </c>
      <c r="AM53" s="156"/>
      <c r="AN53" s="122"/>
      <c r="AO53" s="122"/>
      <c r="AP53" s="122"/>
      <c r="AQ53" s="731"/>
      <c r="AR53" s="732"/>
      <c r="AS53" s="732"/>
      <c r="AT53" s="732"/>
      <c r="AU53" s="732"/>
      <c r="AV53" s="732"/>
      <c r="AW53" s="732"/>
      <c r="AX53" s="732"/>
      <c r="AY53" s="732"/>
      <c r="AZ53" s="733"/>
      <c r="BA53" s="122" t="s">
        <v>612</v>
      </c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8" t="s">
        <v>16</v>
      </c>
      <c r="BO53" s="126" t="s">
        <v>607</v>
      </c>
      <c r="BP53" s="156"/>
      <c r="BQ53" s="122"/>
      <c r="BR53" s="122"/>
      <c r="BS53" s="122"/>
      <c r="BT53" s="122"/>
      <c r="BU53" s="122"/>
      <c r="BV53" s="126" t="s">
        <v>192</v>
      </c>
      <c r="BW53" s="159"/>
      <c r="BX53" s="176"/>
      <c r="BY53" s="155" t="s">
        <v>144</v>
      </c>
      <c r="BZ53" s="156"/>
      <c r="CA53" s="158"/>
      <c r="CB53" s="158"/>
      <c r="CC53" s="158"/>
      <c r="CD53" s="158"/>
      <c r="CE53" s="158"/>
      <c r="CF53" s="158"/>
      <c r="CG53" s="158"/>
      <c r="CH53" s="158"/>
      <c r="CI53" s="158"/>
      <c r="CJ53" s="158"/>
      <c r="CK53" s="158"/>
      <c r="CL53" s="158"/>
      <c r="CM53" s="158"/>
      <c r="CN53" s="158"/>
      <c r="CO53" s="158"/>
      <c r="CP53" s="158"/>
      <c r="CQ53" s="158"/>
      <c r="CR53" s="158"/>
      <c r="CS53" s="8" t="s">
        <v>16</v>
      </c>
      <c r="CT53" s="177" t="s">
        <v>144</v>
      </c>
      <c r="CU53" s="158"/>
      <c r="CV53" s="158"/>
      <c r="CW53" s="158"/>
      <c r="CX53" s="156" t="s">
        <v>613</v>
      </c>
      <c r="CY53" s="156"/>
      <c r="CZ53" s="122"/>
      <c r="DA53" s="122"/>
      <c r="DB53" s="122"/>
      <c r="DC53" s="122"/>
      <c r="DD53" s="155" t="s">
        <v>246</v>
      </c>
      <c r="DE53" s="156"/>
      <c r="DF53" s="162"/>
      <c r="DG53" s="155" t="s">
        <v>147</v>
      </c>
      <c r="DH53" s="156"/>
      <c r="DI53" s="155" t="s">
        <v>148</v>
      </c>
      <c r="DJ53" s="156"/>
      <c r="DK53" s="154"/>
      <c r="DL53" s="155" t="s">
        <v>149</v>
      </c>
      <c r="DM53" s="159"/>
      <c r="DN53" s="154"/>
      <c r="DO53" s="154"/>
      <c r="DP53" s="154"/>
      <c r="DQ53" s="154"/>
      <c r="DR53" s="155" t="s">
        <v>230</v>
      </c>
      <c r="DS53" s="156"/>
      <c r="DT53" s="154"/>
      <c r="DU53" s="154"/>
      <c r="DV53" s="154"/>
      <c r="DW53" s="155" t="s">
        <v>247</v>
      </c>
      <c r="DX53" s="159"/>
      <c r="DY53" s="8" t="s">
        <v>16</v>
      </c>
      <c r="DZ53" s="153" t="s">
        <v>247</v>
      </c>
      <c r="EA53" s="153"/>
      <c r="EB53" s="155" t="s">
        <v>231</v>
      </c>
      <c r="EC53" s="159"/>
      <c r="ED53" s="154"/>
      <c r="EE53" s="155" t="s">
        <v>214</v>
      </c>
      <c r="EF53" s="156"/>
      <c r="EG53" s="154"/>
      <c r="EH53" s="154"/>
      <c r="EI53" s="155" t="s">
        <v>188</v>
      </c>
      <c r="EJ53" s="156"/>
      <c r="EK53" s="155" t="s">
        <v>244</v>
      </c>
      <c r="EL53" s="156"/>
      <c r="EM53" s="154"/>
      <c r="EN53" s="155" t="s">
        <v>272</v>
      </c>
      <c r="EO53" s="156"/>
      <c r="EP53" s="155" t="s">
        <v>232</v>
      </c>
      <c r="EQ53" s="156"/>
      <c r="ER53" s="154"/>
      <c r="ES53" s="155" t="s">
        <v>239</v>
      </c>
      <c r="ET53" s="159"/>
      <c r="EU53" s="162"/>
      <c r="EV53" s="162"/>
      <c r="EW53" s="162"/>
      <c r="EX53" s="162"/>
      <c r="EY53" s="126" t="s">
        <v>290</v>
      </c>
      <c r="EZ53" s="126"/>
      <c r="FA53" s="171"/>
      <c r="FB53" s="171"/>
      <c r="FC53" s="171"/>
      <c r="FD53" s="8" t="s">
        <v>16</v>
      </c>
      <c r="FE53" s="171" t="s">
        <v>166</v>
      </c>
      <c r="FF53" s="171"/>
      <c r="FG53" s="171"/>
      <c r="FH53" s="171"/>
      <c r="FI53" s="171"/>
      <c r="FJ53" s="171"/>
      <c r="FK53" s="171"/>
      <c r="FL53" s="126" t="s">
        <v>248</v>
      </c>
      <c r="FM53" s="126"/>
      <c r="FN53" s="171"/>
      <c r="FO53" s="171"/>
      <c r="FP53" s="171"/>
      <c r="FQ53" s="171"/>
      <c r="FR53" s="171"/>
      <c r="FS53" s="171"/>
      <c r="FT53" s="155" t="s">
        <v>257</v>
      </c>
      <c r="FU53" s="159"/>
      <c r="FV53" s="155" t="s">
        <v>234</v>
      </c>
      <c r="FW53" s="159"/>
      <c r="FX53" s="155" t="s">
        <v>240</v>
      </c>
      <c r="FY53" s="159"/>
      <c r="FZ53" s="155" t="s">
        <v>420</v>
      </c>
      <c r="GA53" s="159"/>
      <c r="GB53" s="162"/>
      <c r="GC53" s="162"/>
      <c r="GD53" s="162"/>
      <c r="GE53" s="162"/>
      <c r="GF53" s="155" t="s">
        <v>419</v>
      </c>
      <c r="GG53" s="156"/>
      <c r="GH53" s="162"/>
      <c r="GI53" s="126" t="s">
        <v>292</v>
      </c>
      <c r="GJ53" s="8" t="s">
        <v>16</v>
      </c>
      <c r="GK53" s="171" t="s">
        <v>292</v>
      </c>
      <c r="GL53" s="171"/>
      <c r="GM53" s="171"/>
      <c r="GN53" s="126" t="s">
        <v>297</v>
      </c>
      <c r="GO53" s="156"/>
      <c r="GP53" s="122"/>
      <c r="GQ53" s="122"/>
      <c r="GR53" s="122"/>
      <c r="GS53" s="122"/>
      <c r="GT53" s="122"/>
      <c r="GU53" s="122"/>
      <c r="GV53" s="155" t="s">
        <v>427</v>
      </c>
      <c r="GW53" s="156"/>
      <c r="GX53" s="158"/>
      <c r="GY53" s="158"/>
      <c r="GZ53" s="157"/>
      <c r="HA53" s="158"/>
      <c r="HB53" s="158"/>
      <c r="HC53" s="157"/>
      <c r="HD53" s="157"/>
      <c r="HE53" s="157"/>
      <c r="HF53" s="155" t="s">
        <v>491</v>
      </c>
      <c r="HG53" s="155"/>
      <c r="HH53" s="158"/>
      <c r="HI53" s="158"/>
      <c r="HJ53" s="158"/>
      <c r="HK53" s="158"/>
      <c r="HL53" s="158"/>
      <c r="HM53" s="158"/>
      <c r="HN53" s="158"/>
      <c r="HO53" s="158"/>
      <c r="HP53" s="8" t="s">
        <v>16</v>
      </c>
      <c r="HQ53" s="126" t="s">
        <v>387</v>
      </c>
      <c r="HR53" s="126"/>
      <c r="HS53" s="171"/>
      <c r="HT53" s="171"/>
      <c r="HU53" s="171"/>
      <c r="HV53" s="171"/>
      <c r="HW53" s="171"/>
      <c r="HX53" s="171"/>
      <c r="HY53" s="171"/>
      <c r="HZ53" s="126" t="s">
        <v>484</v>
      </c>
      <c r="IA53" s="159"/>
      <c r="IB53" s="171"/>
      <c r="IC53" s="171"/>
      <c r="ID53" s="171"/>
      <c r="IE53" s="171"/>
      <c r="IF53" s="171"/>
      <c r="IG53" s="155" t="s">
        <v>464</v>
      </c>
      <c r="IH53" s="156"/>
      <c r="II53" s="157"/>
      <c r="IJ53" s="157"/>
      <c r="IK53" s="155" t="s">
        <v>518</v>
      </c>
      <c r="IL53" s="156"/>
      <c r="IM53" s="157"/>
      <c r="IN53" s="157"/>
      <c r="IO53" s="157"/>
      <c r="IP53" s="157"/>
      <c r="IQ53" s="157"/>
      <c r="IR53" s="157"/>
      <c r="IS53" s="157"/>
      <c r="IT53" s="8" t="s">
        <v>16</v>
      </c>
      <c r="IU53" s="157" t="s">
        <v>472</v>
      </c>
      <c r="IV53" s="157"/>
      <c r="IW53" s="158"/>
      <c r="IX53" s="158"/>
      <c r="IY53" s="158"/>
      <c r="IZ53" s="155" t="s">
        <v>524</v>
      </c>
      <c r="JA53" s="155"/>
      <c r="JB53" s="163"/>
      <c r="JC53" s="163"/>
      <c r="JD53" s="163"/>
      <c r="JE53" s="163"/>
      <c r="JF53" s="155" t="s">
        <v>527</v>
      </c>
      <c r="JG53" s="155"/>
      <c r="JH53" s="163"/>
      <c r="JI53" s="163"/>
      <c r="JJ53" s="163"/>
      <c r="JK53" s="163"/>
      <c r="JL53" s="163"/>
      <c r="JM53" s="163"/>
      <c r="JN53" s="163"/>
      <c r="JO53" s="163"/>
      <c r="JP53" s="163"/>
      <c r="JQ53" s="163"/>
      <c r="JR53" s="126" t="s">
        <v>609</v>
      </c>
      <c r="JS53" s="126"/>
      <c r="JT53" s="122"/>
      <c r="JU53" s="122"/>
      <c r="JV53" s="278"/>
      <c r="JW53" s="173"/>
      <c r="JX53" s="173"/>
      <c r="JY53" s="173"/>
      <c r="JZ53" s="12" t="s">
        <v>16</v>
      </c>
      <c r="KA53" s="173"/>
      <c r="KB53" s="173"/>
      <c r="KC53" s="173"/>
      <c r="KD53" s="173"/>
      <c r="KE53" s="173"/>
      <c r="KF53" s="173"/>
      <c r="KG53" s="173"/>
      <c r="KH53" s="173"/>
      <c r="KI53" s="173"/>
      <c r="KJ53" s="173"/>
      <c r="KK53" s="173"/>
      <c r="KL53" s="173"/>
      <c r="KM53" s="173"/>
      <c r="KN53" s="173"/>
      <c r="KO53" s="173"/>
      <c r="KP53" s="173"/>
      <c r="KQ53" s="173"/>
      <c r="KR53" s="173"/>
      <c r="KS53" s="173"/>
      <c r="KT53" s="173"/>
      <c r="KU53" s="173"/>
      <c r="KV53" s="173"/>
      <c r="KW53" s="173"/>
      <c r="KX53" s="173"/>
      <c r="KY53" s="280"/>
      <c r="KZ53" s="167"/>
      <c r="LA53" s="167"/>
      <c r="LB53" s="167"/>
      <c r="LC53" s="167"/>
      <c r="LD53" s="167"/>
      <c r="LE53" s="8" t="s">
        <v>16</v>
      </c>
      <c r="LI53" s="291" t="s">
        <v>609</v>
      </c>
      <c r="LJ53" s="291"/>
      <c r="LK53" s="291"/>
      <c r="LL53" s="155" t="s">
        <v>742</v>
      </c>
      <c r="LM53" s="155"/>
      <c r="LN53" s="153"/>
      <c r="LO53" s="153"/>
      <c r="LP53" s="153"/>
      <c r="LQ53" s="153"/>
      <c r="LR53" s="153"/>
      <c r="LS53" s="153"/>
      <c r="LT53" s="153"/>
      <c r="LU53" s="153"/>
      <c r="LV53" s="153"/>
      <c r="LW53" s="153"/>
      <c r="LX53" s="155" t="s">
        <v>713</v>
      </c>
      <c r="LY53" s="155"/>
      <c r="LZ53" s="316"/>
      <c r="MA53" s="316"/>
      <c r="MB53" s="716"/>
      <c r="MC53" s="717"/>
      <c r="MD53" s="717"/>
      <c r="ME53" s="718"/>
      <c r="MF53" s="126" t="s">
        <v>816</v>
      </c>
      <c r="MG53" s="126"/>
      <c r="MH53" s="311"/>
      <c r="MI53" s="311"/>
      <c r="MJ53" s="122"/>
      <c r="MK53" s="287" t="s">
        <v>16</v>
      </c>
      <c r="ML53" s="123" t="s">
        <v>694</v>
      </c>
      <c r="MM53" s="311"/>
      <c r="MN53" s="311"/>
      <c r="MO53" s="122"/>
      <c r="MP53" s="313" t="s">
        <v>817</v>
      </c>
      <c r="MQ53" s="318"/>
      <c r="MR53" s="311"/>
      <c r="MS53" s="122"/>
      <c r="MT53" s="311"/>
      <c r="MU53" s="345" t="s">
        <v>818</v>
      </c>
      <c r="MV53" s="345"/>
      <c r="MW53" s="352"/>
      <c r="MX53" s="352"/>
      <c r="MY53" s="155" t="s">
        <v>808</v>
      </c>
      <c r="MZ53" s="156"/>
      <c r="NA53" s="157"/>
      <c r="NB53" s="157"/>
      <c r="NC53" s="157"/>
      <c r="ND53" s="157"/>
      <c r="NE53" s="157"/>
      <c r="NF53" s="157"/>
      <c r="NG53" s="179" t="s">
        <v>908</v>
      </c>
      <c r="NH53" s="179"/>
      <c r="NI53" s="171"/>
      <c r="NJ53" s="171"/>
      <c r="NK53" s="126" t="s">
        <v>904</v>
      </c>
      <c r="NL53" s="126"/>
      <c r="NM53" s="311"/>
      <c r="NN53" s="311"/>
      <c r="NO53" s="311"/>
      <c r="NP53" s="8" t="s">
        <v>16</v>
      </c>
      <c r="NQ53" s="123" t="s">
        <v>904</v>
      </c>
      <c r="NR53" s="123"/>
      <c r="NS53" s="352"/>
      <c r="NT53" s="352"/>
      <c r="NU53" s="122"/>
      <c r="NV53" s="122"/>
      <c r="NW53" s="345" t="s">
        <v>950</v>
      </c>
      <c r="NX53" s="345"/>
      <c r="NY53" s="311"/>
      <c r="NZ53" s="311"/>
      <c r="OA53" s="311"/>
      <c r="OB53" s="126" t="s">
        <v>976</v>
      </c>
      <c r="OC53" s="126"/>
      <c r="OD53" s="312"/>
      <c r="OE53" s="352"/>
      <c r="OF53" s="352"/>
      <c r="OG53" s="312"/>
      <c r="OH53" s="312"/>
      <c r="OI53" s="312"/>
      <c r="OJ53" s="312"/>
      <c r="OK53" s="312"/>
      <c r="OL53" s="312"/>
      <c r="OM53" s="312"/>
      <c r="ON53" s="312"/>
      <c r="OO53" s="312"/>
      <c r="OP53" s="312"/>
      <c r="OQ53" s="345" t="s">
        <v>959</v>
      </c>
      <c r="OR53" s="345"/>
      <c r="OS53" s="312"/>
      <c r="OT53" s="724"/>
      <c r="OU53" s="725"/>
      <c r="OV53" s="303" t="s">
        <v>16</v>
      </c>
      <c r="OW53" s="740"/>
      <c r="OX53" s="741"/>
      <c r="OY53" s="741"/>
      <c r="OZ53" s="741"/>
      <c r="PA53" s="741"/>
      <c r="PB53" s="741"/>
      <c r="PC53" s="742"/>
      <c r="PD53" s="323" t="s">
        <v>959</v>
      </c>
      <c r="PE53" s="306"/>
      <c r="PF53" s="345" t="s">
        <v>976</v>
      </c>
      <c r="PG53" s="345"/>
      <c r="PH53" s="306"/>
      <c r="PI53" s="306"/>
      <c r="PJ53" s="306"/>
      <c r="PK53" s="323"/>
      <c r="PL53" s="323"/>
      <c r="PM53" s="306"/>
      <c r="PN53" s="306"/>
      <c r="PO53" s="306"/>
      <c r="PP53" s="306"/>
      <c r="PQ53" s="306"/>
      <c r="PR53" s="306"/>
      <c r="PS53" s="306"/>
      <c r="PT53" s="306"/>
      <c r="PU53" s="306"/>
      <c r="PV53" s="323"/>
      <c r="PW53" s="323"/>
      <c r="PX53" s="323"/>
      <c r="PY53" s="323"/>
      <c r="PZ53" s="323"/>
      <c r="QA53" s="323"/>
      <c r="QB53" s="8" t="s">
        <v>16</v>
      </c>
      <c r="QC53" s="306" t="s">
        <v>975</v>
      </c>
      <c r="QD53" s="306"/>
      <c r="QE53" s="306"/>
      <c r="QF53" s="376" t="s">
        <v>1159</v>
      </c>
      <c r="QG53" s="376"/>
      <c r="QH53" s="375"/>
      <c r="QI53" s="375"/>
      <c r="QJ53" s="375"/>
      <c r="QK53" s="375"/>
      <c r="QL53" s="375"/>
      <c r="QM53" s="375"/>
      <c r="QN53" s="375"/>
      <c r="QO53" s="375"/>
      <c r="QP53" s="375"/>
      <c r="QQ53" s="375"/>
      <c r="QR53" s="375"/>
      <c r="QS53" s="375"/>
      <c r="QT53" s="361" t="s">
        <v>1084</v>
      </c>
      <c r="QU53" s="361"/>
      <c r="QV53" s="316"/>
      <c r="QW53" s="316"/>
      <c r="QX53" s="316"/>
      <c r="QY53" s="316"/>
      <c r="QZ53" s="316"/>
      <c r="RA53" s="316"/>
      <c r="RB53" s="316"/>
      <c r="RC53" s="316"/>
      <c r="RD53" s="316"/>
      <c r="RE53" s="316"/>
      <c r="RF53" s="316"/>
      <c r="RG53" s="8" t="s">
        <v>16</v>
      </c>
      <c r="RH53" s="316" t="s">
        <v>1084</v>
      </c>
      <c r="RI53" s="316"/>
      <c r="RJ53" s="316"/>
      <c r="RK53" s="316"/>
      <c r="RL53" s="316"/>
      <c r="RM53" s="316"/>
      <c r="RN53" s="316"/>
      <c r="RO53" s="316"/>
      <c r="RP53" s="361" t="s">
        <v>1296</v>
      </c>
      <c r="RQ53" s="361"/>
      <c r="RR53" s="316"/>
      <c r="RS53" s="316"/>
      <c r="RT53" s="316"/>
      <c r="RU53" s="316"/>
      <c r="RV53" s="316"/>
      <c r="RW53" s="316"/>
      <c r="RX53" s="316"/>
      <c r="RY53" s="316"/>
      <c r="RZ53" s="316"/>
      <c r="SA53" s="316"/>
      <c r="SB53" s="316"/>
      <c r="SC53" s="316"/>
      <c r="SD53" s="316"/>
      <c r="SE53" s="316"/>
      <c r="SF53" s="345" t="s">
        <v>911</v>
      </c>
      <c r="SG53" s="345" t="s">
        <v>1162</v>
      </c>
      <c r="SH53" s="345"/>
      <c r="SI53" s="311"/>
      <c r="SJ53" s="311"/>
      <c r="SK53" s="311"/>
      <c r="SL53" s="361" t="s">
        <v>1404</v>
      </c>
      <c r="SM53" s="8" t="s">
        <v>16</v>
      </c>
      <c r="SN53" s="316" t="s">
        <v>1404</v>
      </c>
      <c r="SO53" s="316"/>
      <c r="SP53" s="316"/>
      <c r="SQ53" s="316"/>
      <c r="SR53" s="316"/>
      <c r="SS53" s="316"/>
      <c r="ST53" s="316"/>
      <c r="SU53" s="316"/>
      <c r="SV53" s="361" t="s">
        <v>1154</v>
      </c>
      <c r="SW53" s="361"/>
      <c r="SX53" s="316"/>
      <c r="SY53" s="316"/>
      <c r="SZ53" s="316"/>
      <c r="TA53" s="316"/>
      <c r="TB53" s="361" t="s">
        <v>1613</v>
      </c>
      <c r="TC53" s="361"/>
      <c r="TD53" s="316"/>
      <c r="TE53" s="361" t="s">
        <v>1396</v>
      </c>
      <c r="TF53" s="361"/>
      <c r="TG53" s="361" t="s">
        <v>1395</v>
      </c>
      <c r="TH53" s="361"/>
      <c r="TI53" s="361" t="s">
        <v>1125</v>
      </c>
      <c r="TJ53" s="361"/>
      <c r="TK53" s="361" t="s">
        <v>1611</v>
      </c>
      <c r="TL53" s="361"/>
      <c r="TM53" s="319"/>
      <c r="TN53" s="319"/>
      <c r="TO53" s="319"/>
      <c r="TP53" s="319"/>
      <c r="TQ53" s="319"/>
      <c r="TR53" s="8" t="s">
        <v>16</v>
      </c>
      <c r="TS53" s="319" t="s">
        <v>1423</v>
      </c>
      <c r="TT53" s="319"/>
      <c r="TU53" s="319"/>
      <c r="TV53" s="319"/>
      <c r="TW53" s="319"/>
      <c r="TX53" s="319"/>
      <c r="TY53" s="319"/>
      <c r="TZ53" s="361" t="s">
        <v>1613</v>
      </c>
      <c r="UA53" s="361" t="s">
        <v>1403</v>
      </c>
      <c r="UB53" s="361"/>
      <c r="UC53" s="316"/>
      <c r="UD53" s="316"/>
      <c r="UE53" s="345" t="s">
        <v>1439</v>
      </c>
      <c r="UF53" s="318"/>
      <c r="UG53" s="311"/>
      <c r="UH53" s="311"/>
      <c r="UI53" s="311"/>
      <c r="UJ53" s="311"/>
      <c r="UK53" s="361" t="s">
        <v>1403</v>
      </c>
      <c r="UL53" s="361"/>
      <c r="UM53" s="361" t="s">
        <v>1153</v>
      </c>
      <c r="UN53" s="361"/>
      <c r="UO53" s="316"/>
      <c r="UP53" s="316"/>
      <c r="UQ53" s="316"/>
      <c r="UR53" s="361" t="s">
        <v>1596</v>
      </c>
      <c r="US53" s="361"/>
      <c r="UT53" s="361" t="s">
        <v>1380</v>
      </c>
      <c r="UU53" s="361"/>
      <c r="UV53" s="361" t="s">
        <v>1416</v>
      </c>
      <c r="UW53" s="361"/>
      <c r="UX53" s="8" t="s">
        <v>16</v>
      </c>
      <c r="UY53" s="316" t="s">
        <v>1416</v>
      </c>
      <c r="UZ53" s="316"/>
      <c r="VA53" s="316"/>
      <c r="VB53" s="316"/>
      <c r="VC53" s="361" t="s">
        <v>1415</v>
      </c>
      <c r="VD53" s="361"/>
      <c r="VE53" s="316"/>
      <c r="VF53" s="361" t="s">
        <v>1746</v>
      </c>
      <c r="VG53" s="361"/>
      <c r="VH53" s="319"/>
      <c r="VI53" s="319"/>
      <c r="VJ53" s="319"/>
      <c r="VK53" s="319"/>
      <c r="VL53" s="319"/>
      <c r="VM53" s="319"/>
      <c r="VN53" s="319"/>
      <c r="VO53" s="319"/>
      <c r="VP53" s="319"/>
      <c r="VQ53" s="319"/>
      <c r="VR53" s="319"/>
      <c r="VS53" s="319"/>
      <c r="VT53" s="319"/>
      <c r="VU53" s="319"/>
      <c r="VV53" s="319"/>
      <c r="VW53" s="319"/>
      <c r="VX53" s="319"/>
      <c r="VY53" s="319"/>
      <c r="VZ53" s="319"/>
      <c r="WA53" s="361" t="s">
        <v>2000</v>
      </c>
      <c r="WB53" s="318"/>
      <c r="WC53" s="319"/>
      <c r="WD53" s="8" t="s">
        <v>16</v>
      </c>
      <c r="WE53" s="319" t="s">
        <v>2000</v>
      </c>
      <c r="WF53" s="319"/>
      <c r="WG53" s="319"/>
      <c r="WH53" s="319"/>
      <c r="WI53" s="319"/>
      <c r="WJ53" s="319"/>
      <c r="WK53" s="319"/>
      <c r="WL53" s="319"/>
      <c r="WM53" s="319"/>
      <c r="WN53" s="319"/>
      <c r="WO53" s="319"/>
      <c r="WP53" s="319"/>
      <c r="WQ53" s="319"/>
      <c r="WR53" s="319"/>
      <c r="WS53" s="319"/>
      <c r="WT53" s="319"/>
      <c r="WU53" s="319"/>
      <c r="WV53" s="319"/>
      <c r="WW53" s="319"/>
      <c r="WX53" s="319"/>
      <c r="WY53" s="319"/>
      <c r="WZ53" s="319"/>
      <c r="XA53" s="319"/>
      <c r="XB53" s="319"/>
      <c r="XC53" s="319"/>
      <c r="XD53" s="319"/>
      <c r="XE53" s="319"/>
      <c r="XF53" s="319"/>
      <c r="XG53" s="8" t="s">
        <v>16</v>
      </c>
      <c r="XH53" s="319" t="s">
        <v>2000</v>
      </c>
      <c r="XI53" s="319"/>
      <c r="XJ53" s="319"/>
      <c r="XK53" s="319"/>
      <c r="XL53" s="319"/>
      <c r="XM53" s="319"/>
      <c r="XN53" s="319"/>
      <c r="XO53" s="319"/>
      <c r="XP53" s="319"/>
      <c r="XQ53" s="319"/>
      <c r="XR53" s="319"/>
      <c r="XS53" s="362"/>
      <c r="XT53" s="319"/>
      <c r="XU53" s="319"/>
      <c r="XV53" s="319"/>
      <c r="XW53" s="319"/>
      <c r="XX53" s="319"/>
      <c r="XY53" s="319"/>
      <c r="XZ53" s="319"/>
      <c r="YA53" s="319"/>
      <c r="YB53" s="319"/>
      <c r="YC53" s="319"/>
      <c r="YD53" s="319"/>
      <c r="YE53" s="319"/>
      <c r="YF53" s="319"/>
      <c r="YG53" s="319"/>
      <c r="YH53" s="319"/>
      <c r="YI53" s="319"/>
      <c r="YJ53" s="319"/>
      <c r="YK53" s="319"/>
      <c r="YL53" s="319"/>
      <c r="YM53" s="8" t="s">
        <v>16</v>
      </c>
      <c r="YN53" s="319" t="s">
        <v>2000</v>
      </c>
      <c r="YO53" s="319"/>
      <c r="YP53" s="361" t="s">
        <v>2077</v>
      </c>
      <c r="YQ53" s="361"/>
      <c r="YR53" s="316"/>
      <c r="YS53" s="316"/>
      <c r="YT53" s="316"/>
      <c r="YU53" s="316"/>
      <c r="YV53" s="316"/>
      <c r="YW53" s="361" t="s">
        <v>2155</v>
      </c>
      <c r="YX53" s="318"/>
      <c r="YY53" s="319"/>
      <c r="YZ53" s="319"/>
      <c r="ZA53" s="319"/>
      <c r="ZB53" s="319"/>
      <c r="ZC53" s="319"/>
      <c r="ZD53" s="319"/>
      <c r="ZE53" s="319"/>
      <c r="ZF53" s="319"/>
      <c r="ZG53" s="319"/>
      <c r="ZH53" s="319"/>
      <c r="ZI53" s="319"/>
      <c r="ZJ53" s="319"/>
      <c r="ZK53" s="319"/>
      <c r="ZL53" s="319"/>
      <c r="ZM53" s="345" t="s">
        <v>1799</v>
      </c>
      <c r="ZN53" s="345"/>
      <c r="ZO53" s="311"/>
      <c r="ZP53" s="311"/>
      <c r="ZQ53" s="311"/>
      <c r="ZR53" s="8" t="s">
        <v>16</v>
      </c>
      <c r="ZS53" s="352" t="s">
        <v>1799</v>
      </c>
      <c r="ZT53" s="352"/>
      <c r="ZU53" s="352"/>
      <c r="ZV53" s="352"/>
      <c r="ZW53" s="352"/>
      <c r="ZX53" s="352"/>
      <c r="ZY53" s="352"/>
      <c r="ZZ53" s="352"/>
      <c r="AAA53" s="352"/>
      <c r="AAB53" s="352"/>
      <c r="AAC53" s="352"/>
      <c r="AAD53" s="352"/>
      <c r="AAE53" s="777"/>
      <c r="AAF53" s="705"/>
      <c r="AAG53" s="705"/>
      <c r="AAH53" s="705"/>
      <c r="AAI53" s="778"/>
      <c r="AAJ53" s="352" t="s">
        <v>1799</v>
      </c>
      <c r="AAK53" s="361" t="s">
        <v>2028</v>
      </c>
      <c r="AAL53" s="361"/>
      <c r="AAM53" s="316"/>
      <c r="AAN53" s="316"/>
      <c r="AAO53" s="316"/>
      <c r="AAP53" s="316"/>
      <c r="AAQ53" s="316"/>
      <c r="AAR53" s="316"/>
      <c r="AAS53" s="316"/>
      <c r="AAT53" s="316"/>
      <c r="AAU53" s="361" t="s">
        <v>2361</v>
      </c>
      <c r="AAV53" s="318"/>
      <c r="AAW53" s="319"/>
      <c r="AAX53" s="8" t="s">
        <v>16</v>
      </c>
      <c r="AAY53" s="319" t="s">
        <v>2361</v>
      </c>
      <c r="AAZ53" s="319"/>
      <c r="ABA53" s="319"/>
      <c r="ABB53" s="319"/>
      <c r="ABC53" s="319"/>
      <c r="ABD53" s="319"/>
      <c r="ABE53" s="319"/>
      <c r="ABF53" s="319"/>
      <c r="ABG53" s="319"/>
      <c r="ABH53" s="319"/>
      <c r="ABI53" s="319"/>
      <c r="ABJ53" s="319"/>
      <c r="ABK53" s="319"/>
      <c r="ABL53" s="319"/>
      <c r="ABM53" s="319"/>
      <c r="ABN53" s="319"/>
      <c r="ABO53" s="319"/>
      <c r="ABP53" s="319"/>
      <c r="ABQ53" s="319"/>
      <c r="ABR53" s="319"/>
      <c r="ABS53" s="319"/>
      <c r="ABT53" s="319"/>
      <c r="ABU53" s="319"/>
      <c r="ABV53" s="319"/>
      <c r="ABW53" s="319"/>
      <c r="ABX53" s="319"/>
      <c r="ABY53" s="319"/>
      <c r="ABZ53" s="319"/>
      <c r="ACA53" s="319"/>
      <c r="ACB53" s="319"/>
      <c r="ACC53" s="7" t="s">
        <v>16</v>
      </c>
      <c r="ACD53" s="319" t="s">
        <v>2361</v>
      </c>
      <c r="ACE53" s="319"/>
      <c r="ACF53" s="319"/>
      <c r="ACG53" s="319"/>
      <c r="ACH53" s="319"/>
      <c r="ACI53" s="319"/>
      <c r="ACJ53" s="319"/>
      <c r="ACK53" s="319"/>
      <c r="ACL53" s="319"/>
      <c r="ACM53" s="319"/>
      <c r="ACN53" s="319"/>
      <c r="ACO53" s="319"/>
      <c r="ACP53" s="319"/>
      <c r="ACQ53" s="319"/>
      <c r="ACR53" s="319"/>
      <c r="ACS53" s="319"/>
      <c r="ACT53" s="319"/>
      <c r="ACU53" s="319"/>
      <c r="ACV53" s="319"/>
      <c r="ACW53" s="785"/>
      <c r="ACX53" s="786"/>
      <c r="ACY53" s="786"/>
      <c r="ACZ53" s="786"/>
      <c r="ADA53" s="786"/>
      <c r="ADB53" s="786"/>
      <c r="ADC53" s="786"/>
      <c r="ADD53" s="786"/>
      <c r="ADE53" s="786"/>
      <c r="ADF53" s="786"/>
      <c r="ADG53" s="787"/>
      <c r="ADH53" s="314"/>
      <c r="ADI53" s="7" t="s">
        <v>16</v>
      </c>
      <c r="ADJ53" s="319" t="s">
        <v>2440</v>
      </c>
      <c r="ADK53" s="319"/>
      <c r="ADL53" s="319"/>
      <c r="ADM53" s="319"/>
      <c r="ADN53" s="319"/>
      <c r="ADO53" s="319"/>
      <c r="ADP53" s="319"/>
      <c r="ADQ53" s="319"/>
      <c r="ADR53" s="319"/>
      <c r="ADS53" s="319"/>
      <c r="ADT53" s="319"/>
      <c r="ADU53" s="319"/>
      <c r="ADV53" s="319"/>
      <c r="ADW53" s="319"/>
      <c r="ADX53" s="319"/>
      <c r="ADY53" s="319"/>
      <c r="ADZ53" s="319"/>
      <c r="AEA53" s="319"/>
      <c r="AEB53" s="319"/>
      <c r="AEC53" s="319"/>
      <c r="AED53" s="319"/>
      <c r="AEE53" s="319"/>
      <c r="AEF53" s="319"/>
      <c r="AEG53" s="319"/>
      <c r="AEH53" s="319"/>
      <c r="AEI53" s="319"/>
      <c r="AEJ53" s="319"/>
      <c r="AEK53" s="319"/>
      <c r="AEL53" s="319"/>
      <c r="AEM53" s="319"/>
      <c r="AEN53" s="319"/>
      <c r="AEO53" s="7" t="s">
        <v>16</v>
      </c>
      <c r="AEP53" s="319"/>
      <c r="AEQ53" s="319"/>
      <c r="AER53" s="319"/>
      <c r="AES53" s="319"/>
      <c r="AET53" s="319"/>
      <c r="AEU53" s="319"/>
      <c r="AEV53" s="319"/>
      <c r="AEW53" s="319" t="s">
        <v>2361</v>
      </c>
      <c r="AEX53" s="319"/>
      <c r="AEY53" s="319"/>
      <c r="AEZ53" s="319"/>
      <c r="AFA53" s="319"/>
      <c r="AFB53" s="319"/>
      <c r="AFC53" s="319"/>
      <c r="AFD53" s="319"/>
      <c r="AFE53" s="319"/>
      <c r="AFF53" s="319"/>
      <c r="AFG53" s="319"/>
      <c r="AFH53" s="361" t="s">
        <v>2521</v>
      </c>
      <c r="AFI53" s="318"/>
      <c r="AFJ53" s="319"/>
      <c r="AFK53" s="319"/>
      <c r="AFL53" s="319"/>
      <c r="AFM53" s="319"/>
      <c r="AFN53" s="319"/>
      <c r="AFO53" s="319"/>
      <c r="AFP53" s="319"/>
      <c r="AFQ53" s="319"/>
      <c r="AFR53" s="361" t="s">
        <v>2522</v>
      </c>
      <c r="AFS53" s="318"/>
      <c r="AFT53" s="7" t="s">
        <v>16</v>
      </c>
      <c r="AFU53" s="319" t="s">
        <v>2522</v>
      </c>
      <c r="AFV53" s="319"/>
      <c r="AFW53" s="319"/>
      <c r="AFX53" s="361" t="s">
        <v>2671</v>
      </c>
      <c r="AFY53" s="318"/>
      <c r="AFZ53" s="319"/>
      <c r="AGA53" s="319"/>
      <c r="AGB53" s="319"/>
      <c r="AGC53" s="319"/>
      <c r="AGD53" s="319"/>
      <c r="AGE53" s="319"/>
      <c r="AGF53" s="361" t="s">
        <v>2524</v>
      </c>
      <c r="AGG53" s="318"/>
      <c r="AGH53" s="319"/>
      <c r="AGI53" s="361" t="s">
        <v>2523</v>
      </c>
      <c r="AGJ53" s="318"/>
      <c r="AGK53" s="319"/>
      <c r="AGL53" s="319"/>
      <c r="AGM53" s="319"/>
      <c r="AGN53" s="319"/>
      <c r="AGO53" s="319"/>
      <c r="AGP53" s="319"/>
      <c r="AGQ53" s="376" t="s">
        <v>2526</v>
      </c>
      <c r="AGR53" s="524"/>
      <c r="AGS53" s="319"/>
      <c r="AGT53" s="319"/>
      <c r="AGU53" s="319"/>
      <c r="AGV53" s="319"/>
      <c r="AGW53" s="319"/>
      <c r="AGX53" s="319"/>
      <c r="AGY53" s="319"/>
      <c r="AGZ53" s="7" t="s">
        <v>16</v>
      </c>
      <c r="AHA53" s="319" t="s">
        <v>2726</v>
      </c>
      <c r="AHB53" s="319"/>
      <c r="AHC53" s="319"/>
      <c r="AHD53" s="319"/>
      <c r="AHE53" s="319"/>
      <c r="AHF53" s="319"/>
      <c r="AHG53" s="319"/>
      <c r="AHH53" s="319"/>
      <c r="AHI53" s="319"/>
      <c r="AHJ53" s="319"/>
      <c r="AHK53" s="319"/>
      <c r="AHL53" s="319"/>
      <c r="AHM53" s="319"/>
      <c r="AHN53" s="319"/>
      <c r="AHO53" s="319"/>
      <c r="AHP53" s="319"/>
      <c r="AHQ53" s="319"/>
      <c r="AHR53" s="319"/>
      <c r="AHS53" s="319"/>
      <c r="AHT53" s="319"/>
      <c r="AHU53" s="319"/>
      <c r="AHV53" s="376" t="s">
        <v>2777</v>
      </c>
      <c r="AHW53" s="524"/>
      <c r="AHX53" s="319"/>
      <c r="AHY53" s="319"/>
      <c r="AHZ53" s="319"/>
      <c r="AIA53" s="319"/>
      <c r="AIB53" s="319"/>
      <c r="AIC53" s="319"/>
      <c r="AID53" s="319"/>
      <c r="AIE53" s="7" t="s">
        <v>16</v>
      </c>
      <c r="AIF53" s="376" t="s">
        <v>2779</v>
      </c>
      <c r="AIG53" s="524"/>
      <c r="AIH53" s="319"/>
      <c r="AII53" s="319"/>
      <c r="AIJ53" s="319"/>
      <c r="AIK53" s="319"/>
      <c r="AIL53" s="319"/>
      <c r="AIM53" s="376" t="s">
        <v>2625</v>
      </c>
      <c r="AIN53" s="524"/>
      <c r="AIO53" s="375"/>
      <c r="AIP53" s="375"/>
      <c r="AIQ53" s="375"/>
      <c r="AIR53" s="375"/>
      <c r="AIS53" s="375"/>
      <c r="AIT53" s="375"/>
      <c r="AIU53" s="375"/>
      <c r="AIV53" s="375"/>
      <c r="AIW53" s="375"/>
      <c r="AIX53" s="375"/>
      <c r="AIY53" s="375"/>
      <c r="AIZ53" s="375"/>
      <c r="AJA53" s="361" t="s">
        <v>2707</v>
      </c>
      <c r="AJB53" s="361"/>
      <c r="AJC53" s="316"/>
      <c r="AJD53" s="361" t="s">
        <v>2708</v>
      </c>
      <c r="AJE53" s="361"/>
      <c r="AJF53" s="361" t="s">
        <v>2706</v>
      </c>
      <c r="AJG53" s="361"/>
      <c r="AJH53" s="361" t="s">
        <v>2622</v>
      </c>
      <c r="AJI53" s="361"/>
      <c r="AJJ53" s="316"/>
      <c r="AJK53" s="7" t="s">
        <v>16</v>
      </c>
      <c r="AJL53" s="361" t="s">
        <v>2705</v>
      </c>
      <c r="AJM53" s="361"/>
      <c r="AJN53" s="361" t="s">
        <v>2649</v>
      </c>
      <c r="AJO53" s="361"/>
      <c r="AJP53" s="361" t="s">
        <v>2648</v>
      </c>
      <c r="AJQ53" s="361"/>
      <c r="AJR53" s="316"/>
      <c r="AJS53" s="361" t="s">
        <v>2650</v>
      </c>
      <c r="AJT53" s="361"/>
      <c r="AJU53" s="361" t="s">
        <v>2647</v>
      </c>
      <c r="AJV53" s="361"/>
      <c r="AJW53" s="316"/>
      <c r="AJX53" s="316"/>
      <c r="AJY53" s="314"/>
      <c r="AJZ53" s="314"/>
      <c r="AKA53" s="361" t="s">
        <v>2608</v>
      </c>
      <c r="AKB53" s="361"/>
      <c r="AKC53" s="319"/>
      <c r="AKD53" s="319"/>
      <c r="AKE53" s="319"/>
      <c r="AKF53" s="319"/>
      <c r="AKG53" s="319"/>
      <c r="AKH53" s="319"/>
      <c r="AKI53" s="361" t="s">
        <v>2780</v>
      </c>
      <c r="AKJ53" s="361"/>
      <c r="AKK53" s="319"/>
      <c r="AKL53" s="319"/>
      <c r="AKM53" s="319"/>
      <c r="AKN53" s="319"/>
      <c r="AKO53" s="319"/>
      <c r="AKP53" s="319"/>
      <c r="AKQ53" s="7" t="s">
        <v>16</v>
      </c>
      <c r="AKR53" s="319" t="s">
        <v>2540</v>
      </c>
      <c r="AKS53" s="319"/>
      <c r="AKT53" s="319"/>
      <c r="AKU53" s="361" t="s">
        <v>2781</v>
      </c>
      <c r="AKV53" s="361"/>
      <c r="AKW53" s="319"/>
      <c r="AKX53" s="319"/>
      <c r="AKY53" s="319"/>
      <c r="AKZ53" s="319"/>
      <c r="ALA53" s="319"/>
      <c r="ALB53" s="361" t="s">
        <v>2823</v>
      </c>
      <c r="ALC53" s="361"/>
      <c r="ALD53" s="319"/>
      <c r="ALE53" s="319"/>
      <c r="ALF53" s="319"/>
      <c r="ALG53" s="319"/>
      <c r="ALH53" s="319"/>
      <c r="ALI53" s="319"/>
      <c r="ALJ53" s="319"/>
      <c r="ALK53" s="319"/>
      <c r="ALL53" s="345" t="s">
        <v>2845</v>
      </c>
      <c r="ALM53" s="345"/>
      <c r="ALN53" s="352"/>
      <c r="ALO53" s="352"/>
      <c r="ALP53" s="352"/>
      <c r="ALQ53" s="352"/>
      <c r="ALR53" s="352"/>
      <c r="ALS53" s="352"/>
      <c r="ALT53" s="7" t="s">
        <v>16</v>
      </c>
      <c r="ALU53" s="345" t="s">
        <v>2844</v>
      </c>
      <c r="ALV53" s="345"/>
      <c r="ALW53" s="352"/>
      <c r="ALX53" s="352"/>
      <c r="ALY53" s="352"/>
      <c r="ALZ53" s="352"/>
      <c r="AMA53" s="352"/>
      <c r="AMB53" s="352"/>
      <c r="AMC53" s="352"/>
      <c r="AMD53" s="352"/>
      <c r="AME53" s="352"/>
      <c r="AMF53" s="352"/>
      <c r="AMG53" s="352"/>
      <c r="AMH53" s="352"/>
      <c r="AMI53" s="352"/>
      <c r="AMJ53" s="352"/>
      <c r="AMK53" s="352"/>
      <c r="AML53" s="352"/>
      <c r="AMM53" s="352"/>
      <c r="AMN53" s="352"/>
      <c r="AMO53" s="352"/>
      <c r="AMP53" s="352"/>
      <c r="AMQ53" s="352"/>
      <c r="AMR53" s="352"/>
      <c r="AMS53" s="352"/>
      <c r="AMT53" s="352"/>
      <c r="AMU53" s="352"/>
      <c r="AMV53" s="352"/>
      <c r="AMW53" s="352"/>
      <c r="AMX53" s="361" t="s">
        <v>2783</v>
      </c>
      <c r="AMY53" s="361"/>
      <c r="AMZ53" s="7" t="s">
        <v>16</v>
      </c>
      <c r="ANA53" s="319" t="s">
        <v>2783</v>
      </c>
      <c r="ANB53" s="319"/>
      <c r="ANC53" s="319"/>
      <c r="AND53" s="319"/>
      <c r="ANE53" s="319"/>
      <c r="ANF53" s="319"/>
      <c r="ANG53" s="319"/>
      <c r="ANH53" s="319"/>
      <c r="ANI53" s="319"/>
      <c r="ANJ53" s="319"/>
      <c r="ANK53" s="319"/>
      <c r="ANL53" s="319"/>
      <c r="ANM53" s="319"/>
      <c r="ANN53" s="319"/>
      <c r="ANO53" s="319"/>
      <c r="ANP53" s="345" t="s">
        <v>2846</v>
      </c>
      <c r="ANQ53" s="345"/>
      <c r="ANR53" s="352"/>
      <c r="ANS53" s="352"/>
      <c r="ANT53" s="352"/>
      <c r="ANU53" s="352"/>
      <c r="ANV53" s="352"/>
      <c r="ANW53" s="352"/>
      <c r="ANX53" s="352"/>
      <c r="ANY53" s="352"/>
      <c r="ANZ53" s="352"/>
      <c r="AOA53" s="352"/>
      <c r="AOB53" s="352"/>
      <c r="AOC53" s="352"/>
      <c r="AOD53" s="352"/>
      <c r="AOE53" s="7" t="s">
        <v>16</v>
      </c>
      <c r="AOF53" s="159"/>
      <c r="AOG53" s="159"/>
      <c r="AOH53" s="159"/>
      <c r="AOI53" s="159"/>
      <c r="AOJ53" s="159"/>
      <c r="AOK53" s="159"/>
      <c r="AOL53" s="159"/>
      <c r="AOM53" s="159"/>
      <c r="AON53" s="159"/>
      <c r="AOO53" s="352" t="s">
        <v>2846</v>
      </c>
      <c r="AOP53" s="352"/>
      <c r="AOQ53" s="352"/>
      <c r="AOR53" s="352"/>
      <c r="AOS53" s="352"/>
      <c r="AOT53" s="352"/>
      <c r="AOU53" s="352"/>
      <c r="AOV53" s="352"/>
      <c r="AOW53" s="352"/>
      <c r="AOX53" s="352"/>
      <c r="AOY53" s="352"/>
      <c r="AOZ53" s="352"/>
      <c r="APA53" s="352"/>
      <c r="APB53" s="345" t="s">
        <v>2868</v>
      </c>
      <c r="APC53" s="345"/>
      <c r="APD53" s="352"/>
      <c r="APE53" s="352"/>
      <c r="APF53" s="352"/>
      <c r="APG53" s="352"/>
      <c r="APH53" s="352"/>
      <c r="API53" s="352"/>
      <c r="APJ53" s="352"/>
      <c r="APK53" s="7" t="s">
        <v>16</v>
      </c>
      <c r="APL53" s="352" t="s">
        <v>2868</v>
      </c>
      <c r="APM53" s="352"/>
      <c r="APN53" s="352"/>
      <c r="APO53" s="352"/>
      <c r="APP53" s="352"/>
      <c r="APQ53" s="352"/>
      <c r="APR53" s="352"/>
      <c r="APS53" s="352"/>
      <c r="APT53" s="352"/>
      <c r="APU53" s="352"/>
      <c r="APV53" s="352"/>
      <c r="APW53" s="352"/>
      <c r="APX53" s="352"/>
      <c r="APY53" s="352"/>
      <c r="APZ53" s="352"/>
      <c r="AQA53" s="352"/>
      <c r="AQB53" s="352"/>
      <c r="AQC53" s="352"/>
      <c r="AQD53" s="352"/>
      <c r="AQE53" s="352"/>
      <c r="AQF53" s="352"/>
      <c r="AQG53" s="352"/>
      <c r="AQH53" s="352"/>
      <c r="AQI53" s="352"/>
      <c r="AQJ53" s="352"/>
      <c r="AQK53" s="352"/>
      <c r="AQL53" s="352"/>
      <c r="AQM53" s="352"/>
      <c r="AQN53" s="352"/>
      <c r="AQO53" s="352"/>
      <c r="AQP53" s="7" t="s">
        <v>16</v>
      </c>
      <c r="AQQ53" s="352" t="s">
        <v>2868</v>
      </c>
      <c r="AQR53" s="352"/>
      <c r="AQS53" s="352"/>
      <c r="AQT53" s="352"/>
      <c r="AQU53" s="352"/>
      <c r="AQV53" s="352"/>
      <c r="AQW53" s="352"/>
      <c r="AQX53" s="159"/>
      <c r="AQY53" s="159"/>
      <c r="AQZ53" s="159"/>
      <c r="ARA53" s="159"/>
      <c r="ARB53" s="159"/>
      <c r="ARC53" s="159"/>
      <c r="ARD53" s="159"/>
      <c r="ARE53" s="159"/>
      <c r="ARF53" s="159"/>
      <c r="ARG53" s="352" t="s">
        <v>2641</v>
      </c>
      <c r="ARH53" s="352"/>
      <c r="ARI53" s="352"/>
      <c r="ARJ53" s="352"/>
      <c r="ARK53" s="352"/>
      <c r="ARL53" s="352"/>
      <c r="ARM53" s="352"/>
      <c r="ARN53" s="352"/>
      <c r="ARO53" s="352"/>
      <c r="ARP53" s="352"/>
      <c r="ARQ53" s="352"/>
      <c r="ARR53" s="352"/>
      <c r="ARS53" s="352"/>
      <c r="ART53" s="352"/>
      <c r="ARU53" s="352"/>
      <c r="ARV53" s="7" t="s">
        <v>16</v>
      </c>
      <c r="ARW53" s="314"/>
      <c r="ARX53" s="314"/>
      <c r="ARY53" s="314"/>
      <c r="ARZ53" s="314"/>
      <c r="ASA53" s="314"/>
      <c r="ASB53" s="314"/>
      <c r="ASC53" s="314"/>
      <c r="ASD53" s="314"/>
      <c r="ASE53" s="314"/>
      <c r="ASF53" s="314"/>
      <c r="ASG53" s="314"/>
      <c r="ASH53" s="314"/>
      <c r="ASI53" s="314"/>
      <c r="ASJ53" s="314"/>
      <c r="ASK53" s="314"/>
      <c r="ASL53" s="314"/>
      <c r="ASM53" s="314"/>
      <c r="ASN53" s="314"/>
      <c r="ASO53" s="314"/>
      <c r="ASP53" s="314"/>
      <c r="ASQ53" s="314"/>
      <c r="ASR53" s="314"/>
      <c r="ASS53" s="314"/>
      <c r="AST53" s="314"/>
      <c r="ASU53" s="314"/>
      <c r="ASV53" s="314"/>
      <c r="ASW53" s="314"/>
      <c r="ASX53" s="314"/>
      <c r="ASY53" s="314"/>
      <c r="ASZ53" s="314"/>
      <c r="ATA53" s="314"/>
      <c r="ATB53" s="7" t="s">
        <v>16</v>
      </c>
      <c r="ATC53" s="320"/>
      <c r="ATD53" s="320"/>
      <c r="ATE53" s="320"/>
      <c r="ATF53" s="320"/>
      <c r="ATG53" s="320"/>
      <c r="ATH53" s="320"/>
      <c r="ATI53" s="320"/>
      <c r="ATJ53" s="320"/>
      <c r="ATK53" s="320"/>
      <c r="ATL53" s="320"/>
      <c r="ATM53" s="320"/>
      <c r="ATN53" s="320"/>
      <c r="ATO53" s="320"/>
      <c r="ATP53" s="320"/>
      <c r="ATQ53" s="320"/>
      <c r="ATR53" s="320"/>
      <c r="ATS53" s="320"/>
      <c r="ATT53" s="320"/>
      <c r="ATU53" s="320"/>
      <c r="ATV53" s="320"/>
      <c r="ATW53" s="320"/>
      <c r="ATX53" s="320"/>
      <c r="ATY53" s="320"/>
      <c r="ATZ53" s="320"/>
      <c r="AUA53" s="320"/>
      <c r="AUB53" s="320"/>
      <c r="AUC53" s="320"/>
      <c r="AUD53" s="320"/>
      <c r="AUE53" s="320"/>
      <c r="AUF53" s="320"/>
      <c r="AUG53" s="7" t="s">
        <v>16</v>
      </c>
      <c r="AUH53" s="320"/>
      <c r="AUI53" s="320"/>
      <c r="AUJ53" s="320"/>
      <c r="AUK53" s="320"/>
      <c r="AUL53" s="320"/>
      <c r="AUM53" s="320"/>
      <c r="AUN53" s="320"/>
      <c r="AUO53" s="320"/>
      <c r="AUP53" s="320"/>
      <c r="AUQ53" s="320"/>
      <c r="AUR53" s="320"/>
      <c r="AUS53" s="320"/>
      <c r="AUT53" s="320"/>
      <c r="AUU53" s="320"/>
      <c r="AUV53" s="320"/>
      <c r="AUW53" s="320"/>
      <c r="AUX53" s="320"/>
      <c r="AUY53" s="339" t="s">
        <v>2691</v>
      </c>
      <c r="AUZ53" s="339"/>
      <c r="AVA53" s="180"/>
      <c r="AVB53" s="180"/>
      <c r="AVC53" s="180"/>
      <c r="AVD53" s="180"/>
      <c r="AVE53" s="180"/>
      <c r="AVF53" s="180"/>
      <c r="AVG53" s="180"/>
      <c r="AVH53" s="180"/>
      <c r="AVI53" s="180"/>
      <c r="AVJ53" s="180"/>
      <c r="AVK53" s="180"/>
      <c r="AVL53" s="180"/>
      <c r="AVM53" s="7" t="s">
        <v>16</v>
      </c>
      <c r="AVN53" s="180" t="s">
        <v>2691</v>
      </c>
      <c r="AVO53" s="180"/>
      <c r="AVP53" s="180"/>
      <c r="AVQ53" s="180"/>
      <c r="AVR53" s="180"/>
      <c r="AVS53" s="180"/>
      <c r="AVT53" s="180"/>
      <c r="AVU53" s="180"/>
      <c r="AVV53" s="180"/>
      <c r="AVW53" s="180"/>
      <c r="AVX53" s="180"/>
      <c r="AVY53" s="180"/>
      <c r="AVZ53" s="180"/>
      <c r="AWA53" s="180"/>
      <c r="AWB53" s="180"/>
      <c r="AWC53" s="180"/>
      <c r="AWD53" s="180"/>
      <c r="AWE53" s="180"/>
      <c r="AWF53" s="180"/>
      <c r="AWG53" s="180"/>
      <c r="AWH53" s="180"/>
      <c r="AWI53" s="180"/>
      <c r="AWJ53" s="180"/>
      <c r="AWK53" s="180"/>
      <c r="AWL53" s="180"/>
      <c r="AWM53" s="180"/>
      <c r="AWN53" s="180"/>
      <c r="AWO53" s="180"/>
      <c r="AWP53" s="180"/>
      <c r="AWQ53" s="180"/>
      <c r="AWR53" s="7" t="s">
        <v>16</v>
      </c>
      <c r="AWS53" s="180" t="s">
        <v>2691</v>
      </c>
      <c r="AWT53" s="180"/>
      <c r="AWU53" s="180"/>
      <c r="AWV53" s="180"/>
      <c r="AWW53" s="180"/>
      <c r="AWX53" s="180"/>
      <c r="AWY53" s="180"/>
      <c r="AWZ53" s="180"/>
      <c r="AXA53" s="180"/>
      <c r="AXB53" s="180"/>
      <c r="AXC53" s="180"/>
      <c r="AXD53" s="180"/>
      <c r="AXE53" s="180"/>
      <c r="AXF53" s="180"/>
      <c r="AXG53" s="180"/>
      <c r="AXH53" s="180"/>
      <c r="AXI53" s="180"/>
      <c r="AXJ53" s="180"/>
      <c r="AXK53" s="180"/>
      <c r="AXL53" s="180"/>
      <c r="AXM53" s="180"/>
      <c r="AXN53" s="180"/>
      <c r="AXO53" s="180"/>
      <c r="AXP53" s="180"/>
      <c r="AXQ53" s="314"/>
      <c r="AXR53" s="314"/>
      <c r="AXS53" s="314"/>
      <c r="AXT53" s="314"/>
      <c r="AXU53" s="314"/>
      <c r="AXV53" s="314"/>
      <c r="AXW53" s="314"/>
      <c r="AXX53" s="7" t="s">
        <v>16</v>
      </c>
    </row>
    <row r="54" spans="1:1324" s="136" customFormat="1" ht="22.8" customHeight="1" x14ac:dyDescent="0.25">
      <c r="A54" s="711"/>
      <c r="B54" s="74"/>
      <c r="F54" s="136">
        <v>700</v>
      </c>
      <c r="H54" s="136">
        <v>900</v>
      </c>
      <c r="I54" s="136">
        <v>1620</v>
      </c>
      <c r="J54" s="136">
        <v>1620</v>
      </c>
      <c r="K54" s="136">
        <v>1620</v>
      </c>
      <c r="L54" s="136">
        <v>1620</v>
      </c>
      <c r="M54" s="136">
        <v>1620</v>
      </c>
      <c r="O54" s="136">
        <v>1620</v>
      </c>
      <c r="P54" s="136">
        <v>1620</v>
      </c>
      <c r="Q54" s="136">
        <v>1620</v>
      </c>
      <c r="R54" s="136">
        <v>1620</v>
      </c>
      <c r="Z54" s="136">
        <v>1500</v>
      </c>
      <c r="AA54" s="136">
        <v>1500</v>
      </c>
      <c r="AC54" s="136">
        <v>500</v>
      </c>
      <c r="AD54" s="136">
        <v>700</v>
      </c>
      <c r="AE54" s="136">
        <v>1500</v>
      </c>
      <c r="AF54" s="136">
        <v>2400</v>
      </c>
      <c r="AG54" s="136">
        <v>2400</v>
      </c>
      <c r="AH54" s="75"/>
      <c r="AJ54" s="136">
        <v>1200</v>
      </c>
      <c r="AK54" s="136">
        <v>630</v>
      </c>
      <c r="AQ54" s="731"/>
      <c r="AR54" s="732"/>
      <c r="AS54" s="732"/>
      <c r="AT54" s="732"/>
      <c r="AU54" s="732"/>
      <c r="AV54" s="732"/>
      <c r="AW54" s="732"/>
      <c r="AX54" s="732"/>
      <c r="AY54" s="732"/>
      <c r="AZ54" s="733"/>
      <c r="BL54" s="136">
        <v>20678</v>
      </c>
      <c r="BN54" s="74"/>
      <c r="BQ54" s="136">
        <v>6390</v>
      </c>
      <c r="CD54" s="136">
        <v>16200</v>
      </c>
      <c r="CE54" s="136">
        <v>315</v>
      </c>
      <c r="CF54" s="136">
        <v>900</v>
      </c>
      <c r="CG54" s="136">
        <v>1500</v>
      </c>
      <c r="CI54" s="136">
        <v>1800</v>
      </c>
      <c r="CJ54" s="136">
        <v>2400</v>
      </c>
      <c r="CK54" s="136">
        <v>2400</v>
      </c>
      <c r="CL54" s="136">
        <v>2400</v>
      </c>
      <c r="CM54" s="136">
        <v>2400</v>
      </c>
      <c r="CN54" s="136">
        <v>2400</v>
      </c>
      <c r="CP54" s="136">
        <v>1300</v>
      </c>
      <c r="CQ54" s="136">
        <v>600</v>
      </c>
      <c r="CR54" s="136">
        <v>1200</v>
      </c>
      <c r="CS54" s="74"/>
      <c r="CT54" s="136">
        <v>1600</v>
      </c>
      <c r="CU54" s="136">
        <v>795</v>
      </c>
      <c r="CV54" s="136">
        <v>1260</v>
      </c>
      <c r="CX54" s="136">
        <v>1600</v>
      </c>
      <c r="CY54" s="136">
        <v>1222</v>
      </c>
      <c r="DN54" s="136">
        <v>9400</v>
      </c>
      <c r="DQ54" s="136">
        <v>3958</v>
      </c>
      <c r="DX54" s="136">
        <v>10060</v>
      </c>
      <c r="EA54" s="178">
        <v>953</v>
      </c>
      <c r="EO54" s="129">
        <v>19867</v>
      </c>
      <c r="EP54" s="136">
        <v>530</v>
      </c>
      <c r="EQ54" s="136">
        <v>1600</v>
      </c>
      <c r="ER54" s="136">
        <v>1505</v>
      </c>
      <c r="ES54" s="136">
        <v>2200</v>
      </c>
      <c r="ET54" s="136">
        <v>2001</v>
      </c>
      <c r="EV54" s="136">
        <v>920</v>
      </c>
      <c r="EW54" s="136">
        <v>1570</v>
      </c>
      <c r="EX54" s="137">
        <v>573</v>
      </c>
      <c r="EY54" s="136">
        <v>900</v>
      </c>
      <c r="EZ54" s="136">
        <v>1350</v>
      </c>
      <c r="FA54" s="136">
        <v>1800</v>
      </c>
      <c r="FC54" s="136">
        <v>1800</v>
      </c>
      <c r="FE54" s="136">
        <v>1650</v>
      </c>
      <c r="FF54" s="136">
        <v>1720</v>
      </c>
      <c r="FG54" s="137">
        <v>1079</v>
      </c>
      <c r="FH54" s="136">
        <v>700</v>
      </c>
      <c r="FI54" s="137">
        <v>968</v>
      </c>
      <c r="FJ54" s="136">
        <v>300</v>
      </c>
      <c r="FK54" s="136">
        <v>1000</v>
      </c>
      <c r="FL54" s="136">
        <v>1720</v>
      </c>
      <c r="FM54" s="136">
        <v>1900</v>
      </c>
      <c r="FN54" s="136">
        <v>2000</v>
      </c>
      <c r="FO54" s="136">
        <v>2500</v>
      </c>
      <c r="FP54" s="136">
        <v>2000</v>
      </c>
      <c r="FU54" s="136">
        <v>2250</v>
      </c>
      <c r="FV54" s="137">
        <v>2250</v>
      </c>
      <c r="FW54" s="136">
        <v>1000</v>
      </c>
      <c r="FX54" s="136">
        <v>1600</v>
      </c>
      <c r="FY54" s="136">
        <v>2500</v>
      </c>
      <c r="FZ54" s="136">
        <v>2861</v>
      </c>
      <c r="GA54" s="136">
        <v>3000</v>
      </c>
      <c r="GB54" s="136">
        <v>2300</v>
      </c>
      <c r="GC54" s="137">
        <v>2375</v>
      </c>
      <c r="GD54" s="136">
        <v>500</v>
      </c>
      <c r="GF54" s="136">
        <v>900</v>
      </c>
      <c r="GG54" s="136">
        <v>1440</v>
      </c>
      <c r="GH54" s="136">
        <v>1440</v>
      </c>
      <c r="GI54" s="136">
        <v>1440</v>
      </c>
      <c r="GJ54" s="74"/>
      <c r="GK54" s="136">
        <f>329+400</f>
        <v>729</v>
      </c>
      <c r="GL54" s="136">
        <v>1120</v>
      </c>
      <c r="GN54" s="136">
        <v>1440</v>
      </c>
      <c r="GO54" s="136">
        <v>1440</v>
      </c>
      <c r="GP54" s="137">
        <v>680</v>
      </c>
      <c r="GQ54" s="136">
        <v>0</v>
      </c>
      <c r="GR54" s="136">
        <v>0</v>
      </c>
      <c r="GS54" s="136">
        <v>1181</v>
      </c>
      <c r="GU54" s="136">
        <v>600</v>
      </c>
      <c r="GV54" s="136">
        <v>1250</v>
      </c>
      <c r="GW54" s="136">
        <v>1360</v>
      </c>
      <c r="GX54" s="136">
        <v>1900</v>
      </c>
      <c r="GY54" s="136">
        <v>2200</v>
      </c>
      <c r="GZ54" s="136">
        <v>2100</v>
      </c>
      <c r="HB54" s="136">
        <v>1850</v>
      </c>
      <c r="HC54" s="136">
        <v>1930</v>
      </c>
      <c r="HD54" s="136">
        <v>1700</v>
      </c>
      <c r="HE54" s="136">
        <v>2100</v>
      </c>
      <c r="HF54" s="136">
        <v>2100</v>
      </c>
      <c r="HG54" s="136">
        <v>2250</v>
      </c>
      <c r="HI54" s="136">
        <v>1600</v>
      </c>
      <c r="HJ54" s="136">
        <v>1900</v>
      </c>
      <c r="HK54" s="136">
        <v>2400</v>
      </c>
      <c r="HL54" s="136">
        <v>2400</v>
      </c>
      <c r="HM54" s="137">
        <v>1918</v>
      </c>
      <c r="HN54" s="136">
        <v>250</v>
      </c>
      <c r="HP54" s="74"/>
      <c r="HQ54" s="136">
        <v>1100</v>
      </c>
      <c r="HR54" s="136">
        <v>1460</v>
      </c>
      <c r="HS54" s="136">
        <v>1500</v>
      </c>
      <c r="HT54" s="136">
        <v>2500</v>
      </c>
      <c r="HU54" s="136">
        <v>2300</v>
      </c>
      <c r="HV54" s="136">
        <v>2250</v>
      </c>
      <c r="HX54" s="136">
        <v>2000</v>
      </c>
      <c r="HY54" s="136">
        <v>2000</v>
      </c>
      <c r="HZ54" s="137">
        <v>1079</v>
      </c>
      <c r="IA54" s="136">
        <v>1100</v>
      </c>
      <c r="IB54" s="136">
        <v>1800</v>
      </c>
      <c r="IC54" s="136">
        <v>2100</v>
      </c>
      <c r="IE54" s="136">
        <v>2100</v>
      </c>
      <c r="IF54" s="136">
        <v>2310</v>
      </c>
      <c r="IG54" s="136">
        <v>2200</v>
      </c>
      <c r="IH54" s="136">
        <v>2320</v>
      </c>
      <c r="II54" s="136">
        <v>2220</v>
      </c>
      <c r="IJ54" s="136">
        <v>2340</v>
      </c>
      <c r="IL54" s="136">
        <v>1500</v>
      </c>
      <c r="IM54" s="136">
        <v>1900</v>
      </c>
      <c r="IN54" s="136">
        <v>2060</v>
      </c>
      <c r="IO54" s="136">
        <v>2100</v>
      </c>
      <c r="IP54" s="136">
        <v>2200</v>
      </c>
      <c r="IQ54" s="137">
        <v>1637</v>
      </c>
      <c r="IS54" s="136">
        <v>1200</v>
      </c>
      <c r="IT54" s="74"/>
      <c r="IU54" s="136">
        <v>2100</v>
      </c>
      <c r="IV54" s="137">
        <v>1537</v>
      </c>
      <c r="IW54" s="136">
        <v>210</v>
      </c>
      <c r="IX54" s="136">
        <f>107+300</f>
        <v>407</v>
      </c>
      <c r="IY54" s="136">
        <v>820</v>
      </c>
      <c r="JA54" s="136">
        <v>1200</v>
      </c>
      <c r="JB54" s="136">
        <v>1300</v>
      </c>
      <c r="JC54" s="136">
        <v>1600</v>
      </c>
      <c r="JD54" s="136">
        <v>1750</v>
      </c>
      <c r="JE54" s="136">
        <v>1600</v>
      </c>
      <c r="JF54" s="136">
        <v>1700</v>
      </c>
      <c r="JG54" s="136">
        <v>1400</v>
      </c>
      <c r="JH54" s="137">
        <f>898+652</f>
        <v>1550</v>
      </c>
      <c r="JI54" s="136">
        <v>1700</v>
      </c>
      <c r="JJ54" s="136">
        <v>1700</v>
      </c>
      <c r="JL54" s="136">
        <v>1700</v>
      </c>
      <c r="JM54" s="136">
        <v>1120</v>
      </c>
      <c r="JO54" s="136">
        <v>1120</v>
      </c>
      <c r="JP54" s="136">
        <v>1100</v>
      </c>
      <c r="JQ54" s="137">
        <f>607+200</f>
        <v>807</v>
      </c>
      <c r="JR54" s="136">
        <v>1000</v>
      </c>
      <c r="JS54" s="136">
        <v>1350</v>
      </c>
      <c r="JV54" s="278"/>
      <c r="JW54" s="173"/>
      <c r="JX54" s="173"/>
      <c r="JY54" s="173"/>
      <c r="JZ54" s="281"/>
      <c r="KA54" s="173"/>
      <c r="KB54" s="173"/>
      <c r="KC54" s="173"/>
      <c r="KD54" s="173"/>
      <c r="KE54" s="173"/>
      <c r="KF54" s="173"/>
      <c r="KG54" s="173"/>
      <c r="KH54" s="173"/>
      <c r="KI54" s="173"/>
      <c r="KJ54" s="173"/>
      <c r="KK54" s="173"/>
      <c r="KL54" s="173"/>
      <c r="KM54" s="173"/>
      <c r="KN54" s="173"/>
      <c r="KO54" s="173"/>
      <c r="KP54" s="173"/>
      <c r="KQ54" s="173"/>
      <c r="KR54" s="173"/>
      <c r="KS54" s="173"/>
      <c r="KT54" s="173"/>
      <c r="KU54" s="173"/>
      <c r="KV54" s="173"/>
      <c r="KW54" s="173"/>
      <c r="KX54" s="173"/>
      <c r="KY54" s="280"/>
      <c r="KZ54" s="164"/>
      <c r="LA54" s="164"/>
      <c r="LB54" s="164"/>
      <c r="LC54" s="164"/>
      <c r="LD54" s="164"/>
      <c r="LE54" s="74"/>
      <c r="LG54" s="136">
        <v>800</v>
      </c>
      <c r="LH54" s="136">
        <f>570+430</f>
        <v>1000</v>
      </c>
      <c r="LI54" s="136">
        <v>1300</v>
      </c>
      <c r="LJ54" s="136">
        <v>1440</v>
      </c>
      <c r="LK54" s="136">
        <v>1140</v>
      </c>
      <c r="LL54" s="136">
        <v>1500</v>
      </c>
      <c r="LN54" s="136">
        <f>100+900</f>
        <v>1000</v>
      </c>
      <c r="LO54" s="136">
        <v>1300</v>
      </c>
      <c r="LP54" s="136">
        <v>1550</v>
      </c>
      <c r="LQ54" s="136">
        <v>1600</v>
      </c>
      <c r="LR54" s="136">
        <v>1600</v>
      </c>
      <c r="LS54" s="136">
        <v>1600</v>
      </c>
      <c r="LU54" s="137">
        <f>700+800</f>
        <v>1500</v>
      </c>
      <c r="LV54" s="136">
        <v>1400</v>
      </c>
      <c r="LW54" s="136">
        <v>1600</v>
      </c>
      <c r="LX54" s="136">
        <v>1600</v>
      </c>
      <c r="LY54" s="136">
        <v>1600</v>
      </c>
      <c r="LZ54" s="301">
        <v>1400</v>
      </c>
      <c r="MA54" s="301">
        <v>1600</v>
      </c>
      <c r="MB54" s="716"/>
      <c r="MC54" s="717"/>
      <c r="MD54" s="717"/>
      <c r="ME54" s="718"/>
      <c r="MF54" s="136">
        <v>1800</v>
      </c>
      <c r="MG54" s="136">
        <v>2000</v>
      </c>
      <c r="MI54" s="297">
        <v>1900</v>
      </c>
      <c r="MJ54" s="136">
        <f>188+794</f>
        <v>982</v>
      </c>
      <c r="MK54" s="286"/>
      <c r="ML54" s="136">
        <v>1500</v>
      </c>
      <c r="MM54" s="136">
        <f>260+550</f>
        <v>810</v>
      </c>
      <c r="MN54" s="136">
        <v>1500</v>
      </c>
      <c r="MO54" s="315">
        <v>1370</v>
      </c>
      <c r="MQ54" s="136">
        <f>249+681</f>
        <v>930</v>
      </c>
      <c r="MR54" s="136">
        <v>1400</v>
      </c>
      <c r="MS54" s="315">
        <v>1700</v>
      </c>
      <c r="MT54" s="136">
        <f>400+682</f>
        <v>1082</v>
      </c>
      <c r="MU54" s="136">
        <f>574+552</f>
        <v>1126</v>
      </c>
      <c r="MV54" s="314">
        <v>1180</v>
      </c>
      <c r="MX54" s="314">
        <v>1500</v>
      </c>
      <c r="MY54" s="136">
        <f>377+800</f>
        <v>1177</v>
      </c>
      <c r="MZ54" s="314">
        <v>1260</v>
      </c>
      <c r="NA54" s="365">
        <f>955+400</f>
        <v>1355</v>
      </c>
      <c r="NB54" s="136">
        <f>607+300</f>
        <v>907</v>
      </c>
      <c r="NC54" s="136">
        <v>1430</v>
      </c>
      <c r="NE54" s="136">
        <v>1980</v>
      </c>
      <c r="NF54" s="136">
        <v>2200</v>
      </c>
      <c r="NG54" s="365">
        <v>2000</v>
      </c>
      <c r="NH54" s="314">
        <f>105+1000</f>
        <v>1105</v>
      </c>
      <c r="NI54" s="136">
        <v>1430</v>
      </c>
      <c r="NJ54" s="136">
        <v>1700</v>
      </c>
      <c r="NL54" s="365">
        <v>1418</v>
      </c>
      <c r="NM54" s="136">
        <v>500</v>
      </c>
      <c r="NN54" s="314">
        <v>1540</v>
      </c>
      <c r="NO54" s="314">
        <f>810+200</f>
        <v>1010</v>
      </c>
      <c r="NP54" s="74"/>
      <c r="NQ54" s="136">
        <v>1300</v>
      </c>
      <c r="NR54" s="136">
        <v>1100</v>
      </c>
      <c r="NT54" s="365">
        <v>1250</v>
      </c>
      <c r="NU54" s="314">
        <f>458+642</f>
        <v>1100</v>
      </c>
      <c r="NV54" s="314">
        <v>1800</v>
      </c>
      <c r="NW54" s="314">
        <f>1636+70</f>
        <v>1706</v>
      </c>
      <c r="NX54" s="136">
        <v>1500</v>
      </c>
      <c r="NY54" s="314">
        <v>1800</v>
      </c>
      <c r="OA54" s="365">
        <f>275+600</f>
        <v>875</v>
      </c>
      <c r="OB54" s="136">
        <f>1445+50</f>
        <v>1495</v>
      </c>
      <c r="OC54" s="365">
        <f>820+300</f>
        <v>1120</v>
      </c>
      <c r="OD54" s="314">
        <v>1550</v>
      </c>
      <c r="OE54" s="314">
        <v>2200</v>
      </c>
      <c r="OF54" s="314">
        <v>2300</v>
      </c>
      <c r="OH54" s="314">
        <v>2420</v>
      </c>
      <c r="OI54" s="314">
        <v>2420</v>
      </c>
      <c r="OJ54" s="314">
        <v>2420</v>
      </c>
      <c r="OK54" s="314">
        <v>2420</v>
      </c>
      <c r="OL54" s="314">
        <v>2420</v>
      </c>
      <c r="OM54" s="314">
        <v>1900</v>
      </c>
      <c r="ON54" s="314">
        <v>1820</v>
      </c>
      <c r="OO54" s="314">
        <v>2220</v>
      </c>
      <c r="OP54" s="314">
        <v>2200</v>
      </c>
      <c r="OQ54" s="365">
        <v>2499</v>
      </c>
      <c r="OR54" s="314">
        <v>1320</v>
      </c>
      <c r="OS54" s="314">
        <v>1230</v>
      </c>
      <c r="OT54" s="724"/>
      <c r="OU54" s="725"/>
      <c r="OW54" s="740"/>
      <c r="OX54" s="741"/>
      <c r="OY54" s="741"/>
      <c r="OZ54" s="741"/>
      <c r="PA54" s="741"/>
      <c r="PB54" s="741"/>
      <c r="PC54" s="742"/>
      <c r="PD54" s="314">
        <v>1750</v>
      </c>
      <c r="PE54" s="136">
        <v>2000</v>
      </c>
      <c r="PF54" s="136">
        <v>2200</v>
      </c>
      <c r="PG54" s="136">
        <v>2200</v>
      </c>
      <c r="PH54" s="136">
        <v>2300</v>
      </c>
      <c r="PI54" s="136">
        <v>2200</v>
      </c>
      <c r="PL54" s="314">
        <v>2000</v>
      </c>
      <c r="PM54" s="365">
        <f>1912+140</f>
        <v>2052</v>
      </c>
      <c r="PN54" s="136">
        <v>2200</v>
      </c>
      <c r="PO54" s="136">
        <v>2350</v>
      </c>
      <c r="PP54" s="136">
        <v>2420</v>
      </c>
      <c r="PQ54" s="314"/>
      <c r="PR54" s="314">
        <v>2070</v>
      </c>
      <c r="PS54" s="314">
        <v>2000</v>
      </c>
      <c r="PT54" s="314">
        <v>2100</v>
      </c>
      <c r="PU54" s="314">
        <v>2100</v>
      </c>
      <c r="PV54" s="314">
        <v>2100</v>
      </c>
      <c r="PW54" s="136">
        <v>2070</v>
      </c>
      <c r="PY54" s="136">
        <v>2300</v>
      </c>
      <c r="PZ54" s="136">
        <v>2320</v>
      </c>
      <c r="QA54" s="136">
        <v>2220</v>
      </c>
      <c r="QB54" s="74"/>
      <c r="QC54" s="314">
        <v>2300</v>
      </c>
      <c r="QD54" s="136">
        <v>2200</v>
      </c>
      <c r="QE54" s="136">
        <v>2300</v>
      </c>
      <c r="QG54" s="136">
        <v>2200</v>
      </c>
      <c r="QH54" s="136">
        <v>1800</v>
      </c>
      <c r="QI54" s="136">
        <v>2530</v>
      </c>
      <c r="QJ54" s="136">
        <v>2000</v>
      </c>
      <c r="QK54" s="365">
        <v>1783</v>
      </c>
      <c r="QL54" s="136">
        <v>100</v>
      </c>
      <c r="QM54" s="136">
        <v>320</v>
      </c>
      <c r="QN54" s="314">
        <v>1050</v>
      </c>
      <c r="QO54" s="314">
        <v>1450</v>
      </c>
      <c r="QP54" s="314"/>
      <c r="QQ54" s="136">
        <v>1540</v>
      </c>
      <c r="QR54" s="136">
        <v>1800</v>
      </c>
      <c r="QS54" s="314">
        <v>1800</v>
      </c>
      <c r="QT54" s="314"/>
      <c r="QU54" s="314">
        <v>2100</v>
      </c>
      <c r="QV54" s="314">
        <v>2250</v>
      </c>
      <c r="QW54" s="314">
        <v>2200</v>
      </c>
      <c r="QX54" s="314">
        <v>2100</v>
      </c>
      <c r="QY54" s="314">
        <v>2000</v>
      </c>
      <c r="QZ54" s="314">
        <v>2200</v>
      </c>
      <c r="RB54" s="431">
        <v>1920</v>
      </c>
      <c r="RC54" s="431">
        <v>1520</v>
      </c>
      <c r="RD54" s="365">
        <f>843+660</f>
        <v>1503</v>
      </c>
      <c r="RE54" s="314">
        <v>1600</v>
      </c>
      <c r="RF54" s="314">
        <v>1760</v>
      </c>
      <c r="RH54" s="314">
        <v>2530</v>
      </c>
      <c r="RI54" s="314"/>
      <c r="RJ54" s="136">
        <v>2530</v>
      </c>
      <c r="RK54" s="136">
        <v>2420</v>
      </c>
      <c r="RL54" s="136">
        <v>2530</v>
      </c>
      <c r="RM54" s="314">
        <v>2310</v>
      </c>
      <c r="RN54" s="314">
        <v>2530</v>
      </c>
      <c r="RP54" s="314">
        <v>2000</v>
      </c>
      <c r="RQ54" s="314">
        <v>2600</v>
      </c>
      <c r="RR54" s="314">
        <v>2000</v>
      </c>
      <c r="RS54" s="314">
        <v>2640</v>
      </c>
      <c r="RT54" s="314">
        <v>2200</v>
      </c>
      <c r="RU54" s="314">
        <v>2530</v>
      </c>
      <c r="RV54" s="314">
        <v>2550</v>
      </c>
      <c r="RX54" s="365">
        <v>1685</v>
      </c>
      <c r="RY54" s="314">
        <v>760</v>
      </c>
      <c r="RZ54" s="314">
        <v>1900</v>
      </c>
      <c r="SA54" s="136">
        <v>2200</v>
      </c>
      <c r="SB54" s="136">
        <v>2420</v>
      </c>
      <c r="SC54" s="314">
        <v>2420</v>
      </c>
      <c r="SD54" s="314"/>
      <c r="SE54" s="314">
        <v>2420</v>
      </c>
      <c r="SF54" s="314">
        <v>2300</v>
      </c>
      <c r="SG54" s="314">
        <v>2530</v>
      </c>
      <c r="SH54" s="314">
        <v>1840</v>
      </c>
      <c r="SI54" s="314">
        <v>1850</v>
      </c>
      <c r="SJ54" s="314">
        <v>1840</v>
      </c>
      <c r="SK54" s="314"/>
      <c r="SL54" s="136">
        <v>1840</v>
      </c>
      <c r="SM54" s="74"/>
      <c r="SN54" s="314">
        <v>2570</v>
      </c>
      <c r="SO54" s="314">
        <v>2640</v>
      </c>
      <c r="SP54" s="314">
        <v>2640</v>
      </c>
      <c r="SQ54" s="365">
        <v>2092</v>
      </c>
      <c r="SR54" s="314">
        <v>100</v>
      </c>
      <c r="SS54" s="314">
        <v>550</v>
      </c>
      <c r="ST54" s="314">
        <v>800</v>
      </c>
      <c r="SU54" s="136">
        <v>950</v>
      </c>
      <c r="SW54" s="314">
        <v>1000</v>
      </c>
      <c r="SX54" s="314">
        <v>1300</v>
      </c>
      <c r="SY54" s="314">
        <v>1350</v>
      </c>
      <c r="TA54" s="314">
        <v>1220</v>
      </c>
      <c r="TB54" s="314">
        <f>562+910</f>
        <v>1472</v>
      </c>
      <c r="TC54" s="314">
        <v>2200</v>
      </c>
      <c r="TD54" s="314">
        <v>2700</v>
      </c>
      <c r="TE54" s="136">
        <v>2800</v>
      </c>
      <c r="TF54" s="314">
        <v>2700</v>
      </c>
      <c r="TG54" s="314"/>
      <c r="TH54" s="314">
        <v>2800</v>
      </c>
      <c r="TI54" s="314">
        <v>2700</v>
      </c>
      <c r="TJ54" s="314">
        <v>2880</v>
      </c>
      <c r="TK54" s="314">
        <v>2880</v>
      </c>
      <c r="TL54" s="314">
        <v>2800</v>
      </c>
      <c r="TM54" s="314">
        <v>2880</v>
      </c>
      <c r="TO54" s="314">
        <v>2530</v>
      </c>
      <c r="TP54" s="314">
        <v>2300</v>
      </c>
      <c r="TQ54" s="314">
        <v>1600</v>
      </c>
      <c r="TR54" s="74"/>
      <c r="TS54" s="314">
        <v>2640</v>
      </c>
      <c r="TT54" s="365">
        <f>1524+70</f>
        <v>1594</v>
      </c>
      <c r="TU54" s="314">
        <v>660</v>
      </c>
      <c r="TV54" s="314"/>
      <c r="TW54" s="314">
        <v>1700</v>
      </c>
      <c r="TX54" s="314">
        <v>2420</v>
      </c>
      <c r="TY54" s="314">
        <v>2640</v>
      </c>
      <c r="TZ54" s="314">
        <v>2130</v>
      </c>
      <c r="UA54" s="314">
        <v>2160</v>
      </c>
      <c r="UB54" s="314">
        <f>589+710</f>
        <v>1299</v>
      </c>
      <c r="UC54" s="314">
        <v>1800</v>
      </c>
      <c r="UD54" s="314">
        <v>2300</v>
      </c>
      <c r="UE54" s="314">
        <v>2421</v>
      </c>
      <c r="UF54" s="314">
        <v>2800</v>
      </c>
      <c r="UG54" s="136">
        <v>1900</v>
      </c>
      <c r="UI54" s="314"/>
      <c r="UK54" s="314">
        <v>1600</v>
      </c>
      <c r="UL54" s="365">
        <f>966+20</f>
        <v>986</v>
      </c>
      <c r="UM54" s="314">
        <v>500</v>
      </c>
      <c r="UN54" s="314">
        <v>1050</v>
      </c>
      <c r="UO54" s="314">
        <v>1500</v>
      </c>
      <c r="UP54" s="314">
        <v>1900</v>
      </c>
      <c r="UQ54" s="314"/>
      <c r="UR54" s="314">
        <v>1840</v>
      </c>
      <c r="US54" s="314">
        <v>2000</v>
      </c>
      <c r="UT54" s="314">
        <v>2300</v>
      </c>
      <c r="UU54" s="314">
        <v>2300</v>
      </c>
      <c r="UV54" s="314">
        <v>2300</v>
      </c>
      <c r="UW54" s="314">
        <v>2040</v>
      </c>
      <c r="UX54" s="74"/>
      <c r="UY54" s="314"/>
      <c r="UZ54" s="314">
        <v>2250</v>
      </c>
      <c r="VA54" s="314">
        <v>2200</v>
      </c>
      <c r="VB54" s="314">
        <v>2500</v>
      </c>
      <c r="VC54" s="314">
        <v>2500</v>
      </c>
      <c r="VD54" s="314">
        <v>2500</v>
      </c>
      <c r="VE54" s="314">
        <v>2500</v>
      </c>
      <c r="VF54" s="314"/>
      <c r="VG54" s="314">
        <v>2500</v>
      </c>
      <c r="VH54" s="314">
        <v>2050</v>
      </c>
      <c r="VI54" s="314">
        <v>2500</v>
      </c>
      <c r="VJ54" s="314">
        <v>2600</v>
      </c>
      <c r="VK54" s="314">
        <v>2600</v>
      </c>
      <c r="VL54" s="314">
        <v>1420</v>
      </c>
      <c r="VM54" s="314"/>
      <c r="VN54" s="314">
        <v>2400</v>
      </c>
      <c r="VO54" s="314">
        <v>2600</v>
      </c>
      <c r="VP54" s="365">
        <f>1785+40</f>
        <v>1825</v>
      </c>
      <c r="VQ54" s="314">
        <f>1000+120</f>
        <v>1120</v>
      </c>
      <c r="VR54" s="314">
        <v>1400</v>
      </c>
      <c r="VS54" s="314">
        <v>1700</v>
      </c>
      <c r="VU54" s="314">
        <f>733+670</f>
        <v>1403</v>
      </c>
      <c r="VV54" s="314">
        <v>1700</v>
      </c>
      <c r="VW54" s="365">
        <f>603+700</f>
        <v>1303</v>
      </c>
      <c r="VX54" s="314">
        <f>306+1000</f>
        <v>1306</v>
      </c>
      <c r="VY54" s="365">
        <f>988+30</f>
        <v>1018</v>
      </c>
      <c r="VZ54" s="314">
        <v>520</v>
      </c>
      <c r="WB54" s="314">
        <v>1100</v>
      </c>
      <c r="WC54" s="314">
        <f>384+450</f>
        <v>834</v>
      </c>
      <c r="WD54" s="314"/>
      <c r="WE54" s="136">
        <v>1650</v>
      </c>
      <c r="WF54" s="314">
        <f>1130+272</f>
        <v>1402</v>
      </c>
      <c r="WG54" s="314">
        <v>1700</v>
      </c>
      <c r="WH54" s="365">
        <v>1540</v>
      </c>
      <c r="WJ54" s="136">
        <f>1+594+360</f>
        <v>955</v>
      </c>
      <c r="WK54" s="136">
        <v>1760</v>
      </c>
      <c r="WL54" s="136">
        <v>2200</v>
      </c>
      <c r="WM54" s="136">
        <v>1700</v>
      </c>
      <c r="WN54" s="314">
        <f>2404+16</f>
        <v>2420</v>
      </c>
      <c r="WO54" s="314">
        <v>2130</v>
      </c>
      <c r="WP54" s="314">
        <v>1760</v>
      </c>
      <c r="WQ54" s="314">
        <v>2420</v>
      </c>
      <c r="WR54" s="314">
        <v>2260</v>
      </c>
      <c r="WS54" s="314">
        <v>2420</v>
      </c>
      <c r="WT54" s="314">
        <v>2420</v>
      </c>
      <c r="WU54" s="314">
        <v>2420</v>
      </c>
      <c r="WV54" s="314">
        <v>1300</v>
      </c>
      <c r="WW54" s="314"/>
      <c r="WX54" s="314"/>
      <c r="WY54" s="314"/>
      <c r="WZ54" s="572">
        <f>1477+240</f>
        <v>1717</v>
      </c>
      <c r="XA54" s="314">
        <v>1300</v>
      </c>
      <c r="XB54" s="314">
        <v>1900</v>
      </c>
      <c r="XC54" s="136">
        <v>2200</v>
      </c>
      <c r="XE54" s="136">
        <v>1900</v>
      </c>
      <c r="XF54" s="314">
        <v>2100</v>
      </c>
      <c r="XG54" s="74"/>
      <c r="XH54" s="314">
        <v>2300</v>
      </c>
      <c r="XI54" s="314">
        <v>2440</v>
      </c>
      <c r="XJ54" s="314">
        <v>2360</v>
      </c>
      <c r="XK54" s="314">
        <v>2420</v>
      </c>
      <c r="XM54" s="314">
        <v>2200</v>
      </c>
      <c r="XN54" s="124">
        <f>1026+320</f>
        <v>1346</v>
      </c>
      <c r="XO54" s="314">
        <v>1500</v>
      </c>
      <c r="XP54" s="314">
        <v>1980</v>
      </c>
      <c r="XQ54" s="314">
        <v>1900</v>
      </c>
      <c r="XR54" s="314">
        <v>2200</v>
      </c>
      <c r="XS54" s="178"/>
      <c r="XT54" s="314">
        <f>1500+170</f>
        <v>1670</v>
      </c>
      <c r="XU54" s="314">
        <v>2100</v>
      </c>
      <c r="XV54" s="314">
        <v>2000</v>
      </c>
      <c r="XW54" s="314">
        <f>772+1230</f>
        <v>2002</v>
      </c>
      <c r="XX54" s="314">
        <v>1900</v>
      </c>
      <c r="XY54" s="314">
        <v>2100</v>
      </c>
      <c r="XZ54" s="314">
        <v>1900</v>
      </c>
      <c r="YA54" s="314">
        <v>2200</v>
      </c>
      <c r="YB54" s="314">
        <v>2100</v>
      </c>
      <c r="YC54" s="136">
        <f>683+1100</f>
        <v>1783</v>
      </c>
      <c r="YD54" s="136">
        <v>2220</v>
      </c>
      <c r="YE54" s="136">
        <v>2200</v>
      </c>
      <c r="YF54" s="314">
        <f>285+500</f>
        <v>785</v>
      </c>
      <c r="YG54" s="178"/>
      <c r="YH54" s="136">
        <v>1500</v>
      </c>
      <c r="YI54" s="124">
        <f>1093+240</f>
        <v>1333</v>
      </c>
      <c r="YJ54" s="136">
        <v>1400</v>
      </c>
      <c r="YL54" s="136">
        <v>1400</v>
      </c>
      <c r="YM54" s="74"/>
      <c r="YN54" s="124">
        <f>1077+280</f>
        <v>1357</v>
      </c>
      <c r="YP54" s="136">
        <v>2000</v>
      </c>
      <c r="YQ54" s="136">
        <f>928+610</f>
        <v>1538</v>
      </c>
      <c r="YR54" s="136">
        <v>1800</v>
      </c>
      <c r="YS54" s="136">
        <f>890+500</f>
        <v>1390</v>
      </c>
      <c r="YT54" s="314">
        <v>1980</v>
      </c>
      <c r="YU54" s="136">
        <f>1051+560</f>
        <v>1611</v>
      </c>
      <c r="YW54" s="136">
        <v>1800</v>
      </c>
      <c r="YX54" s="124">
        <f>1129+169+173</f>
        <v>1471</v>
      </c>
      <c r="YY54" s="136">
        <v>540</v>
      </c>
      <c r="YZ54" s="314">
        <v>1250</v>
      </c>
      <c r="ZB54" s="314">
        <f>690+660</f>
        <v>1350</v>
      </c>
      <c r="ZC54" s="314"/>
      <c r="ZD54" s="314">
        <v>1180</v>
      </c>
      <c r="ZE54" s="314">
        <f>644+272</f>
        <v>916</v>
      </c>
      <c r="ZF54" s="314">
        <v>500</v>
      </c>
      <c r="ZG54" s="314">
        <v>950</v>
      </c>
      <c r="ZH54" s="314">
        <v>1000</v>
      </c>
      <c r="ZI54" s="136">
        <v>1232</v>
      </c>
      <c r="ZK54" s="136">
        <f>272+450</f>
        <v>722</v>
      </c>
      <c r="ZL54" s="136">
        <v>1620</v>
      </c>
      <c r="ZM54" s="136">
        <v>1980</v>
      </c>
      <c r="ZN54" s="136">
        <v>1400</v>
      </c>
      <c r="ZO54" s="136">
        <v>1500</v>
      </c>
      <c r="ZP54" s="136">
        <v>1810</v>
      </c>
      <c r="ZQ54" s="314"/>
      <c r="ZR54" s="74"/>
      <c r="ZT54" s="314">
        <v>1720</v>
      </c>
      <c r="ZU54" s="314">
        <v>1900</v>
      </c>
      <c r="ZV54" s="314">
        <v>1800</v>
      </c>
      <c r="ZW54" s="124">
        <v>1700</v>
      </c>
      <c r="ZX54" s="136">
        <f>243+760</f>
        <v>1003</v>
      </c>
      <c r="ZZ54" s="136">
        <v>1260</v>
      </c>
      <c r="AAA54" s="136">
        <v>1560</v>
      </c>
      <c r="AAB54" s="314">
        <v>1460</v>
      </c>
      <c r="AAC54" s="314">
        <f>579+450</f>
        <v>1029</v>
      </c>
      <c r="AAD54" s="314">
        <v>1200</v>
      </c>
      <c r="AAE54" s="777"/>
      <c r="AAF54" s="705"/>
      <c r="AAG54" s="705"/>
      <c r="AAH54" s="705"/>
      <c r="AAI54" s="778"/>
      <c r="AAJ54" s="314">
        <f>1500+18</f>
        <v>1518</v>
      </c>
      <c r="AAK54" s="136">
        <f>424+730</f>
        <v>1154</v>
      </c>
      <c r="AAL54" s="314">
        <v>1600</v>
      </c>
      <c r="AAM54" s="136">
        <v>1300</v>
      </c>
      <c r="AAN54" s="124">
        <f>889+3+80</f>
        <v>972</v>
      </c>
      <c r="AAO54" s="314">
        <v>1000</v>
      </c>
      <c r="AAP54" s="136">
        <v>1800</v>
      </c>
      <c r="AAQ54" s="314">
        <v>2000</v>
      </c>
      <c r="AAR54" s="314">
        <v>2200</v>
      </c>
      <c r="AAS54" s="314">
        <v>1900</v>
      </c>
      <c r="AAU54" s="314">
        <v>1620</v>
      </c>
      <c r="AAV54" s="314">
        <v>1600</v>
      </c>
      <c r="AAW54" s="314">
        <v>1300</v>
      </c>
      <c r="AAX54" s="581"/>
      <c r="AAY54" s="314">
        <v>2540</v>
      </c>
      <c r="AAZ54" s="314">
        <v>2600</v>
      </c>
      <c r="ABA54" s="314">
        <v>2600</v>
      </c>
      <c r="ABC54" s="314">
        <v>2400</v>
      </c>
      <c r="ABD54" s="314">
        <v>2250</v>
      </c>
      <c r="ABE54" s="314">
        <v>2200</v>
      </c>
      <c r="ABF54" s="314">
        <v>2530</v>
      </c>
      <c r="ABG54" s="314">
        <v>2530</v>
      </c>
      <c r="ABH54" s="136">
        <v>2420</v>
      </c>
      <c r="ABI54" s="314"/>
      <c r="ABJ54" s="124">
        <f>430+15+260</f>
        <v>705</v>
      </c>
      <c r="ABK54" s="136">
        <f>1220+43</f>
        <v>1263</v>
      </c>
      <c r="ABL54" s="136">
        <v>1550</v>
      </c>
      <c r="ABM54" s="124">
        <f>971+35</f>
        <v>1006</v>
      </c>
      <c r="ABN54" s="136">
        <v>660</v>
      </c>
      <c r="ABO54" s="136">
        <v>1350</v>
      </c>
      <c r="ABP54" s="136">
        <v>840</v>
      </c>
      <c r="ABQ54" s="136">
        <f>250+1100</f>
        <v>1350</v>
      </c>
      <c r="ABR54" s="314">
        <f>1490+21</f>
        <v>1511</v>
      </c>
      <c r="ABS54" s="124">
        <f>1019+560</f>
        <v>1579</v>
      </c>
      <c r="ABT54" s="314">
        <v>1720</v>
      </c>
      <c r="ABU54" s="314">
        <f>1312+190</f>
        <v>1502</v>
      </c>
      <c r="ABV54" s="314">
        <v>1760</v>
      </c>
      <c r="ABW54" s="314"/>
      <c r="ABX54" s="124">
        <v>1666</v>
      </c>
      <c r="ABY54" s="314">
        <f>1420+28</f>
        <v>1448</v>
      </c>
      <c r="ABZ54" s="314">
        <v>1980</v>
      </c>
      <c r="ACA54" s="124">
        <f>1658+200</f>
        <v>1858</v>
      </c>
      <c r="ACB54" s="136">
        <v>1600</v>
      </c>
      <c r="ACC54" s="74"/>
      <c r="ACD54" s="124">
        <f>1297+20+580</f>
        <v>1897</v>
      </c>
      <c r="ACE54" s="136">
        <v>1550</v>
      </c>
      <c r="ACF54" s="136">
        <f>971+329+203</f>
        <v>1503</v>
      </c>
      <c r="ACG54" s="136">
        <v>1650</v>
      </c>
      <c r="ACH54" s="136">
        <v>2000</v>
      </c>
      <c r="ACI54" s="314">
        <f>311+1810</f>
        <v>2121</v>
      </c>
      <c r="ACJ54" s="314">
        <v>2150</v>
      </c>
      <c r="ACK54" s="314">
        <f>1515+350</f>
        <v>1865</v>
      </c>
      <c r="ACM54" s="314">
        <v>1600</v>
      </c>
      <c r="ACN54" s="124">
        <f>581+730</f>
        <v>1311</v>
      </c>
      <c r="ACO54" s="314">
        <v>1650</v>
      </c>
      <c r="ACP54" s="124">
        <f>692+500</f>
        <v>1192</v>
      </c>
      <c r="ACQ54" s="136">
        <v>1680</v>
      </c>
      <c r="ACR54" s="136">
        <f>1660+21</f>
        <v>1681</v>
      </c>
      <c r="ACS54" s="136">
        <v>1650</v>
      </c>
      <c r="ACT54" s="136">
        <f>126+1900</f>
        <v>2026</v>
      </c>
      <c r="ACU54" s="136">
        <f>20+1700</f>
        <v>1720</v>
      </c>
      <c r="ACV54" s="136">
        <v>1030</v>
      </c>
      <c r="ACW54" s="785"/>
      <c r="ACX54" s="786"/>
      <c r="ACY54" s="786"/>
      <c r="ACZ54" s="786"/>
      <c r="ADA54" s="786"/>
      <c r="ADB54" s="786"/>
      <c r="ADC54" s="786"/>
      <c r="ADD54" s="786"/>
      <c r="ADE54" s="786"/>
      <c r="ADF54" s="786"/>
      <c r="ADG54" s="787"/>
      <c r="ADH54" s="314"/>
      <c r="ADI54" s="74"/>
      <c r="ADJ54" s="124">
        <v>700</v>
      </c>
      <c r="ADK54" s="314">
        <f>581+570</f>
        <v>1151</v>
      </c>
      <c r="ADL54" s="314">
        <v>1500</v>
      </c>
      <c r="ADM54" s="314">
        <f>1450+20+24</f>
        <v>1494</v>
      </c>
      <c r="ADN54" s="124">
        <f>259+1261+10</f>
        <v>1530</v>
      </c>
      <c r="ADO54" s="314"/>
      <c r="ADP54" s="314">
        <v>570</v>
      </c>
      <c r="ADQ54" s="314">
        <v>1040</v>
      </c>
      <c r="ADR54" s="124">
        <f>1030+20</f>
        <v>1050</v>
      </c>
      <c r="ADS54" s="136">
        <f>1500+1</f>
        <v>1501</v>
      </c>
      <c r="ADT54" s="136">
        <f>1520+50</f>
        <v>1570</v>
      </c>
      <c r="ADU54" s="314">
        <f>250+1300</f>
        <v>1550</v>
      </c>
      <c r="ADV54" s="136">
        <v>1240</v>
      </c>
      <c r="ADW54" s="314"/>
      <c r="ADX54" s="314"/>
      <c r="ADY54" s="314">
        <f>294+1110</f>
        <v>1404</v>
      </c>
      <c r="ADZ54" s="314">
        <f>640+490</f>
        <v>1130</v>
      </c>
      <c r="AEA54" s="124">
        <f>1368+10</f>
        <v>1378</v>
      </c>
      <c r="AEB54" s="587">
        <f>300+550</f>
        <v>850</v>
      </c>
      <c r="AED54" s="587">
        <f>1060+300</f>
        <v>1360</v>
      </c>
      <c r="AEE54" s="314">
        <v>1540</v>
      </c>
      <c r="AEF54" s="314">
        <f>785+600</f>
        <v>1385</v>
      </c>
      <c r="AEG54" s="124">
        <f>446+1030</f>
        <v>1476</v>
      </c>
      <c r="AEH54" s="314">
        <v>1900</v>
      </c>
      <c r="AEI54" s="136">
        <f>745+1200</f>
        <v>1945</v>
      </c>
      <c r="AEK54" s="314">
        <v>1660</v>
      </c>
      <c r="AEL54" s="124">
        <f>929+571</f>
        <v>1500</v>
      </c>
      <c r="AEM54" s="136">
        <v>1420</v>
      </c>
      <c r="AEN54" s="136">
        <v>1180</v>
      </c>
      <c r="AEO54" s="314"/>
      <c r="AEP54" s="136">
        <f>275+291+150</f>
        <v>716</v>
      </c>
      <c r="AEQ54" s="136">
        <v>1600</v>
      </c>
      <c r="AES54" s="136">
        <f>1096+350+120</f>
        <v>1566</v>
      </c>
      <c r="AET54" s="314">
        <f>1780+23</f>
        <v>1803</v>
      </c>
      <c r="AEU54" s="124">
        <f>762+1040</f>
        <v>1802</v>
      </c>
      <c r="AEV54" s="136">
        <v>1850</v>
      </c>
      <c r="AEW54" s="136">
        <v>2000</v>
      </c>
      <c r="AEX54" s="136">
        <v>2000</v>
      </c>
      <c r="AEZ54" s="136">
        <v>2020</v>
      </c>
      <c r="AFA54" s="314">
        <v>2000</v>
      </c>
      <c r="AFB54" s="314">
        <v>2000</v>
      </c>
      <c r="AFC54" s="124">
        <f>1387+613</f>
        <v>2000</v>
      </c>
      <c r="AFD54" s="314">
        <f>24+1770</f>
        <v>1794</v>
      </c>
      <c r="AFE54" s="314">
        <v>2000</v>
      </c>
      <c r="AFG54" s="314">
        <v>2000</v>
      </c>
      <c r="AFH54" s="314">
        <v>1900</v>
      </c>
      <c r="AFI54" s="314">
        <v>2100</v>
      </c>
      <c r="AFJ54" s="314">
        <v>2100</v>
      </c>
      <c r="AFK54" s="314">
        <v>1680</v>
      </c>
      <c r="AFL54" s="136">
        <f>1150+10</f>
        <v>1160</v>
      </c>
      <c r="AFN54" s="136">
        <v>700</v>
      </c>
      <c r="AFO54" s="136">
        <v>1280</v>
      </c>
      <c r="AFP54" s="136">
        <v>1460</v>
      </c>
      <c r="AFQ54" s="136">
        <v>1540</v>
      </c>
      <c r="AFR54" s="314">
        <v>1500</v>
      </c>
      <c r="AFS54" s="136">
        <v>1650</v>
      </c>
      <c r="AFT54" s="74"/>
      <c r="AFV54" s="136">
        <v>2100</v>
      </c>
      <c r="AFW54" s="314">
        <v>1970</v>
      </c>
      <c r="AFX54" s="314">
        <v>1900</v>
      </c>
      <c r="AFY54" s="314">
        <v>2100</v>
      </c>
      <c r="AFZ54" s="124">
        <f>276+1600</f>
        <v>1876</v>
      </c>
      <c r="AGA54" s="314">
        <f>1547+300</f>
        <v>1847</v>
      </c>
      <c r="AGC54" s="314">
        <v>1900</v>
      </c>
      <c r="AGD54" s="136">
        <v>2000</v>
      </c>
      <c r="AGE54" s="136">
        <v>2050</v>
      </c>
      <c r="AGF54" s="136">
        <v>2000</v>
      </c>
      <c r="AGG54" s="136">
        <v>1500</v>
      </c>
      <c r="AGH54" s="136">
        <v>910</v>
      </c>
      <c r="AGJ54" s="136">
        <v>1300</v>
      </c>
      <c r="AGK54" s="314">
        <v>2060</v>
      </c>
      <c r="AGL54" s="124">
        <f>401+900</f>
        <v>1301</v>
      </c>
      <c r="AGM54" s="136">
        <v>1900</v>
      </c>
      <c r="AGN54" s="136">
        <v>2250</v>
      </c>
      <c r="AGO54" s="136">
        <v>2350</v>
      </c>
      <c r="AGQ54" s="136">
        <v>2200</v>
      </c>
      <c r="AGR54" s="136">
        <v>2500</v>
      </c>
      <c r="AGS54" s="314">
        <v>2400</v>
      </c>
      <c r="AGT54" s="314">
        <v>2400</v>
      </c>
      <c r="AGU54" s="314">
        <v>2400</v>
      </c>
      <c r="AGV54" s="314">
        <v>2500</v>
      </c>
      <c r="AGX54" s="603">
        <v>2420</v>
      </c>
      <c r="AGY54" s="603">
        <v>1940</v>
      </c>
      <c r="AGZ54" s="74"/>
      <c r="AHA54" s="603">
        <v>2640</v>
      </c>
      <c r="AHB54" s="603">
        <v>2700</v>
      </c>
      <c r="AHC54" s="603">
        <v>2640</v>
      </c>
      <c r="AHD54" s="124">
        <v>2700</v>
      </c>
      <c r="AHF54" s="314">
        <v>2700</v>
      </c>
      <c r="AHG54" s="136">
        <v>2750</v>
      </c>
      <c r="AHH54" s="136">
        <v>2750</v>
      </c>
      <c r="AHI54" s="136">
        <v>2750</v>
      </c>
      <c r="AHJ54" s="136">
        <v>2750</v>
      </c>
      <c r="AHK54" s="136">
        <v>2500</v>
      </c>
      <c r="AHM54" s="136">
        <v>2760</v>
      </c>
      <c r="AHN54" s="136">
        <v>2760</v>
      </c>
      <c r="AHO54" s="314">
        <v>2770</v>
      </c>
      <c r="AHP54" s="136">
        <v>2750</v>
      </c>
      <c r="AHQ54" s="124">
        <v>2338</v>
      </c>
      <c r="AHR54" s="136">
        <v>797</v>
      </c>
      <c r="AHT54" s="314">
        <v>480</v>
      </c>
      <c r="AHU54" s="136">
        <v>741</v>
      </c>
      <c r="AHY54" s="314">
        <v>1500</v>
      </c>
      <c r="AHZ54" s="314">
        <v>1500</v>
      </c>
      <c r="AIA54" s="314">
        <v>1500</v>
      </c>
      <c r="AIB54" s="136">
        <v>1500</v>
      </c>
      <c r="AIC54" s="136">
        <v>1500</v>
      </c>
      <c r="AID54" s="314">
        <v>1500</v>
      </c>
      <c r="AIE54" s="606"/>
      <c r="AIF54" s="136">
        <v>1500</v>
      </c>
      <c r="AIG54" s="136">
        <v>720</v>
      </c>
      <c r="AII54" s="314">
        <v>2000</v>
      </c>
      <c r="AIJ54" s="314">
        <v>1500</v>
      </c>
      <c r="AIK54" s="314">
        <v>1500</v>
      </c>
      <c r="AIL54" s="314">
        <v>1500</v>
      </c>
      <c r="AIM54" s="314">
        <v>1250</v>
      </c>
      <c r="AIN54" s="314">
        <v>1750</v>
      </c>
      <c r="AIO54" s="314"/>
      <c r="AIP54" s="314">
        <v>1500</v>
      </c>
      <c r="AIQ54" s="314">
        <v>1500</v>
      </c>
      <c r="AIR54" s="314">
        <v>2000</v>
      </c>
      <c r="AIS54" s="314">
        <v>1000</v>
      </c>
      <c r="AIT54" s="314">
        <v>1500</v>
      </c>
      <c r="AIW54" s="314">
        <v>1500</v>
      </c>
      <c r="AIX54" s="124">
        <v>1475</v>
      </c>
      <c r="AIY54" s="314">
        <v>1400</v>
      </c>
      <c r="AIZ54" s="124">
        <v>1740</v>
      </c>
      <c r="AJA54" s="136">
        <v>800</v>
      </c>
      <c r="AJB54" s="314">
        <v>1600</v>
      </c>
      <c r="AJD54" s="314">
        <v>2400</v>
      </c>
      <c r="AJE54" s="314">
        <v>2750</v>
      </c>
      <c r="AJF54" s="314">
        <v>2750</v>
      </c>
      <c r="AJG54" s="314">
        <v>2750</v>
      </c>
      <c r="AJH54" s="314">
        <v>2750</v>
      </c>
      <c r="AJI54" s="314">
        <v>2750</v>
      </c>
      <c r="AJK54" s="74"/>
      <c r="AJL54" s="314">
        <v>2750</v>
      </c>
      <c r="AJM54" s="314">
        <v>2750</v>
      </c>
      <c r="AJN54" s="124">
        <v>2000</v>
      </c>
      <c r="AJO54" s="136">
        <v>2750</v>
      </c>
      <c r="AJP54" s="136">
        <v>2750</v>
      </c>
      <c r="AJQ54" s="314">
        <v>2750</v>
      </c>
      <c r="AJS54" s="314">
        <v>2750</v>
      </c>
      <c r="AJT54" s="314">
        <v>2750</v>
      </c>
      <c r="AJU54" s="314">
        <v>2750</v>
      </c>
      <c r="AJV54" s="314">
        <v>2750</v>
      </c>
      <c r="AJW54" s="124">
        <v>1550</v>
      </c>
      <c r="AJX54" s="136">
        <v>400</v>
      </c>
      <c r="AJZ54" s="136">
        <v>800</v>
      </c>
      <c r="AKA54" s="136">
        <v>1200</v>
      </c>
      <c r="AKB54" s="136">
        <v>1600</v>
      </c>
      <c r="AKC54" s="136">
        <v>1980</v>
      </c>
      <c r="AKD54" s="314">
        <v>1980</v>
      </c>
      <c r="AKE54" s="314">
        <v>1980</v>
      </c>
      <c r="AKG54" s="314">
        <v>1980</v>
      </c>
      <c r="AKH54" s="314">
        <v>1980</v>
      </c>
      <c r="AKI54" s="314">
        <v>1980</v>
      </c>
      <c r="AKJ54" s="314">
        <v>1980</v>
      </c>
      <c r="AKK54" s="314">
        <v>1980</v>
      </c>
      <c r="AKL54" s="314">
        <v>1980</v>
      </c>
      <c r="AKN54" s="314">
        <v>1980</v>
      </c>
      <c r="AKO54" s="314">
        <v>1980</v>
      </c>
      <c r="AKP54" s="314">
        <v>1980</v>
      </c>
      <c r="AKQ54" s="74"/>
      <c r="AKR54" s="314">
        <v>1980</v>
      </c>
      <c r="AKS54" s="314">
        <v>1980</v>
      </c>
      <c r="AKT54" s="314">
        <v>1980</v>
      </c>
      <c r="AKV54" s="124">
        <v>1980</v>
      </c>
      <c r="AKW54" s="314">
        <v>1980</v>
      </c>
      <c r="AKX54" s="314">
        <v>1980</v>
      </c>
      <c r="AKY54" s="314">
        <v>1980</v>
      </c>
      <c r="AKZ54" s="314">
        <v>1980</v>
      </c>
      <c r="ALA54" s="124">
        <v>1980</v>
      </c>
      <c r="ALB54" s="314"/>
      <c r="ALC54" s="136">
        <v>700</v>
      </c>
      <c r="ALD54" s="136">
        <v>1400</v>
      </c>
      <c r="ALE54" s="314">
        <v>2100</v>
      </c>
      <c r="ALF54" s="314">
        <v>2100</v>
      </c>
      <c r="ALG54" s="314">
        <v>2100</v>
      </c>
      <c r="ALH54" s="314">
        <v>2100</v>
      </c>
      <c r="ALI54" s="314"/>
      <c r="ALJ54" s="314">
        <v>2100</v>
      </c>
      <c r="ALK54" s="314">
        <v>2100</v>
      </c>
      <c r="ALL54" s="314"/>
      <c r="ALM54" s="314">
        <v>2100</v>
      </c>
      <c r="ALN54" s="314">
        <v>2100</v>
      </c>
      <c r="ALO54" s="314">
        <v>2100</v>
      </c>
      <c r="ALQ54" s="314">
        <v>2100</v>
      </c>
      <c r="ALR54" s="314">
        <v>2100</v>
      </c>
      <c r="ALS54" s="314">
        <v>2100</v>
      </c>
      <c r="ALT54" s="74"/>
      <c r="ALU54" s="314">
        <v>2100</v>
      </c>
      <c r="ALV54" s="314">
        <v>2100</v>
      </c>
      <c r="ALW54" s="314">
        <v>2100</v>
      </c>
      <c r="ALY54" s="124">
        <v>2100</v>
      </c>
      <c r="ALZ54" s="314">
        <v>2100</v>
      </c>
      <c r="AMA54" s="314">
        <v>2100</v>
      </c>
      <c r="AMB54" s="314">
        <v>2100</v>
      </c>
      <c r="AMC54" s="314">
        <v>2100</v>
      </c>
      <c r="AMD54" s="314">
        <v>2100</v>
      </c>
      <c r="AME54" s="314"/>
      <c r="AMF54" s="314">
        <v>2100</v>
      </c>
      <c r="AMG54" s="314">
        <v>2100</v>
      </c>
      <c r="AMH54" s="314">
        <v>2100</v>
      </c>
      <c r="AMI54" s="314">
        <v>2100</v>
      </c>
      <c r="AMJ54" s="314">
        <v>2100</v>
      </c>
      <c r="AMK54" s="314">
        <v>2100</v>
      </c>
      <c r="AML54" s="314"/>
      <c r="AMM54" s="314">
        <v>2100</v>
      </c>
      <c r="AMN54" s="314">
        <v>2100</v>
      </c>
      <c r="AMO54" s="314">
        <v>2100</v>
      </c>
      <c r="AMP54" s="314">
        <v>2100</v>
      </c>
      <c r="AMQ54" s="314">
        <v>2100</v>
      </c>
      <c r="AMR54" s="314">
        <v>2100</v>
      </c>
      <c r="AMS54" s="314"/>
      <c r="AMT54" s="314"/>
      <c r="AMU54" s="124">
        <v>2100</v>
      </c>
      <c r="AMV54" s="314">
        <v>2100</v>
      </c>
      <c r="AMW54" s="136">
        <v>2100</v>
      </c>
      <c r="AMX54" s="136">
        <v>2100</v>
      </c>
      <c r="AMY54" s="136">
        <v>2100</v>
      </c>
      <c r="AMZ54" s="74"/>
      <c r="ANA54" s="314"/>
      <c r="ANB54" s="136">
        <v>1710</v>
      </c>
      <c r="ANC54" s="314">
        <v>1710</v>
      </c>
      <c r="AND54" s="314">
        <v>1710</v>
      </c>
      <c r="ANE54" s="314">
        <v>1710</v>
      </c>
      <c r="ANF54" s="314">
        <v>1710</v>
      </c>
      <c r="ANG54" s="314">
        <v>1710</v>
      </c>
      <c r="ANH54" s="314">
        <v>1710</v>
      </c>
      <c r="ANI54" s="124">
        <v>1710</v>
      </c>
      <c r="ANJ54" s="314">
        <v>1260</v>
      </c>
      <c r="ANK54" s="314">
        <v>1260</v>
      </c>
      <c r="ANL54" s="314">
        <v>1260</v>
      </c>
      <c r="ANM54" s="314">
        <v>1260</v>
      </c>
      <c r="ANP54" s="314">
        <v>1260</v>
      </c>
      <c r="ANQ54" s="314">
        <v>1260</v>
      </c>
      <c r="ANR54" s="314">
        <v>1260</v>
      </c>
      <c r="ANS54" s="314">
        <v>1260</v>
      </c>
      <c r="ANT54" s="314">
        <v>1260</v>
      </c>
      <c r="ANU54" s="314">
        <v>1260</v>
      </c>
      <c r="ANV54" s="314">
        <v>1260</v>
      </c>
      <c r="ANW54" s="314">
        <v>1260</v>
      </c>
      <c r="ANX54" s="314">
        <v>1260</v>
      </c>
      <c r="ANY54" s="314">
        <v>1260</v>
      </c>
      <c r="ANZ54" s="314">
        <v>1260</v>
      </c>
      <c r="AOA54" s="314">
        <v>1260</v>
      </c>
      <c r="AOB54" s="314">
        <v>1260</v>
      </c>
      <c r="AOC54" s="314"/>
      <c r="AOD54" s="314">
        <v>1260</v>
      </c>
      <c r="AOE54" s="74"/>
      <c r="AOF54" s="142"/>
      <c r="AOG54" s="142"/>
      <c r="AOH54" s="142"/>
      <c r="AOI54" s="142"/>
      <c r="AOJ54" s="142"/>
      <c r="AOK54" s="142"/>
      <c r="AOL54" s="142"/>
      <c r="AOM54" s="142"/>
      <c r="AON54" s="142"/>
      <c r="AOO54" s="314">
        <v>1540</v>
      </c>
      <c r="AOP54" s="314">
        <v>1540</v>
      </c>
      <c r="AOQ54" s="124">
        <v>1540</v>
      </c>
      <c r="AOR54" s="139"/>
      <c r="AOS54" s="139">
        <v>700</v>
      </c>
      <c r="AOT54" s="314">
        <v>1400</v>
      </c>
      <c r="AOU54" s="314">
        <v>2100</v>
      </c>
      <c r="AOV54" s="314">
        <v>2100</v>
      </c>
      <c r="AOW54" s="314">
        <v>2100</v>
      </c>
      <c r="AOX54" s="314">
        <v>2100</v>
      </c>
      <c r="AOY54" s="314"/>
      <c r="AOZ54" s="314">
        <v>2100</v>
      </c>
      <c r="APA54" s="314">
        <v>2100</v>
      </c>
      <c r="APB54" s="314">
        <v>2100</v>
      </c>
      <c r="APC54" s="314">
        <v>2100</v>
      </c>
      <c r="APD54" s="314">
        <v>2100</v>
      </c>
      <c r="APE54" s="314">
        <v>2100</v>
      </c>
      <c r="APF54" s="314"/>
      <c r="APG54" s="314">
        <v>2100</v>
      </c>
      <c r="APH54" s="314">
        <v>2100</v>
      </c>
      <c r="API54" s="314">
        <v>2100</v>
      </c>
      <c r="APJ54" s="314">
        <v>2100</v>
      </c>
      <c r="APK54" s="74"/>
      <c r="APL54" s="124">
        <v>2100</v>
      </c>
      <c r="APM54" s="314">
        <v>2100</v>
      </c>
      <c r="APN54" s="136">
        <v>1520</v>
      </c>
      <c r="APO54" s="136">
        <v>2100</v>
      </c>
      <c r="APP54" s="314">
        <v>2100</v>
      </c>
      <c r="APQ54" s="314">
        <v>2100</v>
      </c>
      <c r="APR54" s="314">
        <v>2100</v>
      </c>
      <c r="APS54" s="314">
        <v>2100</v>
      </c>
      <c r="APT54" s="314">
        <v>2100</v>
      </c>
      <c r="APU54" s="314"/>
      <c r="APV54" s="314">
        <v>2100</v>
      </c>
      <c r="APW54" s="314">
        <v>2100</v>
      </c>
      <c r="APX54" s="124">
        <v>1000</v>
      </c>
      <c r="APY54" s="314">
        <v>1705</v>
      </c>
      <c r="APZ54" s="314">
        <v>1705</v>
      </c>
      <c r="AQA54" s="314">
        <v>1705</v>
      </c>
      <c r="AQB54" s="314"/>
      <c r="AQC54" s="314">
        <v>1705</v>
      </c>
      <c r="AQD54" s="314">
        <v>1705</v>
      </c>
      <c r="AQE54" s="314">
        <v>1705</v>
      </c>
      <c r="AQF54" s="314">
        <v>1705</v>
      </c>
      <c r="AQG54" s="314">
        <v>1705</v>
      </c>
      <c r="AQH54" s="314">
        <v>1705</v>
      </c>
      <c r="AQI54" s="314">
        <v>1240</v>
      </c>
      <c r="AQJ54" s="314">
        <v>1705</v>
      </c>
      <c r="AQK54" s="314">
        <v>1705</v>
      </c>
      <c r="AQL54" s="314">
        <v>1705</v>
      </c>
      <c r="AQM54" s="314">
        <v>1705</v>
      </c>
      <c r="AQN54" s="314">
        <v>1705</v>
      </c>
      <c r="AQO54" s="314">
        <v>1705</v>
      </c>
      <c r="AQP54" s="74"/>
      <c r="AQR54" s="314"/>
      <c r="AQS54" s="314"/>
      <c r="AQT54" s="314"/>
      <c r="AQU54" s="314"/>
      <c r="AQV54" s="314">
        <v>1705</v>
      </c>
      <c r="AQW54" s="314">
        <v>1705</v>
      </c>
      <c r="AQX54" s="142"/>
      <c r="AQY54" s="142"/>
      <c r="AQZ54" s="142"/>
      <c r="ARA54" s="142"/>
      <c r="ARB54" s="142"/>
      <c r="ARC54" s="142"/>
      <c r="ARD54" s="142"/>
      <c r="ARE54" s="142"/>
      <c r="ARF54" s="142"/>
      <c r="ARG54" s="136">
        <v>1705</v>
      </c>
      <c r="ARH54" s="124">
        <v>1705</v>
      </c>
      <c r="ARI54" s="136">
        <v>600</v>
      </c>
      <c r="ARJ54" s="136">
        <v>1200</v>
      </c>
      <c r="ARK54" s="136">
        <v>1800</v>
      </c>
      <c r="ARM54" s="136">
        <v>2100</v>
      </c>
      <c r="ARN54" s="136">
        <v>2100</v>
      </c>
      <c r="ARO54" s="136">
        <v>2100</v>
      </c>
      <c r="ARP54" s="314">
        <v>2100</v>
      </c>
      <c r="ARQ54" s="136">
        <v>2100</v>
      </c>
      <c r="ARR54" s="136">
        <v>2100</v>
      </c>
      <c r="ART54" s="136">
        <v>2100</v>
      </c>
      <c r="ARU54" s="136">
        <v>2100</v>
      </c>
      <c r="ARV54" s="74"/>
      <c r="ARW54" s="136">
        <v>1900</v>
      </c>
      <c r="ARX54" s="136">
        <v>1900</v>
      </c>
      <c r="ARY54" s="136">
        <v>1900</v>
      </c>
      <c r="ARZ54" s="136">
        <v>1900</v>
      </c>
      <c r="ASB54" s="136">
        <v>1900</v>
      </c>
      <c r="ASC54" s="136">
        <v>1900</v>
      </c>
      <c r="ASD54" s="136">
        <v>1900</v>
      </c>
      <c r="ASE54" s="136">
        <v>1900</v>
      </c>
      <c r="ASF54" s="136">
        <v>1900</v>
      </c>
      <c r="ASG54" s="136">
        <v>1900</v>
      </c>
      <c r="ASI54" s="136">
        <v>1900</v>
      </c>
      <c r="ASJ54" s="136">
        <v>1900</v>
      </c>
      <c r="ASL54" s="136">
        <v>1900</v>
      </c>
      <c r="ASM54" s="124">
        <v>1900</v>
      </c>
      <c r="ASP54" s="314"/>
      <c r="ASQ54" s="314"/>
      <c r="ASR54" s="314"/>
      <c r="ASS54" s="314"/>
      <c r="AST54" s="314"/>
      <c r="ASU54" s="314"/>
      <c r="ASW54" s="314"/>
      <c r="ASX54" s="314"/>
      <c r="ASY54" s="314"/>
      <c r="ASZ54" s="314"/>
      <c r="ATA54" s="314"/>
      <c r="ATB54" s="74"/>
      <c r="ATC54" s="136">
        <v>1550</v>
      </c>
      <c r="ATE54" s="136">
        <v>1550</v>
      </c>
      <c r="ATF54" s="314">
        <v>1550</v>
      </c>
      <c r="ATG54" s="314">
        <v>1550</v>
      </c>
      <c r="ATH54" s="314">
        <v>1550</v>
      </c>
      <c r="ATI54" s="314">
        <v>1550</v>
      </c>
      <c r="ATJ54" s="314">
        <v>1550</v>
      </c>
      <c r="ATK54" s="314"/>
      <c r="ATL54" s="314">
        <v>1550</v>
      </c>
      <c r="ATM54" s="314">
        <v>1550</v>
      </c>
      <c r="ATN54" s="314">
        <v>1550</v>
      </c>
      <c r="ATO54" s="314">
        <v>1550</v>
      </c>
      <c r="ATP54" s="314">
        <v>1550</v>
      </c>
      <c r="ATQ54" s="314">
        <v>1550</v>
      </c>
      <c r="ATR54" s="314"/>
      <c r="ATS54" s="314">
        <v>1550</v>
      </c>
      <c r="ATT54" s="314">
        <v>1550</v>
      </c>
      <c r="ATU54" s="314">
        <v>1550</v>
      </c>
      <c r="ATV54" s="314">
        <v>1550</v>
      </c>
      <c r="ATW54" s="314">
        <v>1550</v>
      </c>
      <c r="ATX54" s="314">
        <v>1550</v>
      </c>
      <c r="ATY54" s="314"/>
      <c r="ATZ54" s="314">
        <v>1550</v>
      </c>
      <c r="AUA54" s="124">
        <v>1550</v>
      </c>
      <c r="AUB54" s="314">
        <v>1550</v>
      </c>
      <c r="AUC54" s="314">
        <v>1550</v>
      </c>
      <c r="AUD54" s="314">
        <v>1550</v>
      </c>
      <c r="AUE54" s="314">
        <v>1550</v>
      </c>
      <c r="AUF54" s="314"/>
      <c r="AUG54" s="74"/>
      <c r="AUH54" s="314">
        <v>1550</v>
      </c>
      <c r="AUI54" s="314">
        <v>1550</v>
      </c>
      <c r="AUJ54" s="314">
        <v>1550</v>
      </c>
      <c r="AUK54" s="314">
        <v>1550</v>
      </c>
      <c r="AUL54" s="314"/>
      <c r="AUM54" s="314">
        <v>1550</v>
      </c>
      <c r="AUN54" s="314"/>
      <c r="AUO54" s="314">
        <v>1550</v>
      </c>
      <c r="AUP54" s="314">
        <v>1550</v>
      </c>
      <c r="AUQ54" s="314">
        <v>1550</v>
      </c>
      <c r="AUR54" s="314">
        <v>1550</v>
      </c>
      <c r="AUS54" s="314">
        <v>1550</v>
      </c>
      <c r="AUT54" s="314">
        <v>1550</v>
      </c>
      <c r="AUU54" s="314"/>
      <c r="AUV54" s="314">
        <v>1550</v>
      </c>
      <c r="AUW54" s="314">
        <v>1550</v>
      </c>
      <c r="AUX54" s="314">
        <v>1550</v>
      </c>
      <c r="AUY54" s="314">
        <v>1550</v>
      </c>
      <c r="AUZ54" s="314">
        <v>1550</v>
      </c>
      <c r="AVA54" s="314">
        <v>1550</v>
      </c>
      <c r="AVB54" s="314"/>
      <c r="AVC54" s="314">
        <v>1550</v>
      </c>
      <c r="AVD54" s="314">
        <v>1550</v>
      </c>
      <c r="AVE54" s="314">
        <v>1550</v>
      </c>
      <c r="AVF54" s="314">
        <v>1550</v>
      </c>
      <c r="AVG54" s="124">
        <v>1550</v>
      </c>
      <c r="AVH54" s="314">
        <v>1550</v>
      </c>
      <c r="AVI54" s="314"/>
      <c r="AVJ54" s="314">
        <v>1550</v>
      </c>
      <c r="AVK54" s="314">
        <v>1550</v>
      </c>
      <c r="AVL54" s="314">
        <v>1550</v>
      </c>
      <c r="AVM54" s="74"/>
      <c r="AVN54" s="314">
        <v>1550</v>
      </c>
      <c r="AVO54" s="314">
        <v>1550</v>
      </c>
      <c r="AVP54" s="314">
        <v>1550</v>
      </c>
      <c r="AVQ54" s="314"/>
      <c r="AVR54" s="314">
        <v>1550</v>
      </c>
      <c r="AVS54" s="314">
        <v>1550</v>
      </c>
      <c r="AVT54" s="314">
        <v>1550</v>
      </c>
      <c r="AVU54" s="314">
        <v>1550</v>
      </c>
      <c r="AVV54" s="314">
        <v>1550</v>
      </c>
      <c r="AVW54" s="314">
        <v>1550</v>
      </c>
      <c r="AVX54" s="314"/>
      <c r="AVY54" s="314">
        <v>1550</v>
      </c>
      <c r="AVZ54" s="314">
        <v>1550</v>
      </c>
      <c r="AWA54" s="314">
        <v>1550</v>
      </c>
      <c r="AWB54" s="136">
        <v>1550</v>
      </c>
      <c r="AWC54" s="136">
        <v>1550</v>
      </c>
      <c r="AWD54" s="136">
        <v>1550</v>
      </c>
      <c r="AWF54" s="136">
        <v>1550</v>
      </c>
      <c r="AWG54" s="136">
        <v>1550</v>
      </c>
      <c r="AWH54" s="136">
        <v>1550</v>
      </c>
      <c r="AWI54" s="136">
        <v>1550</v>
      </c>
      <c r="AWJ54" s="136">
        <v>1550</v>
      </c>
      <c r="AWK54" s="136">
        <v>1550</v>
      </c>
      <c r="AWM54" s="124">
        <v>1550</v>
      </c>
      <c r="AWN54" s="136">
        <v>1550</v>
      </c>
      <c r="AWO54" s="136">
        <v>1550</v>
      </c>
      <c r="AWP54" s="136">
        <v>1550</v>
      </c>
      <c r="AWQ54" s="136">
        <v>1550</v>
      </c>
      <c r="AWR54" s="74"/>
      <c r="AWS54" s="136">
        <v>1550</v>
      </c>
      <c r="AWU54" s="136">
        <v>1550</v>
      </c>
      <c r="AWV54" s="136">
        <v>1550</v>
      </c>
      <c r="AWW54" s="136">
        <v>1550</v>
      </c>
      <c r="AWX54" s="136">
        <v>1550</v>
      </c>
      <c r="AWY54" s="136">
        <v>1550</v>
      </c>
      <c r="AWZ54" s="136">
        <v>1550</v>
      </c>
      <c r="AXB54" s="136">
        <v>1550</v>
      </c>
      <c r="AXC54" s="136">
        <v>1550</v>
      </c>
      <c r="AXD54" s="136">
        <v>1550</v>
      </c>
      <c r="AXE54" s="136">
        <v>1550</v>
      </c>
      <c r="AXF54" s="136">
        <v>1550</v>
      </c>
      <c r="AXG54" s="136">
        <v>1550</v>
      </c>
      <c r="AXI54" s="136">
        <v>1550</v>
      </c>
      <c r="AXJ54" s="136">
        <v>1550</v>
      </c>
      <c r="AXK54" s="136">
        <v>1550</v>
      </c>
      <c r="AXL54" s="136">
        <v>1550</v>
      </c>
      <c r="AXM54" s="136">
        <v>1550</v>
      </c>
      <c r="AXN54" s="136">
        <v>1550</v>
      </c>
      <c r="AXP54" s="136">
        <v>1550</v>
      </c>
      <c r="AXQ54" s="136">
        <v>1550</v>
      </c>
      <c r="AXR54" s="124">
        <v>1550</v>
      </c>
      <c r="AXS54" s="136">
        <v>1550</v>
      </c>
      <c r="AXT54" s="136">
        <v>1550</v>
      </c>
      <c r="AXU54" s="136">
        <v>1550</v>
      </c>
      <c r="AXW54" s="136">
        <v>1550</v>
      </c>
      <c r="AXX54" s="74"/>
    </row>
    <row r="55" spans="1:1324" s="164" customFormat="1" ht="22.8" customHeight="1" x14ac:dyDescent="0.25">
      <c r="A55" s="711"/>
      <c r="B55" s="8" t="s">
        <v>17</v>
      </c>
      <c r="C55" s="126" t="s">
        <v>86</v>
      </c>
      <c r="D55" s="159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55" t="s">
        <v>56</v>
      </c>
      <c r="R55" s="156"/>
      <c r="S55" s="154"/>
      <c r="T55" s="154"/>
      <c r="U55" s="161" t="s">
        <v>89</v>
      </c>
      <c r="V55" s="174"/>
      <c r="W55" s="160"/>
      <c r="X55" s="160"/>
      <c r="Y55" s="160"/>
      <c r="Z55" s="155" t="s">
        <v>84</v>
      </c>
      <c r="AA55" s="156"/>
      <c r="AB55" s="158"/>
      <c r="AC55" s="158"/>
      <c r="AD55" s="158"/>
      <c r="AE55" s="158"/>
      <c r="AF55" s="158"/>
      <c r="AG55" s="158"/>
      <c r="AH55" s="28" t="s">
        <v>17</v>
      </c>
      <c r="AI55" s="155" t="s">
        <v>599</v>
      </c>
      <c r="AJ55" s="156"/>
      <c r="AK55" s="126" t="s">
        <v>614</v>
      </c>
      <c r="AL55" s="155" t="s">
        <v>95</v>
      </c>
      <c r="AM55" s="156"/>
      <c r="AN55" s="158"/>
      <c r="AO55" s="158"/>
      <c r="AP55" s="158"/>
      <c r="AQ55" s="731"/>
      <c r="AR55" s="732"/>
      <c r="AS55" s="732"/>
      <c r="AT55" s="732"/>
      <c r="AU55" s="732"/>
      <c r="AV55" s="732"/>
      <c r="AW55" s="732"/>
      <c r="AX55" s="732"/>
      <c r="AY55" s="732"/>
      <c r="AZ55" s="733"/>
      <c r="BA55" s="157" t="s">
        <v>95</v>
      </c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  <c r="BM55" s="156" t="s">
        <v>615</v>
      </c>
      <c r="BN55" s="8" t="s">
        <v>17</v>
      </c>
      <c r="BO55" s="122" t="s">
        <v>608</v>
      </c>
      <c r="BP55" s="122"/>
      <c r="BQ55" s="122"/>
      <c r="BR55" s="155" t="s">
        <v>143</v>
      </c>
      <c r="BS55" s="156"/>
      <c r="BT55" s="158"/>
      <c r="BU55" s="158"/>
      <c r="BV55" s="158"/>
      <c r="BW55" s="158"/>
      <c r="BX55" s="158"/>
      <c r="BY55" s="158"/>
      <c r="BZ55" s="158"/>
      <c r="CA55" s="158"/>
      <c r="CB55" s="158"/>
      <c r="CC55" s="155" t="s">
        <v>193</v>
      </c>
      <c r="CD55" s="156"/>
      <c r="CE55" s="158"/>
      <c r="CF55" s="158"/>
      <c r="CG55" s="158"/>
      <c r="CH55" s="158"/>
      <c r="CI55" s="158"/>
      <c r="CJ55" s="158"/>
      <c r="CK55" s="158"/>
      <c r="CL55" s="158"/>
      <c r="CM55" s="158"/>
      <c r="CN55" s="158"/>
      <c r="CP55" s="155" t="s">
        <v>132</v>
      </c>
      <c r="CQ55" s="156"/>
      <c r="CR55" s="154"/>
      <c r="CS55" s="8" t="s">
        <v>17</v>
      </c>
      <c r="CT55" s="155" t="s">
        <v>130</v>
      </c>
      <c r="CU55" s="159"/>
      <c r="CV55" s="162"/>
      <c r="CW55" s="162"/>
      <c r="CX55" s="155" t="s">
        <v>210</v>
      </c>
      <c r="CY55" s="159"/>
      <c r="CZ55" s="162"/>
      <c r="DA55" s="162"/>
      <c r="DB55" s="162"/>
      <c r="DC55" s="162"/>
      <c r="DD55" s="162"/>
      <c r="DE55" s="162"/>
      <c r="DF55" s="162"/>
      <c r="DG55" s="162"/>
      <c r="DH55" s="162"/>
      <c r="DI55" s="162"/>
      <c r="DJ55" s="162"/>
      <c r="DK55" s="162"/>
      <c r="DL55" s="162"/>
      <c r="DM55" s="155" t="s">
        <v>203</v>
      </c>
      <c r="DN55" s="159"/>
      <c r="DO55" s="162"/>
      <c r="DP55" s="155" t="s">
        <v>202</v>
      </c>
      <c r="DQ55" s="159"/>
      <c r="DR55" s="162"/>
      <c r="DS55" s="162"/>
      <c r="DT55" s="162"/>
      <c r="DU55" s="162"/>
      <c r="DV55" s="162"/>
      <c r="DW55" s="155" t="s">
        <v>204</v>
      </c>
      <c r="DX55" s="156"/>
      <c r="DY55" s="8" t="s">
        <v>17</v>
      </c>
      <c r="DZ55" s="153" t="s">
        <v>204</v>
      </c>
      <c r="EA55" s="153"/>
      <c r="EB55" s="162"/>
      <c r="EC55" s="162"/>
      <c r="ED55" s="162"/>
      <c r="EE55" s="162"/>
      <c r="EF55" s="162"/>
      <c r="EG55" s="162"/>
      <c r="EH55" s="162"/>
      <c r="EI55" s="162"/>
      <c r="EJ55" s="162"/>
      <c r="EK55" s="162"/>
      <c r="EL55" s="162"/>
      <c r="EM55" s="162"/>
      <c r="EN55" s="155" t="s">
        <v>252</v>
      </c>
      <c r="EO55" s="159"/>
      <c r="EP55" s="162"/>
      <c r="EQ55" s="155" t="s">
        <v>150</v>
      </c>
      <c r="ER55" s="159"/>
      <c r="ES55" s="153"/>
      <c r="ET55" s="155" t="s">
        <v>177</v>
      </c>
      <c r="EU55" s="159"/>
      <c r="EV55" s="154"/>
      <c r="EW55" s="126" t="s">
        <v>163</v>
      </c>
      <c r="EX55" s="126"/>
      <c r="EY55" s="171"/>
      <c r="EZ55" s="171"/>
      <c r="FA55" s="171"/>
      <c r="FB55" s="171"/>
      <c r="FC55" s="171"/>
      <c r="FD55" s="8" t="s">
        <v>17</v>
      </c>
      <c r="FE55" s="171" t="s">
        <v>163</v>
      </c>
      <c r="FF55" s="126" t="s">
        <v>176</v>
      </c>
      <c r="FG55" s="126"/>
      <c r="FH55" s="155" t="s">
        <v>249</v>
      </c>
      <c r="FI55" s="156"/>
      <c r="FJ55" s="158"/>
      <c r="FK55" s="158"/>
      <c r="FL55" s="158"/>
      <c r="FM55" s="158"/>
      <c r="FN55" s="158"/>
      <c r="FO55" s="158"/>
      <c r="FP55" s="158"/>
      <c r="FQ55" s="158"/>
      <c r="FR55" s="158"/>
      <c r="FS55" s="158"/>
      <c r="FT55" s="158"/>
      <c r="FU55" s="155" t="s">
        <v>301</v>
      </c>
      <c r="FV55" s="156"/>
      <c r="FW55" s="158"/>
      <c r="FX55" s="158"/>
      <c r="FY55" s="158"/>
      <c r="FZ55" s="158"/>
      <c r="GA55" s="158"/>
      <c r="GB55" s="126" t="s">
        <v>163</v>
      </c>
      <c r="GC55" s="126"/>
      <c r="GD55" s="171"/>
      <c r="GE55" s="171"/>
      <c r="GF55" s="171"/>
      <c r="GG55" s="171"/>
      <c r="GH55" s="171"/>
      <c r="GI55" s="171"/>
      <c r="GJ55" s="8" t="s">
        <v>17</v>
      </c>
      <c r="GK55" s="126" t="s">
        <v>280</v>
      </c>
      <c r="GL55" s="171"/>
      <c r="GM55" s="171"/>
      <c r="GN55" s="171"/>
      <c r="GO55" s="155" t="s">
        <v>426</v>
      </c>
      <c r="GP55" s="156"/>
      <c r="GQ55" s="158"/>
      <c r="GR55" s="158"/>
      <c r="GS55" s="157"/>
      <c r="GT55" s="157"/>
      <c r="GU55" s="157"/>
      <c r="GV55" s="157"/>
      <c r="GW55" s="157"/>
      <c r="GX55" s="157"/>
      <c r="GY55" s="157"/>
      <c r="GZ55" s="157"/>
      <c r="HA55" s="157"/>
      <c r="HB55" s="157"/>
      <c r="HC55" s="157"/>
      <c r="HD55" s="157"/>
      <c r="HE55" s="157"/>
      <c r="HF55" s="157"/>
      <c r="HG55" s="157"/>
      <c r="HH55" s="157"/>
      <c r="HI55" s="157"/>
      <c r="HJ55" s="157"/>
      <c r="HK55" s="157"/>
      <c r="HL55" s="155" t="s">
        <v>422</v>
      </c>
      <c r="HM55" s="156"/>
      <c r="HN55" s="158"/>
      <c r="HO55" s="158"/>
      <c r="HP55" s="8" t="s">
        <v>17</v>
      </c>
      <c r="HQ55" s="157" t="s">
        <v>422</v>
      </c>
      <c r="HR55" s="157"/>
      <c r="HS55" s="158"/>
      <c r="HT55" s="158"/>
      <c r="HU55" s="158"/>
      <c r="HV55" s="158"/>
      <c r="HW55" s="158"/>
      <c r="HX55" s="126" t="s">
        <v>609</v>
      </c>
      <c r="HY55" s="126"/>
      <c r="HZ55" s="122"/>
      <c r="IA55" s="122"/>
      <c r="IB55" s="122"/>
      <c r="IC55" s="122"/>
      <c r="ID55" s="122"/>
      <c r="IE55" s="122"/>
      <c r="IF55" s="122"/>
      <c r="IG55" s="122"/>
      <c r="IH55" s="122"/>
      <c r="II55" s="122"/>
      <c r="IJ55" s="122"/>
      <c r="IK55" s="122"/>
      <c r="IL55" s="122"/>
      <c r="IM55" s="122"/>
      <c r="IN55" s="122"/>
      <c r="IO55" s="122"/>
      <c r="IP55" s="126" t="s">
        <v>623</v>
      </c>
      <c r="IQ55" s="126"/>
      <c r="IR55" s="122"/>
      <c r="IS55" s="122"/>
      <c r="IT55" s="8" t="s">
        <v>17</v>
      </c>
      <c r="IU55" s="155" t="s">
        <v>523</v>
      </c>
      <c r="IV55" s="155" t="s">
        <v>493</v>
      </c>
      <c r="IW55" s="155"/>
      <c r="IX55" s="163"/>
      <c r="IY55" s="163"/>
      <c r="IZ55" s="163"/>
      <c r="JA55" s="163"/>
      <c r="JB55" s="163"/>
      <c r="JC55" s="163"/>
      <c r="JD55" s="163"/>
      <c r="JE55" s="163"/>
      <c r="JF55" s="155" t="s">
        <v>496</v>
      </c>
      <c r="JG55" s="127"/>
      <c r="JH55" s="163"/>
      <c r="JI55" s="163"/>
      <c r="JJ55" s="163"/>
      <c r="JK55" s="163"/>
      <c r="JL55" s="163"/>
      <c r="JM55" s="163"/>
      <c r="JN55" s="163"/>
      <c r="JO55" s="155" t="s">
        <v>524</v>
      </c>
      <c r="JP55" s="155"/>
      <c r="JQ55" s="163"/>
      <c r="JR55" s="163"/>
      <c r="JS55" s="163"/>
      <c r="JT55" s="163"/>
      <c r="JU55" s="126" t="s">
        <v>604</v>
      </c>
      <c r="JV55" s="278"/>
      <c r="JW55" s="173"/>
      <c r="JX55" s="173"/>
      <c r="JY55" s="173"/>
      <c r="JZ55" s="12" t="s">
        <v>17</v>
      </c>
      <c r="KA55" s="173"/>
      <c r="KB55" s="173"/>
      <c r="KC55" s="173"/>
      <c r="KD55" s="173"/>
      <c r="KE55" s="173"/>
      <c r="KF55" s="173"/>
      <c r="KG55" s="173"/>
      <c r="KH55" s="173"/>
      <c r="KI55" s="173"/>
      <c r="KJ55" s="173"/>
      <c r="KK55" s="173"/>
      <c r="KL55" s="173"/>
      <c r="KM55" s="173"/>
      <c r="KN55" s="173"/>
      <c r="KO55" s="173"/>
      <c r="KP55" s="173"/>
      <c r="KQ55" s="173"/>
      <c r="KR55" s="173"/>
      <c r="KS55" s="173"/>
      <c r="KT55" s="173"/>
      <c r="KU55" s="173"/>
      <c r="KV55" s="173"/>
      <c r="KW55" s="173"/>
      <c r="KX55" s="173"/>
      <c r="KY55" s="280"/>
      <c r="LE55" s="8" t="s">
        <v>17</v>
      </c>
      <c r="LF55" s="153" t="s">
        <v>524</v>
      </c>
      <c r="LG55" s="126" t="s">
        <v>696</v>
      </c>
      <c r="LH55" s="122"/>
      <c r="LI55" s="122"/>
      <c r="LJ55" s="122"/>
      <c r="LK55" s="122"/>
      <c r="LL55" s="155" t="s">
        <v>743</v>
      </c>
      <c r="LM55" s="155"/>
      <c r="LN55" s="153"/>
      <c r="LO55" s="153"/>
      <c r="LP55" s="153"/>
      <c r="LQ55" s="153"/>
      <c r="LR55" s="153"/>
      <c r="LS55" s="155" t="s">
        <v>744</v>
      </c>
      <c r="LT55" s="155"/>
      <c r="LU55" s="153"/>
      <c r="LV55" s="153"/>
      <c r="LW55" s="153"/>
      <c r="LX55" s="153"/>
      <c r="LY55" s="153"/>
      <c r="LZ55" s="153"/>
      <c r="MA55" s="153"/>
      <c r="MB55" s="716"/>
      <c r="MC55" s="717"/>
      <c r="MD55" s="717"/>
      <c r="ME55" s="718"/>
      <c r="MF55" s="153" t="s">
        <v>744</v>
      </c>
      <c r="MG55" s="153"/>
      <c r="MH55" s="210" t="s">
        <v>847</v>
      </c>
      <c r="MI55" s="210"/>
      <c r="MJ55" s="171"/>
      <c r="MK55" s="287" t="s">
        <v>17</v>
      </c>
      <c r="ML55" s="179" t="s">
        <v>770</v>
      </c>
      <c r="MM55" s="179"/>
      <c r="MN55" s="179" t="s">
        <v>899</v>
      </c>
      <c r="MO55" s="179"/>
      <c r="MP55" s="171"/>
      <c r="MQ55" s="171"/>
      <c r="MR55" s="179" t="s">
        <v>754</v>
      </c>
      <c r="MS55" s="179" t="s">
        <v>755</v>
      </c>
      <c r="MT55" s="179"/>
      <c r="MU55" s="171"/>
      <c r="MV55" s="171"/>
      <c r="MW55" s="293" t="s">
        <v>771</v>
      </c>
      <c r="MX55" s="179"/>
      <c r="MY55" s="179" t="s">
        <v>756</v>
      </c>
      <c r="MZ55" s="361" t="s">
        <v>808</v>
      </c>
      <c r="NA55" s="318"/>
      <c r="NB55" s="319"/>
      <c r="NC55" s="319"/>
      <c r="ND55" s="319"/>
      <c r="NE55" s="319"/>
      <c r="NF55" s="179" t="s">
        <v>905</v>
      </c>
      <c r="NG55" s="179"/>
      <c r="NH55" s="171"/>
      <c r="NI55" s="171"/>
      <c r="NJ55" s="171"/>
      <c r="NK55" s="179" t="s">
        <v>953</v>
      </c>
      <c r="NL55" s="126"/>
      <c r="NM55" s="179" t="s">
        <v>910</v>
      </c>
      <c r="NN55" s="224"/>
      <c r="NO55" s="180"/>
      <c r="NP55" s="8" t="s">
        <v>17</v>
      </c>
      <c r="NQ55" s="180" t="s">
        <v>910</v>
      </c>
      <c r="NR55" s="180"/>
      <c r="NS55" s="210" t="s">
        <v>774</v>
      </c>
      <c r="NT55" s="210"/>
      <c r="NU55" s="339" t="s">
        <v>905</v>
      </c>
      <c r="NV55" s="339"/>
      <c r="NW55" s="171"/>
      <c r="NX55" s="339" t="s">
        <v>902</v>
      </c>
      <c r="NY55" s="318"/>
      <c r="NZ55" s="339" t="s">
        <v>953</v>
      </c>
      <c r="OA55" s="345" t="s">
        <v>975</v>
      </c>
      <c r="OB55" s="345"/>
      <c r="OC55" s="352"/>
      <c r="OD55" s="352"/>
      <c r="OE55" s="352"/>
      <c r="OF55" s="352"/>
      <c r="OG55" s="352"/>
      <c r="OH55" s="352"/>
      <c r="OI55" s="352"/>
      <c r="OJ55" s="352"/>
      <c r="OK55" s="352"/>
      <c r="OL55" s="352"/>
      <c r="OM55" s="352"/>
      <c r="ON55" s="352"/>
      <c r="OO55" s="352"/>
      <c r="OP55" s="345" t="s">
        <v>959</v>
      </c>
      <c r="OQ55" s="345"/>
      <c r="OR55" s="352"/>
      <c r="OS55" s="352"/>
      <c r="OT55" s="724"/>
      <c r="OU55" s="725"/>
      <c r="OV55" s="303" t="s">
        <v>17</v>
      </c>
      <c r="OW55" s="740"/>
      <c r="OX55" s="741"/>
      <c r="OY55" s="741"/>
      <c r="OZ55" s="741"/>
      <c r="PA55" s="741"/>
      <c r="PB55" s="741"/>
      <c r="PC55" s="742"/>
      <c r="PD55" s="323" t="s">
        <v>959</v>
      </c>
      <c r="PE55" s="311"/>
      <c r="PF55" s="311"/>
      <c r="PG55" s="311"/>
      <c r="PH55" s="311"/>
      <c r="PI55" s="311"/>
      <c r="PJ55" s="311"/>
      <c r="PK55" s="311"/>
      <c r="PL55" s="345" t="s">
        <v>976</v>
      </c>
      <c r="PM55" s="345"/>
      <c r="PN55" s="311"/>
      <c r="PO55" s="311"/>
      <c r="PP55" s="311"/>
      <c r="PQ55" s="311"/>
      <c r="PR55" s="311"/>
      <c r="PS55" s="311"/>
      <c r="PT55" s="323"/>
      <c r="PU55" s="323"/>
      <c r="PV55" s="323"/>
      <c r="PW55" s="323"/>
      <c r="PX55" s="323"/>
      <c r="PY55" s="323"/>
      <c r="PZ55" s="323"/>
      <c r="QA55" s="323"/>
      <c r="QB55" s="8" t="s">
        <v>17</v>
      </c>
      <c r="QC55" s="323" t="s">
        <v>975</v>
      </c>
      <c r="QD55" s="323"/>
      <c r="QE55" s="323"/>
      <c r="QF55" s="323"/>
      <c r="QG55" s="323"/>
      <c r="QH55" s="323"/>
      <c r="QI55" s="323"/>
      <c r="QJ55" s="361" t="s">
        <v>1272</v>
      </c>
      <c r="QK55" s="361"/>
      <c r="QL55" s="319"/>
      <c r="QM55" s="319"/>
      <c r="QN55" s="319"/>
      <c r="QO55" s="319"/>
      <c r="QP55" s="319"/>
      <c r="QQ55" s="319"/>
      <c r="QR55" s="319"/>
      <c r="QS55" s="319"/>
      <c r="QT55" s="319"/>
      <c r="QU55" s="319"/>
      <c r="QV55" s="319"/>
      <c r="QW55" s="319"/>
      <c r="QX55" s="319"/>
      <c r="QY55" s="319"/>
      <c r="QZ55" s="319"/>
      <c r="RA55" s="319"/>
      <c r="RB55" s="345" t="s">
        <v>1036</v>
      </c>
      <c r="RC55" s="318"/>
      <c r="RD55" s="311"/>
      <c r="RE55" s="311"/>
      <c r="RF55" s="311"/>
      <c r="RG55" s="8" t="s">
        <v>17</v>
      </c>
      <c r="RH55" s="352" t="s">
        <v>1036</v>
      </c>
      <c r="RI55" s="311"/>
      <c r="RJ55" s="311"/>
      <c r="RK55" s="311"/>
      <c r="RL55" s="311"/>
      <c r="RM55" s="311"/>
      <c r="RN55" s="311"/>
      <c r="RO55" s="311"/>
      <c r="RP55" s="311"/>
      <c r="RQ55" s="311"/>
      <c r="RR55" s="311"/>
      <c r="RS55" s="311"/>
      <c r="RT55" s="311"/>
      <c r="RU55" s="311"/>
      <c r="RV55" s="311"/>
      <c r="RW55" s="361" t="s">
        <v>1440</v>
      </c>
      <c r="RX55" s="361"/>
      <c r="RY55" s="316"/>
      <c r="RZ55" s="316"/>
      <c r="SA55" s="316"/>
      <c r="SB55" s="316"/>
      <c r="SC55" s="316"/>
      <c r="SD55" s="316"/>
      <c r="SE55" s="316"/>
      <c r="SF55" s="316"/>
      <c r="SG55" s="316"/>
      <c r="SH55" s="316"/>
      <c r="SI55" s="316"/>
      <c r="SJ55" s="316"/>
      <c r="SK55" s="316"/>
      <c r="SL55" s="316"/>
      <c r="SM55" s="8" t="s">
        <v>17</v>
      </c>
      <c r="SN55" s="316" t="s">
        <v>1440</v>
      </c>
      <c r="SO55" s="316"/>
      <c r="SP55" s="361" t="s">
        <v>1442</v>
      </c>
      <c r="SQ55" s="361"/>
      <c r="SR55" s="316"/>
      <c r="SS55" s="316"/>
      <c r="ST55" s="316"/>
      <c r="SU55" s="316"/>
      <c r="SV55" s="316"/>
      <c r="SW55" s="316"/>
      <c r="SX55" s="316"/>
      <c r="SY55" s="316"/>
      <c r="SZ55" s="361" t="s">
        <v>1440</v>
      </c>
      <c r="TA55" s="361"/>
      <c r="TB55" s="316"/>
      <c r="TC55" s="316"/>
      <c r="TD55" s="361" t="s">
        <v>1156</v>
      </c>
      <c r="TE55" s="361"/>
      <c r="TF55" s="316" t="s">
        <v>1156</v>
      </c>
      <c r="TG55" s="316"/>
      <c r="TH55" s="316"/>
      <c r="TI55" s="316"/>
      <c r="TJ55" s="361" t="s">
        <v>1157</v>
      </c>
      <c r="TK55" s="361"/>
      <c r="TL55" s="316"/>
      <c r="TM55" s="316"/>
      <c r="TN55" s="316"/>
      <c r="TO55" s="316"/>
      <c r="TP55" s="361" t="s">
        <v>1611</v>
      </c>
      <c r="TQ55" s="361"/>
      <c r="TR55" s="8" t="s">
        <v>17</v>
      </c>
      <c r="TS55" s="319" t="s">
        <v>1611</v>
      </c>
      <c r="TT55" s="319"/>
      <c r="TU55" s="319"/>
      <c r="TV55" s="319"/>
      <c r="TW55" s="319"/>
      <c r="TX55" s="319"/>
      <c r="TY55" s="319"/>
      <c r="TZ55" s="319"/>
      <c r="UA55" s="361" t="s">
        <v>1639</v>
      </c>
      <c r="UB55" s="433"/>
      <c r="UC55" s="319"/>
      <c r="UD55" s="319"/>
      <c r="UE55" s="319"/>
      <c r="UF55" s="319"/>
      <c r="UG55" s="319"/>
      <c r="UH55" s="319"/>
      <c r="UI55" s="319"/>
      <c r="UJ55" s="319"/>
      <c r="UK55" s="361" t="s">
        <v>1763</v>
      </c>
      <c r="UL55" s="318"/>
      <c r="UM55" s="319"/>
      <c r="UN55" s="319"/>
      <c r="UO55" s="319"/>
      <c r="UP55" s="319"/>
      <c r="UQ55" s="319"/>
      <c r="UR55" s="319"/>
      <c r="US55" s="319"/>
      <c r="UT55" s="319"/>
      <c r="UU55" s="319"/>
      <c r="UV55" s="319"/>
      <c r="UW55" s="319"/>
      <c r="UX55" s="208" t="s">
        <v>17</v>
      </c>
      <c r="UY55" s="319" t="s">
        <v>1598</v>
      </c>
      <c r="UZ55" s="319"/>
      <c r="VA55" s="319"/>
      <c r="VB55" s="319"/>
      <c r="VC55" s="319"/>
      <c r="VD55" s="319"/>
      <c r="VE55" s="319"/>
      <c r="VF55" s="319"/>
      <c r="VG55" s="319"/>
      <c r="VH55" s="319"/>
      <c r="VI55" s="319"/>
      <c r="VJ55" s="319"/>
      <c r="VK55" s="319"/>
      <c r="VL55" s="319"/>
      <c r="VM55" s="319"/>
      <c r="VN55" s="319"/>
      <c r="VO55" s="361" t="s">
        <v>1592</v>
      </c>
      <c r="VP55" s="361" t="s">
        <v>1593</v>
      </c>
      <c r="VQ55" s="361"/>
      <c r="VR55" s="316"/>
      <c r="VS55" s="316"/>
      <c r="VT55" s="361" t="s">
        <v>1591</v>
      </c>
      <c r="VU55" s="361" t="s">
        <v>1589</v>
      </c>
      <c r="VV55" s="361" t="s">
        <v>1590</v>
      </c>
      <c r="VW55" s="361"/>
      <c r="VX55" s="210" t="s">
        <v>1814</v>
      </c>
      <c r="VY55" s="210"/>
      <c r="VZ55" s="180"/>
      <c r="WA55" s="210" t="s">
        <v>1945</v>
      </c>
      <c r="WB55" s="210"/>
      <c r="WC55" s="180"/>
      <c r="WD55" s="8" t="s">
        <v>17</v>
      </c>
      <c r="WE55" s="180" t="s">
        <v>1945</v>
      </c>
      <c r="WF55" s="180"/>
      <c r="WG55" s="345" t="s">
        <v>1897</v>
      </c>
      <c r="WH55" s="345"/>
      <c r="WI55" s="311"/>
      <c r="WJ55" s="311"/>
      <c r="WK55" s="311"/>
      <c r="WL55" s="311"/>
      <c r="WM55" s="311"/>
      <c r="WN55" s="311"/>
      <c r="WO55" s="311"/>
      <c r="WP55" s="311"/>
      <c r="WQ55" s="311"/>
      <c r="WR55" s="311"/>
      <c r="WS55" s="311"/>
      <c r="WT55" s="311"/>
      <c r="WU55" s="311"/>
      <c r="WV55" s="311"/>
      <c r="WW55" s="311"/>
      <c r="WX55" s="345" t="s">
        <v>1973</v>
      </c>
      <c r="WY55" s="345"/>
      <c r="WZ55" s="311"/>
      <c r="XA55" s="311"/>
      <c r="XB55" s="311"/>
      <c r="XC55" s="311"/>
      <c r="XD55" s="311"/>
      <c r="XE55" s="311"/>
      <c r="XF55" s="311"/>
      <c r="XG55" s="8" t="s">
        <v>17</v>
      </c>
      <c r="XH55" s="352" t="s">
        <v>1973</v>
      </c>
      <c r="XI55" s="311"/>
      <c r="XJ55" s="311"/>
      <c r="XK55" s="311"/>
      <c r="XL55" s="361" t="s">
        <v>2056</v>
      </c>
      <c r="XM55" s="361"/>
      <c r="XN55" s="316"/>
      <c r="XO55" s="316"/>
      <c r="XP55" s="316"/>
      <c r="XQ55" s="361" t="s">
        <v>2057</v>
      </c>
      <c r="XR55" s="361"/>
      <c r="XS55" s="163"/>
      <c r="XT55" s="316"/>
      <c r="XU55" s="361" t="s">
        <v>2059</v>
      </c>
      <c r="XV55" s="361"/>
      <c r="XW55" s="316"/>
      <c r="XX55" s="316"/>
      <c r="XY55" s="316"/>
      <c r="XZ55" s="316"/>
      <c r="YA55" s="316"/>
      <c r="YB55" s="361" t="s">
        <v>2058</v>
      </c>
      <c r="YC55" s="361"/>
      <c r="YD55" s="316"/>
      <c r="YE55" s="361" t="s">
        <v>2063</v>
      </c>
      <c r="YF55" s="361"/>
      <c r="YG55" s="316"/>
      <c r="YH55" s="361" t="s">
        <v>2067</v>
      </c>
      <c r="YI55" s="361"/>
      <c r="YJ55" s="316"/>
      <c r="YK55" s="361" t="s">
        <v>2074</v>
      </c>
      <c r="YL55" s="361"/>
      <c r="YM55" s="8" t="s">
        <v>17</v>
      </c>
      <c r="YN55" s="316" t="s">
        <v>2074</v>
      </c>
      <c r="YO55" s="361" t="s">
        <v>2073</v>
      </c>
      <c r="YP55" s="361"/>
      <c r="YQ55" s="361" t="s">
        <v>2076</v>
      </c>
      <c r="YR55" s="361"/>
      <c r="YS55" s="361" t="s">
        <v>2075</v>
      </c>
      <c r="YT55" s="361"/>
      <c r="YU55" s="316"/>
      <c r="YV55" s="316"/>
      <c r="YW55" s="210" t="s">
        <v>2100</v>
      </c>
      <c r="YX55" s="210"/>
      <c r="YY55" s="210" t="s">
        <v>2102</v>
      </c>
      <c r="YZ55" s="210"/>
      <c r="ZA55" s="180"/>
      <c r="ZB55" s="180"/>
      <c r="ZC55" s="180"/>
      <c r="ZD55" s="210" t="s">
        <v>2101</v>
      </c>
      <c r="ZE55" s="210"/>
      <c r="ZF55" s="180"/>
      <c r="ZG55" s="180"/>
      <c r="ZH55" s="345" t="s">
        <v>1896</v>
      </c>
      <c r="ZI55" s="345"/>
      <c r="ZJ55" s="525"/>
      <c r="ZK55" s="525"/>
      <c r="ZL55" s="525"/>
      <c r="ZM55" s="525"/>
      <c r="ZN55" s="525"/>
      <c r="ZO55" s="525"/>
      <c r="ZP55" s="525"/>
      <c r="ZQ55" s="525"/>
      <c r="ZR55" s="8" t="s">
        <v>17</v>
      </c>
      <c r="ZS55" s="352" t="s">
        <v>1896</v>
      </c>
      <c r="ZT55" s="352"/>
      <c r="ZU55" s="352"/>
      <c r="ZV55" s="210" t="s">
        <v>2104</v>
      </c>
      <c r="ZW55" s="210"/>
      <c r="ZX55" s="180"/>
      <c r="ZY55" s="180"/>
      <c r="ZZ55" s="180"/>
      <c r="AAA55" s="210" t="s">
        <v>2129</v>
      </c>
      <c r="AAB55" s="210"/>
      <c r="AAC55" s="180"/>
      <c r="AAD55" s="180"/>
      <c r="AAE55" s="777"/>
      <c r="AAF55" s="705"/>
      <c r="AAG55" s="705"/>
      <c r="AAH55" s="705"/>
      <c r="AAI55" s="778"/>
      <c r="AAJ55" s="210" t="s">
        <v>2147</v>
      </c>
      <c r="AAK55" s="180"/>
      <c r="AAL55" s="180"/>
      <c r="AAM55" s="376" t="s">
        <v>2226</v>
      </c>
      <c r="AAN55" s="376"/>
      <c r="AAO55" s="319"/>
      <c r="AAP55" s="319"/>
      <c r="AAQ55" s="319"/>
      <c r="AAR55" s="319"/>
      <c r="AAS55" s="319"/>
      <c r="AAT55" s="319"/>
      <c r="AAU55" s="319"/>
      <c r="AAV55" s="319"/>
      <c r="AAW55" s="319"/>
      <c r="AAX55" s="8" t="s">
        <v>17</v>
      </c>
      <c r="AAY55" s="319" t="s">
        <v>2321</v>
      </c>
      <c r="AAZ55" s="319"/>
      <c r="ABA55" s="319"/>
      <c r="ABB55" s="319"/>
      <c r="ABC55" s="319"/>
      <c r="ABD55" s="319"/>
      <c r="ABE55" s="319"/>
      <c r="ABF55" s="319"/>
      <c r="ABG55" s="319"/>
      <c r="ABH55" s="361" t="s">
        <v>2272</v>
      </c>
      <c r="ABI55" s="361"/>
      <c r="ABJ55" s="316"/>
      <c r="ABK55" s="316"/>
      <c r="ABL55" s="361" t="s">
        <v>2282</v>
      </c>
      <c r="ABM55" s="361"/>
      <c r="ABN55" s="316"/>
      <c r="ABO55" s="361" t="s">
        <v>2281</v>
      </c>
      <c r="ABP55" s="361"/>
      <c r="ABQ55" s="361" t="s">
        <v>2280</v>
      </c>
      <c r="ABR55" s="361"/>
      <c r="ABS55" s="361" t="s">
        <v>2279</v>
      </c>
      <c r="ABT55" s="361"/>
      <c r="ABU55" s="316"/>
      <c r="ABV55" s="316"/>
      <c r="ABW55" s="361" t="s">
        <v>2278</v>
      </c>
      <c r="ABX55" s="361"/>
      <c r="ABY55" s="316"/>
      <c r="ABZ55" s="361" t="s">
        <v>2166</v>
      </c>
      <c r="ACA55" s="361"/>
      <c r="ACB55" s="361" t="s">
        <v>2168</v>
      </c>
      <c r="ACC55" s="7" t="s">
        <v>17</v>
      </c>
      <c r="ACD55" s="361" t="s">
        <v>2168</v>
      </c>
      <c r="ACE55" s="361" t="s">
        <v>2090</v>
      </c>
      <c r="ACF55" s="361"/>
      <c r="ACG55" s="361" t="s">
        <v>2092</v>
      </c>
      <c r="ACH55" s="361"/>
      <c r="ACI55" s="316"/>
      <c r="ACJ55" s="361" t="s">
        <v>2094</v>
      </c>
      <c r="ACK55" s="361"/>
      <c r="ACL55" s="361" t="s">
        <v>2167</v>
      </c>
      <c r="ACM55" s="361"/>
      <c r="ACN55" s="210" t="s">
        <v>2343</v>
      </c>
      <c r="ACO55" s="210"/>
      <c r="ACP55" s="180"/>
      <c r="ACQ55" s="180"/>
      <c r="ACR55" s="180"/>
      <c r="ACS55" s="210" t="s">
        <v>2342</v>
      </c>
      <c r="ACT55" s="210"/>
      <c r="ACU55" s="180"/>
      <c r="ACV55" s="180"/>
      <c r="ACW55" s="785"/>
      <c r="ACX55" s="786"/>
      <c r="ACY55" s="786"/>
      <c r="ACZ55" s="786"/>
      <c r="ADA55" s="786"/>
      <c r="ADB55" s="786"/>
      <c r="ADC55" s="786"/>
      <c r="ADD55" s="786"/>
      <c r="ADE55" s="786"/>
      <c r="ADF55" s="786"/>
      <c r="ADG55" s="787"/>
      <c r="ADH55" s="314"/>
      <c r="ADI55" s="7" t="s">
        <v>17</v>
      </c>
      <c r="ADJ55" s="519" t="s">
        <v>2386</v>
      </c>
      <c r="ADK55" s="210"/>
      <c r="ADL55" s="210" t="s">
        <v>2198</v>
      </c>
      <c r="ADM55" s="210" t="s">
        <v>2345</v>
      </c>
      <c r="ADN55" s="210"/>
      <c r="ADO55" s="180"/>
      <c r="ADP55" s="210" t="s">
        <v>2376</v>
      </c>
      <c r="ADQ55" s="210"/>
      <c r="ADR55" s="180"/>
      <c r="ADS55" s="210" t="s">
        <v>2346</v>
      </c>
      <c r="ADT55" s="210"/>
      <c r="ADU55" s="210" t="s">
        <v>2379</v>
      </c>
      <c r="ADV55" s="210"/>
      <c r="ADW55" s="180"/>
      <c r="ADX55" s="210" t="s">
        <v>2374</v>
      </c>
      <c r="ADY55" s="210"/>
      <c r="ADZ55" s="210" t="s">
        <v>2389</v>
      </c>
      <c r="AEA55" s="210"/>
      <c r="AEB55" s="180"/>
      <c r="AEC55" s="210" t="s">
        <v>2384</v>
      </c>
      <c r="AED55" s="210" t="s">
        <v>2389</v>
      </c>
      <c r="AEE55" s="210" t="s">
        <v>2371</v>
      </c>
      <c r="AEF55" s="210"/>
      <c r="AEG55" s="210" t="s">
        <v>2372</v>
      </c>
      <c r="AEH55" s="210"/>
      <c r="AEI55" s="180"/>
      <c r="AEJ55" s="210" t="s">
        <v>2328</v>
      </c>
      <c r="AEK55" s="210"/>
      <c r="AEL55" s="180"/>
      <c r="AEM55" s="361" t="s">
        <v>2181</v>
      </c>
      <c r="AEN55" s="361"/>
      <c r="AEO55" s="7" t="s">
        <v>17</v>
      </c>
      <c r="AEP55" s="316" t="s">
        <v>2181</v>
      </c>
      <c r="AEQ55" s="361" t="s">
        <v>2186</v>
      </c>
      <c r="AER55" s="361"/>
      <c r="AES55" s="361" t="s">
        <v>2187</v>
      </c>
      <c r="AET55" s="361"/>
      <c r="AEU55" s="361" t="s">
        <v>2508</v>
      </c>
      <c r="AEV55" s="361"/>
      <c r="AEW55" s="316"/>
      <c r="AEX55" s="316"/>
      <c r="AEY55" s="316"/>
      <c r="AEZ55" s="316"/>
      <c r="AFA55" s="361" t="s">
        <v>2519</v>
      </c>
      <c r="AFB55" s="361"/>
      <c r="AFC55" s="316"/>
      <c r="AFD55" s="316"/>
      <c r="AFE55" s="316"/>
      <c r="AFF55" s="316"/>
      <c r="AFG55" s="316"/>
      <c r="AFH55" s="316"/>
      <c r="AFI55" s="316"/>
      <c r="AFJ55" s="316"/>
      <c r="AFK55" s="361" t="s">
        <v>2487</v>
      </c>
      <c r="AFL55" s="361"/>
      <c r="AFM55" s="316"/>
      <c r="AFN55" s="316"/>
      <c r="AFO55" s="316"/>
      <c r="AFP55" s="316"/>
      <c r="AFQ55" s="316"/>
      <c r="AFR55" s="316"/>
      <c r="AFS55" s="316"/>
      <c r="AFT55" s="7" t="s">
        <v>17</v>
      </c>
      <c r="AFU55" s="316" t="s">
        <v>2487</v>
      </c>
      <c r="AFV55" s="316"/>
      <c r="AFW55" s="316"/>
      <c r="AFX55" s="361" t="s">
        <v>2486</v>
      </c>
      <c r="AFY55" s="361" t="s">
        <v>2488</v>
      </c>
      <c r="AFZ55" s="361"/>
      <c r="AGA55" s="316"/>
      <c r="AGB55" s="316"/>
      <c r="AGC55" s="316"/>
      <c r="AGD55" s="316"/>
      <c r="AGE55" s="316"/>
      <c r="AGF55" s="316"/>
      <c r="AGG55" s="316"/>
      <c r="AGH55" s="316"/>
      <c r="AGI55" s="316"/>
      <c r="AGJ55" s="361" t="s">
        <v>2448</v>
      </c>
      <c r="AGK55" s="361"/>
      <c r="AGL55" s="316"/>
      <c r="AGM55" s="316"/>
      <c r="AGN55" s="316"/>
      <c r="AGO55" s="316"/>
      <c r="AGP55" s="316"/>
      <c r="AGQ55" s="316"/>
      <c r="AGR55" s="316"/>
      <c r="AGS55" s="316"/>
      <c r="AGT55" s="316"/>
      <c r="AGU55" s="316"/>
      <c r="AGV55" s="316"/>
      <c r="AGW55" s="316"/>
      <c r="AGX55" s="316"/>
      <c r="AGY55" s="316"/>
      <c r="AGZ55" s="7" t="s">
        <v>17</v>
      </c>
      <c r="AHA55" s="316" t="s">
        <v>2449</v>
      </c>
      <c r="AHB55" s="316"/>
      <c r="AHC55" s="361" t="s">
        <v>2450</v>
      </c>
      <c r="AHD55" s="361"/>
      <c r="AHE55" s="316"/>
      <c r="AHF55" s="316"/>
      <c r="AHG55" s="316"/>
      <c r="AHH55" s="316"/>
      <c r="AHI55" s="316"/>
      <c r="AHJ55" s="316"/>
      <c r="AHK55" s="316"/>
      <c r="AHL55" s="316"/>
      <c r="AHM55" s="316"/>
      <c r="AHN55" s="316"/>
      <c r="AHO55" s="316"/>
      <c r="AHP55" s="361" t="s">
        <v>2757</v>
      </c>
      <c r="AHQ55" s="361" t="s">
        <v>2754</v>
      </c>
      <c r="AHR55" s="361" t="s">
        <v>2752</v>
      </c>
      <c r="AHV55" s="210" t="s">
        <v>2737</v>
      </c>
      <c r="AHW55" s="210"/>
      <c r="AHX55" s="180"/>
      <c r="AHY55" s="180"/>
      <c r="AHZ55" s="180"/>
      <c r="AIA55" s="180"/>
      <c r="AIB55" s="180"/>
      <c r="AIC55" s="180"/>
      <c r="AID55" s="180"/>
      <c r="AIE55" s="7" t="s">
        <v>17</v>
      </c>
      <c r="AIF55" s="210" t="s">
        <v>2595</v>
      </c>
      <c r="AIG55" s="210"/>
      <c r="AIH55" s="180"/>
      <c r="AII55" s="180"/>
      <c r="AIJ55" s="180"/>
      <c r="AIK55" s="180"/>
      <c r="AIL55" s="210" t="s">
        <v>2767</v>
      </c>
      <c r="AIM55" s="210"/>
      <c r="AIN55" s="180"/>
      <c r="AIO55" s="180"/>
      <c r="AIP55" s="180"/>
      <c r="AIQ55" s="210" t="s">
        <v>2821</v>
      </c>
      <c r="AIR55" s="210"/>
      <c r="AIS55" s="180"/>
      <c r="AIT55" s="180"/>
      <c r="AIU55" s="180"/>
      <c r="AIV55" s="180"/>
      <c r="AIW55" s="210" t="s">
        <v>2733</v>
      </c>
      <c r="AIX55" s="210"/>
      <c r="AIY55" s="376" t="s">
        <v>2793</v>
      </c>
      <c r="AIZ55" s="524"/>
      <c r="AJA55" s="375"/>
      <c r="AJB55" s="375"/>
      <c r="AJC55" s="375"/>
      <c r="AJD55" s="375"/>
      <c r="AJE55" s="375"/>
      <c r="AJF55" s="375"/>
      <c r="AJG55" s="375"/>
      <c r="AJH55" s="375"/>
      <c r="AJI55" s="375"/>
      <c r="AJJ55" s="375"/>
      <c r="AJK55" s="7" t="s">
        <v>17</v>
      </c>
      <c r="AJL55" s="375" t="s">
        <v>2793</v>
      </c>
      <c r="AJM55" s="376" t="s">
        <v>2790</v>
      </c>
      <c r="AJN55" s="524"/>
      <c r="AJO55" s="375"/>
      <c r="AJP55" s="375"/>
      <c r="AJQ55" s="375"/>
      <c r="AJR55" s="375"/>
      <c r="AJS55" s="375"/>
      <c r="AJT55" s="375"/>
      <c r="AJU55" s="375"/>
      <c r="AJV55" s="361" t="s">
        <v>2834</v>
      </c>
      <c r="AJW55" s="361"/>
      <c r="AJX55" s="319"/>
      <c r="AJY55" s="319"/>
      <c r="AJZ55" s="319"/>
      <c r="AKA55" s="319"/>
      <c r="AKB55" s="319"/>
      <c r="AKC55" s="319"/>
      <c r="AKD55" s="319"/>
      <c r="AKE55" s="319"/>
      <c r="AKF55" s="319"/>
      <c r="AKG55" s="319"/>
      <c r="AKH55" s="319"/>
      <c r="AKI55" s="319"/>
      <c r="AKJ55" s="319"/>
      <c r="AKK55" s="319"/>
      <c r="AKL55" s="319"/>
      <c r="AKM55" s="319"/>
      <c r="AKN55" s="319"/>
      <c r="AKO55" s="319"/>
      <c r="AKP55" s="319"/>
      <c r="AKQ55" s="7" t="s">
        <v>17</v>
      </c>
      <c r="AKR55" s="319" t="s">
        <v>2834</v>
      </c>
      <c r="AKS55" s="319"/>
      <c r="AKT55" s="319"/>
      <c r="AKU55" s="361" t="s">
        <v>2629</v>
      </c>
      <c r="AKV55" s="361"/>
      <c r="AKW55" s="319"/>
      <c r="AKX55" s="319"/>
      <c r="AKY55" s="319"/>
      <c r="AKZ55" s="361" t="s">
        <v>2660</v>
      </c>
      <c r="ALA55" s="361"/>
      <c r="ALB55" s="316"/>
      <c r="ALC55" s="316"/>
      <c r="ALD55" s="316"/>
      <c r="ALE55" s="316"/>
      <c r="ALF55" s="316"/>
      <c r="ALG55" s="316"/>
      <c r="ALH55" s="316"/>
      <c r="ALI55" s="316"/>
      <c r="ALJ55" s="316"/>
      <c r="ALK55" s="316"/>
      <c r="ALL55" s="316"/>
      <c r="ALM55" s="316"/>
      <c r="ALN55" s="316"/>
      <c r="ALO55" s="316"/>
      <c r="ALP55" s="316"/>
      <c r="ALQ55" s="316"/>
      <c r="ALR55" s="316"/>
      <c r="ALS55" s="316"/>
      <c r="ALT55" s="7" t="s">
        <v>17</v>
      </c>
      <c r="ALU55" s="316" t="s">
        <v>2660</v>
      </c>
      <c r="ALV55" s="316"/>
      <c r="ALW55" s="316"/>
      <c r="ALX55" s="361" t="s">
        <v>2659</v>
      </c>
      <c r="ALY55" s="361"/>
      <c r="ALZ55" s="316"/>
      <c r="AMA55" s="316"/>
      <c r="AMB55" s="316"/>
      <c r="AMC55" s="316"/>
      <c r="AMD55" s="316"/>
      <c r="AME55" s="316"/>
      <c r="AMF55" s="316"/>
      <c r="AMG55" s="316"/>
      <c r="AMH55" s="316"/>
      <c r="AMI55" s="316"/>
      <c r="AMJ55" s="316"/>
      <c r="AMK55" s="316"/>
      <c r="AML55" s="316"/>
      <c r="AMM55" s="316"/>
      <c r="AMN55" s="316"/>
      <c r="AMO55" s="316"/>
      <c r="AMP55" s="316"/>
      <c r="AMQ55" s="316"/>
      <c r="AMR55" s="316"/>
      <c r="AMS55" s="316"/>
      <c r="AMT55" s="361" t="s">
        <v>2800</v>
      </c>
      <c r="AMU55" s="361"/>
      <c r="AMV55" s="316"/>
      <c r="AMW55" s="316"/>
      <c r="AMX55" s="316"/>
      <c r="AMY55" s="316"/>
      <c r="AMZ55" s="7" t="s">
        <v>17</v>
      </c>
      <c r="ANA55" s="316" t="s">
        <v>2800</v>
      </c>
      <c r="ANB55" s="316"/>
      <c r="ANC55" s="316"/>
      <c r="AND55" s="316"/>
      <c r="ANE55" s="316"/>
      <c r="ANF55" s="316"/>
      <c r="ANG55" s="316"/>
      <c r="ANH55" s="210" t="s">
        <v>2685</v>
      </c>
      <c r="ANI55" s="210"/>
      <c r="ANJ55" s="180"/>
      <c r="ANK55" s="180"/>
      <c r="ANL55" s="180"/>
      <c r="ANM55" s="180"/>
      <c r="ANN55" s="180"/>
      <c r="ANO55" s="180"/>
      <c r="ANP55" s="180"/>
      <c r="ANQ55" s="180"/>
      <c r="ANR55" s="180"/>
      <c r="ANS55" s="180"/>
      <c r="ANT55" s="180"/>
      <c r="ANU55" s="180"/>
      <c r="ANV55" s="180"/>
      <c r="ANW55" s="180"/>
      <c r="ANX55" s="180"/>
      <c r="ANY55" s="180"/>
      <c r="ANZ55" s="180"/>
      <c r="AOA55" s="180"/>
      <c r="AOB55" s="180"/>
      <c r="AOC55" s="180"/>
      <c r="AOD55" s="180"/>
      <c r="AOE55" s="7" t="s">
        <v>17</v>
      </c>
      <c r="AOF55" s="159"/>
      <c r="AOG55" s="159"/>
      <c r="AOH55" s="159"/>
      <c r="AOI55" s="159"/>
      <c r="AOJ55" s="159"/>
      <c r="AOK55" s="159"/>
      <c r="AOL55" s="159"/>
      <c r="AOM55" s="159"/>
      <c r="AON55" s="159"/>
      <c r="AOO55" s="180" t="s">
        <v>2685</v>
      </c>
      <c r="AOP55" s="180"/>
      <c r="AOQ55" s="361" t="s">
        <v>2809</v>
      </c>
      <c r="AOR55" s="361"/>
      <c r="AOS55" s="316"/>
      <c r="AOT55" s="316"/>
      <c r="AOU55" s="316"/>
      <c r="AOV55" s="316"/>
      <c r="AOW55" s="316"/>
      <c r="AOX55" s="316"/>
      <c r="AOY55" s="316"/>
      <c r="AOZ55" s="316"/>
      <c r="APA55" s="316"/>
      <c r="APB55" s="316"/>
      <c r="APC55" s="316"/>
      <c r="APD55" s="316"/>
      <c r="APE55" s="316"/>
      <c r="APF55" s="316"/>
      <c r="APG55" s="316"/>
      <c r="APH55" s="316"/>
      <c r="API55" s="316"/>
      <c r="APJ55" s="316"/>
      <c r="APK55" s="7" t="s">
        <v>17</v>
      </c>
      <c r="APL55" s="361" t="s">
        <v>2810</v>
      </c>
      <c r="APM55" s="361"/>
      <c r="APN55" s="316"/>
      <c r="APO55" s="316"/>
      <c r="APP55" s="316"/>
      <c r="APQ55" s="316"/>
      <c r="APR55" s="316"/>
      <c r="APS55" s="316"/>
      <c r="APT55" s="316"/>
      <c r="APU55" s="316"/>
      <c r="APV55" s="316"/>
      <c r="APW55" s="361" t="s">
        <v>2870</v>
      </c>
      <c r="APX55" s="361"/>
      <c r="APY55" s="316"/>
      <c r="APZ55" s="316"/>
      <c r="AQA55" s="316"/>
      <c r="AQB55" s="316"/>
      <c r="AQC55" s="316"/>
      <c r="AQD55" s="316"/>
      <c r="AQE55" s="316"/>
      <c r="AQF55" s="316"/>
      <c r="AQG55" s="316"/>
      <c r="AQH55" s="316"/>
      <c r="AQI55" s="316"/>
      <c r="AQJ55" s="316"/>
      <c r="AQK55" s="316"/>
      <c r="AQL55" s="316"/>
      <c r="AQM55" s="316"/>
      <c r="AQN55" s="316"/>
      <c r="AQO55" s="316"/>
      <c r="AQP55" s="7" t="s">
        <v>17</v>
      </c>
      <c r="AQQ55" s="314"/>
      <c r="AQR55" s="314"/>
      <c r="AQT55" s="361" t="s">
        <v>2687</v>
      </c>
      <c r="AQU55" s="361"/>
      <c r="AQV55" s="316"/>
      <c r="AQW55" s="316"/>
      <c r="AQX55" s="159"/>
      <c r="AQY55" s="159"/>
      <c r="AQZ55" s="159"/>
      <c r="ARA55" s="159"/>
      <c r="ARB55" s="159"/>
      <c r="ARC55" s="159"/>
      <c r="ARD55" s="159"/>
      <c r="ARE55" s="159"/>
      <c r="ARF55" s="159"/>
      <c r="ARG55" s="361" t="s">
        <v>2801</v>
      </c>
      <c r="ARH55" s="361"/>
      <c r="ARI55" s="316"/>
      <c r="ARJ55" s="316"/>
      <c r="ARK55" s="316"/>
      <c r="ARL55" s="316"/>
      <c r="ARM55" s="316"/>
      <c r="ARN55" s="316"/>
      <c r="ARO55" s="316"/>
      <c r="ARP55" s="316"/>
      <c r="ARQ55" s="316"/>
      <c r="ARR55" s="316"/>
      <c r="ARS55" s="316"/>
      <c r="ART55" s="316"/>
      <c r="ARU55" s="316"/>
      <c r="ARV55" s="7" t="s">
        <v>17</v>
      </c>
      <c r="ARW55" s="316" t="s">
        <v>2801</v>
      </c>
      <c r="ARX55" s="316"/>
      <c r="ARY55" s="316"/>
      <c r="ARZ55" s="316"/>
      <c r="ASA55" s="316"/>
      <c r="ASB55" s="316"/>
      <c r="ASC55" s="316"/>
      <c r="ASD55" s="316"/>
      <c r="ASE55" s="316"/>
      <c r="ASF55" s="316"/>
      <c r="ASG55" s="316"/>
      <c r="ASH55" s="316"/>
      <c r="ASI55" s="316"/>
      <c r="ASJ55" s="316"/>
      <c r="ASK55" s="316"/>
      <c r="ASL55" s="316"/>
      <c r="ASM55" s="316"/>
      <c r="ASO55" s="314"/>
      <c r="ASP55" s="314"/>
      <c r="ASQ55" s="314"/>
      <c r="ASR55" s="314"/>
      <c r="ASS55" s="314"/>
      <c r="AST55" s="314"/>
      <c r="ASU55" s="314"/>
      <c r="ASW55" s="320"/>
      <c r="ASX55" s="320"/>
      <c r="ASY55" s="320"/>
      <c r="ASZ55" s="320"/>
      <c r="ATA55" s="320"/>
      <c r="ATB55" s="7" t="s">
        <v>17</v>
      </c>
      <c r="ATC55" s="361" t="s">
        <v>2687</v>
      </c>
      <c r="ATD55" s="361"/>
      <c r="ATE55" s="316"/>
      <c r="ATF55" s="316"/>
      <c r="ATG55" s="316"/>
      <c r="ATH55" s="316"/>
      <c r="ATI55" s="316"/>
      <c r="ATJ55" s="316"/>
      <c r="ATK55" s="316"/>
      <c r="ATL55" s="316"/>
      <c r="ATM55" s="316"/>
      <c r="ATN55" s="316"/>
      <c r="ATO55" s="316"/>
      <c r="ATP55" s="316"/>
      <c r="ATQ55" s="316"/>
      <c r="ATR55" s="316"/>
      <c r="ATS55" s="316"/>
      <c r="ATT55" s="316"/>
      <c r="ATU55" s="316"/>
      <c r="ATV55" s="316"/>
      <c r="ATW55" s="316"/>
      <c r="ATX55" s="316"/>
      <c r="ATY55" s="316"/>
      <c r="ATZ55" s="361" t="s">
        <v>2688</v>
      </c>
      <c r="AUA55" s="361"/>
      <c r="AUB55" s="316"/>
      <c r="AUC55" s="316"/>
      <c r="AUD55" s="316"/>
      <c r="AUE55" s="316"/>
      <c r="AUF55" s="316"/>
      <c r="AUG55" s="7" t="s">
        <v>17</v>
      </c>
      <c r="AUH55" s="316" t="s">
        <v>2688</v>
      </c>
      <c r="AUI55" s="316"/>
      <c r="AUJ55" s="316"/>
      <c r="AUK55" s="316"/>
      <c r="AUL55" s="316"/>
      <c r="AUM55" s="316"/>
      <c r="AUN55" s="316"/>
      <c r="AUO55" s="316"/>
      <c r="AUP55" s="316"/>
      <c r="AUQ55" s="316"/>
      <c r="AUR55" s="316"/>
      <c r="AUS55" s="316"/>
      <c r="AUT55" s="316"/>
      <c r="AUU55" s="316"/>
      <c r="AUV55" s="316"/>
      <c r="AUW55" s="316"/>
      <c r="AUX55" s="316"/>
      <c r="AUY55" s="316"/>
      <c r="AUZ55" s="316"/>
      <c r="AVA55" s="316"/>
      <c r="AVB55" s="316"/>
      <c r="AVC55" s="316"/>
      <c r="AVD55" s="316"/>
      <c r="AVE55" s="316"/>
      <c r="AVF55" s="361" t="s">
        <v>2689</v>
      </c>
      <c r="AVG55" s="361"/>
      <c r="AVH55" s="316"/>
      <c r="AVI55" s="316"/>
      <c r="AVJ55" s="316"/>
      <c r="AVK55" s="316"/>
      <c r="AVL55" s="316"/>
      <c r="AVM55" s="7" t="s">
        <v>17</v>
      </c>
      <c r="AVN55" s="316" t="s">
        <v>2689</v>
      </c>
      <c r="AVO55" s="316"/>
      <c r="AVP55" s="316"/>
      <c r="AVQ55" s="316"/>
      <c r="AVR55" s="316"/>
      <c r="AVS55" s="316"/>
      <c r="AVT55" s="316"/>
      <c r="AVU55" s="316"/>
      <c r="AVV55" s="316"/>
      <c r="AVW55" s="316"/>
      <c r="AVX55" s="316"/>
      <c r="AVY55" s="316"/>
      <c r="AVZ55" s="316"/>
      <c r="AWA55" s="316"/>
      <c r="AWB55" s="316"/>
      <c r="AWC55" s="316"/>
      <c r="AWD55" s="316"/>
      <c r="AWE55" s="316"/>
      <c r="AWF55" s="316"/>
      <c r="AWG55" s="316"/>
      <c r="AWH55" s="316"/>
      <c r="AWI55" s="316"/>
      <c r="AWJ55" s="316"/>
      <c r="AWK55" s="316"/>
      <c r="AWL55" s="361" t="s">
        <v>2690</v>
      </c>
      <c r="AWM55" s="361"/>
      <c r="AWN55" s="316"/>
      <c r="AWO55" s="316"/>
      <c r="AWP55" s="316"/>
      <c r="AWQ55" s="316"/>
      <c r="AWR55" s="7" t="s">
        <v>17</v>
      </c>
      <c r="AWS55" s="316" t="s">
        <v>2690</v>
      </c>
      <c r="AWT55" s="316"/>
      <c r="AWU55" s="316"/>
      <c r="AWV55" s="316"/>
      <c r="AWW55" s="316"/>
      <c r="AWX55" s="316"/>
      <c r="AWY55" s="316"/>
      <c r="AWZ55" s="316"/>
      <c r="AXA55" s="316"/>
      <c r="AXB55" s="316"/>
      <c r="AXC55" s="316"/>
      <c r="AXD55" s="316"/>
      <c r="AXE55" s="316"/>
      <c r="AXF55" s="316"/>
      <c r="AXG55" s="316"/>
      <c r="AXH55" s="316"/>
      <c r="AXI55" s="316"/>
      <c r="AXJ55" s="316"/>
      <c r="AXK55" s="316"/>
      <c r="AXL55" s="316"/>
      <c r="AXM55" s="316"/>
      <c r="AXN55" s="316"/>
      <c r="AXO55" s="316"/>
      <c r="AXP55" s="316"/>
      <c r="AXQ55" s="316"/>
      <c r="AXR55" s="316"/>
      <c r="AXS55" s="316"/>
      <c r="AXT55" s="316"/>
      <c r="AXU55" s="316"/>
      <c r="AXV55" s="316"/>
      <c r="AXW55" s="316"/>
      <c r="AXX55" s="7" t="s">
        <v>17</v>
      </c>
    </row>
    <row r="56" spans="1:1324" s="136" customFormat="1" ht="22.8" customHeight="1" x14ac:dyDescent="0.25">
      <c r="A56" s="711"/>
      <c r="B56" s="72"/>
      <c r="AH56" s="73"/>
      <c r="AI56" s="181"/>
      <c r="AK56" s="136">
        <v>4772</v>
      </c>
      <c r="AQ56" s="731"/>
      <c r="AR56" s="732"/>
      <c r="AS56" s="732"/>
      <c r="AT56" s="732"/>
      <c r="AU56" s="732"/>
      <c r="AV56" s="732"/>
      <c r="AW56" s="732"/>
      <c r="AX56" s="732"/>
      <c r="AY56" s="732"/>
      <c r="AZ56" s="733"/>
      <c r="BL56" s="136">
        <v>18000</v>
      </c>
      <c r="BN56" s="72"/>
      <c r="BU56" s="136">
        <v>10354</v>
      </c>
      <c r="BZ56" s="136">
        <v>5000</v>
      </c>
      <c r="CD56" s="136">
        <v>1560</v>
      </c>
      <c r="CI56" s="136">
        <v>600</v>
      </c>
      <c r="CJ56" s="136">
        <v>1200</v>
      </c>
      <c r="CK56" s="136">
        <v>1800</v>
      </c>
      <c r="CL56" s="136">
        <v>2400</v>
      </c>
      <c r="CM56" s="136">
        <v>2400</v>
      </c>
      <c r="CN56" s="136">
        <v>2400</v>
      </c>
      <c r="CP56" s="136">
        <v>2400</v>
      </c>
      <c r="CQ56" s="136">
        <v>400</v>
      </c>
      <c r="CR56" s="136">
        <v>800</v>
      </c>
      <c r="CS56" s="72"/>
      <c r="CT56" s="136">
        <v>1850</v>
      </c>
      <c r="CU56" s="136">
        <v>756</v>
      </c>
      <c r="CV56" s="136">
        <v>900</v>
      </c>
      <c r="CX56" s="136">
        <v>1400</v>
      </c>
      <c r="CY56" s="136">
        <v>1700</v>
      </c>
      <c r="CZ56" s="136">
        <v>1730</v>
      </c>
      <c r="DA56" s="136">
        <v>1540</v>
      </c>
      <c r="DB56" s="136">
        <v>1441</v>
      </c>
      <c r="DC56" s="136">
        <v>1657</v>
      </c>
      <c r="DE56" s="136">
        <v>1503</v>
      </c>
      <c r="DF56" s="136">
        <v>1427</v>
      </c>
      <c r="DG56" s="136">
        <v>1065</v>
      </c>
      <c r="DH56" s="136">
        <v>647</v>
      </c>
      <c r="DI56" s="136">
        <v>850</v>
      </c>
      <c r="DJ56" s="136">
        <v>970</v>
      </c>
      <c r="DL56" s="136">
        <v>640</v>
      </c>
      <c r="DM56" s="178">
        <v>1342</v>
      </c>
      <c r="DN56" s="136">
        <v>1400</v>
      </c>
      <c r="DO56" s="136">
        <v>1400</v>
      </c>
      <c r="DP56" s="178">
        <v>1573</v>
      </c>
      <c r="DV56" s="136">
        <v>5151</v>
      </c>
      <c r="DX56" s="136">
        <v>1740</v>
      </c>
      <c r="DY56" s="72"/>
      <c r="EA56" s="136">
        <v>1160</v>
      </c>
      <c r="EB56" s="137">
        <v>1734</v>
      </c>
      <c r="EH56" s="136">
        <v>5992</v>
      </c>
      <c r="EP56" s="129">
        <v>11856</v>
      </c>
      <c r="EQ56" s="136">
        <v>1950</v>
      </c>
      <c r="ER56" s="136">
        <v>1800</v>
      </c>
      <c r="ES56" s="136">
        <v>1660</v>
      </c>
      <c r="ET56" s="136">
        <v>900</v>
      </c>
      <c r="EV56" s="136">
        <v>1580</v>
      </c>
      <c r="EW56" s="136">
        <v>1600</v>
      </c>
      <c r="EX56" s="136">
        <f>930+700</f>
        <v>1630</v>
      </c>
      <c r="EY56" s="136">
        <v>1700</v>
      </c>
      <c r="EZ56" s="137">
        <v>600</v>
      </c>
      <c r="FA56" s="136">
        <v>900</v>
      </c>
      <c r="FC56" s="136">
        <v>1350</v>
      </c>
      <c r="FD56" s="72"/>
      <c r="FE56" s="136">
        <v>1500</v>
      </c>
      <c r="FF56" s="136">
        <v>1500</v>
      </c>
      <c r="FG56" s="136">
        <f>479+921</f>
        <v>1400</v>
      </c>
      <c r="FH56" s="136">
        <v>1600</v>
      </c>
      <c r="FI56" s="136">
        <v>1720</v>
      </c>
      <c r="FJ56" s="137">
        <v>1128</v>
      </c>
      <c r="FK56" s="136">
        <v>480</v>
      </c>
      <c r="FL56" s="136">
        <v>660</v>
      </c>
      <c r="FM56" s="136">
        <v>870</v>
      </c>
      <c r="FN56" s="137">
        <v>1273</v>
      </c>
      <c r="FO56" s="136">
        <v>1620</v>
      </c>
      <c r="FP56" s="137">
        <v>1480</v>
      </c>
      <c r="FU56" s="136">
        <f>193+730</f>
        <v>923</v>
      </c>
      <c r="FV56" s="136">
        <v>1200</v>
      </c>
      <c r="FW56" s="136">
        <v>1700</v>
      </c>
      <c r="FX56" s="137">
        <f>458+930</f>
        <v>1388</v>
      </c>
      <c r="FY56" s="136">
        <v>1550</v>
      </c>
      <c r="FZ56" s="137">
        <f>600+320</f>
        <v>920</v>
      </c>
      <c r="GA56" s="136">
        <v>1100</v>
      </c>
      <c r="GB56" s="136">
        <v>1500</v>
      </c>
      <c r="GC56" s="136">
        <v>1500</v>
      </c>
      <c r="GD56" s="136">
        <v>1500</v>
      </c>
      <c r="GF56" s="136">
        <v>1500</v>
      </c>
      <c r="GG56" s="137">
        <v>700</v>
      </c>
      <c r="GH56" s="136">
        <v>700</v>
      </c>
      <c r="GJ56" s="72"/>
      <c r="GK56" s="136">
        <v>1440</v>
      </c>
      <c r="GL56" s="136">
        <v>1620</v>
      </c>
      <c r="GN56" s="136">
        <v>1440</v>
      </c>
      <c r="GO56" s="137">
        <v>1501</v>
      </c>
      <c r="GP56" s="136">
        <v>500</v>
      </c>
      <c r="GQ56" s="136">
        <v>1280</v>
      </c>
      <c r="GR56" s="137">
        <v>1011</v>
      </c>
      <c r="GS56" s="137">
        <v>640</v>
      </c>
      <c r="GU56" s="136">
        <f>381+20</f>
        <v>401</v>
      </c>
      <c r="GV56" s="136">
        <v>580</v>
      </c>
      <c r="GW56" s="136">
        <v>960</v>
      </c>
      <c r="GX56" s="136">
        <v>700</v>
      </c>
      <c r="GY56" s="136">
        <v>1700</v>
      </c>
      <c r="GZ56" s="136">
        <v>2050</v>
      </c>
      <c r="HB56" s="136">
        <v>1820</v>
      </c>
      <c r="HC56" s="136">
        <v>1850</v>
      </c>
      <c r="HD56" s="136">
        <v>1750</v>
      </c>
      <c r="HE56" s="136">
        <v>2330</v>
      </c>
      <c r="HF56" s="136">
        <v>2200</v>
      </c>
      <c r="HG56" s="136">
        <v>2200</v>
      </c>
      <c r="HI56" s="136">
        <v>2200</v>
      </c>
      <c r="HJ56" s="136">
        <v>2100</v>
      </c>
      <c r="HK56" s="136">
        <v>2200</v>
      </c>
      <c r="HL56" s="136">
        <v>2100</v>
      </c>
      <c r="HM56" s="137">
        <v>1168</v>
      </c>
      <c r="HN56" s="136">
        <v>70</v>
      </c>
      <c r="HP56" s="72"/>
      <c r="HQ56" s="209">
        <v>340</v>
      </c>
      <c r="HR56" s="136">
        <v>440</v>
      </c>
      <c r="HS56" s="136">
        <v>580</v>
      </c>
      <c r="HT56" s="136">
        <v>720</v>
      </c>
      <c r="HU56" s="136">
        <v>700</v>
      </c>
      <c r="HV56" s="136">
        <f>342+410</f>
        <v>752</v>
      </c>
      <c r="HX56" s="136">
        <v>800</v>
      </c>
      <c r="HY56" s="136">
        <v>920</v>
      </c>
      <c r="HZ56" s="136">
        <v>1000</v>
      </c>
      <c r="IA56" s="136">
        <v>970</v>
      </c>
      <c r="IB56" s="136">
        <v>900</v>
      </c>
      <c r="IC56" s="137">
        <v>565</v>
      </c>
      <c r="IE56" s="136">
        <v>1340</v>
      </c>
      <c r="IF56" s="136">
        <v>1600</v>
      </c>
      <c r="IG56" s="136">
        <v>1706</v>
      </c>
      <c r="IH56" s="136">
        <v>1400</v>
      </c>
      <c r="II56" s="136">
        <v>1676</v>
      </c>
      <c r="IJ56" s="136">
        <v>1806</v>
      </c>
      <c r="IL56" s="136">
        <v>1980</v>
      </c>
      <c r="IM56" s="136">
        <v>1980</v>
      </c>
      <c r="IN56" s="137">
        <v>1492</v>
      </c>
      <c r="IO56" s="136">
        <v>1179</v>
      </c>
      <c r="IP56" s="136">
        <v>1430</v>
      </c>
      <c r="IQ56" s="136">
        <v>1500</v>
      </c>
      <c r="IS56" s="136">
        <v>1400</v>
      </c>
      <c r="IT56" s="74"/>
      <c r="IU56" s="136">
        <v>1147</v>
      </c>
      <c r="IV56" s="136">
        <v>60</v>
      </c>
      <c r="IW56" s="136">
        <f>309+20</f>
        <v>329</v>
      </c>
      <c r="IX56" s="136">
        <v>600</v>
      </c>
      <c r="IY56" s="136">
        <v>900</v>
      </c>
      <c r="JA56" s="136">
        <v>1130</v>
      </c>
      <c r="JB56" s="136">
        <v>1260</v>
      </c>
      <c r="JC56" s="136">
        <v>1400</v>
      </c>
      <c r="JD56" s="136">
        <v>1550</v>
      </c>
      <c r="JE56" s="136">
        <v>1400</v>
      </c>
      <c r="JF56" s="136">
        <v>1540</v>
      </c>
      <c r="JG56" s="136">
        <v>1300</v>
      </c>
      <c r="JH56" s="136">
        <v>1820</v>
      </c>
      <c r="JI56" s="136">
        <v>1820</v>
      </c>
      <c r="JJ56" s="136">
        <v>1920</v>
      </c>
      <c r="JL56" s="136">
        <v>1720</v>
      </c>
      <c r="JM56" s="136">
        <v>1300</v>
      </c>
      <c r="JO56" s="136">
        <v>1280</v>
      </c>
      <c r="JP56" s="136">
        <v>1150</v>
      </c>
      <c r="JQ56" s="136">
        <v>1300</v>
      </c>
      <c r="JR56" s="136">
        <v>1300</v>
      </c>
      <c r="JS56" s="136">
        <v>1300</v>
      </c>
      <c r="JV56" s="278"/>
      <c r="JW56" s="173"/>
      <c r="JX56" s="173"/>
      <c r="JY56" s="173"/>
      <c r="JZ56" s="282"/>
      <c r="KA56" s="173"/>
      <c r="KB56" s="173"/>
      <c r="KC56" s="173"/>
      <c r="KD56" s="173"/>
      <c r="KE56" s="173"/>
      <c r="KF56" s="173"/>
      <c r="KG56" s="173"/>
      <c r="KH56" s="173"/>
      <c r="KI56" s="173"/>
      <c r="KJ56" s="173"/>
      <c r="KK56" s="173"/>
      <c r="KL56" s="173"/>
      <c r="KM56" s="173"/>
      <c r="KN56" s="173"/>
      <c r="KO56" s="173"/>
      <c r="KP56" s="173"/>
      <c r="KQ56" s="173"/>
      <c r="KR56" s="173"/>
      <c r="KS56" s="173"/>
      <c r="KT56" s="173"/>
      <c r="KU56" s="173"/>
      <c r="KV56" s="173"/>
      <c r="KW56" s="173"/>
      <c r="KX56" s="173"/>
      <c r="KY56" s="280"/>
      <c r="KZ56" s="164"/>
      <c r="LA56" s="164"/>
      <c r="LB56" s="164"/>
      <c r="LC56" s="164"/>
      <c r="LD56" s="164"/>
      <c r="LE56" s="72"/>
      <c r="LH56" s="136">
        <v>860</v>
      </c>
      <c r="LI56" s="136">
        <v>1200</v>
      </c>
      <c r="LJ56" s="136">
        <v>1400</v>
      </c>
      <c r="LK56" s="136">
        <v>1400</v>
      </c>
      <c r="LL56" s="136">
        <v>1400</v>
      </c>
      <c r="LN56" s="136">
        <v>1320</v>
      </c>
      <c r="LO56" s="136">
        <v>1440</v>
      </c>
      <c r="LP56" s="136">
        <v>1440</v>
      </c>
      <c r="LQ56" s="136">
        <v>1300</v>
      </c>
      <c r="LR56" s="136">
        <v>1300</v>
      </c>
      <c r="LS56" s="136">
        <v>1440</v>
      </c>
      <c r="LU56" s="136">
        <v>1440</v>
      </c>
      <c r="LV56" s="136">
        <v>1440</v>
      </c>
      <c r="LW56" s="136">
        <v>1440</v>
      </c>
      <c r="LX56" s="136">
        <v>1440</v>
      </c>
      <c r="LY56" s="136">
        <v>1400</v>
      </c>
      <c r="LZ56" s="301">
        <v>1260</v>
      </c>
      <c r="MA56" s="301">
        <v>1300</v>
      </c>
      <c r="MB56" s="716"/>
      <c r="MC56" s="717"/>
      <c r="MD56" s="717"/>
      <c r="ME56" s="718"/>
      <c r="MF56" s="136">
        <v>1600</v>
      </c>
      <c r="MG56" s="297">
        <v>1440</v>
      </c>
      <c r="MI56" s="136">
        <v>1450</v>
      </c>
      <c r="MJ56" s="136">
        <v>1500</v>
      </c>
      <c r="ML56" s="136">
        <v>1540</v>
      </c>
      <c r="MM56" s="136">
        <v>1760</v>
      </c>
      <c r="MN56" s="314">
        <v>1660</v>
      </c>
      <c r="MO56" s="136">
        <v>1760</v>
      </c>
      <c r="MQ56" s="136">
        <v>1700</v>
      </c>
      <c r="MR56" s="136">
        <v>1600</v>
      </c>
      <c r="MS56" s="137">
        <f>943+160</f>
        <v>1103</v>
      </c>
      <c r="MT56" s="136">
        <v>1200</v>
      </c>
      <c r="MU56" s="136">
        <v>1800</v>
      </c>
      <c r="MV56" s="314">
        <v>1860</v>
      </c>
      <c r="MX56" s="365">
        <f>1059+300</f>
        <v>1359</v>
      </c>
      <c r="MY56" s="136">
        <v>1340</v>
      </c>
      <c r="MZ56" s="365">
        <v>1430</v>
      </c>
      <c r="NA56" s="136">
        <v>820</v>
      </c>
      <c r="NB56" s="136">
        <v>1300</v>
      </c>
      <c r="NC56" s="136">
        <v>1760</v>
      </c>
      <c r="NE56" s="136">
        <v>1900</v>
      </c>
      <c r="NF56" s="315">
        <f>613+1250</f>
        <v>1863</v>
      </c>
      <c r="NG56" s="136">
        <v>2000</v>
      </c>
      <c r="NH56" s="136">
        <v>1800</v>
      </c>
      <c r="NI56" s="136">
        <v>2000</v>
      </c>
      <c r="NJ56" s="365">
        <f>716+450</f>
        <v>1166</v>
      </c>
      <c r="NL56" s="314">
        <v>1550</v>
      </c>
      <c r="NM56" s="136">
        <v>1860</v>
      </c>
      <c r="NN56" s="136">
        <v>1600</v>
      </c>
      <c r="NO56" s="136">
        <v>1550</v>
      </c>
      <c r="NP56" s="72"/>
      <c r="NQ56" s="136">
        <v>1740</v>
      </c>
      <c r="NR56" s="365">
        <f>962+1140</f>
        <v>2102</v>
      </c>
      <c r="NT56" s="314">
        <f>1625+80</f>
        <v>1705</v>
      </c>
      <c r="NU56" s="314">
        <v>1660</v>
      </c>
      <c r="NV56" s="314">
        <v>1463</v>
      </c>
      <c r="NW56" s="314">
        <v>1500</v>
      </c>
      <c r="NX56" s="314">
        <v>1600</v>
      </c>
      <c r="NY56" s="365">
        <f>410+640</f>
        <v>1050</v>
      </c>
      <c r="OA56" s="314">
        <v>1440</v>
      </c>
      <c r="OB56" s="314">
        <v>1560</v>
      </c>
      <c r="OC56" s="314">
        <v>1800</v>
      </c>
      <c r="OD56" s="314">
        <v>2310</v>
      </c>
      <c r="OE56" s="314">
        <v>2340</v>
      </c>
      <c r="OF56" s="314">
        <v>2420</v>
      </c>
      <c r="OG56" s="314"/>
      <c r="OH56" s="314">
        <v>2200</v>
      </c>
      <c r="OI56" s="314">
        <v>2340</v>
      </c>
      <c r="OJ56" s="314">
        <v>2140</v>
      </c>
      <c r="OK56" s="136">
        <v>2420</v>
      </c>
      <c r="OL56" s="314">
        <v>2220</v>
      </c>
      <c r="OM56" s="314">
        <v>2220</v>
      </c>
      <c r="ON56" s="314">
        <v>1760</v>
      </c>
      <c r="OO56" s="136">
        <v>2120</v>
      </c>
      <c r="OP56" s="314">
        <v>2260</v>
      </c>
      <c r="OQ56" s="314">
        <v>1700</v>
      </c>
      <c r="OR56" s="136">
        <v>2220</v>
      </c>
      <c r="OS56" s="136">
        <v>827</v>
      </c>
      <c r="OT56" s="724"/>
      <c r="OU56" s="725"/>
      <c r="OV56" s="304"/>
      <c r="OW56" s="740"/>
      <c r="OX56" s="741"/>
      <c r="OY56" s="741"/>
      <c r="OZ56" s="741"/>
      <c r="PA56" s="741"/>
      <c r="PB56" s="741"/>
      <c r="PC56" s="742"/>
      <c r="PD56" s="136">
        <v>640</v>
      </c>
      <c r="PE56" s="136">
        <v>1700</v>
      </c>
      <c r="PF56" s="136">
        <v>2000</v>
      </c>
      <c r="PG56" s="314">
        <v>2300</v>
      </c>
      <c r="PH56" s="314">
        <v>2060</v>
      </c>
      <c r="PI56" s="314">
        <v>2550</v>
      </c>
      <c r="PL56" s="314">
        <v>2320</v>
      </c>
      <c r="PM56" s="365">
        <f>1231+120</f>
        <v>1351</v>
      </c>
      <c r="PN56" s="314">
        <f>537+380</f>
        <v>917</v>
      </c>
      <c r="PO56" s="314">
        <v>1661</v>
      </c>
      <c r="PP56" s="314">
        <v>1650</v>
      </c>
      <c r="PQ56" s="314"/>
      <c r="PR56" s="314">
        <v>1620</v>
      </c>
      <c r="PS56" s="314">
        <f>812+200</f>
        <v>1012</v>
      </c>
      <c r="PT56" s="314">
        <v>1350</v>
      </c>
      <c r="PU56" s="136">
        <v>1560</v>
      </c>
      <c r="PV56" s="136">
        <v>1800</v>
      </c>
      <c r="PW56" s="136">
        <v>2160</v>
      </c>
      <c r="PY56" s="314">
        <v>2100</v>
      </c>
      <c r="PZ56" s="136">
        <v>2260</v>
      </c>
      <c r="QA56" s="136">
        <v>2220</v>
      </c>
      <c r="QB56" s="72"/>
      <c r="QC56" s="314">
        <f>1420+630</f>
        <v>2050</v>
      </c>
      <c r="QD56" s="314">
        <v>2150</v>
      </c>
      <c r="QE56" s="314">
        <v>2550</v>
      </c>
      <c r="QF56" s="314"/>
      <c r="QG56" s="314">
        <v>2600</v>
      </c>
      <c r="QH56" s="314">
        <v>2340</v>
      </c>
      <c r="QI56" s="314">
        <v>2400</v>
      </c>
      <c r="QJ56" s="314">
        <v>1900</v>
      </c>
      <c r="QK56" s="365">
        <v>1733</v>
      </c>
      <c r="QL56" s="136">
        <v>1100</v>
      </c>
      <c r="QM56" s="314">
        <v>1500</v>
      </c>
      <c r="QN56" s="136">
        <f>537+300</f>
        <v>837</v>
      </c>
      <c r="QO56" s="136">
        <f>430+670</f>
        <v>1100</v>
      </c>
      <c r="QQ56" s="136">
        <v>2040</v>
      </c>
      <c r="QR56" s="136">
        <v>2200</v>
      </c>
      <c r="QS56" s="314">
        <v>2100</v>
      </c>
      <c r="QU56" s="365">
        <f>918+550</f>
        <v>1468</v>
      </c>
      <c r="QV56" s="136">
        <v>2100</v>
      </c>
      <c r="QW56" s="136">
        <v>2040</v>
      </c>
      <c r="QX56" s="136">
        <v>2200</v>
      </c>
      <c r="QY56" s="136">
        <v>2200</v>
      </c>
      <c r="QZ56" s="314">
        <v>2300</v>
      </c>
      <c r="RB56" s="431">
        <v>1542</v>
      </c>
      <c r="RC56" s="431">
        <v>1550</v>
      </c>
      <c r="RD56" s="314">
        <v>1670</v>
      </c>
      <c r="RE56" s="136">
        <v>1700</v>
      </c>
      <c r="RF56" s="136">
        <v>1600</v>
      </c>
      <c r="RG56" s="72"/>
      <c r="RH56" s="136">
        <v>2420</v>
      </c>
      <c r="RJ56" s="314">
        <v>2500</v>
      </c>
      <c r="RK56" s="136">
        <v>2600</v>
      </c>
      <c r="RL56" s="365">
        <f>753+540</f>
        <v>1293</v>
      </c>
      <c r="RM56" s="136">
        <f>445+640</f>
        <v>1085</v>
      </c>
      <c r="RN56" s="136">
        <v>2000</v>
      </c>
      <c r="RP56" s="136">
        <v>2340</v>
      </c>
      <c r="RQ56" s="136">
        <v>2300</v>
      </c>
      <c r="RR56" s="136">
        <v>2300</v>
      </c>
      <c r="RS56" s="136">
        <v>2300</v>
      </c>
      <c r="RT56" s="136">
        <v>2200</v>
      </c>
      <c r="RU56" s="314">
        <v>2420</v>
      </c>
      <c r="RV56" s="314">
        <v>2420</v>
      </c>
      <c r="RX56" s="136">
        <f>1396+280</f>
        <v>1676</v>
      </c>
      <c r="RY56" s="314">
        <v>2020</v>
      </c>
      <c r="RZ56" s="136">
        <v>2200</v>
      </c>
      <c r="SA56" s="136">
        <f>778+730</f>
        <v>1508</v>
      </c>
      <c r="SB56" s="314">
        <v>2000</v>
      </c>
      <c r="SC56" s="136">
        <v>2400</v>
      </c>
      <c r="SE56" s="136">
        <v>1860</v>
      </c>
      <c r="SF56" s="136">
        <v>2100</v>
      </c>
      <c r="SG56" s="314">
        <v>1920</v>
      </c>
      <c r="SH56" s="365">
        <v>1113</v>
      </c>
      <c r="SI56" s="314">
        <v>414</v>
      </c>
      <c r="SJ56" s="365">
        <v>606</v>
      </c>
      <c r="SL56" s="136">
        <v>640</v>
      </c>
      <c r="SM56" s="72"/>
      <c r="SN56" s="314">
        <v>2020</v>
      </c>
      <c r="SO56" s="314">
        <v>2240</v>
      </c>
      <c r="SP56" s="314">
        <f>1388+812</f>
        <v>2200</v>
      </c>
      <c r="SQ56" s="314">
        <v>2020</v>
      </c>
      <c r="SR56" s="314">
        <v>2420</v>
      </c>
      <c r="SS56" s="365">
        <f>1188+160</f>
        <v>1348</v>
      </c>
      <c r="ST56" s="314">
        <v>1000</v>
      </c>
      <c r="SU56" s="136">
        <v>1500</v>
      </c>
      <c r="SW56" s="314">
        <f>305+246+100+100</f>
        <v>751</v>
      </c>
      <c r="SX56" s="314">
        <v>800</v>
      </c>
      <c r="SY56" s="136">
        <v>1200</v>
      </c>
      <c r="TA56" s="136">
        <f>1+1700</f>
        <v>1701</v>
      </c>
      <c r="TB56" s="136">
        <v>1700</v>
      </c>
      <c r="TC56" s="136">
        <v>1900</v>
      </c>
      <c r="TD56" s="136">
        <v>2200</v>
      </c>
      <c r="TE56" s="136">
        <v>2120</v>
      </c>
      <c r="TF56" s="136">
        <v>2200</v>
      </c>
      <c r="TG56" s="314"/>
      <c r="TH56" s="136">
        <v>2320</v>
      </c>
      <c r="TI56" s="136">
        <v>2320</v>
      </c>
      <c r="TJ56" s="314">
        <v>2300</v>
      </c>
      <c r="TK56" s="314">
        <v>2440</v>
      </c>
      <c r="TL56" s="314">
        <v>2440</v>
      </c>
      <c r="TM56" s="314">
        <v>2400</v>
      </c>
      <c r="TO56" s="136">
        <v>2300</v>
      </c>
      <c r="TP56" s="314">
        <v>2140</v>
      </c>
      <c r="TQ56" s="314">
        <v>1547</v>
      </c>
      <c r="TR56" s="72"/>
      <c r="TS56" s="314">
        <v>2560</v>
      </c>
      <c r="TT56" s="314">
        <v>2530</v>
      </c>
      <c r="TU56" s="314">
        <v>2530</v>
      </c>
      <c r="TW56" s="314">
        <v>2594</v>
      </c>
      <c r="TX56" s="314">
        <v>2530</v>
      </c>
      <c r="TY56" s="314">
        <v>2530</v>
      </c>
      <c r="TZ56" s="314">
        <v>2400</v>
      </c>
      <c r="UA56" s="314">
        <f>705+620</f>
        <v>1325</v>
      </c>
      <c r="UB56" s="314">
        <v>1700</v>
      </c>
      <c r="UC56" s="136">
        <f>769+851</f>
        <v>1620</v>
      </c>
      <c r="UD56" s="314">
        <v>2200</v>
      </c>
      <c r="UE56" s="365">
        <v>2102</v>
      </c>
      <c r="UF56" s="314">
        <v>920</v>
      </c>
      <c r="UG56" s="314">
        <v>730</v>
      </c>
      <c r="UJ56" s="314"/>
      <c r="UK56" s="314">
        <v>1600</v>
      </c>
      <c r="UL56" s="314">
        <f>703+400</f>
        <v>1103</v>
      </c>
      <c r="UM56" s="314">
        <v>1250</v>
      </c>
      <c r="UN56" s="314">
        <v>1820</v>
      </c>
      <c r="UO56" s="314">
        <v>1820</v>
      </c>
      <c r="UP56" s="314">
        <f>535+1130</f>
        <v>1665</v>
      </c>
      <c r="UQ56" s="314"/>
      <c r="UR56" s="365">
        <f>1542+10</f>
        <v>1552</v>
      </c>
      <c r="US56" s="314">
        <v>800</v>
      </c>
      <c r="UT56" s="136">
        <v>1000</v>
      </c>
      <c r="UU56" s="136">
        <v>1250</v>
      </c>
      <c r="UV56" s="136">
        <f>31+1370</f>
        <v>1401</v>
      </c>
      <c r="UW56" s="136">
        <v>1400</v>
      </c>
      <c r="UX56" s="72"/>
      <c r="UZ56" s="136">
        <f>468+580</f>
        <v>1048</v>
      </c>
      <c r="VA56" s="136">
        <v>1840</v>
      </c>
      <c r="VB56" s="136">
        <f>928+1072</f>
        <v>2000</v>
      </c>
      <c r="VC56" s="136">
        <v>1800</v>
      </c>
      <c r="VD56" s="136">
        <v>2200</v>
      </c>
      <c r="VE56" s="136">
        <v>2100</v>
      </c>
      <c r="VG56" s="365">
        <f>1435+80</f>
        <v>1515</v>
      </c>
      <c r="VH56" s="314">
        <v>880</v>
      </c>
      <c r="VI56" s="314">
        <v>1360</v>
      </c>
      <c r="VJ56" s="136">
        <v>1820</v>
      </c>
      <c r="VK56" s="314">
        <v>2000</v>
      </c>
      <c r="VL56" s="314">
        <v>1100</v>
      </c>
      <c r="VM56" s="314"/>
      <c r="VN56" s="314">
        <v>2000</v>
      </c>
      <c r="VO56" s="314">
        <f>824+45+20</f>
        <v>889</v>
      </c>
      <c r="VP56" s="136">
        <v>1300</v>
      </c>
      <c r="VQ56" s="136">
        <v>1640</v>
      </c>
      <c r="VR56" s="136">
        <v>2050</v>
      </c>
      <c r="VS56" s="136">
        <v>2470</v>
      </c>
      <c r="VU56" s="136">
        <v>2260</v>
      </c>
      <c r="VV56" s="136">
        <v>2200</v>
      </c>
      <c r="VW56" s="136">
        <f>2131+180</f>
        <v>2311</v>
      </c>
      <c r="VX56" s="136">
        <v>2200</v>
      </c>
      <c r="VY56" s="136">
        <v>2020</v>
      </c>
      <c r="VZ56" s="136">
        <v>2230</v>
      </c>
      <c r="WB56" s="136">
        <v>2240</v>
      </c>
      <c r="WC56" s="314">
        <v>2400</v>
      </c>
      <c r="WD56" s="72"/>
      <c r="WE56" s="136">
        <v>2440</v>
      </c>
      <c r="WF56" s="365">
        <f>1311+280</f>
        <v>1591</v>
      </c>
      <c r="WG56" s="314">
        <v>1440</v>
      </c>
      <c r="WH56" s="136">
        <v>2000</v>
      </c>
      <c r="WJ56" s="136">
        <v>2060</v>
      </c>
      <c r="WK56" s="136">
        <v>2420</v>
      </c>
      <c r="WL56" s="136">
        <v>2420</v>
      </c>
      <c r="WM56" s="136">
        <v>2040</v>
      </c>
      <c r="WN56" s="136">
        <f>2300+24</f>
        <v>2324</v>
      </c>
      <c r="WO56" s="136">
        <v>2120</v>
      </c>
      <c r="WP56" s="136">
        <v>1640</v>
      </c>
      <c r="WQ56" s="365">
        <f>1390+390</f>
        <v>1780</v>
      </c>
      <c r="WR56" s="136">
        <v>2100</v>
      </c>
      <c r="WS56" s="314">
        <v>2160</v>
      </c>
      <c r="WT56" s="314">
        <v>2300</v>
      </c>
      <c r="WU56" s="314">
        <v>2370</v>
      </c>
      <c r="WV56" s="314">
        <v>1560</v>
      </c>
      <c r="WX56" s="314"/>
      <c r="WZ56" s="314">
        <v>2200</v>
      </c>
      <c r="XA56" s="314">
        <v>2300</v>
      </c>
      <c r="XB56" s="314">
        <v>2530</v>
      </c>
      <c r="XC56" s="314">
        <v>2530</v>
      </c>
      <c r="XD56" s="314"/>
      <c r="XE56" s="314">
        <v>2400</v>
      </c>
      <c r="XF56" s="314">
        <v>2200</v>
      </c>
      <c r="XG56" s="314"/>
      <c r="XH56" s="314">
        <v>2450</v>
      </c>
      <c r="XI56" s="314">
        <v>2400</v>
      </c>
      <c r="XJ56" s="314">
        <v>2523</v>
      </c>
      <c r="XK56" s="314">
        <v>2460</v>
      </c>
      <c r="XL56" s="314"/>
      <c r="XM56" s="314">
        <v>2220</v>
      </c>
      <c r="XN56" s="124">
        <f>1416+20</f>
        <v>1436</v>
      </c>
      <c r="XO56" s="314">
        <v>600</v>
      </c>
      <c r="XP56" s="314">
        <v>950</v>
      </c>
      <c r="XQ56" s="314">
        <v>1160</v>
      </c>
      <c r="XR56" s="314">
        <v>1640</v>
      </c>
      <c r="XS56" s="173"/>
      <c r="XT56" s="314">
        <v>1220</v>
      </c>
      <c r="XU56" s="314">
        <v>1560</v>
      </c>
      <c r="XV56" s="314">
        <v>1860</v>
      </c>
      <c r="XW56" s="314">
        <v>1880</v>
      </c>
      <c r="XX56" s="314">
        <v>1700</v>
      </c>
      <c r="XY56" s="314">
        <v>1880</v>
      </c>
      <c r="XZ56" s="314">
        <v>1530</v>
      </c>
      <c r="YA56" s="314">
        <v>1720</v>
      </c>
      <c r="YB56" s="314">
        <v>1930</v>
      </c>
      <c r="YC56" s="314">
        <v>1925</v>
      </c>
      <c r="YD56" s="314">
        <v>1870</v>
      </c>
      <c r="YE56" s="314">
        <v>1830</v>
      </c>
      <c r="YF56" s="314">
        <v>1700</v>
      </c>
      <c r="YG56" s="178"/>
      <c r="YH56" s="314">
        <v>1880</v>
      </c>
      <c r="YI56" s="314">
        <v>1900</v>
      </c>
      <c r="YJ56" s="314">
        <v>1800</v>
      </c>
      <c r="YL56" s="314">
        <v>1780</v>
      </c>
      <c r="YM56" s="72"/>
      <c r="YN56" s="314">
        <v>1900</v>
      </c>
      <c r="YO56" s="314"/>
      <c r="YP56" s="314">
        <v>2000</v>
      </c>
      <c r="YQ56" s="314">
        <v>2000</v>
      </c>
      <c r="YR56" s="314">
        <v>1900</v>
      </c>
      <c r="YS56" s="314">
        <v>1920</v>
      </c>
      <c r="YT56" s="314">
        <v>1980</v>
      </c>
      <c r="YU56" s="314">
        <v>1900</v>
      </c>
      <c r="YV56" s="314"/>
      <c r="YW56" s="314">
        <v>1850</v>
      </c>
      <c r="YX56" s="314">
        <v>1980</v>
      </c>
      <c r="YY56" s="314">
        <v>1980</v>
      </c>
      <c r="YZ56" s="314">
        <v>1800</v>
      </c>
      <c r="ZA56" s="314"/>
      <c r="ZB56" s="136">
        <f>852+248</f>
        <v>1100</v>
      </c>
      <c r="ZC56" s="314"/>
      <c r="ZD56" s="314">
        <v>1580</v>
      </c>
      <c r="ZE56" s="314">
        <v>1620</v>
      </c>
      <c r="ZF56" s="314">
        <v>1660</v>
      </c>
      <c r="ZG56" s="124">
        <f>309+620</f>
        <v>929</v>
      </c>
      <c r="ZH56" s="136">
        <v>1640</v>
      </c>
      <c r="ZI56" s="136">
        <v>1800</v>
      </c>
      <c r="ZK56" s="136">
        <v>1850</v>
      </c>
      <c r="ZL56" s="136">
        <v>1970</v>
      </c>
      <c r="ZM56" s="314">
        <v>1980</v>
      </c>
      <c r="ZN56" s="314">
        <v>1820</v>
      </c>
      <c r="ZO56" s="314">
        <v>1560</v>
      </c>
      <c r="ZP56" s="136">
        <v>1800</v>
      </c>
      <c r="ZQ56" s="314"/>
      <c r="ZR56" s="72"/>
      <c r="ZT56" s="136">
        <v>2090</v>
      </c>
      <c r="ZU56" s="136">
        <v>2120</v>
      </c>
      <c r="ZV56" s="136">
        <v>2080</v>
      </c>
      <c r="ZW56" s="136">
        <v>2180</v>
      </c>
      <c r="ZX56" s="314">
        <v>2050</v>
      </c>
      <c r="ZZ56" s="314">
        <v>1860</v>
      </c>
      <c r="AAA56" s="124">
        <f>728+440</f>
        <v>1168</v>
      </c>
      <c r="AAB56" s="314">
        <v>1260</v>
      </c>
      <c r="AAC56" s="314">
        <v>1480</v>
      </c>
      <c r="AAD56" s="314">
        <v>1300</v>
      </c>
      <c r="AAE56" s="777"/>
      <c r="AAF56" s="705"/>
      <c r="AAG56" s="705"/>
      <c r="AAH56" s="705"/>
      <c r="AAI56" s="778"/>
      <c r="AAJ56" s="314">
        <v>1400</v>
      </c>
      <c r="AAK56" s="314">
        <v>1400</v>
      </c>
      <c r="AAL56" s="314">
        <v>1600</v>
      </c>
      <c r="AAM56" s="136">
        <v>1280</v>
      </c>
      <c r="AAN56" s="314">
        <v>1500</v>
      </c>
      <c r="AAO56" s="124">
        <f>291+620</f>
        <v>911</v>
      </c>
      <c r="AAP56" s="136">
        <v>1500</v>
      </c>
      <c r="AAQ56" s="136">
        <v>1500</v>
      </c>
      <c r="AAR56" s="136">
        <v>1500</v>
      </c>
      <c r="AAS56" s="136">
        <v>1500</v>
      </c>
      <c r="AAT56" s="314"/>
      <c r="AAU56" s="314">
        <v>1520</v>
      </c>
      <c r="AAV56" s="314">
        <v>1520</v>
      </c>
      <c r="AAW56" s="136">
        <f>686+320</f>
        <v>1006</v>
      </c>
      <c r="AAY56" s="124">
        <v>1600</v>
      </c>
      <c r="AAZ56" s="314">
        <v>1820</v>
      </c>
      <c r="ABA56" s="314">
        <v>1650</v>
      </c>
      <c r="ABB56" s="314"/>
      <c r="ABC56" s="314">
        <f>1335+32+38</f>
        <v>1405</v>
      </c>
      <c r="ABD56" s="314">
        <v>1520</v>
      </c>
      <c r="ABE56" s="314">
        <v>1720</v>
      </c>
      <c r="ABF56" s="314">
        <v>1800</v>
      </c>
      <c r="ABG56" s="314">
        <f>803+1097</f>
        <v>1900</v>
      </c>
      <c r="ABH56" s="314">
        <v>1870</v>
      </c>
      <c r="ABI56" s="586"/>
      <c r="ABJ56" s="586">
        <v>1760</v>
      </c>
      <c r="ABK56" s="586">
        <v>1700</v>
      </c>
      <c r="ABL56" s="586">
        <v>2060</v>
      </c>
      <c r="ABM56" s="314">
        <v>1800</v>
      </c>
      <c r="ABN56" s="314">
        <v>1700</v>
      </c>
      <c r="ABO56" s="314">
        <v>1980</v>
      </c>
      <c r="ABP56" s="314">
        <v>1340</v>
      </c>
      <c r="ABQ56" s="314">
        <v>1800</v>
      </c>
      <c r="ABR56" s="136">
        <v>1980</v>
      </c>
      <c r="ABS56" s="314">
        <v>1980</v>
      </c>
      <c r="ABT56" s="314">
        <v>1880</v>
      </c>
      <c r="ABU56" s="314">
        <v>1900</v>
      </c>
      <c r="ABV56" s="314">
        <v>1980</v>
      </c>
      <c r="ABW56" s="314"/>
      <c r="ABX56" s="314">
        <v>1980</v>
      </c>
      <c r="ABY56" s="314">
        <v>1980</v>
      </c>
      <c r="ABZ56" s="314">
        <v>2000</v>
      </c>
      <c r="ACA56" s="314">
        <v>1860</v>
      </c>
      <c r="ACB56" s="314">
        <v>1720</v>
      </c>
      <c r="ACC56" s="72"/>
      <c r="ACD56" s="314">
        <v>1800</v>
      </c>
      <c r="ACE56" s="136">
        <v>1620</v>
      </c>
      <c r="ACF56" s="124">
        <f>982+330</f>
        <v>1312</v>
      </c>
      <c r="ACG56" s="314">
        <v>1160</v>
      </c>
      <c r="ACH56" s="136">
        <v>1160</v>
      </c>
      <c r="ACI56" s="136">
        <f>39+1530</f>
        <v>1569</v>
      </c>
      <c r="ACJ56" s="136">
        <v>1650</v>
      </c>
      <c r="ACK56" s="136">
        <v>1660</v>
      </c>
      <c r="ACM56" s="136">
        <v>1760</v>
      </c>
      <c r="ACN56" s="314">
        <v>1760</v>
      </c>
      <c r="ACO56" s="314">
        <v>1760</v>
      </c>
      <c r="ACP56" s="314">
        <v>1730</v>
      </c>
      <c r="ACQ56" s="314">
        <v>1790</v>
      </c>
      <c r="ACR56" s="314">
        <v>1700</v>
      </c>
      <c r="ACS56" s="124">
        <f>259+860</f>
        <v>1119</v>
      </c>
      <c r="ACT56" s="314">
        <v>1800</v>
      </c>
      <c r="ACU56" s="314">
        <v>1620</v>
      </c>
      <c r="ACV56" s="314">
        <v>960</v>
      </c>
      <c r="ACW56" s="785"/>
      <c r="ACX56" s="786"/>
      <c r="ACY56" s="786"/>
      <c r="ACZ56" s="786"/>
      <c r="ADA56" s="786"/>
      <c r="ADB56" s="786"/>
      <c r="ADC56" s="786"/>
      <c r="ADD56" s="786"/>
      <c r="ADE56" s="786"/>
      <c r="ADF56" s="786"/>
      <c r="ADG56" s="787"/>
      <c r="ADH56" s="314"/>
      <c r="ADI56" s="72"/>
      <c r="ADJ56" s="314">
        <v>970</v>
      </c>
      <c r="ADK56" s="314">
        <v>1760</v>
      </c>
      <c r="ADL56" s="314">
        <v>1880</v>
      </c>
      <c r="ADM56" s="314">
        <v>1820</v>
      </c>
      <c r="ADN56" s="314">
        <v>1980</v>
      </c>
      <c r="ADO56" s="314"/>
      <c r="ADP56" s="314">
        <v>1980</v>
      </c>
      <c r="ADQ56" s="314">
        <v>1980</v>
      </c>
      <c r="ADR56" s="314">
        <v>1980</v>
      </c>
      <c r="ADS56" s="314">
        <v>1900</v>
      </c>
      <c r="ADT56" s="314">
        <f>994+580</f>
        <v>1574</v>
      </c>
      <c r="ADU56" s="314">
        <v>1980</v>
      </c>
      <c r="ADV56" s="314">
        <v>1440</v>
      </c>
      <c r="ADW56" s="314"/>
      <c r="ADX56" s="314"/>
      <c r="ADY56" s="314">
        <v>1980</v>
      </c>
      <c r="ADZ56" s="314">
        <f>1116+200</f>
        <v>1316</v>
      </c>
      <c r="AEA56" s="314">
        <v>1980</v>
      </c>
      <c r="AEB56" s="314">
        <v>2000</v>
      </c>
      <c r="AED56" s="314">
        <v>1980</v>
      </c>
      <c r="AEE56" s="314">
        <v>2000</v>
      </c>
      <c r="AEF56" s="314">
        <v>1980</v>
      </c>
      <c r="AEG56" s="314">
        <v>1980</v>
      </c>
      <c r="AEH56" s="314">
        <v>1980</v>
      </c>
      <c r="AEI56" s="124">
        <v>2000</v>
      </c>
      <c r="AEJ56" s="314"/>
      <c r="AEK56" s="314">
        <v>1800</v>
      </c>
      <c r="AEL56" s="314">
        <v>1800</v>
      </c>
      <c r="AEM56" s="314">
        <v>1800</v>
      </c>
      <c r="AEN56" s="314">
        <v>1440</v>
      </c>
      <c r="AEO56" s="72"/>
      <c r="AEP56" s="314">
        <v>1440</v>
      </c>
      <c r="AEQ56" s="314">
        <v>1800</v>
      </c>
      <c r="AES56" s="314">
        <v>1620</v>
      </c>
      <c r="AET56" s="314">
        <v>1800</v>
      </c>
      <c r="AEU56" s="314">
        <v>1800</v>
      </c>
      <c r="AEV56" s="314">
        <v>1800</v>
      </c>
      <c r="AEW56" s="124">
        <f>1098+30</f>
        <v>1128</v>
      </c>
      <c r="AEX56" s="136">
        <v>1000</v>
      </c>
      <c r="AEZ56" s="136">
        <v>1600</v>
      </c>
      <c r="AFA56" s="136">
        <v>1850</v>
      </c>
      <c r="AFB56" s="136">
        <v>1520</v>
      </c>
      <c r="AFC56" s="124">
        <f>1319+80</f>
        <v>1399</v>
      </c>
      <c r="AFD56" s="314">
        <v>1100</v>
      </c>
      <c r="AFE56" s="314">
        <v>1550</v>
      </c>
      <c r="AFG56" s="314">
        <v>1600</v>
      </c>
      <c r="AFH56" s="314">
        <v>1900</v>
      </c>
      <c r="AFI56" s="136">
        <v>1880</v>
      </c>
      <c r="AFJ56" s="136">
        <v>1900</v>
      </c>
      <c r="AFK56" s="136">
        <v>1800</v>
      </c>
      <c r="AFL56" s="136">
        <v>1560</v>
      </c>
      <c r="AFN56" s="136">
        <v>1980</v>
      </c>
      <c r="AFO56" s="314">
        <v>1980</v>
      </c>
      <c r="AFP56" s="314">
        <v>1980</v>
      </c>
      <c r="AFQ56" s="314">
        <v>1900</v>
      </c>
      <c r="AFR56" s="314">
        <v>1980</v>
      </c>
      <c r="AFS56" s="314">
        <v>1500</v>
      </c>
      <c r="AFT56" s="72"/>
      <c r="AFU56" s="625"/>
      <c r="AFV56" s="314">
        <f>477+1240</f>
        <v>1717</v>
      </c>
      <c r="AFW56" s="136">
        <v>1560</v>
      </c>
      <c r="AFX56" s="124">
        <f>193+860</f>
        <v>1053</v>
      </c>
      <c r="AFY56" s="314">
        <v>1640</v>
      </c>
      <c r="AFZ56" s="314">
        <v>1800</v>
      </c>
      <c r="AGA56" s="314">
        <v>1880</v>
      </c>
      <c r="AGB56" s="699"/>
      <c r="AGC56" s="314">
        <v>2050</v>
      </c>
      <c r="AGD56" s="314">
        <v>2200</v>
      </c>
      <c r="AGE56" s="314">
        <v>2200</v>
      </c>
      <c r="AGF56" s="314">
        <v>2200</v>
      </c>
      <c r="AGG56" s="314">
        <v>2200</v>
      </c>
      <c r="AGH56" s="314">
        <v>2200</v>
      </c>
      <c r="AGJ56" s="314">
        <v>2100</v>
      </c>
      <c r="AGK56" s="314">
        <v>2200</v>
      </c>
      <c r="AGL56" s="314">
        <v>2200</v>
      </c>
      <c r="AGM56" s="314">
        <v>2200</v>
      </c>
      <c r="AGN56" s="314">
        <v>2300</v>
      </c>
      <c r="AGO56" s="314">
        <v>2200</v>
      </c>
      <c r="AGQ56" s="314">
        <v>2400</v>
      </c>
      <c r="AGR56" s="314">
        <v>2400</v>
      </c>
      <c r="AGS56" s="314">
        <v>2400</v>
      </c>
      <c r="AGT56" s="314">
        <v>1850</v>
      </c>
      <c r="AGU56" s="314">
        <v>1750</v>
      </c>
      <c r="AGV56" s="314">
        <f>455+60</f>
        <v>515</v>
      </c>
      <c r="AGX56" s="136">
        <v>560</v>
      </c>
      <c r="AGY56" s="314">
        <v>1080</v>
      </c>
      <c r="AGZ56" s="627"/>
      <c r="AHA56" s="136">
        <v>1550</v>
      </c>
      <c r="AHB56" s="314">
        <v>1700</v>
      </c>
      <c r="AHC56" s="314">
        <v>1740</v>
      </c>
      <c r="AHD56" s="124">
        <v>1777</v>
      </c>
      <c r="AHE56" s="314"/>
      <c r="AHF56" s="314">
        <v>470</v>
      </c>
      <c r="AHG56" s="314">
        <v>1120</v>
      </c>
      <c r="AHH56" s="314">
        <v>1440</v>
      </c>
      <c r="AHI56" s="314">
        <f>532+930</f>
        <v>1462</v>
      </c>
      <c r="AHJ56" s="314">
        <v>1640</v>
      </c>
      <c r="AHK56" s="136">
        <f>981+200</f>
        <v>1181</v>
      </c>
      <c r="AHM56" s="136">
        <v>1650</v>
      </c>
      <c r="AHN56" s="136">
        <v>1740</v>
      </c>
      <c r="AHO56" s="136">
        <f>1539+200</f>
        <v>1739</v>
      </c>
      <c r="AHP56" s="314">
        <v>1760</v>
      </c>
      <c r="AHQ56" s="136">
        <v>1980</v>
      </c>
      <c r="AHX56" s="136">
        <v>1000</v>
      </c>
      <c r="AHY56" s="136">
        <v>1925</v>
      </c>
      <c r="AIA56" s="314">
        <v>1925</v>
      </c>
      <c r="AIB56" s="314">
        <v>1925</v>
      </c>
      <c r="AIC56" s="314">
        <v>1925</v>
      </c>
      <c r="AID56" s="314">
        <v>1925</v>
      </c>
      <c r="AIE56" s="72"/>
      <c r="AIF56" s="314">
        <v>1925</v>
      </c>
      <c r="AIG56" s="314">
        <v>1925</v>
      </c>
      <c r="AII56" s="314">
        <v>1925</v>
      </c>
      <c r="AIJ56" s="314">
        <v>1925</v>
      </c>
      <c r="AIK56" s="314">
        <v>1925</v>
      </c>
      <c r="AIL56" s="314">
        <v>1925</v>
      </c>
      <c r="AIM56" s="314">
        <v>1925</v>
      </c>
      <c r="AIN56" s="314">
        <v>1925</v>
      </c>
      <c r="AIP56" s="314">
        <v>1925</v>
      </c>
      <c r="AIQ56" s="314">
        <v>1925</v>
      </c>
      <c r="AIR56" s="136">
        <v>1925</v>
      </c>
      <c r="AIS56" s="136">
        <v>1925</v>
      </c>
      <c r="AIT56" s="136">
        <v>1925</v>
      </c>
      <c r="AIW56" s="136">
        <v>1925</v>
      </c>
      <c r="AIX56" s="136">
        <v>1925</v>
      </c>
      <c r="AIY56" s="136">
        <v>1925</v>
      </c>
      <c r="AIZ56" s="136">
        <v>1925</v>
      </c>
      <c r="AJA56" s="314">
        <v>1925</v>
      </c>
      <c r="AJB56" s="136">
        <v>1925</v>
      </c>
      <c r="AJD56" s="314">
        <v>1925</v>
      </c>
      <c r="AJE56" s="136">
        <v>1925</v>
      </c>
      <c r="AJF56" s="314">
        <v>1925</v>
      </c>
      <c r="AJG56" s="314">
        <v>1925</v>
      </c>
      <c r="AJH56" s="314">
        <v>1925</v>
      </c>
      <c r="AJI56" s="314">
        <v>1925</v>
      </c>
      <c r="AJK56" s="72"/>
      <c r="AJL56" s="314">
        <v>1925</v>
      </c>
      <c r="AJM56" s="124">
        <v>1925</v>
      </c>
      <c r="AJN56" s="314">
        <v>350</v>
      </c>
      <c r="AJO56" s="314">
        <v>700</v>
      </c>
      <c r="AJP56" s="314">
        <v>1050</v>
      </c>
      <c r="AJQ56" s="124">
        <v>1570</v>
      </c>
      <c r="AJS56" s="136">
        <v>1430</v>
      </c>
      <c r="AJT56" s="136">
        <v>1430</v>
      </c>
      <c r="AJU56" s="136">
        <v>1630</v>
      </c>
      <c r="AJV56" s="136">
        <v>1230</v>
      </c>
      <c r="AJW56" s="136">
        <v>1430</v>
      </c>
      <c r="AJX56" s="136">
        <v>1430</v>
      </c>
      <c r="AJZ56" s="136">
        <v>1410</v>
      </c>
      <c r="AKA56" s="136">
        <v>1450</v>
      </c>
      <c r="AKB56" s="136">
        <v>1430</v>
      </c>
      <c r="AKC56" s="124">
        <v>790</v>
      </c>
      <c r="AKD56" s="314">
        <v>500</v>
      </c>
      <c r="AKE56" s="314">
        <v>1000</v>
      </c>
      <c r="AKF56" s="314"/>
      <c r="AKG56" s="314">
        <v>1500</v>
      </c>
      <c r="AKH56" s="314">
        <v>2400</v>
      </c>
      <c r="AKI56" s="314">
        <v>2400</v>
      </c>
      <c r="AKJ56" s="314">
        <v>2400</v>
      </c>
      <c r="AKK56" s="314">
        <v>2400</v>
      </c>
      <c r="AKL56" s="314">
        <v>2400</v>
      </c>
      <c r="AKM56" s="603"/>
      <c r="AKN56" s="314">
        <v>2400</v>
      </c>
      <c r="AKO56" s="314">
        <v>2400</v>
      </c>
      <c r="AKP56" s="314">
        <v>2400</v>
      </c>
      <c r="AKQ56" s="72"/>
      <c r="AKR56" s="314">
        <v>2400</v>
      </c>
      <c r="AKS56" s="314">
        <v>2400</v>
      </c>
      <c r="AKT56" s="314">
        <v>2400</v>
      </c>
      <c r="AKU56" s="184"/>
      <c r="AKV56" s="136">
        <v>2400</v>
      </c>
      <c r="AKW56" s="314">
        <v>2400</v>
      </c>
      <c r="AKX56" s="124">
        <v>2400</v>
      </c>
      <c r="AKY56" s="314">
        <v>2400</v>
      </c>
      <c r="AKZ56" s="314">
        <v>2400</v>
      </c>
      <c r="ALA56" s="314">
        <v>2400</v>
      </c>
      <c r="ALC56" s="314">
        <v>2400</v>
      </c>
      <c r="ALD56" s="124">
        <v>1500</v>
      </c>
      <c r="ALE56" s="136">
        <v>700</v>
      </c>
      <c r="ALF56" s="136">
        <v>1400</v>
      </c>
      <c r="ALG56" s="136">
        <v>2100</v>
      </c>
      <c r="ALH56" s="124">
        <v>2000</v>
      </c>
      <c r="ALJ56" s="136">
        <v>400</v>
      </c>
      <c r="ALK56" s="314">
        <v>800</v>
      </c>
      <c r="ALL56" s="314"/>
      <c r="ALM56" s="314">
        <v>1600</v>
      </c>
      <c r="ALN56" s="314">
        <v>1980</v>
      </c>
      <c r="ALO56" s="314">
        <v>1980</v>
      </c>
      <c r="ALQ56" s="314">
        <v>1980</v>
      </c>
      <c r="ALR56" s="314">
        <v>1980</v>
      </c>
      <c r="ALS56" s="314">
        <v>1980</v>
      </c>
      <c r="ALU56" s="314">
        <v>1980</v>
      </c>
      <c r="ALV56" s="124">
        <v>1980</v>
      </c>
      <c r="ALW56" s="603">
        <v>1000</v>
      </c>
      <c r="ALX56" s="184"/>
      <c r="ALY56" s="603">
        <v>1500</v>
      </c>
      <c r="ALZ56" s="603">
        <v>2100</v>
      </c>
      <c r="AMA56" s="603">
        <v>2100</v>
      </c>
      <c r="AMB56" s="603">
        <v>2100</v>
      </c>
      <c r="AMC56" s="603">
        <v>2100</v>
      </c>
      <c r="AMD56" s="603">
        <v>2100</v>
      </c>
      <c r="AME56" s="603"/>
      <c r="AMF56" s="603">
        <v>2100</v>
      </c>
      <c r="AMG56" s="603">
        <v>2100</v>
      </c>
      <c r="AMH56" s="603">
        <v>2100</v>
      </c>
      <c r="AMI56" s="603">
        <v>2100</v>
      </c>
      <c r="AMJ56" s="603">
        <v>2100</v>
      </c>
      <c r="AMK56" s="603">
        <v>2100</v>
      </c>
      <c r="AMM56" s="136">
        <v>2100</v>
      </c>
      <c r="AMN56" s="136">
        <v>2100</v>
      </c>
      <c r="AMO56" s="136">
        <v>2100</v>
      </c>
      <c r="AMP56" s="136">
        <v>2100</v>
      </c>
      <c r="AMQ56" s="136">
        <v>2100</v>
      </c>
      <c r="AMR56" s="136">
        <v>2100</v>
      </c>
      <c r="AMU56" s="136">
        <v>2100</v>
      </c>
      <c r="AMV56" s="136">
        <v>2100</v>
      </c>
      <c r="AMW56" s="136">
        <v>2100</v>
      </c>
      <c r="AMX56" s="136">
        <v>2100</v>
      </c>
      <c r="AMY56" s="136">
        <v>2100</v>
      </c>
      <c r="AMZ56" s="72"/>
      <c r="ANB56" s="136">
        <v>1710</v>
      </c>
      <c r="ANC56" s="136">
        <v>1710</v>
      </c>
      <c r="AND56" s="136">
        <v>1710</v>
      </c>
      <c r="ANE56" s="136">
        <v>1710</v>
      </c>
      <c r="ANF56" s="136">
        <v>1710</v>
      </c>
      <c r="ANG56" s="136">
        <v>1710</v>
      </c>
      <c r="ANH56" s="124">
        <v>1520</v>
      </c>
      <c r="ANI56" s="136">
        <v>500</v>
      </c>
      <c r="ANJ56" s="314">
        <v>1000</v>
      </c>
      <c r="ANK56" s="314">
        <v>1710</v>
      </c>
      <c r="ANL56" s="136">
        <v>1710</v>
      </c>
      <c r="ANM56" s="136">
        <v>1710</v>
      </c>
      <c r="ANP56" s="136">
        <v>1710</v>
      </c>
      <c r="ANQ56" s="136">
        <v>1710</v>
      </c>
      <c r="ANR56" s="136">
        <v>1710</v>
      </c>
      <c r="ANS56" s="136">
        <v>1710</v>
      </c>
      <c r="ANT56" s="136">
        <v>1710</v>
      </c>
      <c r="ANU56" s="136">
        <v>1710</v>
      </c>
      <c r="ANV56" s="136">
        <v>1520</v>
      </c>
      <c r="ANW56" s="136">
        <v>1710</v>
      </c>
      <c r="ANX56" s="136">
        <v>1710</v>
      </c>
      <c r="ANY56" s="136">
        <v>1710</v>
      </c>
      <c r="ANZ56" s="136">
        <v>1710</v>
      </c>
      <c r="AOA56" s="136">
        <v>1710</v>
      </c>
      <c r="AOB56" s="136">
        <v>1710</v>
      </c>
      <c r="AOD56" s="136">
        <v>1710</v>
      </c>
      <c r="AOE56" s="72"/>
      <c r="AOF56" s="142"/>
      <c r="AOG56" s="142"/>
      <c r="AOH56" s="142"/>
      <c r="AOI56" s="142"/>
      <c r="AOJ56" s="142"/>
      <c r="AOK56" s="142"/>
      <c r="AOL56" s="142"/>
      <c r="AOM56" s="142"/>
      <c r="AON56" s="142"/>
      <c r="AOO56" s="314">
        <v>2000</v>
      </c>
      <c r="AOP56" s="314">
        <v>2000</v>
      </c>
      <c r="AOQ56" s="314">
        <v>2000</v>
      </c>
      <c r="AOR56" s="314"/>
      <c r="AOS56" s="314">
        <v>2000</v>
      </c>
      <c r="AOT56" s="314">
        <v>2000</v>
      </c>
      <c r="AOU56" s="314">
        <v>2000</v>
      </c>
      <c r="AOV56" s="314">
        <v>2000</v>
      </c>
      <c r="AOW56" s="314">
        <v>2000</v>
      </c>
      <c r="AOX56" s="314">
        <v>2000</v>
      </c>
      <c r="AOY56" s="314"/>
      <c r="AOZ56" s="314">
        <v>2000</v>
      </c>
      <c r="APA56" s="314">
        <v>2000</v>
      </c>
      <c r="APB56" s="314">
        <v>2000</v>
      </c>
      <c r="APC56" s="314">
        <v>2000</v>
      </c>
      <c r="APD56" s="314">
        <v>2000</v>
      </c>
      <c r="APE56" s="314">
        <v>2000</v>
      </c>
      <c r="APF56" s="314"/>
      <c r="APG56" s="314">
        <v>2000</v>
      </c>
      <c r="APH56" s="314">
        <v>2000</v>
      </c>
      <c r="API56" s="314">
        <v>2000</v>
      </c>
      <c r="APJ56" s="314">
        <v>2000</v>
      </c>
      <c r="APK56" s="72"/>
      <c r="APL56" s="314">
        <v>2000</v>
      </c>
      <c r="APM56" s="314">
        <v>2000</v>
      </c>
      <c r="APN56" s="314">
        <v>1440</v>
      </c>
      <c r="APO56" s="136">
        <v>2000</v>
      </c>
      <c r="APP56" s="314">
        <v>2000</v>
      </c>
      <c r="APQ56" s="124">
        <v>2000</v>
      </c>
      <c r="APR56" s="314">
        <v>2000</v>
      </c>
      <c r="APS56" s="314">
        <v>2000</v>
      </c>
      <c r="APT56" s="314">
        <v>2000</v>
      </c>
      <c r="APU56" s="314"/>
      <c r="APV56" s="314">
        <v>2000</v>
      </c>
      <c r="APW56" s="314">
        <v>2000</v>
      </c>
      <c r="APX56" s="136">
        <v>2000</v>
      </c>
      <c r="APY56" s="136">
        <v>2000</v>
      </c>
      <c r="APZ56" s="136">
        <v>2000</v>
      </c>
      <c r="AQA56" s="136">
        <v>2000</v>
      </c>
      <c r="AQC56" s="136">
        <v>2000</v>
      </c>
      <c r="AQD56" s="136">
        <v>2000</v>
      </c>
      <c r="AQE56" s="136">
        <v>2000</v>
      </c>
      <c r="AQF56" s="136">
        <v>2000</v>
      </c>
      <c r="AQG56" s="136">
        <v>2000</v>
      </c>
      <c r="AQH56" s="136">
        <v>2000</v>
      </c>
      <c r="AQI56" s="136">
        <v>1600</v>
      </c>
      <c r="AQJ56" s="136">
        <v>2000</v>
      </c>
      <c r="AQK56" s="136">
        <v>2000</v>
      </c>
      <c r="AQL56" s="136">
        <v>2000</v>
      </c>
      <c r="AQM56" s="604">
        <v>2000</v>
      </c>
      <c r="AQN56" s="603">
        <v>2000</v>
      </c>
      <c r="AQO56" s="603">
        <v>2000</v>
      </c>
      <c r="AQP56" s="72"/>
      <c r="AQQ56" s="314"/>
      <c r="AQR56" s="314">
        <v>2000</v>
      </c>
      <c r="AQS56" s="314">
        <v>2000</v>
      </c>
      <c r="AQT56" s="314">
        <v>2000</v>
      </c>
      <c r="AQU56" s="314">
        <v>2000</v>
      </c>
      <c r="AQV56" s="314">
        <v>2000</v>
      </c>
      <c r="AQW56" s="314">
        <v>2000</v>
      </c>
      <c r="AQX56" s="142"/>
      <c r="AQY56" s="142"/>
      <c r="AQZ56" s="142"/>
      <c r="ARA56" s="142"/>
      <c r="ARB56" s="142"/>
      <c r="ARC56" s="142"/>
      <c r="ARD56" s="142"/>
      <c r="ARE56" s="142"/>
      <c r="ARF56" s="142"/>
      <c r="ARG56" s="314">
        <v>2000</v>
      </c>
      <c r="ARH56" s="314">
        <v>2000</v>
      </c>
      <c r="ARI56" s="314">
        <v>2000</v>
      </c>
      <c r="ARJ56" s="314">
        <v>2000</v>
      </c>
      <c r="ARK56" s="314">
        <v>2000</v>
      </c>
      <c r="ARM56" s="314">
        <v>2000</v>
      </c>
      <c r="ARN56" s="314">
        <v>2000</v>
      </c>
      <c r="ARO56" s="314">
        <v>2000</v>
      </c>
      <c r="ARP56" s="314">
        <v>2000</v>
      </c>
      <c r="ARQ56" s="314">
        <v>2000</v>
      </c>
      <c r="ARR56" s="314">
        <v>2000</v>
      </c>
      <c r="ARS56" s="314"/>
      <c r="ART56" s="314">
        <v>2000</v>
      </c>
      <c r="ARU56" s="314">
        <v>2000</v>
      </c>
      <c r="ARV56" s="72"/>
      <c r="ARW56" s="314">
        <v>1850</v>
      </c>
      <c r="ARX56" s="314">
        <v>1850</v>
      </c>
      <c r="ARY56" s="314">
        <v>1850</v>
      </c>
      <c r="ARZ56" s="314">
        <v>1850</v>
      </c>
      <c r="ASA56" s="314"/>
      <c r="ASB56" s="314">
        <v>1850</v>
      </c>
      <c r="ASC56" s="314">
        <v>1850</v>
      </c>
      <c r="ASD56" s="314">
        <v>1850</v>
      </c>
      <c r="ASE56" s="314">
        <v>1850</v>
      </c>
      <c r="ASF56" s="314">
        <v>1850</v>
      </c>
      <c r="ASG56" s="314">
        <v>1850</v>
      </c>
      <c r="ASH56" s="314"/>
      <c r="ASI56" s="314">
        <v>1850</v>
      </c>
      <c r="ASJ56" s="314">
        <v>1850</v>
      </c>
      <c r="ASK56" s="314"/>
      <c r="ASL56" s="314">
        <v>1850</v>
      </c>
      <c r="ASM56" s="314">
        <v>1850</v>
      </c>
      <c r="ASN56" s="314">
        <v>1850</v>
      </c>
      <c r="ASO56" s="314"/>
      <c r="ASP56" s="314">
        <v>1850</v>
      </c>
      <c r="ASQ56" s="314">
        <v>1850</v>
      </c>
      <c r="ASR56" s="314">
        <v>1850</v>
      </c>
      <c r="ASS56" s="314">
        <v>1850</v>
      </c>
      <c r="AST56" s="314">
        <v>1850</v>
      </c>
      <c r="ASU56" s="314">
        <v>1850</v>
      </c>
      <c r="ASV56" s="314"/>
      <c r="ASW56" s="314">
        <v>1850</v>
      </c>
      <c r="ASX56" s="314">
        <v>1850</v>
      </c>
      <c r="ASY56" s="314">
        <v>1850</v>
      </c>
      <c r="ASZ56" s="314">
        <v>1850</v>
      </c>
      <c r="ATA56" s="124">
        <v>1850</v>
      </c>
      <c r="ATB56" s="72"/>
      <c r="ATC56" s="603">
        <v>1900</v>
      </c>
      <c r="ATD56" s="603"/>
      <c r="ATE56" s="603">
        <v>1900</v>
      </c>
      <c r="ATF56" s="603">
        <v>1900</v>
      </c>
      <c r="ATG56" s="603">
        <v>1900</v>
      </c>
      <c r="ATH56" s="603">
        <v>1900</v>
      </c>
      <c r="ATI56" s="603">
        <v>1900</v>
      </c>
      <c r="ATJ56" s="603">
        <v>1900</v>
      </c>
      <c r="ATK56" s="603"/>
      <c r="ATL56" s="603">
        <v>1900</v>
      </c>
      <c r="ATM56" s="603">
        <v>1900</v>
      </c>
      <c r="ATN56" s="603">
        <v>1900</v>
      </c>
      <c r="ATO56" s="603">
        <v>1900</v>
      </c>
      <c r="ATP56" s="603">
        <v>1900</v>
      </c>
      <c r="ATQ56" s="603">
        <v>1900</v>
      </c>
      <c r="ATR56" s="603"/>
      <c r="ATS56" s="603">
        <v>1900</v>
      </c>
      <c r="ATT56" s="603">
        <v>1900</v>
      </c>
      <c r="ATU56" s="603">
        <v>1900</v>
      </c>
      <c r="ATV56" s="603">
        <v>1900</v>
      </c>
      <c r="ATW56" s="603">
        <v>1900</v>
      </c>
      <c r="ATX56" s="603">
        <v>1900</v>
      </c>
      <c r="ATY56" s="603"/>
      <c r="ATZ56" s="603">
        <v>1900</v>
      </c>
      <c r="AUA56" s="603">
        <v>1900</v>
      </c>
      <c r="AUB56" s="603">
        <v>1900</v>
      </c>
      <c r="AUC56" s="603">
        <v>1900</v>
      </c>
      <c r="AUD56" s="603">
        <v>1900</v>
      </c>
      <c r="AUE56" s="603">
        <v>1900</v>
      </c>
      <c r="AUF56" s="603"/>
      <c r="AUG56" s="72"/>
      <c r="AUH56" s="603">
        <v>1900</v>
      </c>
      <c r="AUI56" s="603">
        <v>1900</v>
      </c>
      <c r="AUJ56" s="603">
        <v>1900</v>
      </c>
      <c r="AUK56" s="603">
        <v>1900</v>
      </c>
      <c r="AUL56" s="314"/>
      <c r="AUM56" s="314">
        <v>1900</v>
      </c>
      <c r="AUN56" s="314"/>
      <c r="AUO56" s="314">
        <v>1900</v>
      </c>
      <c r="AUP56" s="314">
        <v>1900</v>
      </c>
      <c r="AUQ56" s="314">
        <v>1900</v>
      </c>
      <c r="AUR56" s="314">
        <v>1900</v>
      </c>
      <c r="AUS56" s="314">
        <v>1900</v>
      </c>
      <c r="AUT56" s="314">
        <v>1900</v>
      </c>
      <c r="AUU56" s="314"/>
      <c r="AUV56" s="314">
        <v>1900</v>
      </c>
      <c r="AUW56" s="314">
        <v>1900</v>
      </c>
      <c r="AUX56" s="314">
        <v>1900</v>
      </c>
      <c r="AUY56" s="314">
        <v>1900</v>
      </c>
      <c r="AUZ56" s="603">
        <v>1900</v>
      </c>
      <c r="AVA56" s="603">
        <v>1900</v>
      </c>
      <c r="AVB56" s="603"/>
      <c r="AVC56" s="603">
        <v>1900</v>
      </c>
      <c r="AVD56" s="603">
        <v>1900</v>
      </c>
      <c r="AVE56" s="603">
        <v>1900</v>
      </c>
      <c r="AVF56" s="603">
        <v>1900</v>
      </c>
      <c r="AVG56" s="603">
        <v>1900</v>
      </c>
      <c r="AVH56" s="603">
        <v>1900</v>
      </c>
      <c r="AVI56" s="603"/>
      <c r="AVJ56" s="603">
        <v>1900</v>
      </c>
      <c r="AVK56" s="603">
        <v>1900</v>
      </c>
      <c r="AVL56" s="603">
        <v>1900</v>
      </c>
      <c r="AVM56" s="72"/>
      <c r="AVN56" s="603">
        <v>1900</v>
      </c>
      <c r="AVO56" s="603">
        <v>1900</v>
      </c>
      <c r="AVP56" s="603">
        <v>1900</v>
      </c>
      <c r="AVQ56" s="603"/>
      <c r="AVR56" s="603">
        <v>1900</v>
      </c>
      <c r="AVS56" s="603">
        <v>1900</v>
      </c>
      <c r="AVT56" s="603">
        <v>1900</v>
      </c>
      <c r="AVU56" s="603">
        <v>1900</v>
      </c>
      <c r="AVV56" s="603">
        <v>1900</v>
      </c>
      <c r="AVW56" s="603">
        <v>1900</v>
      </c>
      <c r="AVX56" s="603"/>
      <c r="AVY56" s="603">
        <v>1900</v>
      </c>
      <c r="AVZ56" s="603">
        <v>1900</v>
      </c>
      <c r="AWA56" s="603">
        <v>1900</v>
      </c>
      <c r="AWB56" s="603">
        <v>1900</v>
      </c>
      <c r="AWC56" s="603">
        <v>1900</v>
      </c>
      <c r="AWD56" s="603">
        <v>1900</v>
      </c>
      <c r="AWE56" s="603"/>
      <c r="AWF56" s="603">
        <v>1900</v>
      </c>
      <c r="AWG56" s="603">
        <v>1900</v>
      </c>
      <c r="AWH56" s="603">
        <v>1900</v>
      </c>
      <c r="AWI56" s="603">
        <v>1900</v>
      </c>
      <c r="AWJ56" s="603">
        <v>1900</v>
      </c>
      <c r="AWK56" s="603">
        <v>1900</v>
      </c>
      <c r="AWL56" s="603"/>
      <c r="AWM56" s="603">
        <v>1900</v>
      </c>
      <c r="AWN56" s="603">
        <v>1900</v>
      </c>
      <c r="AWO56" s="603">
        <v>1900</v>
      </c>
      <c r="AWP56" s="603">
        <v>1900</v>
      </c>
      <c r="AWQ56" s="604">
        <v>1900</v>
      </c>
      <c r="AWR56" s="72"/>
      <c r="AWS56" s="136">
        <v>1900</v>
      </c>
      <c r="AWU56" s="136">
        <v>1900</v>
      </c>
      <c r="AWV56" s="136">
        <v>1900</v>
      </c>
      <c r="AWW56" s="136">
        <v>1900</v>
      </c>
      <c r="AWX56" s="136">
        <v>1900</v>
      </c>
      <c r="AWY56" s="136">
        <v>1900</v>
      </c>
      <c r="AWZ56" s="136">
        <v>1900</v>
      </c>
      <c r="AXB56" s="136">
        <v>1900</v>
      </c>
      <c r="AXC56" s="136">
        <v>1900</v>
      </c>
      <c r="AXD56" s="136">
        <v>1900</v>
      </c>
      <c r="AXE56" s="136">
        <v>1900</v>
      </c>
      <c r="AXF56" s="136">
        <v>1900</v>
      </c>
      <c r="AXG56" s="136">
        <v>1900</v>
      </c>
      <c r="AXI56" s="136">
        <v>1900</v>
      </c>
      <c r="AXJ56" s="136">
        <v>1900</v>
      </c>
      <c r="AXK56" s="136">
        <v>1900</v>
      </c>
      <c r="AXL56" s="136">
        <v>1900</v>
      </c>
      <c r="AXM56" s="136">
        <v>1900</v>
      </c>
      <c r="AXN56" s="136">
        <v>1900</v>
      </c>
      <c r="AXP56" s="136">
        <v>1900</v>
      </c>
      <c r="AXQ56" s="136">
        <v>1900</v>
      </c>
      <c r="AXR56" s="136">
        <v>1900</v>
      </c>
      <c r="AXS56" s="136">
        <v>1900</v>
      </c>
      <c r="AXT56" s="136">
        <v>1900</v>
      </c>
      <c r="AXU56" s="136">
        <v>1900</v>
      </c>
      <c r="AXW56" s="136">
        <v>1900</v>
      </c>
      <c r="AXX56" s="72"/>
    </row>
    <row r="57" spans="1:1324" s="164" customFormat="1" ht="22.8" customHeight="1" x14ac:dyDescent="0.25">
      <c r="A57" s="711"/>
      <c r="B57" s="8" t="s">
        <v>18</v>
      </c>
      <c r="C57" s="153" t="s">
        <v>616</v>
      </c>
      <c r="D57" s="155" t="s">
        <v>55</v>
      </c>
      <c r="E57" s="156"/>
      <c r="F57" s="154"/>
      <c r="G57" s="154"/>
      <c r="H57" s="161" t="s">
        <v>45</v>
      </c>
      <c r="I57" s="174"/>
      <c r="J57" s="160"/>
      <c r="K57" s="160"/>
      <c r="L57" s="161" t="s">
        <v>88</v>
      </c>
      <c r="M57" s="174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1" t="s">
        <v>107</v>
      </c>
      <c r="Z57" s="174"/>
      <c r="AA57" s="160"/>
      <c r="AB57" s="160"/>
      <c r="AC57" s="160"/>
      <c r="AD57" s="161" t="s">
        <v>92</v>
      </c>
      <c r="AE57" s="174"/>
      <c r="AF57" s="160"/>
      <c r="AG57" s="160"/>
      <c r="AH57" s="28" t="s">
        <v>18</v>
      </c>
      <c r="AI57" s="155" t="s">
        <v>67</v>
      </c>
      <c r="AJ57" s="126"/>
      <c r="AK57" s="154"/>
      <c r="AL57" s="126" t="s">
        <v>617</v>
      </c>
      <c r="AM57" s="156"/>
      <c r="AN57" s="122"/>
      <c r="AO57" s="122"/>
      <c r="AP57" s="122"/>
      <c r="AQ57" s="731"/>
      <c r="AR57" s="732"/>
      <c r="AS57" s="732"/>
      <c r="AT57" s="732"/>
      <c r="AU57" s="732"/>
      <c r="AV57" s="732"/>
      <c r="AW57" s="732"/>
      <c r="AX57" s="732"/>
      <c r="AY57" s="732"/>
      <c r="AZ57" s="733"/>
      <c r="BA57" s="122" t="s">
        <v>617</v>
      </c>
      <c r="BB57" s="122"/>
      <c r="BC57" s="122"/>
      <c r="BD57" s="122"/>
      <c r="BE57" s="122"/>
      <c r="BF57" s="122"/>
      <c r="BG57" s="122"/>
      <c r="BH57" s="122"/>
      <c r="BI57" s="122"/>
      <c r="BJ57" s="122"/>
      <c r="BK57" s="122"/>
      <c r="BL57" s="122"/>
      <c r="BM57" s="122"/>
      <c r="BN57" s="8" t="s">
        <v>18</v>
      </c>
      <c r="BO57" s="126" t="s">
        <v>618</v>
      </c>
      <c r="BP57" s="156"/>
      <c r="BQ57" s="122"/>
      <c r="BR57" s="122"/>
      <c r="BS57" s="122"/>
      <c r="BT57" s="122"/>
      <c r="BU57" s="122"/>
      <c r="BV57" s="126" t="s">
        <v>619</v>
      </c>
      <c r="BW57" s="156"/>
      <c r="BX57" s="122"/>
      <c r="BY57" s="122"/>
      <c r="BZ57" s="122"/>
      <c r="CA57" s="122"/>
      <c r="CB57" s="126" t="s">
        <v>600</v>
      </c>
      <c r="CC57" s="156"/>
      <c r="CD57" s="122"/>
      <c r="CE57" s="122"/>
      <c r="CF57" s="155" t="s">
        <v>195</v>
      </c>
      <c r="CG57" s="156"/>
      <c r="CH57" s="158"/>
      <c r="CI57" s="158"/>
      <c r="CJ57" s="158"/>
      <c r="CK57" s="158"/>
      <c r="CL57" s="158"/>
      <c r="CM57" s="158"/>
      <c r="CN57" s="158"/>
      <c r="CO57" s="158"/>
      <c r="CP57" s="158"/>
      <c r="CQ57" s="158"/>
      <c r="CR57" s="158"/>
      <c r="CS57" s="8" t="s">
        <v>18</v>
      </c>
      <c r="CT57" s="155" t="s">
        <v>196</v>
      </c>
      <c r="CU57" s="156"/>
      <c r="CV57" s="154"/>
      <c r="CW57" s="154"/>
      <c r="CX57" s="154"/>
      <c r="CY57" s="154"/>
      <c r="CZ57" s="155" t="s">
        <v>217</v>
      </c>
      <c r="DA57" s="155" t="s">
        <v>218</v>
      </c>
      <c r="DB57" s="155" t="s">
        <v>219</v>
      </c>
      <c r="DC57" s="159"/>
      <c r="DD57" s="155" t="s">
        <v>220</v>
      </c>
      <c r="DE57" s="155" t="s">
        <v>187</v>
      </c>
      <c r="DF57" s="159"/>
      <c r="DG57" s="162"/>
      <c r="DH57" s="162"/>
      <c r="DI57" s="162"/>
      <c r="DJ57" s="155" t="s">
        <v>186</v>
      </c>
      <c r="DK57" s="159"/>
      <c r="DL57" s="159"/>
      <c r="DM57" s="162"/>
      <c r="DN57" s="162"/>
      <c r="DO57" s="155" t="s">
        <v>235</v>
      </c>
      <c r="DP57" s="159"/>
      <c r="DQ57" s="162"/>
      <c r="DR57" s="162"/>
      <c r="DS57" s="162"/>
      <c r="DT57" s="162"/>
      <c r="DU57" s="155" t="s">
        <v>236</v>
      </c>
      <c r="DV57" s="159"/>
      <c r="DW57" s="155" t="s">
        <v>245</v>
      </c>
      <c r="DX57" s="156"/>
      <c r="DY57" s="8" t="s">
        <v>18</v>
      </c>
      <c r="DZ57" s="153" t="s">
        <v>245</v>
      </c>
      <c r="EA57" s="155" t="s">
        <v>236</v>
      </c>
      <c r="EB57" s="159"/>
      <c r="EC57" s="162"/>
      <c r="ED57" s="162"/>
      <c r="EE57" s="162"/>
      <c r="EF57" s="162"/>
      <c r="EG57" s="155" t="s">
        <v>238</v>
      </c>
      <c r="EH57" s="159"/>
      <c r="EI57" s="162"/>
      <c r="EJ57" s="162"/>
      <c r="EK57" s="162"/>
      <c r="EL57" s="162"/>
      <c r="EM57" s="162"/>
      <c r="EN57" s="162"/>
      <c r="EO57" s="155" t="s">
        <v>233</v>
      </c>
      <c r="EP57" s="159"/>
      <c r="EQ57" s="162"/>
      <c r="ER57" s="155" t="s">
        <v>190</v>
      </c>
      <c r="ES57" s="156"/>
      <c r="ET57" s="162"/>
      <c r="EU57" s="162"/>
      <c r="EV57" s="155" t="s">
        <v>179</v>
      </c>
      <c r="EW57" s="156"/>
      <c r="EX57" s="162"/>
      <c r="EY57" s="126" t="s">
        <v>166</v>
      </c>
      <c r="EZ57" s="126"/>
      <c r="FA57" s="171"/>
      <c r="FB57" s="171"/>
      <c r="FC57" s="171"/>
      <c r="FD57" s="8" t="s">
        <v>18</v>
      </c>
      <c r="FE57" s="171" t="s">
        <v>290</v>
      </c>
      <c r="FF57" s="126" t="s">
        <v>181</v>
      </c>
      <c r="FG57" s="126"/>
      <c r="FH57" s="171"/>
      <c r="FI57" s="155" t="s">
        <v>309</v>
      </c>
      <c r="FJ57" s="156"/>
      <c r="FK57" s="162"/>
      <c r="FL57" s="155" t="s">
        <v>314</v>
      </c>
      <c r="FM57" s="156"/>
      <c r="FN57" s="162"/>
      <c r="FO57" s="155" t="s">
        <v>307</v>
      </c>
      <c r="FP57" s="159"/>
      <c r="FQ57" s="162"/>
      <c r="FR57" s="162"/>
      <c r="FS57" s="162"/>
      <c r="FT57" s="162"/>
      <c r="FU57" s="162"/>
      <c r="FV57" s="155" t="s">
        <v>308</v>
      </c>
      <c r="FW57" s="159"/>
      <c r="FX57" s="162"/>
      <c r="FY57" s="126" t="s">
        <v>277</v>
      </c>
      <c r="FZ57" s="126"/>
      <c r="GA57" s="171"/>
      <c r="GB57" s="171"/>
      <c r="GC57" s="171"/>
      <c r="GD57" s="171"/>
      <c r="GE57" s="171"/>
      <c r="GF57" s="126" t="s">
        <v>289</v>
      </c>
      <c r="GG57" s="126"/>
      <c r="GH57" s="171"/>
      <c r="GI57" s="171"/>
      <c r="GJ57" s="8" t="s">
        <v>18</v>
      </c>
      <c r="GK57" s="171" t="s">
        <v>289</v>
      </c>
      <c r="GL57" s="171"/>
      <c r="GM57" s="171"/>
      <c r="GN57" s="126" t="s">
        <v>398</v>
      </c>
      <c r="GO57" s="159"/>
      <c r="GP57" s="171"/>
      <c r="GQ57" s="155" t="s">
        <v>465</v>
      </c>
      <c r="GR57" s="155" t="s">
        <v>425</v>
      </c>
      <c r="GS57" s="156"/>
      <c r="GT57" s="157"/>
      <c r="GU57" s="157"/>
      <c r="GV57" s="157"/>
      <c r="GW57" s="157"/>
      <c r="GX57" s="157"/>
      <c r="GY57" s="157"/>
      <c r="GZ57" s="157"/>
      <c r="HA57" s="157"/>
      <c r="HB57" s="157"/>
      <c r="HC57" s="157"/>
      <c r="HD57" s="157"/>
      <c r="HE57" s="157"/>
      <c r="HF57" s="157"/>
      <c r="HG57" s="157"/>
      <c r="HH57" s="157"/>
      <c r="HI57" s="157"/>
      <c r="HJ57" s="157"/>
      <c r="HK57" s="157"/>
      <c r="HL57" s="126" t="s">
        <v>396</v>
      </c>
      <c r="HM57" s="159"/>
      <c r="HN57" s="171"/>
      <c r="HO57" s="171"/>
      <c r="HP57" s="8" t="s">
        <v>18</v>
      </c>
      <c r="HQ57" s="171" t="s">
        <v>396</v>
      </c>
      <c r="HR57" s="171"/>
      <c r="HS57" s="171"/>
      <c r="HT57" s="126" t="s">
        <v>441</v>
      </c>
      <c r="HU57" s="159"/>
      <c r="HV57" s="171"/>
      <c r="HW57" s="171"/>
      <c r="HX57" s="171"/>
      <c r="HY57" s="171"/>
      <c r="HZ57" s="171"/>
      <c r="IA57" s="171"/>
      <c r="IB57" s="155" t="s">
        <v>505</v>
      </c>
      <c r="IC57" s="159"/>
      <c r="ID57" s="163"/>
      <c r="IE57" s="163"/>
      <c r="IF57" s="155" t="s">
        <v>502</v>
      </c>
      <c r="IG57" s="159"/>
      <c r="IH57" s="155" t="s">
        <v>503</v>
      </c>
      <c r="II57" s="159"/>
      <c r="IJ57" s="163"/>
      <c r="IK57" s="155" t="s">
        <v>504</v>
      </c>
      <c r="IL57" s="159"/>
      <c r="IM57" s="126" t="s">
        <v>316</v>
      </c>
      <c r="IN57" s="126" t="s">
        <v>391</v>
      </c>
      <c r="IO57" s="159"/>
      <c r="IP57" s="171"/>
      <c r="IQ57" s="171"/>
      <c r="IR57" s="171"/>
      <c r="IS57" s="155" t="s">
        <v>494</v>
      </c>
      <c r="IT57" s="8" t="s">
        <v>18</v>
      </c>
      <c r="IU57" s="155" t="s">
        <v>490</v>
      </c>
      <c r="IV57" s="127"/>
      <c r="IW57" s="163"/>
      <c r="IX57" s="163"/>
      <c r="IY57" s="163"/>
      <c r="IZ57" s="163"/>
      <c r="JA57" s="163"/>
      <c r="JB57" s="163"/>
      <c r="JC57" s="163"/>
      <c r="JD57" s="163"/>
      <c r="JE57" s="163"/>
      <c r="JF57" s="163"/>
      <c r="JG57" s="163"/>
      <c r="JH57" s="163"/>
      <c r="JI57" s="163"/>
      <c r="JJ57" s="163"/>
      <c r="JK57" s="163"/>
      <c r="JL57" s="163"/>
      <c r="JM57" s="163"/>
      <c r="JN57" s="163"/>
      <c r="JO57" s="163"/>
      <c r="JP57" s="163"/>
      <c r="JQ57" s="163"/>
      <c r="JR57" s="163"/>
      <c r="JS57" s="163"/>
      <c r="JT57" s="163"/>
      <c r="JU57" s="163"/>
      <c r="JV57" s="278"/>
      <c r="JW57" s="173"/>
      <c r="JX57" s="173"/>
      <c r="JY57" s="173"/>
      <c r="JZ57" s="12" t="s">
        <v>18</v>
      </c>
      <c r="KA57" s="173"/>
      <c r="KB57" s="173"/>
      <c r="KC57" s="173"/>
      <c r="KD57" s="173"/>
      <c r="KE57" s="173"/>
      <c r="KF57" s="173"/>
      <c r="KG57" s="173"/>
      <c r="KH57" s="173"/>
      <c r="KI57" s="173"/>
      <c r="KJ57" s="173"/>
      <c r="KK57" s="173"/>
      <c r="KL57" s="173"/>
      <c r="KM57" s="173"/>
      <c r="KN57" s="173"/>
      <c r="KO57" s="173"/>
      <c r="KP57" s="173"/>
      <c r="KQ57" s="173"/>
      <c r="KR57" s="173"/>
      <c r="KS57" s="173"/>
      <c r="KT57" s="173"/>
      <c r="KU57" s="173"/>
      <c r="KV57" s="173"/>
      <c r="KW57" s="173"/>
      <c r="KX57" s="173"/>
      <c r="KY57" s="280"/>
      <c r="LE57" s="8" t="s">
        <v>18</v>
      </c>
      <c r="LF57" s="155" t="s">
        <v>738</v>
      </c>
      <c r="LG57" s="155"/>
      <c r="LH57" s="153"/>
      <c r="LI57" s="153"/>
      <c r="LJ57" s="153"/>
      <c r="LK57" s="153"/>
      <c r="LL57" s="153"/>
      <c r="LM57" s="153"/>
      <c r="LN57" s="153"/>
      <c r="LO57" s="153"/>
      <c r="LP57" s="153"/>
      <c r="LQ57" s="153"/>
      <c r="LR57" s="153"/>
      <c r="LS57" s="153"/>
      <c r="LT57" s="153"/>
      <c r="LU57" s="153"/>
      <c r="LV57" s="153"/>
      <c r="LW57" s="153"/>
      <c r="LX57" s="153"/>
      <c r="LY57" s="153"/>
      <c r="LZ57" s="153"/>
      <c r="MA57" s="153"/>
      <c r="MB57" s="716"/>
      <c r="MC57" s="717"/>
      <c r="MD57" s="717"/>
      <c r="ME57" s="718"/>
      <c r="MF57" s="155" t="s">
        <v>698</v>
      </c>
      <c r="MG57" s="155"/>
      <c r="MH57" s="153"/>
      <c r="MI57" s="153"/>
      <c r="MJ57" s="153"/>
      <c r="MK57" s="287" t="s">
        <v>18</v>
      </c>
      <c r="ML57" s="316" t="s">
        <v>699</v>
      </c>
      <c r="MM57" s="316"/>
      <c r="MN57" s="153"/>
      <c r="MO57" s="153"/>
      <c r="MP57" s="316"/>
      <c r="MQ57" s="316"/>
      <c r="MR57" s="155" t="s">
        <v>809</v>
      </c>
      <c r="MS57" s="155"/>
      <c r="MT57" s="316"/>
      <c r="MU57" s="153"/>
      <c r="MV57" s="153"/>
      <c r="MW57" s="361" t="s">
        <v>895</v>
      </c>
      <c r="MX57" s="361"/>
      <c r="MY57" s="155" t="s">
        <v>810</v>
      </c>
      <c r="MZ57" s="155"/>
      <c r="NA57" s="153"/>
      <c r="NB57" s="153"/>
      <c r="NC57" s="316"/>
      <c r="ND57" s="155" t="s">
        <v>811</v>
      </c>
      <c r="NE57" s="155"/>
      <c r="NF57" s="316"/>
      <c r="NG57" s="153"/>
      <c r="NH57" s="153"/>
      <c r="NI57" s="155" t="s">
        <v>812</v>
      </c>
      <c r="NJ57" s="155"/>
      <c r="NK57" s="316"/>
      <c r="NL57" s="316"/>
      <c r="NM57" s="316"/>
      <c r="NN57" s="316"/>
      <c r="NO57" s="316"/>
      <c r="NP57" s="8" t="s">
        <v>18</v>
      </c>
      <c r="NQ57" s="155" t="s">
        <v>814</v>
      </c>
      <c r="NR57" s="155"/>
      <c r="NS57" s="155" t="s">
        <v>813</v>
      </c>
      <c r="NT57" s="155"/>
      <c r="NU57" s="210" t="s">
        <v>822</v>
      </c>
      <c r="NV57" s="210"/>
      <c r="NW57" s="345" t="s">
        <v>911</v>
      </c>
      <c r="NX57" s="345"/>
      <c r="NY57" s="352"/>
      <c r="NZ57" s="352"/>
      <c r="OA57" s="352"/>
      <c r="OB57" s="352"/>
      <c r="OC57" s="352"/>
      <c r="OD57" s="352"/>
      <c r="OE57" s="352"/>
      <c r="OF57" s="352"/>
      <c r="OG57" s="352"/>
      <c r="OH57" s="352"/>
      <c r="OI57" s="352"/>
      <c r="OJ57" s="352"/>
      <c r="OK57" s="352"/>
      <c r="OL57" s="352"/>
      <c r="OM57" s="352"/>
      <c r="ON57" s="352"/>
      <c r="OO57" s="352"/>
      <c r="OP57" s="352"/>
      <c r="OQ57" s="352"/>
      <c r="OR57" s="361" t="s">
        <v>1064</v>
      </c>
      <c r="OS57" s="318"/>
      <c r="OT57" s="724"/>
      <c r="OU57" s="725"/>
      <c r="OV57" s="188" t="s">
        <v>18</v>
      </c>
      <c r="OW57" s="740"/>
      <c r="OX57" s="741"/>
      <c r="OY57" s="741"/>
      <c r="OZ57" s="741"/>
      <c r="PA57" s="741"/>
      <c r="PB57" s="741"/>
      <c r="PC57" s="742"/>
      <c r="PD57" s="319" t="s">
        <v>1064</v>
      </c>
      <c r="PE57" s="319"/>
      <c r="PF57" s="319"/>
      <c r="PG57" s="319"/>
      <c r="PH57" s="319"/>
      <c r="PI57" s="319"/>
      <c r="PJ57" s="319"/>
      <c r="PK57" s="319"/>
      <c r="PL57" s="179" t="s">
        <v>1015</v>
      </c>
      <c r="PM57" s="179"/>
      <c r="PN57" s="179" t="s">
        <v>850</v>
      </c>
      <c r="PO57" s="179"/>
      <c r="PP57" s="180"/>
      <c r="PQ57" s="180"/>
      <c r="PR57" s="361" t="s">
        <v>1037</v>
      </c>
      <c r="PS57" s="318"/>
      <c r="PT57" s="319"/>
      <c r="PU57" s="319"/>
      <c r="PV57" s="319"/>
      <c r="PW57" s="319"/>
      <c r="PX57" s="319"/>
      <c r="PY57" s="319"/>
      <c r="PZ57" s="319"/>
      <c r="QA57" s="319"/>
      <c r="QB57" s="8" t="s">
        <v>18</v>
      </c>
      <c r="QC57" s="319" t="s">
        <v>1037</v>
      </c>
      <c r="QD57" s="319"/>
      <c r="QE57" s="319"/>
      <c r="QF57" s="319"/>
      <c r="QG57" s="319"/>
      <c r="QH57" s="319"/>
      <c r="QI57" s="319"/>
      <c r="QJ57" s="361" t="s">
        <v>1158</v>
      </c>
      <c r="QK57" s="361"/>
      <c r="QL57" s="319"/>
      <c r="QM57" s="319"/>
      <c r="QN57" s="319"/>
      <c r="QO57" s="319"/>
      <c r="QP57" s="319"/>
      <c r="QQ57" s="319"/>
      <c r="QR57" s="319"/>
      <c r="QS57" s="319"/>
      <c r="QT57" s="361" t="s">
        <v>1295</v>
      </c>
      <c r="QU57" s="361"/>
      <c r="QV57" s="319"/>
      <c r="QW57" s="319"/>
      <c r="QX57" s="319"/>
      <c r="QY57" s="319"/>
      <c r="QZ57" s="319"/>
      <c r="RA57" s="319"/>
      <c r="RB57" s="319"/>
      <c r="RC57" s="319"/>
      <c r="RD57" s="319"/>
      <c r="RE57" s="319"/>
      <c r="RF57" s="319"/>
      <c r="RG57" s="8" t="s">
        <v>18</v>
      </c>
      <c r="RH57" s="319" t="s">
        <v>1027</v>
      </c>
      <c r="RI57" s="319"/>
      <c r="RJ57" s="319"/>
      <c r="RK57" s="361" t="s">
        <v>1287</v>
      </c>
      <c r="RL57" s="361"/>
      <c r="RM57" s="319"/>
      <c r="RN57" s="319"/>
      <c r="RO57" s="319"/>
      <c r="RP57" s="319"/>
      <c r="RQ57" s="319"/>
      <c r="RR57" s="319"/>
      <c r="RS57" s="319"/>
      <c r="RT57" s="319"/>
      <c r="RU57" s="319"/>
      <c r="RV57" s="319"/>
      <c r="RW57" s="361" t="s">
        <v>1422</v>
      </c>
      <c r="RX57" s="361"/>
      <c r="RY57" s="361" t="s">
        <v>1298</v>
      </c>
      <c r="RZ57" s="318"/>
      <c r="SA57" s="319"/>
      <c r="SB57" s="319"/>
      <c r="SC57" s="319"/>
      <c r="SD57" s="319"/>
      <c r="SE57" s="319"/>
      <c r="SF57" s="319"/>
      <c r="SG57" s="361" t="s">
        <v>1433</v>
      </c>
      <c r="SH57" s="318"/>
      <c r="SI57" s="361" t="s">
        <v>1397</v>
      </c>
      <c r="SJ57" s="361"/>
      <c r="SK57" s="316"/>
      <c r="SL57" s="316"/>
      <c r="SM57" s="8" t="s">
        <v>18</v>
      </c>
      <c r="SN57" s="361" t="s">
        <v>1398</v>
      </c>
      <c r="SO57" s="361"/>
      <c r="SP57" s="316"/>
      <c r="SQ57" s="316"/>
      <c r="SR57" s="210" t="s">
        <v>1462</v>
      </c>
      <c r="SS57" s="210"/>
      <c r="ST57" s="180"/>
      <c r="SU57" s="180"/>
      <c r="SV57" s="361" t="s">
        <v>1602</v>
      </c>
      <c r="SW57" s="318"/>
      <c r="SX57" s="319"/>
      <c r="SY57" s="319"/>
      <c r="SZ57" s="319"/>
      <c r="TA57" s="319"/>
      <c r="TB57" s="319"/>
      <c r="TC57" s="319"/>
      <c r="TD57" s="319"/>
      <c r="TE57" s="319"/>
      <c r="TF57" s="319"/>
      <c r="TG57" s="319"/>
      <c r="TH57" s="319"/>
      <c r="TI57" s="319"/>
      <c r="TJ57" s="319"/>
      <c r="TK57" s="319"/>
      <c r="TL57" s="319"/>
      <c r="TM57" s="319"/>
      <c r="TN57" s="319"/>
      <c r="TO57" s="319"/>
      <c r="TP57" s="319"/>
      <c r="TQ57" s="319"/>
      <c r="TR57" s="8" t="s">
        <v>18</v>
      </c>
      <c r="TS57" s="319" t="s">
        <v>1602</v>
      </c>
      <c r="TT57" s="319"/>
      <c r="TU57" s="319"/>
      <c r="TV57" s="319"/>
      <c r="TW57" s="319"/>
      <c r="TX57" s="319"/>
      <c r="TY57" s="361" t="s">
        <v>1690</v>
      </c>
      <c r="TZ57" s="361"/>
      <c r="UA57" s="316"/>
      <c r="UB57" s="361" t="s">
        <v>1691</v>
      </c>
      <c r="UC57" s="361"/>
      <c r="UD57" s="361" t="s">
        <v>1694</v>
      </c>
      <c r="UE57" s="361"/>
      <c r="UF57" s="316"/>
      <c r="UG57" s="316"/>
      <c r="UH57" s="316"/>
      <c r="UI57" s="316"/>
      <c r="UJ57" s="361" t="s">
        <v>1696</v>
      </c>
      <c r="UK57" s="361"/>
      <c r="UL57" s="361" t="s">
        <v>1697</v>
      </c>
      <c r="UM57" s="361"/>
      <c r="UN57" s="316"/>
      <c r="UO57" s="361" t="s">
        <v>1695</v>
      </c>
      <c r="UP57" s="361"/>
      <c r="UQ57" s="361" t="s">
        <v>1448</v>
      </c>
      <c r="UR57" s="361"/>
      <c r="US57" s="316"/>
      <c r="UT57" s="361" t="s">
        <v>1367</v>
      </c>
      <c r="UU57" s="361"/>
      <c r="UV57" s="345" t="s">
        <v>1772</v>
      </c>
      <c r="UW57" s="318"/>
      <c r="UX57" s="8" t="s">
        <v>18</v>
      </c>
      <c r="UY57" s="352" t="s">
        <v>1772</v>
      </c>
      <c r="UZ57" s="345" t="s">
        <v>1880</v>
      </c>
      <c r="VA57" s="318"/>
      <c r="VB57" s="311"/>
      <c r="VC57" s="311"/>
      <c r="VD57" s="311"/>
      <c r="VE57" s="345" t="s">
        <v>1805</v>
      </c>
      <c r="VF57" s="345"/>
      <c r="VG57" s="165"/>
      <c r="VH57" s="165"/>
      <c r="VI57" s="165"/>
      <c r="VJ57" s="165"/>
      <c r="VK57" s="165"/>
      <c r="VL57" s="165"/>
      <c r="VM57" s="165"/>
      <c r="VN57" s="345" t="s">
        <v>1879</v>
      </c>
      <c r="VO57" s="318"/>
      <c r="VP57" s="311"/>
      <c r="VQ57" s="311"/>
      <c r="VR57" s="311"/>
      <c r="VS57" s="311"/>
      <c r="VT57" s="311"/>
      <c r="VU57" s="311"/>
      <c r="VV57" s="345" t="s">
        <v>1878</v>
      </c>
      <c r="VW57" s="318"/>
      <c r="VX57" s="311"/>
      <c r="VY57" s="311"/>
      <c r="VZ57" s="311"/>
      <c r="WA57" s="311"/>
      <c r="WB57" s="311"/>
      <c r="WC57" s="311"/>
      <c r="WD57" s="8" t="s">
        <v>18</v>
      </c>
      <c r="WE57" s="345" t="s">
        <v>1897</v>
      </c>
      <c r="WF57" s="345"/>
      <c r="WG57" s="311"/>
      <c r="WH57" s="311"/>
      <c r="WI57" s="311"/>
      <c r="WJ57" s="311"/>
      <c r="WK57" s="311"/>
      <c r="WL57" s="311"/>
      <c r="WM57" s="311"/>
      <c r="WN57" s="311"/>
      <c r="WO57" s="345" t="s">
        <v>1896</v>
      </c>
      <c r="WP57" s="345"/>
      <c r="WQ57" s="311"/>
      <c r="WR57" s="311"/>
      <c r="WS57" s="311"/>
      <c r="WT57" s="311"/>
      <c r="WU57" s="311"/>
      <c r="WV57" s="311"/>
      <c r="WW57" s="311"/>
      <c r="WX57" s="311"/>
      <c r="WY57" s="311"/>
      <c r="WZ57" s="311"/>
      <c r="XA57" s="311"/>
      <c r="XB57" s="311"/>
      <c r="XC57" s="311"/>
      <c r="XD57" s="311"/>
      <c r="XE57" s="311"/>
      <c r="XF57" s="311"/>
      <c r="XG57" s="8" t="s">
        <v>18</v>
      </c>
      <c r="XH57" s="352" t="s">
        <v>1896</v>
      </c>
      <c r="XI57" s="551" t="s">
        <v>1895</v>
      </c>
      <c r="XJ57" s="551"/>
      <c r="XK57" s="311"/>
      <c r="XL57" s="361" t="s">
        <v>1964</v>
      </c>
      <c r="XM57" s="361"/>
      <c r="XN57" s="316"/>
      <c r="XO57" s="316"/>
      <c r="XP57" s="316"/>
      <c r="XQ57" s="316"/>
      <c r="XR57" s="316"/>
      <c r="XS57" s="163"/>
      <c r="XT57" s="316"/>
      <c r="XU57" s="316"/>
      <c r="XV57" s="316"/>
      <c r="XW57" s="316"/>
      <c r="XX57" s="316"/>
      <c r="XY57" s="316"/>
      <c r="XZ57" s="316"/>
      <c r="YA57" s="316"/>
      <c r="YB57" s="316"/>
      <c r="YC57" s="316"/>
      <c r="YD57" s="316"/>
      <c r="YE57" s="316"/>
      <c r="YF57" s="316"/>
      <c r="YG57" s="316"/>
      <c r="YH57" s="316"/>
      <c r="YI57" s="316"/>
      <c r="YJ57" s="316"/>
      <c r="YK57" s="316"/>
      <c r="YL57" s="316"/>
      <c r="YM57" s="8" t="s">
        <v>18</v>
      </c>
      <c r="YN57" s="316" t="s">
        <v>1901</v>
      </c>
      <c r="YO57" s="316"/>
      <c r="YP57" s="316"/>
      <c r="YQ57" s="316"/>
      <c r="YR57" s="316"/>
      <c r="YS57" s="316"/>
      <c r="YT57" s="316"/>
      <c r="YU57" s="316"/>
      <c r="YV57" s="316"/>
      <c r="YW57" s="316"/>
      <c r="YX57" s="316"/>
      <c r="YY57" s="316"/>
      <c r="YZ57" s="316"/>
      <c r="ZA57" s="316"/>
      <c r="ZB57" s="316"/>
      <c r="ZC57" s="361" t="s">
        <v>2014</v>
      </c>
      <c r="ZD57" s="361"/>
      <c r="ZE57" s="345" t="s">
        <v>1799</v>
      </c>
      <c r="ZF57" s="345"/>
      <c r="ZG57" s="311"/>
      <c r="ZH57" s="311"/>
      <c r="ZI57" s="311"/>
      <c r="ZJ57" s="311"/>
      <c r="ZK57" s="311"/>
      <c r="ZL57" s="311"/>
      <c r="ZM57" s="311"/>
      <c r="ZN57" s="311"/>
      <c r="ZO57" s="311"/>
      <c r="ZP57" s="311"/>
      <c r="ZQ57" s="311"/>
      <c r="ZR57" s="8" t="s">
        <v>18</v>
      </c>
      <c r="ZS57" s="352" t="s">
        <v>1799</v>
      </c>
      <c r="ZT57" s="352"/>
      <c r="ZU57" s="311"/>
      <c r="ZV57" s="311"/>
      <c r="ZW57" s="311"/>
      <c r="ZX57" s="311"/>
      <c r="ZY57" s="361" t="s">
        <v>2010</v>
      </c>
      <c r="ZZ57" s="361"/>
      <c r="AAA57" s="316"/>
      <c r="AAB57" s="316"/>
      <c r="AAC57" s="316"/>
      <c r="AAD57" s="316"/>
      <c r="AAE57" s="777"/>
      <c r="AAF57" s="705"/>
      <c r="AAG57" s="705"/>
      <c r="AAH57" s="705"/>
      <c r="AAI57" s="778"/>
      <c r="AAJ57" s="316" t="s">
        <v>2010</v>
      </c>
      <c r="AAK57" s="361" t="s">
        <v>2005</v>
      </c>
      <c r="AAL57" s="361"/>
      <c r="AAM57" s="361" t="s">
        <v>1904</v>
      </c>
      <c r="AAN57" s="361"/>
      <c r="AAO57" s="316"/>
      <c r="AAP57" s="316"/>
      <c r="AAQ57" s="361" t="s">
        <v>2032</v>
      </c>
      <c r="AAR57" s="361"/>
      <c r="AAS57" s="316"/>
      <c r="AAT57" s="316"/>
      <c r="AAU57" s="361" t="s">
        <v>1944</v>
      </c>
      <c r="AAV57" s="361"/>
      <c r="AAW57" s="361" t="s">
        <v>2028</v>
      </c>
      <c r="AAX57" s="8" t="s">
        <v>18</v>
      </c>
      <c r="AAY57" s="316" t="s">
        <v>2028</v>
      </c>
      <c r="AAZ57" s="316"/>
      <c r="ABA57" s="316"/>
      <c r="ABB57" s="361" t="s">
        <v>2283</v>
      </c>
      <c r="ABC57" s="361"/>
      <c r="ABD57" s="316"/>
      <c r="ABE57" s="361" t="s">
        <v>2336</v>
      </c>
      <c r="ABF57" s="361"/>
      <c r="ABG57" s="316"/>
      <c r="ABH57" s="316"/>
      <c r="ABI57" s="316"/>
      <c r="ABJ57" s="361" t="s">
        <v>2095</v>
      </c>
      <c r="ABK57" s="361"/>
      <c r="ABL57" s="316"/>
      <c r="ABM57" s="316"/>
      <c r="ABN57" s="316"/>
      <c r="ABO57" s="316"/>
      <c r="ABP57" s="316"/>
      <c r="ABQ57" s="316"/>
      <c r="ABR57" s="316"/>
      <c r="ABS57" s="316"/>
      <c r="ABT57" s="361" t="s">
        <v>2109</v>
      </c>
      <c r="ABU57" s="361"/>
      <c r="ABV57" s="316"/>
      <c r="ABW57" s="316"/>
      <c r="ABX57" s="316"/>
      <c r="ABY57" s="316"/>
      <c r="ABZ57" s="316"/>
      <c r="ACA57" s="316"/>
      <c r="ACB57" s="316"/>
      <c r="ACC57" s="7" t="s">
        <v>18</v>
      </c>
      <c r="ACD57" s="361" t="s">
        <v>2338</v>
      </c>
      <c r="ACE57" s="361"/>
      <c r="ACF57" s="316"/>
      <c r="ACG57" s="361" t="s">
        <v>2355</v>
      </c>
      <c r="ACH57" s="361"/>
      <c r="ACI57" s="316"/>
      <c r="ACJ57" s="316"/>
      <c r="ACK57" s="316"/>
      <c r="ACL57" s="316"/>
      <c r="ACM57" s="316"/>
      <c r="ACN57" s="316"/>
      <c r="ACO57" s="316"/>
      <c r="ACP57" s="316"/>
      <c r="ACQ57" s="316"/>
      <c r="ACR57" s="361" t="s">
        <v>2356</v>
      </c>
      <c r="ACS57" s="361"/>
      <c r="ACT57" s="316"/>
      <c r="ACU57" s="316"/>
      <c r="ACV57" s="316"/>
      <c r="ACW57" s="785"/>
      <c r="ACX57" s="786"/>
      <c r="ACY57" s="786"/>
      <c r="ACZ57" s="786"/>
      <c r="ADA57" s="786"/>
      <c r="ADB57" s="786"/>
      <c r="ADC57" s="786"/>
      <c r="ADD57" s="786"/>
      <c r="ADE57" s="786"/>
      <c r="ADF57" s="786"/>
      <c r="ADG57" s="787"/>
      <c r="ADH57" s="314"/>
      <c r="ADI57" s="7" t="s">
        <v>18</v>
      </c>
      <c r="ADJ57" s="316" t="s">
        <v>2309</v>
      </c>
      <c r="ADK57" s="316"/>
      <c r="ADL57" s="316"/>
      <c r="ADM57" s="316"/>
      <c r="ADN57" s="316"/>
      <c r="ADO57" s="316"/>
      <c r="ADP57" s="316"/>
      <c r="ADQ57" s="316"/>
      <c r="ADR57" s="361" t="s">
        <v>2163</v>
      </c>
      <c r="ADS57" s="361"/>
      <c r="ADT57" s="316"/>
      <c r="ADU57" s="316"/>
      <c r="ADV57" s="316"/>
      <c r="ADW57" s="316"/>
      <c r="ADX57" s="316"/>
      <c r="ADY57" s="361" t="s">
        <v>2460</v>
      </c>
      <c r="ADZ57" s="361"/>
      <c r="AEA57" s="316"/>
      <c r="AEB57" s="316"/>
      <c r="AEC57" s="316"/>
      <c r="AED57" s="316"/>
      <c r="AEE57" s="316"/>
      <c r="AEF57" s="316"/>
      <c r="AEG57" s="361" t="s">
        <v>2112</v>
      </c>
      <c r="AEH57" s="361"/>
      <c r="AEI57" s="316"/>
      <c r="AEJ57" s="316"/>
      <c r="AEK57" s="316"/>
      <c r="AEL57" s="316"/>
      <c r="AEM57" s="316"/>
      <c r="AEN57" s="316"/>
      <c r="AEO57" s="7" t="s">
        <v>18</v>
      </c>
      <c r="AEP57" s="361" t="s">
        <v>2335</v>
      </c>
      <c r="AEQ57" s="361"/>
      <c r="AER57" s="316"/>
      <c r="AES57" s="316"/>
      <c r="AET57" s="316"/>
      <c r="AEU57" s="316"/>
      <c r="AEV57" s="361" t="s">
        <v>2480</v>
      </c>
      <c r="AEW57" s="361"/>
      <c r="AEX57" s="316"/>
      <c r="AEY57" s="316"/>
      <c r="AEZ57" s="316"/>
      <c r="AFA57" s="316"/>
      <c r="AFB57" s="361" t="s">
        <v>2310</v>
      </c>
      <c r="AFC57" s="361"/>
      <c r="AFD57" s="316"/>
      <c r="AFE57" s="316"/>
      <c r="AFF57" s="316"/>
      <c r="AFG57" s="316"/>
      <c r="AFH57" s="361" t="s">
        <v>2399</v>
      </c>
      <c r="AFI57" s="361"/>
      <c r="AFJ57" s="316"/>
      <c r="AFK57" s="316"/>
      <c r="AFL57" s="316"/>
      <c r="AFM57" s="316"/>
      <c r="AFN57" s="316"/>
      <c r="AFO57" s="316"/>
      <c r="AFP57" s="316"/>
      <c r="AFQ57" s="316"/>
      <c r="AFR57" s="361" t="s">
        <v>2400</v>
      </c>
      <c r="AFS57" s="361"/>
      <c r="AFT57" s="7" t="s">
        <v>18</v>
      </c>
      <c r="AFU57" s="316" t="s">
        <v>2400</v>
      </c>
      <c r="AFV57" s="361" t="s">
        <v>2448</v>
      </c>
      <c r="AFW57" s="361"/>
      <c r="AFX57" s="316"/>
      <c r="AFY57" s="316"/>
      <c r="AFZ57" s="316"/>
      <c r="AGA57" s="316"/>
      <c r="AGB57" s="316"/>
      <c r="AGC57" s="316"/>
      <c r="AGD57" s="316"/>
      <c r="AGE57" s="316"/>
      <c r="AGF57" s="316"/>
      <c r="AGG57" s="316"/>
      <c r="AGH57" s="316"/>
      <c r="AGI57" s="316"/>
      <c r="AGJ57" s="316"/>
      <c r="AGK57" s="316"/>
      <c r="AGL57" s="316"/>
      <c r="AGM57" s="316"/>
      <c r="AGN57" s="316"/>
      <c r="AGO57" s="316"/>
      <c r="AGP57" s="316"/>
      <c r="AGQ57" s="316"/>
      <c r="AGR57" s="316"/>
      <c r="AGS57" s="316"/>
      <c r="AGT57" s="376" t="s">
        <v>2603</v>
      </c>
      <c r="AGU57" s="524"/>
      <c r="AGV57" s="375"/>
      <c r="AGW57" s="375"/>
      <c r="AGX57" s="375"/>
      <c r="AGY57" s="375"/>
      <c r="AGZ57" s="7" t="s">
        <v>18</v>
      </c>
      <c r="AHA57" s="319" t="s">
        <v>2603</v>
      </c>
      <c r="AHB57" s="319"/>
      <c r="AHC57" s="210" t="s">
        <v>2575</v>
      </c>
      <c r="AHD57" s="210"/>
      <c r="AHE57" s="180"/>
      <c r="AHF57" s="180"/>
      <c r="AHG57" s="210" t="s">
        <v>2571</v>
      </c>
      <c r="AHH57" s="210"/>
      <c r="AHI57" s="180"/>
      <c r="AHJ57" s="210" t="s">
        <v>2724</v>
      </c>
      <c r="AHK57" s="210"/>
      <c r="AHL57" s="180"/>
      <c r="AHM57" s="210" t="s">
        <v>2558</v>
      </c>
      <c r="AHN57" s="210"/>
      <c r="AHO57" s="180"/>
      <c r="AHP57" s="180"/>
      <c r="AHQ57" s="180"/>
      <c r="AHV57" s="361" t="s">
        <v>2530</v>
      </c>
      <c r="AHW57" s="361"/>
      <c r="AHX57" s="316"/>
      <c r="AHY57" s="316"/>
      <c r="AHZ57" s="316"/>
      <c r="AIA57" s="316"/>
      <c r="AIB57" s="316"/>
      <c r="AIC57" s="316"/>
      <c r="AID57" s="316"/>
      <c r="AIE57" s="7" t="s">
        <v>18</v>
      </c>
      <c r="AIF57" s="316" t="s">
        <v>2530</v>
      </c>
      <c r="AIG57" s="316"/>
      <c r="AIH57" s="316"/>
      <c r="AII57" s="316"/>
      <c r="AIJ57" s="316"/>
      <c r="AIK57" s="316"/>
      <c r="AIL57" s="316"/>
      <c r="AIM57" s="316"/>
      <c r="AIN57" s="316"/>
      <c r="AIO57" s="316"/>
      <c r="AIP57" s="316"/>
      <c r="AIQ57" s="316"/>
      <c r="AIR57" s="316"/>
      <c r="AIS57" s="316"/>
      <c r="AIT57" s="316"/>
      <c r="AIU57" s="316"/>
      <c r="AIV57" s="316"/>
      <c r="AIW57" s="316"/>
      <c r="AIX57" s="316"/>
      <c r="AIY57" s="316"/>
      <c r="AIZ57" s="316"/>
      <c r="AJA57" s="316"/>
      <c r="AJB57" s="316"/>
      <c r="AJC57" s="316"/>
      <c r="AJD57" s="316"/>
      <c r="AJE57" s="316"/>
      <c r="AJF57" s="316"/>
      <c r="AJG57" s="316"/>
      <c r="AJH57" s="316"/>
      <c r="AJI57" s="316"/>
      <c r="AJJ57" s="316"/>
      <c r="AJK57" s="7" t="s">
        <v>18</v>
      </c>
      <c r="AJL57" s="210" t="s">
        <v>2594</v>
      </c>
      <c r="AJM57" s="210"/>
      <c r="AJN57" s="180"/>
      <c r="AJO57" s="180"/>
      <c r="AJP57" s="210" t="s">
        <v>2430</v>
      </c>
      <c r="AJQ57" s="210"/>
      <c r="AJR57" s="180"/>
      <c r="AJS57" s="180"/>
      <c r="AJT57" s="210" t="s">
        <v>2431</v>
      </c>
      <c r="AJU57" s="210"/>
      <c r="AJV57" s="180"/>
      <c r="AJW57" s="180"/>
      <c r="AJX57" s="180"/>
      <c r="AJY57" s="210" t="s">
        <v>2664</v>
      </c>
      <c r="AJZ57" s="210"/>
      <c r="AKA57" s="180"/>
      <c r="AKB57" s="361" t="s">
        <v>2824</v>
      </c>
      <c r="AKC57" s="361"/>
      <c r="AKD57" s="319"/>
      <c r="AKE57" s="319"/>
      <c r="AKF57" s="319"/>
      <c r="AKG57" s="319"/>
      <c r="AKH57" s="319"/>
      <c r="AKI57" s="319"/>
      <c r="AKJ57" s="319"/>
      <c r="AKK57" s="319"/>
      <c r="AKL57" s="319"/>
      <c r="AKM57" s="319"/>
      <c r="AKN57" s="319"/>
      <c r="AKO57" s="319"/>
      <c r="AKP57" s="319"/>
      <c r="AKQ57" s="7" t="s">
        <v>18</v>
      </c>
      <c r="AKR57" s="319" t="s">
        <v>2824</v>
      </c>
      <c r="AKS57" s="319"/>
      <c r="AKT57" s="319"/>
      <c r="AKU57" s="319"/>
      <c r="AKV57" s="319"/>
      <c r="AKW57" s="361" t="s">
        <v>2825</v>
      </c>
      <c r="AKX57" s="361"/>
      <c r="AKY57" s="319"/>
      <c r="AKZ57" s="319"/>
      <c r="ALA57" s="319"/>
      <c r="ALB57" s="319"/>
      <c r="ALC57" s="361" t="s">
        <v>2630</v>
      </c>
      <c r="ALD57" s="361"/>
      <c r="ALE57" s="319"/>
      <c r="ALF57" s="319"/>
      <c r="ALG57" s="361" t="s">
        <v>2835</v>
      </c>
      <c r="ALH57" s="361"/>
      <c r="ALI57" s="319"/>
      <c r="ALJ57" s="319"/>
      <c r="ALK57" s="319"/>
      <c r="ALL57" s="319"/>
      <c r="ALM57" s="319"/>
      <c r="ALN57" s="319"/>
      <c r="ALO57" s="319"/>
      <c r="ALP57" s="319"/>
      <c r="ALQ57" s="319"/>
      <c r="ALR57" s="319"/>
      <c r="ALS57" s="319"/>
      <c r="ALT57" s="7" t="s">
        <v>18</v>
      </c>
      <c r="ALU57" s="345" t="s">
        <v>2844</v>
      </c>
      <c r="ALV57" s="345"/>
      <c r="ALW57" s="352"/>
      <c r="ALX57" s="352"/>
      <c r="ALY57" s="352"/>
      <c r="ALZ57" s="352"/>
      <c r="AMA57" s="352"/>
      <c r="AMB57" s="352"/>
      <c r="AMC57" s="352"/>
      <c r="AMD57" s="352"/>
      <c r="AME57" s="352"/>
      <c r="AMF57" s="352"/>
      <c r="AMG57" s="352"/>
      <c r="AMH57" s="352"/>
      <c r="AMI57" s="352"/>
      <c r="AMJ57" s="352"/>
      <c r="AMK57" s="352"/>
      <c r="AML57" s="352"/>
      <c r="AMM57" s="352"/>
      <c r="AMN57" s="352"/>
      <c r="AMO57" s="352"/>
      <c r="AMP57" s="352"/>
      <c r="AMQ57" s="352"/>
      <c r="AMR57" s="352"/>
      <c r="AMS57" s="352"/>
      <c r="AMT57" s="352"/>
      <c r="AMU57" s="352"/>
      <c r="AMV57" s="352"/>
      <c r="AMW57" s="352"/>
      <c r="AMX57" s="352"/>
      <c r="AMY57" s="352"/>
      <c r="AMZ57" s="7" t="s">
        <v>18</v>
      </c>
      <c r="ANA57" s="352" t="s">
        <v>2843</v>
      </c>
      <c r="ANB57" s="352"/>
      <c r="ANC57" s="352"/>
      <c r="AND57" s="352"/>
      <c r="ANE57" s="352"/>
      <c r="ANF57" s="352"/>
      <c r="ANG57" s="345" t="s">
        <v>2845</v>
      </c>
      <c r="ANH57" s="345"/>
      <c r="ANI57" s="352"/>
      <c r="ANJ57" s="352"/>
      <c r="ANK57" s="352"/>
      <c r="ANL57" s="352"/>
      <c r="ANM57" s="352"/>
      <c r="ANN57" s="352"/>
      <c r="ANO57" s="352"/>
      <c r="ANP57" s="352"/>
      <c r="ANQ57" s="352"/>
      <c r="ANR57" s="352"/>
      <c r="ANS57" s="352"/>
      <c r="ANT57" s="352"/>
      <c r="ANU57" s="352"/>
      <c r="ANV57" s="352"/>
      <c r="ANW57" s="352"/>
      <c r="ANX57" s="352"/>
      <c r="ANY57" s="352"/>
      <c r="ANZ57" s="352"/>
      <c r="AOA57" s="352"/>
      <c r="AOB57" s="352"/>
      <c r="AOC57" s="352"/>
      <c r="AOD57" s="352"/>
      <c r="AOE57" s="7" t="s">
        <v>18</v>
      </c>
      <c r="AOF57" s="159"/>
      <c r="AOG57" s="159"/>
      <c r="AOH57" s="159"/>
      <c r="AOI57" s="159"/>
      <c r="AOJ57" s="159"/>
      <c r="AOK57" s="159"/>
      <c r="AOL57" s="159"/>
      <c r="AOM57" s="159"/>
      <c r="AON57" s="159"/>
      <c r="AOO57" s="352" t="s">
        <v>2845</v>
      </c>
      <c r="AOP57" s="352"/>
      <c r="AOQ57" s="352"/>
      <c r="AOR57" s="352"/>
      <c r="AOS57" s="352"/>
      <c r="AOT57" s="352"/>
      <c r="AOU57" s="352"/>
      <c r="AOV57" s="352"/>
      <c r="AOW57" s="352"/>
      <c r="AOX57" s="352"/>
      <c r="AOY57" s="352"/>
      <c r="AOZ57" s="352"/>
      <c r="APA57" s="352"/>
      <c r="APB57" s="352"/>
      <c r="APC57" s="352"/>
      <c r="APD57" s="352"/>
      <c r="APE57" s="352"/>
      <c r="APF57" s="352"/>
      <c r="APG57" s="352"/>
      <c r="APH57" s="352"/>
      <c r="API57" s="352"/>
      <c r="APJ57" s="352"/>
      <c r="APK57" s="7" t="s">
        <v>18</v>
      </c>
      <c r="APL57" s="352" t="s">
        <v>2845</v>
      </c>
      <c r="APM57" s="352"/>
      <c r="APN57" s="352"/>
      <c r="APO57" s="352"/>
      <c r="APP57" s="345" t="s">
        <v>2867</v>
      </c>
      <c r="APQ57" s="345"/>
      <c r="APR57" s="352"/>
      <c r="APS57" s="352"/>
      <c r="APT57" s="352"/>
      <c r="APU57" s="352"/>
      <c r="APV57" s="352"/>
      <c r="APW57" s="352"/>
      <c r="APX57" s="352"/>
      <c r="APY57" s="352"/>
      <c r="APZ57" s="352"/>
      <c r="AQA57" s="352"/>
      <c r="AQB57" s="352"/>
      <c r="AQC57" s="352"/>
      <c r="AQD57" s="352"/>
      <c r="AQE57" s="352"/>
      <c r="AQF57" s="352"/>
      <c r="AQG57" s="352"/>
      <c r="AQH57" s="352"/>
      <c r="AQI57" s="352"/>
      <c r="AQJ57" s="352"/>
      <c r="AQK57" s="352"/>
      <c r="AQL57" s="352"/>
      <c r="AQM57" s="352"/>
      <c r="AQN57" s="352"/>
      <c r="AQO57" s="352"/>
      <c r="AQP57" s="7" t="s">
        <v>18</v>
      </c>
      <c r="AQQ57" s="352" t="s">
        <v>2867</v>
      </c>
      <c r="AQR57" s="352"/>
      <c r="AQS57" s="352"/>
      <c r="AQT57" s="352"/>
      <c r="AQU57" s="352"/>
      <c r="AQV57" s="352"/>
      <c r="AQW57" s="352"/>
      <c r="AQX57" s="159"/>
      <c r="AQY57" s="159"/>
      <c r="AQZ57" s="159"/>
      <c r="ARA57" s="159"/>
      <c r="ARB57" s="159"/>
      <c r="ARC57" s="159"/>
      <c r="ARD57" s="159"/>
      <c r="ARE57" s="159"/>
      <c r="ARF57" s="159"/>
      <c r="ARG57" s="352" t="s">
        <v>2867</v>
      </c>
      <c r="ARH57" s="352"/>
      <c r="ARI57" s="352"/>
      <c r="ARJ57" s="352"/>
      <c r="ARK57" s="352"/>
      <c r="ARL57" s="352"/>
      <c r="ARM57" s="352"/>
      <c r="ARN57" s="352"/>
      <c r="ARO57" s="352"/>
      <c r="ARP57" s="352"/>
      <c r="ARQ57" s="352"/>
      <c r="ARR57" s="352"/>
      <c r="ARS57" s="352"/>
      <c r="ART57" s="352"/>
      <c r="ARU57" s="352"/>
      <c r="ARV57" s="7" t="s">
        <v>18</v>
      </c>
      <c r="ARW57" s="352" t="s">
        <v>2867</v>
      </c>
      <c r="ARX57" s="352"/>
      <c r="ARY57" s="352"/>
      <c r="ARZ57" s="352"/>
      <c r="ASA57" s="352"/>
      <c r="ASB57" s="352"/>
      <c r="ASC57" s="352"/>
      <c r="ASD57" s="352"/>
      <c r="ASE57" s="352"/>
      <c r="ASF57" s="352"/>
      <c r="ASG57" s="352"/>
      <c r="ASH57" s="352"/>
      <c r="ASI57" s="352"/>
      <c r="ASJ57" s="352"/>
      <c r="ASK57" s="352"/>
      <c r="ASL57" s="352"/>
      <c r="ASM57" s="352"/>
      <c r="ASN57" s="352"/>
      <c r="ASO57" s="352"/>
      <c r="ASP57" s="352"/>
      <c r="ASQ57" s="352"/>
      <c r="ASR57" s="352"/>
      <c r="ASS57" s="352"/>
      <c r="AST57" s="352"/>
      <c r="ASU57" s="352"/>
      <c r="ASV57" s="352"/>
      <c r="ASW57" s="352"/>
      <c r="ASX57" s="352"/>
      <c r="ASY57" s="352"/>
      <c r="ASZ57" s="345" t="s">
        <v>2695</v>
      </c>
      <c r="ATA57" s="345"/>
      <c r="ATB57" s="7" t="s">
        <v>18</v>
      </c>
      <c r="ATC57" s="352" t="s">
        <v>2695</v>
      </c>
      <c r="ATD57" s="352"/>
      <c r="ATE57" s="352"/>
      <c r="ATF57" s="352"/>
      <c r="ATG57" s="352"/>
      <c r="ATH57" s="352"/>
      <c r="ATI57" s="352"/>
      <c r="ATJ57" s="352"/>
      <c r="ATK57" s="352"/>
      <c r="ATL57" s="352"/>
      <c r="ATM57" s="352"/>
      <c r="ATN57" s="352"/>
      <c r="ATO57" s="352"/>
      <c r="ATP57" s="352"/>
      <c r="ATQ57" s="352"/>
      <c r="ATR57" s="352"/>
      <c r="ATS57" s="352"/>
      <c r="ATT57" s="352"/>
      <c r="ATU57" s="352"/>
      <c r="ATV57" s="352"/>
      <c r="ATW57" s="352"/>
      <c r="ATX57" s="352"/>
      <c r="ATY57" s="352"/>
      <c r="ATZ57" s="352"/>
      <c r="AUA57" s="352"/>
      <c r="AUB57" s="352"/>
      <c r="AUC57" s="352"/>
      <c r="AUD57" s="352"/>
      <c r="AUE57" s="352"/>
      <c r="AUF57" s="352"/>
      <c r="AUG57" s="7" t="s">
        <v>18</v>
      </c>
      <c r="AUH57" s="352" t="s">
        <v>2695</v>
      </c>
      <c r="AUI57" s="352"/>
      <c r="AUJ57" s="352"/>
      <c r="AUK57" s="352"/>
      <c r="AUL57" s="352"/>
      <c r="AUM57" s="352"/>
      <c r="AUN57" s="352"/>
      <c r="AUO57" s="352"/>
      <c r="AUP57" s="352"/>
      <c r="AUQ57" s="352"/>
      <c r="AUR57" s="352"/>
      <c r="AUS57" s="352"/>
      <c r="AUT57" s="352"/>
      <c r="AUU57" s="352"/>
      <c r="AUV57" s="352"/>
      <c r="AUW57" s="352"/>
      <c r="AUX57" s="352"/>
      <c r="AUY57" s="352"/>
      <c r="AUZ57" s="352"/>
      <c r="AVA57" s="352"/>
      <c r="AVB57" s="352"/>
      <c r="AVC57" s="352"/>
      <c r="AVD57" s="352"/>
      <c r="AVE57" s="352"/>
      <c r="AVF57" s="352"/>
      <c r="AVG57" s="352"/>
      <c r="AVH57" s="352"/>
      <c r="AVI57" s="352"/>
      <c r="AVJ57" s="352"/>
      <c r="AVK57" s="352"/>
      <c r="AVL57" s="352"/>
      <c r="AVM57" s="7" t="s">
        <v>18</v>
      </c>
      <c r="AVN57" s="352" t="s">
        <v>2695</v>
      </c>
      <c r="AVO57" s="352"/>
      <c r="AVP57" s="352"/>
      <c r="AVQ57" s="352"/>
      <c r="AVR57" s="352"/>
      <c r="AVS57" s="352"/>
      <c r="AVT57" s="352"/>
      <c r="AVU57" s="352"/>
      <c r="AVV57" s="352"/>
      <c r="AVW57" s="352"/>
      <c r="AVX57" s="352"/>
      <c r="AVY57" s="352"/>
      <c r="AVZ57" s="352"/>
      <c r="AWA57" s="352"/>
      <c r="AWB57" s="352"/>
      <c r="AWC57" s="352"/>
      <c r="AWD57" s="352"/>
      <c r="AWE57" s="352"/>
      <c r="AWF57" s="352"/>
      <c r="AWG57" s="352"/>
      <c r="AWH57" s="352"/>
      <c r="AWI57" s="352"/>
      <c r="AWJ57" s="352"/>
      <c r="AWK57" s="352"/>
      <c r="AWL57" s="352"/>
      <c r="AWM57" s="352"/>
      <c r="AWN57" s="352"/>
      <c r="AWO57" s="352"/>
      <c r="AWP57" s="352"/>
      <c r="AWQ57" s="352"/>
      <c r="AWR57" s="7" t="s">
        <v>18</v>
      </c>
      <c r="AWS57" s="345" t="s">
        <v>2699</v>
      </c>
      <c r="AWT57" s="345"/>
      <c r="AWU57" s="352"/>
      <c r="AWV57" s="352"/>
      <c r="AWW57" s="352"/>
      <c r="AWX57" s="352"/>
      <c r="AWY57" s="352"/>
      <c r="AWZ57" s="352"/>
      <c r="AXA57" s="352"/>
      <c r="AXB57" s="352"/>
      <c r="AXC57" s="352"/>
      <c r="AXD57" s="352"/>
      <c r="AXE57" s="352"/>
      <c r="AXF57" s="352"/>
      <c r="AXG57" s="352"/>
      <c r="AXH57" s="352"/>
      <c r="AXI57" s="352"/>
      <c r="AXJ57" s="352"/>
      <c r="AXK57" s="352"/>
      <c r="AXL57" s="352"/>
      <c r="AXM57" s="352"/>
      <c r="AXN57" s="352"/>
      <c r="AXO57" s="352"/>
      <c r="AXP57" s="352"/>
      <c r="AXQ57" s="352"/>
      <c r="AXR57" s="352"/>
      <c r="AXS57" s="352"/>
      <c r="AXT57" s="352"/>
      <c r="AXU57" s="352"/>
      <c r="AXV57" s="352"/>
      <c r="AXW57" s="352"/>
      <c r="AXX57" s="7" t="s">
        <v>18</v>
      </c>
    </row>
    <row r="58" spans="1:1324" s="136" customFormat="1" ht="22.8" customHeight="1" x14ac:dyDescent="0.25">
      <c r="A58" s="711"/>
      <c r="B58" s="72"/>
      <c r="C58" s="136">
        <v>1000</v>
      </c>
      <c r="D58" s="136">
        <v>1000</v>
      </c>
      <c r="E58" s="136">
        <v>1000</v>
      </c>
      <c r="F58" s="136">
        <v>1000</v>
      </c>
      <c r="H58" s="136">
        <v>1000</v>
      </c>
      <c r="I58" s="136">
        <v>1000</v>
      </c>
      <c r="J58" s="136">
        <v>1000</v>
      </c>
      <c r="K58" s="136">
        <v>1000</v>
      </c>
      <c r="L58" s="136">
        <v>1000</v>
      </c>
      <c r="M58" s="136">
        <v>1000</v>
      </c>
      <c r="O58" s="136">
        <v>1000</v>
      </c>
      <c r="P58" s="136">
        <v>1000</v>
      </c>
      <c r="Q58" s="136">
        <v>1000</v>
      </c>
      <c r="R58" s="136">
        <v>1000</v>
      </c>
      <c r="S58" s="136">
        <v>1000</v>
      </c>
      <c r="T58" s="136">
        <v>1000</v>
      </c>
      <c r="V58" s="136">
        <v>1000</v>
      </c>
      <c r="W58" s="136">
        <v>1000</v>
      </c>
      <c r="X58" s="136">
        <v>1000</v>
      </c>
      <c r="Y58" s="136">
        <v>1000</v>
      </c>
      <c r="Z58" s="136">
        <v>1000</v>
      </c>
      <c r="AA58" s="136">
        <v>1000</v>
      </c>
      <c r="AC58" s="136">
        <v>1000</v>
      </c>
      <c r="AD58" s="136">
        <v>1000</v>
      </c>
      <c r="AE58" s="136">
        <v>1000</v>
      </c>
      <c r="AF58" s="136">
        <v>1000</v>
      </c>
      <c r="AG58" s="136">
        <v>1000</v>
      </c>
      <c r="AH58" s="73"/>
      <c r="AQ58" s="731"/>
      <c r="AR58" s="732"/>
      <c r="AS58" s="732"/>
      <c r="AT58" s="732"/>
      <c r="AU58" s="732"/>
      <c r="AV58" s="732"/>
      <c r="AW58" s="732"/>
      <c r="AX58" s="732"/>
      <c r="AY58" s="732"/>
      <c r="AZ58" s="733"/>
      <c r="BB58" s="136">
        <v>9600</v>
      </c>
      <c r="BJ58" s="136">
        <v>4805</v>
      </c>
      <c r="BM58" s="136">
        <v>1000</v>
      </c>
      <c r="BN58" s="72"/>
      <c r="BV58" s="136">
        <v>5000</v>
      </c>
      <c r="CD58" s="136">
        <v>5500</v>
      </c>
      <c r="CE58" s="136">
        <v>1450</v>
      </c>
      <c r="CF58" s="136">
        <v>1450</v>
      </c>
      <c r="CG58" s="136">
        <v>1450</v>
      </c>
      <c r="CI58" s="136">
        <v>1450</v>
      </c>
      <c r="CJ58" s="136">
        <v>1450</v>
      </c>
      <c r="CK58" s="136">
        <v>330</v>
      </c>
      <c r="CL58" s="136">
        <v>660</v>
      </c>
      <c r="CM58" s="136">
        <v>990</v>
      </c>
      <c r="CN58" s="136">
        <v>1320</v>
      </c>
      <c r="CP58" s="136">
        <v>1320</v>
      </c>
      <c r="CQ58" s="136">
        <v>1320</v>
      </c>
      <c r="CR58" s="136">
        <v>1320</v>
      </c>
      <c r="CS58" s="72"/>
      <c r="CT58" s="136">
        <v>1150</v>
      </c>
      <c r="CU58" s="136">
        <v>1150</v>
      </c>
      <c r="CV58" s="136">
        <v>1050</v>
      </c>
      <c r="CX58" s="136">
        <v>317</v>
      </c>
      <c r="CY58" s="136">
        <v>310</v>
      </c>
      <c r="CZ58" s="136">
        <v>550</v>
      </c>
      <c r="DA58" s="136">
        <v>800</v>
      </c>
      <c r="DB58" s="136">
        <v>800</v>
      </c>
      <c r="DC58" s="136">
        <v>860</v>
      </c>
      <c r="DE58" s="136">
        <v>950</v>
      </c>
      <c r="DF58" s="136">
        <v>1000</v>
      </c>
      <c r="DG58" s="136">
        <v>950</v>
      </c>
      <c r="DH58" s="136">
        <v>1000</v>
      </c>
      <c r="DI58" s="136">
        <v>1000</v>
      </c>
      <c r="DJ58" s="136">
        <v>1000</v>
      </c>
      <c r="DL58" s="136">
        <v>400</v>
      </c>
      <c r="DM58" s="136">
        <v>550</v>
      </c>
      <c r="DN58" s="136">
        <v>320</v>
      </c>
      <c r="DO58" s="136">
        <v>850</v>
      </c>
      <c r="DP58" s="136">
        <v>800</v>
      </c>
      <c r="DQ58" s="136">
        <v>451</v>
      </c>
      <c r="DW58" s="136">
        <v>5241</v>
      </c>
      <c r="DX58" s="136">
        <v>330</v>
      </c>
      <c r="DY58" s="72"/>
      <c r="ED58" s="136">
        <v>2389</v>
      </c>
      <c r="EE58" s="136">
        <v>500</v>
      </c>
      <c r="EF58" s="136">
        <v>800</v>
      </c>
      <c r="EH58" s="136">
        <v>964</v>
      </c>
      <c r="EI58" s="136">
        <f>140+320+21</f>
        <v>481</v>
      </c>
      <c r="EJ58" s="136">
        <v>410</v>
      </c>
      <c r="EK58" s="136">
        <v>800</v>
      </c>
      <c r="EL58" s="136">
        <v>680</v>
      </c>
      <c r="EM58" s="136">
        <v>670</v>
      </c>
      <c r="EO58" s="136">
        <v>800</v>
      </c>
      <c r="EP58" s="136">
        <v>990</v>
      </c>
      <c r="EQ58" s="136">
        <v>900</v>
      </c>
      <c r="ER58" s="136">
        <v>1240</v>
      </c>
      <c r="ES58" s="136">
        <f>360+340</f>
        <v>700</v>
      </c>
      <c r="ET58" s="136">
        <v>790</v>
      </c>
      <c r="EV58" s="136">
        <v>1040</v>
      </c>
      <c r="EW58" s="136">
        <v>1100</v>
      </c>
      <c r="EX58" s="136">
        <v>1100</v>
      </c>
      <c r="EY58" s="136">
        <v>1100</v>
      </c>
      <c r="EZ58" s="136">
        <v>1100</v>
      </c>
      <c r="FA58" s="136">
        <v>1100</v>
      </c>
      <c r="FC58" s="136">
        <v>1100</v>
      </c>
      <c r="FD58" s="72"/>
      <c r="FE58" s="136">
        <v>1130</v>
      </c>
      <c r="FF58" s="136">
        <v>1130</v>
      </c>
      <c r="FG58" s="137">
        <v>907</v>
      </c>
      <c r="FH58" s="136">
        <v>750</v>
      </c>
      <c r="FI58" s="136">
        <v>1000</v>
      </c>
      <c r="FJ58" s="136">
        <v>900</v>
      </c>
      <c r="FK58" s="136">
        <v>1000</v>
      </c>
      <c r="FL58" s="136">
        <v>1100</v>
      </c>
      <c r="FM58" s="136">
        <v>1053</v>
      </c>
      <c r="FN58" s="137">
        <v>350</v>
      </c>
      <c r="FO58" s="137">
        <v>737</v>
      </c>
      <c r="FP58" s="137">
        <v>700</v>
      </c>
      <c r="FU58" s="136">
        <f>109+551</f>
        <v>660</v>
      </c>
      <c r="FV58" s="136">
        <v>1200</v>
      </c>
      <c r="FW58" s="136">
        <v>1388</v>
      </c>
      <c r="FX58" s="137">
        <v>943</v>
      </c>
      <c r="FY58" s="136">
        <v>450</v>
      </c>
      <c r="FZ58" s="136">
        <v>830</v>
      </c>
      <c r="GA58" s="136">
        <v>920</v>
      </c>
      <c r="GB58" s="136">
        <v>900</v>
      </c>
      <c r="GC58" s="136">
        <v>900</v>
      </c>
      <c r="GD58" s="136">
        <v>900</v>
      </c>
      <c r="GF58" s="136">
        <v>900</v>
      </c>
      <c r="GG58" s="136">
        <v>900</v>
      </c>
      <c r="GH58" s="136">
        <v>900</v>
      </c>
      <c r="GI58" s="136">
        <v>900</v>
      </c>
      <c r="GJ58" s="72"/>
      <c r="GK58" s="137">
        <v>820</v>
      </c>
      <c r="GL58" s="136">
        <v>720</v>
      </c>
      <c r="GN58" s="136">
        <v>1000</v>
      </c>
      <c r="GO58" s="136">
        <v>1250</v>
      </c>
      <c r="GP58" s="136">
        <v>1250</v>
      </c>
      <c r="GQ58" s="136">
        <v>1250</v>
      </c>
      <c r="GR58" s="136">
        <v>1250</v>
      </c>
      <c r="GS58" s="136">
        <v>1250</v>
      </c>
      <c r="GU58" s="136">
        <v>900</v>
      </c>
      <c r="GV58" s="136">
        <v>1320</v>
      </c>
      <c r="GW58" s="136">
        <v>1200</v>
      </c>
      <c r="GX58" s="137">
        <f>514+314</f>
        <v>828</v>
      </c>
      <c r="GY58" s="136">
        <v>600</v>
      </c>
      <c r="GZ58" s="136">
        <v>1100</v>
      </c>
      <c r="HB58" s="136">
        <v>1150</v>
      </c>
      <c r="HC58" s="136">
        <v>1200</v>
      </c>
      <c r="HD58" s="136">
        <v>1200</v>
      </c>
      <c r="HE58" s="137">
        <v>673</v>
      </c>
      <c r="HF58" s="136">
        <v>800</v>
      </c>
      <c r="HG58" s="136">
        <v>1030</v>
      </c>
      <c r="HI58" s="136">
        <v>1210</v>
      </c>
      <c r="HJ58" s="136">
        <v>1270</v>
      </c>
      <c r="HK58" s="136">
        <v>1200</v>
      </c>
      <c r="HL58" s="136">
        <v>1100</v>
      </c>
      <c r="HM58" s="136">
        <f>484+420</f>
        <v>904</v>
      </c>
      <c r="HN58" s="136">
        <v>800</v>
      </c>
      <c r="HQ58" s="136">
        <v>1050</v>
      </c>
      <c r="HR58" s="136">
        <v>1000</v>
      </c>
      <c r="HS58" s="136">
        <v>1050</v>
      </c>
      <c r="HT58" s="136">
        <v>1270</v>
      </c>
      <c r="HU58" s="136">
        <v>1150</v>
      </c>
      <c r="HV58" s="136">
        <v>1150</v>
      </c>
      <c r="HX58" s="137">
        <f>591+300</f>
        <v>891</v>
      </c>
      <c r="HY58" s="136">
        <v>1000</v>
      </c>
      <c r="HZ58" s="214">
        <v>985</v>
      </c>
      <c r="IA58" s="213">
        <v>1150</v>
      </c>
      <c r="IB58" s="213">
        <v>1250</v>
      </c>
      <c r="IC58" s="213">
        <v>1350</v>
      </c>
      <c r="IE58" s="214">
        <v>816</v>
      </c>
      <c r="IF58" s="213">
        <v>1110</v>
      </c>
      <c r="IG58" s="213">
        <v>1370</v>
      </c>
      <c r="IH58" s="213">
        <v>1390</v>
      </c>
      <c r="II58" s="136">
        <v>1430</v>
      </c>
      <c r="IJ58" s="136">
        <v>1400</v>
      </c>
      <c r="IL58" s="136">
        <v>1430</v>
      </c>
      <c r="IM58" s="136">
        <v>1400</v>
      </c>
      <c r="IN58" s="136">
        <v>1430</v>
      </c>
      <c r="IO58" s="136">
        <v>1430</v>
      </c>
      <c r="IP58" s="136">
        <v>1380</v>
      </c>
      <c r="IQ58" s="136">
        <v>1250</v>
      </c>
      <c r="IS58" s="136">
        <v>1300</v>
      </c>
      <c r="IT58" s="72"/>
      <c r="IU58" s="136">
        <v>1430</v>
      </c>
      <c r="IV58" s="136">
        <v>1430</v>
      </c>
      <c r="IW58" s="136">
        <v>1430</v>
      </c>
      <c r="IX58" s="136">
        <v>1430</v>
      </c>
      <c r="IY58" s="136">
        <v>1430</v>
      </c>
      <c r="JA58" s="136">
        <v>1430</v>
      </c>
      <c r="JB58" s="136">
        <v>1380</v>
      </c>
      <c r="JC58" s="136">
        <v>1390</v>
      </c>
      <c r="JD58" s="136">
        <v>1320</v>
      </c>
      <c r="JE58" s="136">
        <v>1430</v>
      </c>
      <c r="JF58" s="136">
        <v>1430</v>
      </c>
      <c r="JG58" s="136">
        <v>1250</v>
      </c>
      <c r="JH58" s="136">
        <v>1340</v>
      </c>
      <c r="JI58" s="136">
        <v>1430</v>
      </c>
      <c r="JJ58" s="136">
        <v>1430</v>
      </c>
      <c r="JL58" s="136">
        <v>1290</v>
      </c>
      <c r="JM58" s="136">
        <v>1040</v>
      </c>
      <c r="JO58" s="136">
        <v>1040</v>
      </c>
      <c r="JP58" s="136">
        <v>1050</v>
      </c>
      <c r="JQ58" s="136">
        <v>1050</v>
      </c>
      <c r="JR58" s="136">
        <v>1040</v>
      </c>
      <c r="JS58" s="136">
        <v>1040</v>
      </c>
      <c r="JV58" s="278"/>
      <c r="JW58" s="173"/>
      <c r="JX58" s="173"/>
      <c r="JY58" s="173"/>
      <c r="JZ58" s="282"/>
      <c r="KA58" s="173"/>
      <c r="KB58" s="173"/>
      <c r="KC58" s="173"/>
      <c r="KD58" s="173"/>
      <c r="KE58" s="173"/>
      <c r="KF58" s="173"/>
      <c r="KG58" s="173"/>
      <c r="KH58" s="173"/>
      <c r="KI58" s="173"/>
      <c r="KJ58" s="173"/>
      <c r="KK58" s="173"/>
      <c r="KL58" s="173"/>
      <c r="KM58" s="173"/>
      <c r="KN58" s="173"/>
      <c r="KO58" s="173"/>
      <c r="KP58" s="173"/>
      <c r="KQ58" s="173"/>
      <c r="KR58" s="173"/>
      <c r="KS58" s="173"/>
      <c r="KT58" s="173"/>
      <c r="KU58" s="173"/>
      <c r="KV58" s="173"/>
      <c r="KW58" s="173"/>
      <c r="KX58" s="173"/>
      <c r="KY58" s="280"/>
      <c r="KZ58" s="164"/>
      <c r="LA58" s="164"/>
      <c r="LB58" s="164"/>
      <c r="LC58" s="164"/>
      <c r="LD58" s="164"/>
      <c r="LE58" s="72"/>
      <c r="LG58" s="136">
        <v>600</v>
      </c>
      <c r="LH58" s="136">
        <v>820</v>
      </c>
      <c r="LI58" s="136">
        <v>920</v>
      </c>
      <c r="LJ58" s="136">
        <v>960</v>
      </c>
      <c r="LK58" s="136">
        <v>1000</v>
      </c>
      <c r="LL58" s="137">
        <v>1006</v>
      </c>
      <c r="LN58" s="136">
        <v>480</v>
      </c>
      <c r="LO58" s="136">
        <f>700-50</f>
        <v>650</v>
      </c>
      <c r="LP58" s="136">
        <f>900-100</f>
        <v>800</v>
      </c>
      <c r="LQ58" s="136">
        <v>920</v>
      </c>
      <c r="LR58" s="136">
        <v>970</v>
      </c>
      <c r="LS58" s="136">
        <v>960</v>
      </c>
      <c r="LU58" s="136">
        <v>900</v>
      </c>
      <c r="LV58" s="137">
        <v>655</v>
      </c>
      <c r="LW58" s="136">
        <v>400</v>
      </c>
      <c r="LX58" s="136">
        <v>700</v>
      </c>
      <c r="LY58" s="136">
        <v>720</v>
      </c>
      <c r="LZ58" s="136">
        <v>880</v>
      </c>
      <c r="MA58" s="136">
        <v>880</v>
      </c>
      <c r="MB58" s="716"/>
      <c r="MC58" s="717"/>
      <c r="MD58" s="717"/>
      <c r="ME58" s="718"/>
      <c r="MF58" s="136">
        <v>1000</v>
      </c>
      <c r="MG58" s="136">
        <v>1200</v>
      </c>
      <c r="MI58" s="136">
        <v>1050</v>
      </c>
      <c r="MJ58" s="137">
        <v>850</v>
      </c>
      <c r="MK58" s="288"/>
      <c r="ML58" s="136">
        <f>204+220</f>
        <v>424</v>
      </c>
      <c r="MM58" s="136">
        <v>710</v>
      </c>
      <c r="MN58" s="314">
        <v>770</v>
      </c>
      <c r="MO58" s="315">
        <v>900</v>
      </c>
      <c r="MP58" s="314"/>
      <c r="MQ58" s="314">
        <f>494+330</f>
        <v>824</v>
      </c>
      <c r="MR58" s="136">
        <v>1200</v>
      </c>
      <c r="MS58" s="136">
        <v>1210</v>
      </c>
      <c r="MT58" s="315">
        <v>1154</v>
      </c>
      <c r="MU58" s="136">
        <f>413+340</f>
        <v>753</v>
      </c>
      <c r="MV58" s="137">
        <f>205+496+100</f>
        <v>801</v>
      </c>
      <c r="MX58" s="137">
        <f>394+200</f>
        <v>594</v>
      </c>
      <c r="MY58" s="315">
        <f>347+300</f>
        <v>647</v>
      </c>
      <c r="MZ58" s="136">
        <f>234+410</f>
        <v>644</v>
      </c>
      <c r="NA58" s="136">
        <v>936</v>
      </c>
      <c r="NB58" s="136">
        <f>547+230</f>
        <v>777</v>
      </c>
      <c r="NC58" s="314">
        <v>700</v>
      </c>
      <c r="NE58" s="314">
        <f>304+409+50</f>
        <v>763</v>
      </c>
      <c r="NF58" s="314">
        <f>645+60</f>
        <v>705</v>
      </c>
      <c r="NG58" s="136">
        <f>597+100</f>
        <v>697</v>
      </c>
      <c r="NH58" s="365">
        <v>765</v>
      </c>
      <c r="NI58" s="314">
        <v>130</v>
      </c>
      <c r="NJ58" s="136">
        <v>700</v>
      </c>
      <c r="NL58" s="136">
        <v>1000</v>
      </c>
      <c r="NM58" s="136">
        <v>1120</v>
      </c>
      <c r="NN58" s="136">
        <v>1210</v>
      </c>
      <c r="NO58" s="136">
        <v>1150</v>
      </c>
      <c r="NP58" s="72"/>
      <c r="NQ58" s="314">
        <v>1150</v>
      </c>
      <c r="NR58" s="314">
        <v>1200</v>
      </c>
      <c r="NS58" s="314"/>
      <c r="NT58" s="314">
        <v>1200</v>
      </c>
      <c r="NU58" s="136">
        <v>1100</v>
      </c>
      <c r="NV58" s="136">
        <v>1200</v>
      </c>
      <c r="NW58" s="136">
        <v>1320</v>
      </c>
      <c r="NX58" s="136">
        <v>1170</v>
      </c>
      <c r="NY58" s="136">
        <v>1170</v>
      </c>
      <c r="OA58" s="136">
        <v>1210</v>
      </c>
      <c r="OB58" s="136">
        <v>900</v>
      </c>
      <c r="OC58" s="136">
        <v>1260</v>
      </c>
      <c r="OD58" s="136">
        <v>1170</v>
      </c>
      <c r="OE58" s="136">
        <v>1320</v>
      </c>
      <c r="OF58" s="314">
        <v>1200</v>
      </c>
      <c r="OH58" s="314">
        <v>1210</v>
      </c>
      <c r="OI58" s="314">
        <v>1250</v>
      </c>
      <c r="OJ58" s="314">
        <f>340+910</f>
        <v>1250</v>
      </c>
      <c r="OK58" s="314">
        <f>110+1240</f>
        <v>1350</v>
      </c>
      <c r="OL58" s="136">
        <f>47+1253</f>
        <v>1300</v>
      </c>
      <c r="OM58" s="136">
        <v>1320</v>
      </c>
      <c r="ON58" s="136">
        <v>920</v>
      </c>
      <c r="OO58" s="136">
        <v>1320</v>
      </c>
      <c r="OP58" s="136">
        <v>1350</v>
      </c>
      <c r="OQ58" s="136">
        <v>1300</v>
      </c>
      <c r="OR58" s="136">
        <v>1250</v>
      </c>
      <c r="OS58" s="314">
        <v>950</v>
      </c>
      <c r="OT58" s="724"/>
      <c r="OU58" s="725"/>
      <c r="OV58" s="304"/>
      <c r="OW58" s="740"/>
      <c r="OX58" s="741"/>
      <c r="OY58" s="741"/>
      <c r="OZ58" s="741"/>
      <c r="PA58" s="741"/>
      <c r="PB58" s="741"/>
      <c r="PC58" s="742"/>
      <c r="PD58" s="314">
        <v>1200</v>
      </c>
      <c r="PE58" s="365">
        <v>1200</v>
      </c>
      <c r="PF58" s="136">
        <f>382+200</f>
        <v>582</v>
      </c>
      <c r="PG58" s="365">
        <v>880</v>
      </c>
      <c r="PH58" s="136">
        <f>208+540</f>
        <v>748</v>
      </c>
      <c r="PI58" s="136">
        <v>1000</v>
      </c>
      <c r="PL58" s="136">
        <v>1150</v>
      </c>
      <c r="PM58" s="365">
        <v>1165</v>
      </c>
      <c r="PN58" s="136">
        <v>1000</v>
      </c>
      <c r="PO58" s="365">
        <v>1057</v>
      </c>
      <c r="PP58" s="136">
        <v>770</v>
      </c>
      <c r="PR58" s="365">
        <v>1000</v>
      </c>
      <c r="PS58" s="314">
        <f>246+360</f>
        <v>606</v>
      </c>
      <c r="PT58" s="314">
        <v>900</v>
      </c>
      <c r="PU58" s="314">
        <v>1000</v>
      </c>
      <c r="PV58" s="314">
        <v>840</v>
      </c>
      <c r="PW58" s="365">
        <v>943</v>
      </c>
      <c r="PX58" s="314"/>
      <c r="PY58" s="136">
        <f>279+180</f>
        <v>459</v>
      </c>
      <c r="PZ58" s="136">
        <f>720+24</f>
        <v>744</v>
      </c>
      <c r="QA58" s="314">
        <v>916</v>
      </c>
      <c r="QB58" s="72"/>
      <c r="QC58" s="365">
        <f>264+215+20+300</f>
        <v>799</v>
      </c>
      <c r="QD58" s="314">
        <v>800</v>
      </c>
      <c r="QE58" s="365">
        <f>946+44</f>
        <v>990</v>
      </c>
      <c r="QF58" s="314"/>
      <c r="QG58" s="314">
        <v>480</v>
      </c>
      <c r="QH58" s="314">
        <v>500</v>
      </c>
      <c r="QI58" s="136">
        <v>1200</v>
      </c>
      <c r="QJ58" s="136">
        <v>1400</v>
      </c>
      <c r="QK58" s="136">
        <v>1500</v>
      </c>
      <c r="QL58" s="314">
        <v>1760</v>
      </c>
      <c r="QM58" s="136">
        <v>1600</v>
      </c>
      <c r="QN58" s="314">
        <v>1760</v>
      </c>
      <c r="QO58" s="314">
        <v>1760</v>
      </c>
      <c r="QP58" s="314"/>
      <c r="QQ58" s="314">
        <v>1600</v>
      </c>
      <c r="QR58" s="314">
        <v>1280</v>
      </c>
      <c r="QS58" s="314">
        <v>1300</v>
      </c>
      <c r="QU58" s="314">
        <v>1280</v>
      </c>
      <c r="QV58" s="314">
        <v>1280</v>
      </c>
      <c r="QW58" s="314">
        <v>1620</v>
      </c>
      <c r="QX58" s="314">
        <f>684+270</f>
        <v>954</v>
      </c>
      <c r="QY58" s="365">
        <f>433+21+24</f>
        <v>478</v>
      </c>
      <c r="QZ58" s="314">
        <v>470</v>
      </c>
      <c r="RA58" s="314"/>
      <c r="RB58" s="314">
        <v>1000</v>
      </c>
      <c r="RC58" s="314">
        <v>1050</v>
      </c>
      <c r="RD58" s="365">
        <f>561+20</f>
        <v>581</v>
      </c>
      <c r="RE58" s="136">
        <v>350</v>
      </c>
      <c r="RF58" s="136">
        <v>564</v>
      </c>
      <c r="RG58" s="72"/>
      <c r="RH58" s="365">
        <f>690+50</f>
        <v>740</v>
      </c>
      <c r="RJ58" s="136">
        <v>900</v>
      </c>
      <c r="RK58" s="314">
        <v>1320</v>
      </c>
      <c r="RL58" s="314">
        <v>1430</v>
      </c>
      <c r="RM58" s="136">
        <v>1430</v>
      </c>
      <c r="RN58" s="136">
        <v>1430</v>
      </c>
      <c r="RP58" s="314">
        <v>1360</v>
      </c>
      <c r="RQ58" s="314">
        <v>1430</v>
      </c>
      <c r="RR58" s="314">
        <v>1430</v>
      </c>
      <c r="RS58" s="365">
        <f>616+414</f>
        <v>1030</v>
      </c>
      <c r="RT58" s="435">
        <f>390+810</f>
        <v>1200</v>
      </c>
      <c r="RU58" s="173">
        <f>414+940</f>
        <v>1354</v>
      </c>
      <c r="RV58" s="173">
        <f>73+120+120+20</f>
        <v>333</v>
      </c>
      <c r="RX58" s="136">
        <f>100+36+36+36+200</f>
        <v>408</v>
      </c>
      <c r="RY58" s="136">
        <v>1060</v>
      </c>
      <c r="RZ58" s="136">
        <f>429+170</f>
        <v>599</v>
      </c>
      <c r="SA58" s="136">
        <f>421+150</f>
        <v>571</v>
      </c>
      <c r="SB58" s="136">
        <v>1100</v>
      </c>
      <c r="SC58" s="365">
        <f>616+130</f>
        <v>746</v>
      </c>
      <c r="SD58" s="314"/>
      <c r="SE58" s="314">
        <f>515+340</f>
        <v>855</v>
      </c>
      <c r="SF58" s="314">
        <v>1440</v>
      </c>
      <c r="SG58" s="314">
        <f>543+200</f>
        <v>743</v>
      </c>
      <c r="SH58" s="314">
        <f>493+500</f>
        <v>993</v>
      </c>
      <c r="SI58" s="136">
        <f>625+720</f>
        <v>1345</v>
      </c>
      <c r="SJ58" s="365">
        <v>1172</v>
      </c>
      <c r="SL58" s="136">
        <v>400</v>
      </c>
      <c r="SM58" s="72"/>
      <c r="SN58" s="314">
        <f>702+200</f>
        <v>902</v>
      </c>
      <c r="SO58" s="136">
        <f>353+320</f>
        <v>673</v>
      </c>
      <c r="SP58" s="365">
        <v>262</v>
      </c>
      <c r="SQ58" s="173">
        <f>27+21+30+0</f>
        <v>78</v>
      </c>
      <c r="SR58" s="136">
        <v>756</v>
      </c>
      <c r="SS58" s="173">
        <f>21+30</f>
        <v>51</v>
      </c>
      <c r="ST58" s="173">
        <f>35+27</f>
        <v>62</v>
      </c>
      <c r="SU58" s="173">
        <f>30+21+299</f>
        <v>350</v>
      </c>
      <c r="SV58" s="173"/>
      <c r="SW58" s="173">
        <f>278+100</f>
        <v>378</v>
      </c>
      <c r="SX58" s="173">
        <f>40+167</f>
        <v>207</v>
      </c>
      <c r="SY58" s="173">
        <f>140+24</f>
        <v>164</v>
      </c>
      <c r="SZ58" s="173"/>
      <c r="TA58" s="173">
        <f>272+270+30+15+180</f>
        <v>767</v>
      </c>
      <c r="TB58" s="314">
        <f>319+300</f>
        <v>619</v>
      </c>
      <c r="TC58" s="314">
        <v>1050</v>
      </c>
      <c r="TD58" s="314">
        <f>160+45</f>
        <v>205</v>
      </c>
      <c r="TE58" s="314">
        <v>700</v>
      </c>
      <c r="TF58" s="314">
        <f>800+35</f>
        <v>835</v>
      </c>
      <c r="TG58" s="314"/>
      <c r="TH58" s="314">
        <v>900</v>
      </c>
      <c r="TI58" s="314">
        <f>202+150</f>
        <v>352</v>
      </c>
      <c r="TJ58" s="365">
        <f>762+150</f>
        <v>912</v>
      </c>
      <c r="TK58" s="314">
        <v>960</v>
      </c>
      <c r="TL58" s="314">
        <v>1070</v>
      </c>
      <c r="TM58" s="314">
        <f>581+280</f>
        <v>861</v>
      </c>
      <c r="TN58" s="314"/>
      <c r="TO58" s="314">
        <v>850</v>
      </c>
      <c r="TP58" s="314">
        <v>950</v>
      </c>
      <c r="TQ58" s="314">
        <v>695</v>
      </c>
      <c r="TS58" s="314">
        <v>530</v>
      </c>
      <c r="TT58" s="314">
        <v>990</v>
      </c>
      <c r="TU58" s="136">
        <f>646+60</f>
        <v>706</v>
      </c>
      <c r="TW58" s="136">
        <v>900</v>
      </c>
      <c r="TX58" s="136">
        <v>1230</v>
      </c>
      <c r="TY58" s="314">
        <v>1450</v>
      </c>
      <c r="TZ58" s="314">
        <v>1530</v>
      </c>
      <c r="UA58" s="314">
        <v>1760</v>
      </c>
      <c r="UB58" s="314">
        <v>1700</v>
      </c>
      <c r="UC58" s="136">
        <v>1440</v>
      </c>
      <c r="UD58" s="314">
        <v>1760</v>
      </c>
      <c r="UE58" s="314">
        <v>1720</v>
      </c>
      <c r="UF58" s="314">
        <v>1760</v>
      </c>
      <c r="UG58" s="314">
        <v>1300</v>
      </c>
      <c r="UK58" s="314">
        <v>1760</v>
      </c>
      <c r="UL58" s="314">
        <v>1760</v>
      </c>
      <c r="UM58" s="314">
        <v>1500</v>
      </c>
      <c r="UN58" s="314">
        <v>1550</v>
      </c>
      <c r="UO58" s="314">
        <v>1500</v>
      </c>
      <c r="UP58" s="314">
        <v>1600</v>
      </c>
      <c r="UR58" s="314">
        <v>1450</v>
      </c>
      <c r="US58" s="314">
        <v>1600</v>
      </c>
      <c r="UT58" s="314">
        <v>1650</v>
      </c>
      <c r="UU58" s="314">
        <v>1606</v>
      </c>
      <c r="UV58" s="314">
        <v>1450</v>
      </c>
      <c r="UW58" s="314">
        <v>1400</v>
      </c>
      <c r="UX58" s="72"/>
      <c r="UY58" s="314"/>
      <c r="UZ58" s="314">
        <v>1500</v>
      </c>
      <c r="VA58" s="314">
        <v>1600</v>
      </c>
      <c r="VB58" s="314">
        <v>1600</v>
      </c>
      <c r="VC58" s="314">
        <v>1606</v>
      </c>
      <c r="VD58" s="314">
        <v>1621</v>
      </c>
      <c r="VE58" s="314">
        <v>1600</v>
      </c>
      <c r="VG58" s="314">
        <v>1600</v>
      </c>
      <c r="VH58" s="314">
        <v>1600</v>
      </c>
      <c r="VI58" s="314">
        <v>1600</v>
      </c>
      <c r="VJ58" s="314">
        <v>1760</v>
      </c>
      <c r="VK58" s="314">
        <v>1760</v>
      </c>
      <c r="VL58" s="314">
        <v>690</v>
      </c>
      <c r="VM58" s="314"/>
      <c r="VN58" s="314">
        <v>1500</v>
      </c>
      <c r="VO58" s="314">
        <v>1500</v>
      </c>
      <c r="VP58" s="314">
        <v>1700</v>
      </c>
      <c r="VQ58" s="314">
        <v>1810</v>
      </c>
      <c r="VR58" s="314">
        <v>1820</v>
      </c>
      <c r="VS58" s="314">
        <v>1800</v>
      </c>
      <c r="VU58" s="365">
        <f>188+620</f>
        <v>808</v>
      </c>
      <c r="VV58" s="136">
        <f>324+760</f>
        <v>1084</v>
      </c>
      <c r="VW58" s="136">
        <v>740</v>
      </c>
      <c r="VX58" s="136">
        <v>1000</v>
      </c>
      <c r="VY58" s="136">
        <v>1000</v>
      </c>
      <c r="VZ58" s="136">
        <v>1050</v>
      </c>
      <c r="WA58" s="314"/>
      <c r="WB58" s="136">
        <v>1000</v>
      </c>
      <c r="WC58" s="314">
        <f>363+200</f>
        <v>563</v>
      </c>
      <c r="WD58" s="72"/>
      <c r="WE58" s="314">
        <v>1020</v>
      </c>
      <c r="WF58" s="136">
        <v>1210</v>
      </c>
      <c r="WG58" s="136">
        <v>1220</v>
      </c>
      <c r="WH58" s="136">
        <v>1200</v>
      </c>
      <c r="WJ58" s="136">
        <f>32+1020</f>
        <v>1052</v>
      </c>
      <c r="WK58" s="136">
        <v>1150</v>
      </c>
      <c r="WL58" s="365">
        <f>40+50+1010</f>
        <v>1100</v>
      </c>
      <c r="WM58" s="136">
        <f>179+991</f>
        <v>1170</v>
      </c>
      <c r="WN58" s="136">
        <v>1150</v>
      </c>
      <c r="WO58" s="136">
        <v>1210</v>
      </c>
      <c r="WP58" s="136">
        <v>800</v>
      </c>
      <c r="WQ58" s="365">
        <f>436+70</f>
        <v>506</v>
      </c>
      <c r="WR58" s="136">
        <v>940</v>
      </c>
      <c r="WS58" s="136">
        <v>1100</v>
      </c>
      <c r="WT58" s="136">
        <f>936+150</f>
        <v>1086</v>
      </c>
      <c r="WU58" s="314">
        <f>170+930</f>
        <v>1100</v>
      </c>
      <c r="WV58" s="136">
        <v>960</v>
      </c>
      <c r="WZ58" s="314">
        <v>1320</v>
      </c>
      <c r="XA58" s="136">
        <f>680+650</f>
        <v>1330</v>
      </c>
      <c r="XB58" s="136">
        <v>1320</v>
      </c>
      <c r="XC58" s="136">
        <f>6+1121+200</f>
        <v>1327</v>
      </c>
      <c r="XE58" s="136">
        <v>1210</v>
      </c>
      <c r="XF58" s="136">
        <v>1210</v>
      </c>
      <c r="XG58" s="72"/>
      <c r="XH58" s="124">
        <f>440+350</f>
        <v>790</v>
      </c>
      <c r="XI58" s="136">
        <v>1100</v>
      </c>
      <c r="XJ58" s="136">
        <v>1210</v>
      </c>
      <c r="XK58" s="314">
        <v>1210</v>
      </c>
      <c r="XM58" s="314">
        <f>1020+30</f>
        <v>1050</v>
      </c>
      <c r="XN58" s="314">
        <f>820+40+24</f>
        <v>884</v>
      </c>
      <c r="XO58" s="314">
        <f>139+550</f>
        <v>689</v>
      </c>
      <c r="XP58" s="314">
        <v>1030</v>
      </c>
      <c r="XQ58" s="314">
        <v>1100</v>
      </c>
      <c r="XR58" s="314">
        <f>425+400</f>
        <v>825</v>
      </c>
      <c r="XS58" s="173"/>
      <c r="XT58" s="314">
        <v>1100</v>
      </c>
      <c r="XU58" s="314">
        <f>588+30+20</f>
        <v>638</v>
      </c>
      <c r="XV58" s="314">
        <f>560+41+27+27</f>
        <v>655</v>
      </c>
      <c r="XW58" s="314">
        <v>1150</v>
      </c>
      <c r="XX58" s="124">
        <v>1113</v>
      </c>
      <c r="XY58" s="314">
        <v>820</v>
      </c>
      <c r="XZ58" s="314">
        <v>1050</v>
      </c>
      <c r="YA58" s="314">
        <v>1320</v>
      </c>
      <c r="YB58" s="314">
        <v>1060</v>
      </c>
      <c r="YC58" s="124">
        <f>363+171+40</f>
        <v>574</v>
      </c>
      <c r="YD58" s="173">
        <f>232+170+50</f>
        <v>452</v>
      </c>
      <c r="YE58" s="173">
        <f>222+272</f>
        <v>494</v>
      </c>
      <c r="YF58" s="173">
        <f>280+269+70</f>
        <v>619</v>
      </c>
      <c r="YG58" s="173"/>
      <c r="YH58" s="173">
        <f>205+20</f>
        <v>225</v>
      </c>
      <c r="YI58" s="173">
        <f>150+30</f>
        <v>180</v>
      </c>
      <c r="YJ58" s="173">
        <f>140+310</f>
        <v>450</v>
      </c>
      <c r="YK58" s="173"/>
      <c r="YL58" s="173">
        <v>1000</v>
      </c>
      <c r="YM58" s="72"/>
      <c r="YN58" s="136">
        <v>1320</v>
      </c>
      <c r="YP58" s="124">
        <f>468+180</f>
        <v>648</v>
      </c>
      <c r="YQ58" s="136">
        <v>800</v>
      </c>
      <c r="YR58" s="314">
        <v>970</v>
      </c>
      <c r="YS58" s="136">
        <v>1040</v>
      </c>
      <c r="YT58" s="314">
        <v>1000</v>
      </c>
      <c r="YU58" s="124">
        <f>549+170+30</f>
        <v>749</v>
      </c>
      <c r="YW58" s="173">
        <f>140+169+50</f>
        <v>359</v>
      </c>
      <c r="YX58" s="136">
        <f>120+450</f>
        <v>570</v>
      </c>
      <c r="YY58" s="136">
        <f>325+80</f>
        <v>405</v>
      </c>
      <c r="YZ58" s="136">
        <v>280</v>
      </c>
      <c r="ZB58" s="136">
        <f>48+360</f>
        <v>408</v>
      </c>
      <c r="ZD58" s="136">
        <f>64+170+200</f>
        <v>434</v>
      </c>
      <c r="ZE58" s="124">
        <f>276+41+41</f>
        <v>358</v>
      </c>
      <c r="ZF58" s="136">
        <v>300</v>
      </c>
      <c r="ZG58" s="136">
        <f>116+420</f>
        <v>536</v>
      </c>
      <c r="ZH58" s="136">
        <v>700</v>
      </c>
      <c r="ZI58" s="136">
        <f>321+430</f>
        <v>751</v>
      </c>
      <c r="ZK58" s="314">
        <f>426+330</f>
        <v>756</v>
      </c>
      <c r="ZL58" s="136">
        <f>278+80</f>
        <v>358</v>
      </c>
      <c r="ZM58" s="314">
        <v>566</v>
      </c>
      <c r="ZN58" s="136">
        <v>430</v>
      </c>
      <c r="ZO58" s="124">
        <f>236+400</f>
        <v>636</v>
      </c>
      <c r="ZP58" s="136">
        <v>570</v>
      </c>
      <c r="ZR58" s="72"/>
      <c r="ZS58" s="320"/>
      <c r="ZT58" s="314">
        <v>700</v>
      </c>
      <c r="ZU58" s="314">
        <v>820</v>
      </c>
      <c r="ZV58" s="314">
        <v>800</v>
      </c>
      <c r="ZW58" s="314">
        <v>810</v>
      </c>
      <c r="ZX58" s="124">
        <f>868+32</f>
        <v>900</v>
      </c>
      <c r="ZZ58" s="314">
        <v>900</v>
      </c>
      <c r="AAA58" s="314">
        <v>990</v>
      </c>
      <c r="AAB58" s="314">
        <v>900</v>
      </c>
      <c r="AAC58" s="314">
        <v>900</v>
      </c>
      <c r="AAD58" s="314">
        <f>490+30</f>
        <v>520</v>
      </c>
      <c r="AAE58" s="777"/>
      <c r="AAF58" s="705"/>
      <c r="AAG58" s="705"/>
      <c r="AAH58" s="705"/>
      <c r="AAI58" s="778"/>
      <c r="AAJ58" s="173">
        <f>243+270</f>
        <v>513</v>
      </c>
      <c r="AAK58" s="314">
        <f>1+700</f>
        <v>701</v>
      </c>
      <c r="AAL58" s="314">
        <v>732</v>
      </c>
      <c r="AAM58" s="314">
        <v>523</v>
      </c>
      <c r="AAN58" s="173">
        <f>145+18+80</f>
        <v>243</v>
      </c>
      <c r="AAO58" s="136">
        <f>202+230</f>
        <v>432</v>
      </c>
      <c r="AAP58" s="314">
        <v>800</v>
      </c>
      <c r="AAQ58" s="314">
        <v>470</v>
      </c>
      <c r="AAR58" s="314">
        <v>640</v>
      </c>
      <c r="AAS58" s="314">
        <v>700</v>
      </c>
      <c r="AAT58" s="586" t="s">
        <v>2311</v>
      </c>
      <c r="AAU58" s="314">
        <f>128+500</f>
        <v>628</v>
      </c>
      <c r="AAV58" s="314">
        <v>570</v>
      </c>
      <c r="AAW58" s="136">
        <f>487+180</f>
        <v>667</v>
      </c>
      <c r="AAX58" s="72"/>
      <c r="AAY58" s="173">
        <f>114+301</f>
        <v>415</v>
      </c>
      <c r="AAZ58" s="136">
        <f>1000+3</f>
        <v>1003</v>
      </c>
      <c r="ABA58" s="136">
        <v>950</v>
      </c>
      <c r="ABC58" s="314">
        <v>950</v>
      </c>
      <c r="ABD58" s="136">
        <f>621+12+18+50</f>
        <v>701</v>
      </c>
      <c r="ABE58" s="173">
        <f>232+300</f>
        <v>532</v>
      </c>
      <c r="ABF58" s="136">
        <f>298+420</f>
        <v>718</v>
      </c>
      <c r="ABG58" s="136">
        <f>414+400</f>
        <v>814</v>
      </c>
      <c r="ABH58" s="136">
        <v>900</v>
      </c>
      <c r="ABJ58" s="136">
        <v>729</v>
      </c>
      <c r="ABK58" s="587">
        <f>3+600</f>
        <v>603</v>
      </c>
      <c r="ABL58" s="587">
        <f>18+900</f>
        <v>918</v>
      </c>
      <c r="ABM58" s="136">
        <v>749</v>
      </c>
      <c r="ABN58" s="136">
        <v>500</v>
      </c>
      <c r="ABO58" s="136">
        <f>287+300</f>
        <v>587</v>
      </c>
      <c r="ABP58" s="136">
        <v>650</v>
      </c>
      <c r="ABQ58" s="136">
        <v>1100</v>
      </c>
      <c r="ABR58" s="136">
        <v>696</v>
      </c>
      <c r="ABS58" s="136">
        <f>146+61+170</f>
        <v>377</v>
      </c>
      <c r="ABT58" s="136">
        <v>660</v>
      </c>
      <c r="ABU58" s="136">
        <v>950</v>
      </c>
      <c r="ABV58" s="136">
        <v>880</v>
      </c>
      <c r="ABX58" s="124">
        <v>1150</v>
      </c>
      <c r="ABY58" s="587">
        <f>180+450</f>
        <v>630</v>
      </c>
      <c r="ABZ58" s="587">
        <f>580+100</f>
        <v>680</v>
      </c>
      <c r="ACA58" s="587">
        <v>660</v>
      </c>
      <c r="ACB58" s="587">
        <v>630</v>
      </c>
      <c r="ACC58" s="72"/>
      <c r="ACD58" s="587">
        <f>770+100</f>
        <v>870</v>
      </c>
      <c r="ACE58" s="136">
        <f>230+450</f>
        <v>680</v>
      </c>
      <c r="ACF58" s="136">
        <v>800</v>
      </c>
      <c r="ACG58" s="136">
        <v>800</v>
      </c>
      <c r="ACH58" s="136">
        <f>404+340</f>
        <v>744</v>
      </c>
      <c r="ACI58" s="136">
        <f>147+700</f>
        <v>847</v>
      </c>
      <c r="ACJ58" s="136">
        <f>447+350</f>
        <v>797</v>
      </c>
      <c r="ACK58" s="136">
        <v>900</v>
      </c>
      <c r="ACM58" s="136">
        <v>1120</v>
      </c>
      <c r="ACN58" s="136">
        <v>1100</v>
      </c>
      <c r="ACO58" s="136">
        <f>471+263+20</f>
        <v>754</v>
      </c>
      <c r="ACP58" s="587">
        <f>187+500</f>
        <v>687</v>
      </c>
      <c r="ACQ58" s="587">
        <f>524+38+65+20</f>
        <v>647</v>
      </c>
      <c r="ACR58" s="587">
        <f>271+230</f>
        <v>501</v>
      </c>
      <c r="ACS58" s="587">
        <v>750</v>
      </c>
      <c r="ACT58" s="587">
        <v>950</v>
      </c>
      <c r="ACU58" s="587">
        <v>730</v>
      </c>
      <c r="ACV58" s="587">
        <f>407+79</f>
        <v>486</v>
      </c>
      <c r="ACW58" s="785"/>
      <c r="ACX58" s="786"/>
      <c r="ACY58" s="786"/>
      <c r="ACZ58" s="786"/>
      <c r="ADA58" s="786"/>
      <c r="ADB58" s="786"/>
      <c r="ADC58" s="786"/>
      <c r="ADD58" s="786"/>
      <c r="ADE58" s="786"/>
      <c r="ADF58" s="786"/>
      <c r="ADG58" s="787"/>
      <c r="ADH58" s="314"/>
      <c r="ADI58" s="72"/>
      <c r="ADJ58" s="314">
        <v>400</v>
      </c>
      <c r="ADK58" s="314">
        <v>700</v>
      </c>
      <c r="ADL58" s="173">
        <f>374+291</f>
        <v>665</v>
      </c>
      <c r="ADM58" s="314">
        <f>327+250</f>
        <v>577</v>
      </c>
      <c r="ADN58" s="136">
        <f>232+500</f>
        <v>732</v>
      </c>
      <c r="ADP58" s="136">
        <v>1100</v>
      </c>
      <c r="ADQ58" s="124">
        <f>641+200</f>
        <v>841</v>
      </c>
      <c r="ADR58" s="136">
        <v>880</v>
      </c>
      <c r="ADS58" s="136">
        <v>1100</v>
      </c>
      <c r="ADT58" s="136">
        <v>1100</v>
      </c>
      <c r="ADU58" s="314">
        <v>1210</v>
      </c>
      <c r="ADV58" s="136">
        <v>800</v>
      </c>
      <c r="ADY58" s="136">
        <f>799+100</f>
        <v>899</v>
      </c>
      <c r="ADZ58" s="173">
        <f>202+307</f>
        <v>509</v>
      </c>
      <c r="AEA58" s="314">
        <v>900</v>
      </c>
      <c r="AEB58" s="314">
        <v>1100</v>
      </c>
      <c r="AEC58" s="314"/>
      <c r="AED58" s="314">
        <v>1050</v>
      </c>
      <c r="AEE58" s="136">
        <f>227+301+20</f>
        <v>548</v>
      </c>
      <c r="AEF58" s="136">
        <v>600</v>
      </c>
      <c r="AEG58" s="136">
        <f>350+400</f>
        <v>750</v>
      </c>
      <c r="AEH58" s="136">
        <f>315+700</f>
        <v>1015</v>
      </c>
      <c r="AEI58" s="136">
        <f>589+200</f>
        <v>789</v>
      </c>
      <c r="AEK58" s="136">
        <v>930</v>
      </c>
      <c r="AEL58" s="136">
        <v>1100</v>
      </c>
      <c r="AEM58" s="136">
        <v>924</v>
      </c>
      <c r="AEN58" s="314">
        <v>502</v>
      </c>
      <c r="AEO58" s="72"/>
      <c r="AEP58" s="136">
        <f>105+160</f>
        <v>265</v>
      </c>
      <c r="AEQ58" s="124">
        <f>534+20</f>
        <v>554</v>
      </c>
      <c r="AES58" s="173">
        <f>327+70</f>
        <v>397</v>
      </c>
      <c r="AET58" s="136">
        <f>234+400</f>
        <v>634</v>
      </c>
      <c r="AEU58" s="136">
        <v>828</v>
      </c>
      <c r="AEV58" s="136">
        <v>620</v>
      </c>
      <c r="AEW58" s="136">
        <v>1040</v>
      </c>
      <c r="AEX58" s="314">
        <v>1000</v>
      </c>
      <c r="AEZ58" s="314">
        <f>400+10</f>
        <v>410</v>
      </c>
      <c r="AFA58" s="136">
        <v>530</v>
      </c>
      <c r="AFB58" s="136">
        <v>750</v>
      </c>
      <c r="AFC58" s="136">
        <v>1040</v>
      </c>
      <c r="AFD58" s="136">
        <f>199+270</f>
        <v>469</v>
      </c>
      <c r="AFE58" s="136">
        <v>800</v>
      </c>
      <c r="AFF58" s="625"/>
      <c r="AFG58" s="314">
        <v>1130</v>
      </c>
      <c r="AFH58" s="314">
        <v>1180</v>
      </c>
      <c r="AFI58" s="314">
        <v>1270</v>
      </c>
      <c r="AFJ58" s="314">
        <f>164+660</f>
        <v>824</v>
      </c>
      <c r="AFK58" s="124">
        <f>958+50</f>
        <v>1008</v>
      </c>
      <c r="AFL58" s="124">
        <f>17+1677</f>
        <v>1694</v>
      </c>
      <c r="AFM58" s="314"/>
      <c r="AFN58" s="314">
        <v>300</v>
      </c>
      <c r="AFO58" s="314">
        <v>800</v>
      </c>
      <c r="AFP58" s="314">
        <v>1320</v>
      </c>
      <c r="AFQ58" s="314">
        <v>1250</v>
      </c>
      <c r="AFR58" s="136">
        <v>1300</v>
      </c>
      <c r="AFS58" s="314">
        <v>980</v>
      </c>
      <c r="AFT58" s="603"/>
      <c r="AFU58" s="625"/>
      <c r="AFV58" s="314">
        <v>1200</v>
      </c>
      <c r="AFW58" s="136">
        <v>1200</v>
      </c>
      <c r="AFX58" s="136">
        <v>1200</v>
      </c>
      <c r="AFY58" s="136">
        <f>434+300</f>
        <v>734</v>
      </c>
      <c r="AFZ58" s="136">
        <v>1000</v>
      </c>
      <c r="AGA58" s="136">
        <f>519+200</f>
        <v>719</v>
      </c>
      <c r="AGC58" s="314">
        <v>1000</v>
      </c>
      <c r="AGD58" s="314">
        <v>1060</v>
      </c>
      <c r="AGE58" s="124">
        <v>916</v>
      </c>
      <c r="AGF58" s="136">
        <v>460</v>
      </c>
      <c r="AGG58" s="136">
        <v>900</v>
      </c>
      <c r="AGH58" s="136">
        <v>950</v>
      </c>
      <c r="AGJ58" s="136">
        <f>785+50</f>
        <v>835</v>
      </c>
      <c r="AGK58" s="136">
        <v>950</v>
      </c>
      <c r="AGL58" s="314">
        <v>1000</v>
      </c>
      <c r="AGM58" s="314">
        <v>850</v>
      </c>
      <c r="AGN58" s="124">
        <f>231+20+25+160</f>
        <v>436</v>
      </c>
      <c r="AGO58" s="314">
        <v>900</v>
      </c>
      <c r="AGP58" s="314"/>
      <c r="AGQ58" s="314">
        <v>1000</v>
      </c>
      <c r="AGR58" s="314">
        <v>1050</v>
      </c>
      <c r="AGS58" s="136">
        <f>844+40</f>
        <v>884</v>
      </c>
      <c r="AGT58" s="136">
        <f>259+370</f>
        <v>629</v>
      </c>
      <c r="AGU58" s="136">
        <v>940</v>
      </c>
      <c r="AGV58" s="136">
        <f>754+60</f>
        <v>814</v>
      </c>
      <c r="AGX58" s="136">
        <f>4+970</f>
        <v>974</v>
      </c>
      <c r="AGY58" s="136">
        <v>950</v>
      </c>
      <c r="AGZ58" s="72"/>
      <c r="AHA58" s="136">
        <v>1210</v>
      </c>
      <c r="AHB58" s="136">
        <v>1000</v>
      </c>
      <c r="AHC58" s="124">
        <v>910</v>
      </c>
      <c r="AHD58" s="136">
        <v>521</v>
      </c>
      <c r="AHF58" s="136">
        <f>96+500</f>
        <v>596</v>
      </c>
      <c r="AHG58" s="136">
        <v>1000</v>
      </c>
      <c r="AHH58" s="136">
        <v>1140</v>
      </c>
      <c r="AHI58" s="136">
        <v>1210</v>
      </c>
      <c r="AHJ58" s="136">
        <v>1000</v>
      </c>
      <c r="AHK58" s="124">
        <f>416+130</f>
        <v>546</v>
      </c>
      <c r="AHL58" s="314"/>
      <c r="AHM58" s="314">
        <v>700</v>
      </c>
      <c r="AHN58" s="314">
        <f>880+1</f>
        <v>881</v>
      </c>
      <c r="AHO58" s="136">
        <v>970</v>
      </c>
      <c r="AHP58" s="136">
        <v>860</v>
      </c>
      <c r="AHQ58" s="136">
        <f>400+403</f>
        <v>803</v>
      </c>
      <c r="AHR58" s="136">
        <v>1000</v>
      </c>
      <c r="AHT58" s="314">
        <v>690</v>
      </c>
      <c r="AHU58" s="314">
        <v>1000</v>
      </c>
      <c r="AHV58" s="314">
        <v>1000</v>
      </c>
      <c r="AHW58" s="136">
        <v>1000</v>
      </c>
      <c r="AHX58" s="314">
        <v>1000</v>
      </c>
      <c r="AHY58" s="314">
        <v>1000</v>
      </c>
      <c r="AIA58" s="314">
        <v>1000</v>
      </c>
      <c r="AIB58" s="124">
        <v>650</v>
      </c>
      <c r="AIC58" s="136">
        <v>1000</v>
      </c>
      <c r="AID58" s="136">
        <v>1000</v>
      </c>
      <c r="AIE58" s="72"/>
      <c r="AIF58" s="136">
        <v>1000</v>
      </c>
      <c r="AIG58" s="136">
        <v>1000</v>
      </c>
      <c r="AII58" s="124">
        <v>1100</v>
      </c>
      <c r="AIJ58" s="136">
        <v>670</v>
      </c>
      <c r="AIK58" s="136">
        <v>1000</v>
      </c>
      <c r="AIL58" s="136">
        <v>1000</v>
      </c>
      <c r="AIM58" s="124">
        <v>1000</v>
      </c>
      <c r="AIN58" s="314">
        <v>400</v>
      </c>
      <c r="AIP58" s="314">
        <v>800</v>
      </c>
      <c r="AIQ58" s="124">
        <v>860</v>
      </c>
      <c r="AIR58" s="136">
        <v>1050</v>
      </c>
      <c r="AIS58" s="136">
        <v>500</v>
      </c>
      <c r="AIT58" s="136">
        <v>550</v>
      </c>
      <c r="AIW58" s="314">
        <v>520</v>
      </c>
      <c r="AIX58" s="314">
        <v>730</v>
      </c>
      <c r="AIY58" s="314">
        <v>550</v>
      </c>
      <c r="AIZ58" s="136">
        <v>500</v>
      </c>
      <c r="AJA58" s="314">
        <v>900</v>
      </c>
      <c r="AJB58" s="314">
        <v>600</v>
      </c>
      <c r="AJD58" s="136">
        <v>1000</v>
      </c>
      <c r="AJE58" s="136">
        <v>600</v>
      </c>
      <c r="AJF58" s="124">
        <v>1000</v>
      </c>
      <c r="AJG58" s="314">
        <v>400</v>
      </c>
      <c r="AJH58" s="314">
        <v>800</v>
      </c>
      <c r="AJI58" s="314">
        <v>1350</v>
      </c>
      <c r="AJK58" s="72"/>
      <c r="AJL58" s="314">
        <v>1350</v>
      </c>
      <c r="AJM58" s="314">
        <v>1350</v>
      </c>
      <c r="AJN58" s="314">
        <v>1350</v>
      </c>
      <c r="AJO58" s="314">
        <v>1350</v>
      </c>
      <c r="AJP58" s="314">
        <v>1350</v>
      </c>
      <c r="AJQ58" s="314">
        <v>1350</v>
      </c>
      <c r="AJR58" s="314"/>
      <c r="AJS58" s="314">
        <v>1350</v>
      </c>
      <c r="AJT58" s="314">
        <v>1350</v>
      </c>
      <c r="AJU58" s="314">
        <v>1350</v>
      </c>
      <c r="AJV58" s="124">
        <v>1350</v>
      </c>
      <c r="AJW58" s="136">
        <v>300</v>
      </c>
      <c r="AJX58" s="136">
        <v>600</v>
      </c>
      <c r="AJZ58" s="136">
        <v>900</v>
      </c>
      <c r="AKA58" s="136">
        <v>1150</v>
      </c>
      <c r="AKB58" s="314">
        <v>1150</v>
      </c>
      <c r="AKC58" s="314">
        <v>1150</v>
      </c>
      <c r="AKD58" s="314">
        <v>1150</v>
      </c>
      <c r="AKE58" s="314">
        <v>1150</v>
      </c>
      <c r="AKF58" s="314"/>
      <c r="AKG58" s="314">
        <v>1150</v>
      </c>
      <c r="AKH58" s="314">
        <v>1150</v>
      </c>
      <c r="AKI58" s="314">
        <v>1150</v>
      </c>
      <c r="AKJ58" s="314">
        <v>1150</v>
      </c>
      <c r="AKK58" s="314">
        <v>1150</v>
      </c>
      <c r="AKL58" s="314">
        <v>1150</v>
      </c>
      <c r="AKM58" s="314"/>
      <c r="AKN58" s="314">
        <v>1150</v>
      </c>
      <c r="AKO58" s="314">
        <v>1150</v>
      </c>
      <c r="AKP58" s="314">
        <v>1150</v>
      </c>
      <c r="AKQ58" s="74"/>
      <c r="AKR58" s="136">
        <v>1150</v>
      </c>
      <c r="AKS58" s="314">
        <v>1150</v>
      </c>
      <c r="AKT58" s="314">
        <v>1150</v>
      </c>
      <c r="AKV58" s="314">
        <v>1150</v>
      </c>
      <c r="AKW58" s="124">
        <v>1150</v>
      </c>
      <c r="AKX58" s="314">
        <v>1150</v>
      </c>
      <c r="AKY58" s="314">
        <v>1150</v>
      </c>
      <c r="AKZ58" s="314">
        <v>1150</v>
      </c>
      <c r="ALA58" s="314">
        <v>1150</v>
      </c>
      <c r="ALB58" s="314"/>
      <c r="ALC58" s="314">
        <v>1150</v>
      </c>
      <c r="ALD58" s="314">
        <v>1150</v>
      </c>
      <c r="ALE58" s="314">
        <v>1150</v>
      </c>
      <c r="ALF58" s="314">
        <v>1150</v>
      </c>
      <c r="ALG58" s="314">
        <v>1150</v>
      </c>
      <c r="ALH58" s="314">
        <v>1150</v>
      </c>
      <c r="ALI58" s="314"/>
      <c r="ALJ58" s="314">
        <v>1150</v>
      </c>
      <c r="ALK58" s="314">
        <v>1150</v>
      </c>
      <c r="ALL58" s="314"/>
      <c r="ALM58" s="314">
        <v>1150</v>
      </c>
      <c r="ALN58" s="124">
        <v>1150</v>
      </c>
      <c r="ALO58" s="314">
        <v>500</v>
      </c>
      <c r="ALP58" s="314"/>
      <c r="ALQ58" s="314">
        <v>800</v>
      </c>
      <c r="ALR58" s="314">
        <v>1000</v>
      </c>
      <c r="ALS58" s="314">
        <v>1400</v>
      </c>
      <c r="ALT58" s="74"/>
      <c r="ALU58" s="603">
        <v>1400</v>
      </c>
      <c r="ALV58" s="603">
        <v>1400</v>
      </c>
      <c r="ALW58" s="603">
        <v>1400</v>
      </c>
      <c r="ALX58" s="603"/>
      <c r="ALY58" s="603">
        <v>1400</v>
      </c>
      <c r="ALZ58" s="603">
        <v>1400</v>
      </c>
      <c r="AMA58" s="603">
        <v>1400</v>
      </c>
      <c r="AMB58" s="603">
        <v>1400</v>
      </c>
      <c r="AMC58" s="603">
        <v>1400</v>
      </c>
      <c r="AMD58" s="603">
        <v>1400</v>
      </c>
      <c r="AME58" s="603"/>
      <c r="AMF58" s="603">
        <v>1400</v>
      </c>
      <c r="AMG58" s="603">
        <v>1400</v>
      </c>
      <c r="AMH58" s="603">
        <v>1400</v>
      </c>
      <c r="AMI58" s="603">
        <v>1400</v>
      </c>
      <c r="AMJ58" s="603">
        <v>1400</v>
      </c>
      <c r="AMK58" s="603">
        <v>1400</v>
      </c>
      <c r="AML58" s="603"/>
      <c r="AMM58" s="603">
        <v>1400</v>
      </c>
      <c r="AMN58" s="603">
        <v>1400</v>
      </c>
      <c r="AMO58" s="603">
        <v>1400</v>
      </c>
      <c r="AMP58" s="603">
        <v>1400</v>
      </c>
      <c r="AMQ58" s="603">
        <v>1400</v>
      </c>
      <c r="AMR58" s="603">
        <v>1400</v>
      </c>
      <c r="AMS58" s="603"/>
      <c r="AMT58" s="603"/>
      <c r="AMU58" s="603">
        <v>1400</v>
      </c>
      <c r="AMV58" s="603">
        <v>1400</v>
      </c>
      <c r="AMW58" s="603">
        <v>1400</v>
      </c>
      <c r="AMX58" s="603">
        <v>1400</v>
      </c>
      <c r="AMY58" s="603">
        <v>1400</v>
      </c>
      <c r="AMZ58" s="74"/>
      <c r="ANA58" s="314"/>
      <c r="ANB58" s="314">
        <v>1170</v>
      </c>
      <c r="ANC58" s="314">
        <v>1170</v>
      </c>
      <c r="AND58" s="314">
        <v>1170</v>
      </c>
      <c r="ANE58" s="314">
        <v>1170</v>
      </c>
      <c r="ANF58" s="314">
        <v>1170</v>
      </c>
      <c r="ANG58" s="314">
        <v>1170</v>
      </c>
      <c r="ANH58" s="314">
        <v>1170</v>
      </c>
      <c r="ANI58" s="314">
        <v>1170</v>
      </c>
      <c r="ANJ58" s="314">
        <v>1170</v>
      </c>
      <c r="ANK58" s="314">
        <v>1170</v>
      </c>
      <c r="ANL58" s="314">
        <v>1170</v>
      </c>
      <c r="ANM58" s="124">
        <v>1170</v>
      </c>
      <c r="ANN58" s="314"/>
      <c r="ANO58" s="314"/>
      <c r="ANP58" s="314">
        <v>1170</v>
      </c>
      <c r="ANQ58" s="314">
        <v>1170</v>
      </c>
      <c r="ANR58" s="314">
        <v>1170</v>
      </c>
      <c r="ANS58" s="314">
        <v>1170</v>
      </c>
      <c r="ANT58" s="314">
        <v>1170</v>
      </c>
      <c r="ANU58" s="314">
        <v>1170</v>
      </c>
      <c r="ANV58" s="603">
        <v>1170</v>
      </c>
      <c r="ANW58" s="603">
        <v>1170</v>
      </c>
      <c r="ANX58" s="603">
        <v>1170</v>
      </c>
      <c r="ANY58" s="603">
        <v>1170</v>
      </c>
      <c r="ANZ58" s="603">
        <v>1170</v>
      </c>
      <c r="AOA58" s="603">
        <v>1170</v>
      </c>
      <c r="AOB58" s="603">
        <v>1170</v>
      </c>
      <c r="AOC58" s="603"/>
      <c r="AOD58" s="603">
        <v>1170</v>
      </c>
      <c r="AOE58" s="74"/>
      <c r="AOF58" s="142"/>
      <c r="AOG58" s="142"/>
      <c r="AOH58" s="142"/>
      <c r="AOI58" s="142"/>
      <c r="AOJ58" s="142"/>
      <c r="AOK58" s="142"/>
      <c r="AOL58" s="142"/>
      <c r="AOM58" s="142"/>
      <c r="AON58" s="142"/>
      <c r="AOO58" s="314">
        <v>1430</v>
      </c>
      <c r="AOP58" s="314">
        <v>1430</v>
      </c>
      <c r="AOQ58" s="314">
        <v>1430</v>
      </c>
      <c r="AOR58" s="314"/>
      <c r="AOS58" s="314">
        <v>1430</v>
      </c>
      <c r="AOT58" s="314">
        <v>1430</v>
      </c>
      <c r="AOU58" s="314">
        <v>1430</v>
      </c>
      <c r="AOV58" s="314">
        <v>1430</v>
      </c>
      <c r="AOW58" s="314">
        <v>1430</v>
      </c>
      <c r="AOX58" s="314">
        <v>1430</v>
      </c>
      <c r="AOY58" s="314"/>
      <c r="AOZ58" s="314">
        <v>1430</v>
      </c>
      <c r="APA58" s="314">
        <v>1430</v>
      </c>
      <c r="APB58" s="314">
        <v>1430</v>
      </c>
      <c r="APC58" s="124">
        <v>1375</v>
      </c>
      <c r="APD58" s="314">
        <v>1375</v>
      </c>
      <c r="APE58" s="314">
        <v>1375</v>
      </c>
      <c r="APF58" s="314"/>
      <c r="APG58" s="314">
        <v>1375</v>
      </c>
      <c r="APH58" s="314">
        <v>1375</v>
      </c>
      <c r="API58" s="314">
        <v>1375</v>
      </c>
      <c r="APJ58" s="314">
        <v>1375</v>
      </c>
      <c r="APK58" s="74"/>
      <c r="APL58" s="314">
        <v>1375</v>
      </c>
      <c r="APM58" s="314">
        <v>1375</v>
      </c>
      <c r="APN58" s="314">
        <v>1000</v>
      </c>
      <c r="APO58" s="314">
        <v>1375</v>
      </c>
      <c r="APP58" s="314">
        <v>1375</v>
      </c>
      <c r="APQ58" s="314">
        <v>1375</v>
      </c>
      <c r="APR58" s="314">
        <v>1375</v>
      </c>
      <c r="APS58" s="314">
        <v>1375</v>
      </c>
      <c r="APT58" s="314">
        <v>1375</v>
      </c>
      <c r="APU58" s="314"/>
      <c r="APV58" s="314">
        <v>1375</v>
      </c>
      <c r="APW58" s="314">
        <v>1375</v>
      </c>
      <c r="APX58" s="314">
        <v>1375</v>
      </c>
      <c r="APY58" s="314">
        <v>1375</v>
      </c>
      <c r="APZ58" s="314">
        <v>1375</v>
      </c>
      <c r="AQA58" s="314">
        <v>1375</v>
      </c>
      <c r="AQB58" s="314"/>
      <c r="AQC58" s="314">
        <v>1375</v>
      </c>
      <c r="AQD58" s="314">
        <v>1375</v>
      </c>
      <c r="AQE58" s="314">
        <v>1375</v>
      </c>
      <c r="AQF58" s="314">
        <v>1375</v>
      </c>
      <c r="AQG58" s="314">
        <v>1375</v>
      </c>
      <c r="AQH58" s="314">
        <v>1375</v>
      </c>
      <c r="AQI58" s="314">
        <v>1000</v>
      </c>
      <c r="AQJ58" s="314">
        <v>1375</v>
      </c>
      <c r="AQK58" s="314">
        <v>1375</v>
      </c>
      <c r="AQL58" s="314">
        <v>1375</v>
      </c>
      <c r="AQM58" s="124">
        <v>1375</v>
      </c>
      <c r="AQN58" s="314">
        <v>1375</v>
      </c>
      <c r="AQO58" s="314">
        <v>1375</v>
      </c>
      <c r="AQP58" s="74"/>
      <c r="AQQ58" s="603"/>
      <c r="AQR58" s="603">
        <v>1375</v>
      </c>
      <c r="AQS58" s="603">
        <v>1375</v>
      </c>
      <c r="AQT58" s="603">
        <v>1375</v>
      </c>
      <c r="AQU58" s="603">
        <v>1375</v>
      </c>
      <c r="AQV58" s="603">
        <v>1375</v>
      </c>
      <c r="AQW58" s="603">
        <v>1375</v>
      </c>
      <c r="AQX58" s="142"/>
      <c r="AQY58" s="142"/>
      <c r="AQZ58" s="142"/>
      <c r="ARA58" s="142"/>
      <c r="ARB58" s="142"/>
      <c r="ARC58" s="142"/>
      <c r="ARD58" s="142"/>
      <c r="ARE58" s="142"/>
      <c r="ARF58" s="142"/>
      <c r="ARG58" s="603">
        <v>1375</v>
      </c>
      <c r="ARH58" s="603">
        <v>1375</v>
      </c>
      <c r="ARI58" s="603">
        <v>1375</v>
      </c>
      <c r="ARJ58" s="603">
        <v>1375</v>
      </c>
      <c r="ARK58" s="603">
        <v>1375</v>
      </c>
      <c r="ARL58" s="314"/>
      <c r="ARM58" s="603">
        <v>1375</v>
      </c>
      <c r="ARN58" s="603">
        <v>1375</v>
      </c>
      <c r="ARO58" s="603">
        <v>1375</v>
      </c>
      <c r="ARP58" s="603">
        <v>1375</v>
      </c>
      <c r="ARQ58" s="603">
        <v>1375</v>
      </c>
      <c r="ARR58" s="603">
        <v>1375</v>
      </c>
      <c r="ARS58" s="603"/>
      <c r="ART58" s="603">
        <v>1375</v>
      </c>
      <c r="ARU58" s="603">
        <v>1375</v>
      </c>
      <c r="ARV58" s="74"/>
      <c r="ARW58" s="314">
        <v>1250</v>
      </c>
      <c r="ARX58" s="314">
        <v>1250</v>
      </c>
      <c r="ARY58" s="314">
        <v>1250</v>
      </c>
      <c r="ARZ58" s="314">
        <v>1250</v>
      </c>
      <c r="ASA58" s="314"/>
      <c r="ASB58" s="314">
        <v>1250</v>
      </c>
      <c r="ASC58" s="314">
        <v>1250</v>
      </c>
      <c r="ASD58" s="314">
        <v>1250</v>
      </c>
      <c r="ASE58" s="314">
        <v>1250</v>
      </c>
      <c r="ASF58" s="314">
        <v>1250</v>
      </c>
      <c r="ASG58" s="314">
        <v>1250</v>
      </c>
      <c r="ASH58" s="314"/>
      <c r="ASI58" s="314">
        <v>1250</v>
      </c>
      <c r="ASJ58" s="314">
        <v>1250</v>
      </c>
      <c r="ASK58" s="314"/>
      <c r="ASL58" s="314">
        <v>1250</v>
      </c>
      <c r="ASM58" s="314">
        <v>1250</v>
      </c>
      <c r="ASN58" s="314">
        <v>1250</v>
      </c>
      <c r="ASO58" s="314"/>
      <c r="ASP58" s="314">
        <v>1250</v>
      </c>
      <c r="ASQ58" s="314">
        <v>1250</v>
      </c>
      <c r="ASR58" s="314">
        <v>1250</v>
      </c>
      <c r="ASS58" s="314">
        <v>1250</v>
      </c>
      <c r="AST58" s="314">
        <v>1250</v>
      </c>
      <c r="ASU58" s="314">
        <v>1250</v>
      </c>
      <c r="ASV58" s="314"/>
      <c r="ASW58" s="314">
        <v>1250</v>
      </c>
      <c r="ASX58" s="314">
        <v>1250</v>
      </c>
      <c r="ASY58" s="314">
        <v>1250</v>
      </c>
      <c r="ASZ58" s="314">
        <v>1250</v>
      </c>
      <c r="ATA58" s="124">
        <v>1250</v>
      </c>
      <c r="ATB58" s="74"/>
      <c r="ATC58" s="603">
        <v>1250</v>
      </c>
      <c r="ATD58" s="603"/>
      <c r="ATE58" s="603">
        <v>1250</v>
      </c>
      <c r="ATF58" s="603">
        <v>1250</v>
      </c>
      <c r="ATG58" s="603">
        <v>1250</v>
      </c>
      <c r="ATH58" s="603">
        <v>1250</v>
      </c>
      <c r="ATI58" s="603">
        <v>1250</v>
      </c>
      <c r="ATJ58" s="603">
        <v>1250</v>
      </c>
      <c r="ATK58" s="603"/>
      <c r="ATL58" s="603">
        <v>1250</v>
      </c>
      <c r="ATM58" s="603">
        <v>1250</v>
      </c>
      <c r="ATN58" s="603">
        <v>1250</v>
      </c>
      <c r="ATO58" s="603">
        <v>1250</v>
      </c>
      <c r="ATP58" s="603">
        <v>1250</v>
      </c>
      <c r="ATQ58" s="603">
        <v>1250</v>
      </c>
      <c r="ATR58" s="603"/>
      <c r="ATS58" s="603">
        <v>1250</v>
      </c>
      <c r="ATT58" s="603">
        <v>1250</v>
      </c>
      <c r="ATU58" s="603">
        <v>1250</v>
      </c>
      <c r="ATV58" s="603">
        <v>1250</v>
      </c>
      <c r="ATW58" s="603">
        <v>1250</v>
      </c>
      <c r="ATX58" s="603">
        <v>1250</v>
      </c>
      <c r="ATY58" s="603"/>
      <c r="ATZ58" s="603">
        <v>1250</v>
      </c>
      <c r="AUA58" s="603">
        <v>1250</v>
      </c>
      <c r="AUB58" s="603">
        <v>1250</v>
      </c>
      <c r="AUC58" s="603">
        <v>1250</v>
      </c>
      <c r="AUD58" s="603">
        <v>1250</v>
      </c>
      <c r="AUE58" s="603">
        <v>1250</v>
      </c>
      <c r="AUF58" s="603"/>
      <c r="AUG58" s="74"/>
      <c r="AUH58" s="603">
        <v>1250</v>
      </c>
      <c r="AUI58" s="603">
        <v>1250</v>
      </c>
      <c r="AUJ58" s="603">
        <v>1250</v>
      </c>
      <c r="AUK58" s="603">
        <v>1250</v>
      </c>
      <c r="AUL58" s="310"/>
      <c r="AUM58" s="603">
        <v>1250</v>
      </c>
      <c r="AUN58" s="603"/>
      <c r="AUO58" s="603">
        <v>1250</v>
      </c>
      <c r="AUP58" s="603">
        <v>1250</v>
      </c>
      <c r="AUQ58" s="603">
        <v>1250</v>
      </c>
      <c r="AUR58" s="603">
        <v>1250</v>
      </c>
      <c r="AUS58" s="603">
        <v>1250</v>
      </c>
      <c r="AUT58" s="603">
        <v>1250</v>
      </c>
      <c r="AUU58" s="603"/>
      <c r="AUV58" s="603">
        <v>1250</v>
      </c>
      <c r="AUW58" s="603">
        <v>1250</v>
      </c>
      <c r="AUX58" s="603">
        <v>1250</v>
      </c>
      <c r="AUY58" s="603">
        <v>1250</v>
      </c>
      <c r="AUZ58" s="603">
        <v>1250</v>
      </c>
      <c r="AVA58" s="603">
        <v>1250</v>
      </c>
      <c r="AVB58" s="603"/>
      <c r="AVC58" s="603">
        <v>1250</v>
      </c>
      <c r="AVD58" s="603">
        <v>1250</v>
      </c>
      <c r="AVE58" s="603">
        <v>1250</v>
      </c>
      <c r="AVF58" s="603">
        <v>1250</v>
      </c>
      <c r="AVG58" s="603">
        <v>1250</v>
      </c>
      <c r="AVH58" s="603">
        <v>1250</v>
      </c>
      <c r="AVI58" s="603"/>
      <c r="AVJ58" s="603">
        <v>1250</v>
      </c>
      <c r="AVK58" s="603">
        <v>1250</v>
      </c>
      <c r="AVL58" s="603">
        <v>1250</v>
      </c>
      <c r="AVM58" s="74"/>
      <c r="AVN58" s="603">
        <v>1250</v>
      </c>
      <c r="AVO58" s="603">
        <v>1250</v>
      </c>
      <c r="AVP58" s="603">
        <v>1250</v>
      </c>
      <c r="AVQ58" s="314"/>
      <c r="AVR58" s="603">
        <v>1250</v>
      </c>
      <c r="AVS58" s="603">
        <v>1250</v>
      </c>
      <c r="AVT58" s="603">
        <v>1250</v>
      </c>
      <c r="AVU58" s="603">
        <v>1250</v>
      </c>
      <c r="AVV58" s="603">
        <v>1250</v>
      </c>
      <c r="AVW58" s="603">
        <v>1250</v>
      </c>
      <c r="AVX58" s="603"/>
      <c r="AVY58" s="603">
        <v>1250</v>
      </c>
      <c r="AVZ58" s="603">
        <v>1250</v>
      </c>
      <c r="AWA58" s="603">
        <v>1250</v>
      </c>
      <c r="AWB58" s="603">
        <v>1250</v>
      </c>
      <c r="AWC58" s="603">
        <v>1250</v>
      </c>
      <c r="AWD58" s="603">
        <v>1250</v>
      </c>
      <c r="AWE58" s="603"/>
      <c r="AWF58" s="603">
        <v>1250</v>
      </c>
      <c r="AWG58" s="603">
        <v>1250</v>
      </c>
      <c r="AWH58" s="604">
        <v>1250</v>
      </c>
      <c r="AWI58" s="603">
        <v>1250</v>
      </c>
      <c r="AWJ58" s="603">
        <v>1250</v>
      </c>
      <c r="AWK58" s="603">
        <v>1250</v>
      </c>
      <c r="AWL58" s="603"/>
      <c r="AWM58" s="603">
        <v>1250</v>
      </c>
      <c r="AWN58" s="603">
        <v>1250</v>
      </c>
      <c r="AWO58" s="603">
        <v>1250</v>
      </c>
      <c r="AWP58" s="603">
        <v>1250</v>
      </c>
      <c r="AWQ58" s="603">
        <v>1250</v>
      </c>
      <c r="AWR58" s="74"/>
      <c r="AWS58" s="603">
        <v>1250</v>
      </c>
      <c r="AWT58" s="603">
        <v>1250</v>
      </c>
      <c r="AWU58" s="603">
        <v>1250</v>
      </c>
      <c r="AWV58" s="314"/>
      <c r="AWW58" s="603">
        <v>1250</v>
      </c>
      <c r="AWX58" s="603">
        <v>1250</v>
      </c>
      <c r="AWY58" s="603">
        <v>1250</v>
      </c>
      <c r="AWZ58" s="603">
        <v>1250</v>
      </c>
      <c r="AXA58" s="603"/>
      <c r="AXB58" s="603">
        <v>1250</v>
      </c>
      <c r="AXC58" s="603">
        <v>1250</v>
      </c>
      <c r="AXD58" s="603">
        <v>1250</v>
      </c>
      <c r="AXE58" s="603">
        <v>1250</v>
      </c>
      <c r="AXF58" s="603">
        <v>1250</v>
      </c>
      <c r="AXG58" s="603">
        <v>1250</v>
      </c>
      <c r="AXH58" s="603"/>
      <c r="AXI58" s="603">
        <v>1250</v>
      </c>
      <c r="AXJ58" s="603">
        <v>1250</v>
      </c>
      <c r="AXK58" s="603">
        <v>1250</v>
      </c>
      <c r="AXL58" s="603">
        <v>1250</v>
      </c>
      <c r="AXM58" s="603">
        <v>1250</v>
      </c>
      <c r="AXN58" s="603">
        <v>1250</v>
      </c>
      <c r="AXO58" s="603"/>
      <c r="AXP58" s="603">
        <v>1250</v>
      </c>
      <c r="AXQ58" s="603">
        <v>1250</v>
      </c>
      <c r="AXR58" s="603">
        <v>1250</v>
      </c>
      <c r="AXS58" s="603">
        <v>1250</v>
      </c>
      <c r="AXT58" s="603">
        <v>1250</v>
      </c>
      <c r="AXU58" s="603">
        <v>1250</v>
      </c>
      <c r="AXV58" s="603"/>
      <c r="AXW58" s="603">
        <v>1250</v>
      </c>
      <c r="AXX58" s="74"/>
    </row>
    <row r="59" spans="1:1324" s="184" customFormat="1" ht="22.8" customHeight="1" x14ac:dyDescent="0.25">
      <c r="A59" s="711"/>
      <c r="B59" s="7" t="s">
        <v>19</v>
      </c>
      <c r="C59" s="176" t="s">
        <v>620</v>
      </c>
      <c r="D59" s="176"/>
      <c r="E59" s="176"/>
      <c r="F59" s="176"/>
      <c r="G59" s="176"/>
      <c r="H59" s="176"/>
      <c r="I59" s="176"/>
      <c r="J59" s="176"/>
      <c r="K59" s="176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51" t="s">
        <v>29</v>
      </c>
      <c r="AI59" s="126" t="s">
        <v>621</v>
      </c>
      <c r="AJ59" s="156"/>
      <c r="AK59" s="122"/>
      <c r="AL59" s="122"/>
      <c r="AM59" s="122"/>
      <c r="AN59" s="122"/>
      <c r="AO59" s="122"/>
      <c r="AP59" s="122"/>
      <c r="AQ59" s="731"/>
      <c r="AR59" s="732"/>
      <c r="AS59" s="732"/>
      <c r="AT59" s="732"/>
      <c r="AU59" s="732"/>
      <c r="AV59" s="732"/>
      <c r="AW59" s="732"/>
      <c r="AX59" s="732"/>
      <c r="AY59" s="732"/>
      <c r="AZ59" s="733"/>
      <c r="BA59" s="122" t="s">
        <v>621</v>
      </c>
      <c r="BB59" s="122"/>
      <c r="BC59" s="122"/>
      <c r="BD59" s="126" t="s">
        <v>106</v>
      </c>
      <c r="BE59" s="159"/>
      <c r="BF59" s="160"/>
      <c r="BG59" s="160"/>
      <c r="BH59" s="160"/>
      <c r="BI59" s="160"/>
      <c r="BJ59" s="160"/>
      <c r="BK59" s="126" t="s">
        <v>101</v>
      </c>
      <c r="BL59" s="159"/>
      <c r="BM59" s="159"/>
      <c r="BN59" s="12" t="s">
        <v>29</v>
      </c>
      <c r="BO59" s="126" t="s">
        <v>607</v>
      </c>
      <c r="BP59" s="156"/>
      <c r="BQ59" s="122"/>
      <c r="BR59" s="122"/>
      <c r="BS59" s="122"/>
      <c r="BT59" s="122"/>
      <c r="BU59" s="122"/>
      <c r="BV59" s="122"/>
      <c r="BW59" s="155" t="s">
        <v>144</v>
      </c>
      <c r="BX59" s="156"/>
      <c r="BY59" s="158"/>
      <c r="BZ59" s="158"/>
      <c r="CA59" s="158"/>
      <c r="CB59" s="158"/>
      <c r="CC59" s="158"/>
      <c r="CD59" s="158"/>
      <c r="CE59" s="158"/>
      <c r="CF59" s="158"/>
      <c r="CG59" s="158"/>
      <c r="CH59" s="158"/>
      <c r="CI59" s="155" t="s">
        <v>146</v>
      </c>
      <c r="CJ59" s="156"/>
      <c r="CK59" s="158"/>
      <c r="CL59" s="158"/>
      <c r="CM59" s="158"/>
      <c r="CN59" s="158"/>
      <c r="CO59" s="158"/>
      <c r="CP59" s="158"/>
      <c r="CQ59" s="158"/>
      <c r="CR59" s="158"/>
      <c r="CS59" s="12" t="s">
        <v>29</v>
      </c>
      <c r="CT59" s="177" t="s">
        <v>146</v>
      </c>
      <c r="CU59" s="158"/>
      <c r="CV59" s="158"/>
      <c r="CW59" s="155" t="s">
        <v>260</v>
      </c>
      <c r="CX59" s="156"/>
      <c r="CY59" s="158"/>
      <c r="CZ59" s="158"/>
      <c r="DA59" s="158"/>
      <c r="DB59" s="158"/>
      <c r="DC59" s="158"/>
      <c r="DD59" s="158"/>
      <c r="DE59" s="158"/>
      <c r="DF59" s="158"/>
      <c r="DG59" s="158"/>
      <c r="DH59" s="158"/>
      <c r="DI59" s="158"/>
      <c r="DJ59" s="158"/>
      <c r="DK59" s="126" t="s">
        <v>160</v>
      </c>
      <c r="DL59" s="159"/>
      <c r="DM59" s="160"/>
      <c r="DN59" s="160"/>
      <c r="DO59" s="160"/>
      <c r="DP59" s="126" t="s">
        <v>279</v>
      </c>
      <c r="DQ59" s="159"/>
      <c r="DR59" s="160"/>
      <c r="DS59" s="160"/>
      <c r="DT59" s="160"/>
      <c r="DU59" s="160"/>
      <c r="DV59" s="126" t="s">
        <v>162</v>
      </c>
      <c r="DW59" s="159"/>
      <c r="DX59" s="160"/>
      <c r="DY59" s="12" t="s">
        <v>29</v>
      </c>
      <c r="DZ59" s="171" t="s">
        <v>279</v>
      </c>
      <c r="EA59" s="182"/>
      <c r="EB59" s="182"/>
      <c r="EC59" s="126" t="s">
        <v>162</v>
      </c>
      <c r="ED59" s="159"/>
      <c r="EE59" s="182"/>
      <c r="EF59" s="182"/>
      <c r="EG59" s="126" t="s">
        <v>277</v>
      </c>
      <c r="EH59" s="126"/>
      <c r="EI59" s="183"/>
      <c r="EJ59" s="183"/>
      <c r="EK59" s="183"/>
      <c r="EL59" s="183"/>
      <c r="EM59" s="183"/>
      <c r="EN59" s="183"/>
      <c r="EO59" s="183"/>
      <c r="EP59" s="183"/>
      <c r="EQ59" s="126" t="s">
        <v>164</v>
      </c>
      <c r="ER59" s="159"/>
      <c r="ES59" s="171"/>
      <c r="ET59" s="171"/>
      <c r="EU59" s="171"/>
      <c r="EV59" s="171"/>
      <c r="EW59" s="171"/>
      <c r="EX59" s="171"/>
      <c r="EY59" s="171"/>
      <c r="EZ59" s="171"/>
      <c r="FA59" s="171"/>
      <c r="FB59" s="171"/>
      <c r="FC59" s="171"/>
      <c r="FD59" s="12" t="s">
        <v>29</v>
      </c>
      <c r="FE59" s="171" t="s">
        <v>164</v>
      </c>
      <c r="FF59" s="126" t="s">
        <v>292</v>
      </c>
      <c r="FG59" s="126"/>
      <c r="FH59" s="171"/>
      <c r="FI59" s="171"/>
      <c r="FJ59" s="171"/>
      <c r="FK59" s="171"/>
      <c r="FL59" s="126" t="s">
        <v>285</v>
      </c>
      <c r="FM59" s="126"/>
      <c r="FN59" s="126" t="s">
        <v>284</v>
      </c>
      <c r="FO59" s="126" t="s">
        <v>311</v>
      </c>
      <c r="FP59" s="159"/>
      <c r="FQ59" s="171"/>
      <c r="FR59" s="171"/>
      <c r="FS59" s="171"/>
      <c r="FT59" s="171"/>
      <c r="FU59" s="171"/>
      <c r="FV59" s="171"/>
      <c r="FW59" s="126" t="s">
        <v>622</v>
      </c>
      <c r="FX59" s="156"/>
      <c r="FY59" s="122"/>
      <c r="FZ59" s="122"/>
      <c r="GA59" s="122"/>
      <c r="GB59" s="122"/>
      <c r="GC59" s="122"/>
      <c r="GD59" s="122"/>
      <c r="GE59" s="122"/>
      <c r="GF59" s="122"/>
      <c r="GG59" s="122"/>
      <c r="GH59" s="122"/>
      <c r="GI59" s="122"/>
      <c r="GJ59" s="12" t="s">
        <v>29</v>
      </c>
      <c r="GK59" s="126" t="s">
        <v>298</v>
      </c>
      <c r="GL59" s="122"/>
      <c r="GM59" s="122"/>
      <c r="GN59" s="122"/>
      <c r="GO59" s="122"/>
      <c r="GP59" s="122"/>
      <c r="GQ59" s="122"/>
      <c r="GR59" s="122"/>
      <c r="GS59" s="122"/>
      <c r="GT59" s="122"/>
      <c r="GU59" s="122"/>
      <c r="GV59" s="126" t="s">
        <v>400</v>
      </c>
      <c r="GW59" s="126" t="s">
        <v>279</v>
      </c>
      <c r="GX59" s="159"/>
      <c r="GY59" s="171"/>
      <c r="GZ59" s="171"/>
      <c r="HA59" s="171"/>
      <c r="HB59" s="171"/>
      <c r="HC59" s="171"/>
      <c r="HD59" s="126" t="s">
        <v>395</v>
      </c>
      <c r="HE59" s="159"/>
      <c r="HF59" s="171"/>
      <c r="HG59" s="171"/>
      <c r="HH59" s="171"/>
      <c r="HI59" s="171"/>
      <c r="HJ59" s="171"/>
      <c r="HK59" s="171"/>
      <c r="HL59" s="126" t="s">
        <v>483</v>
      </c>
      <c r="HM59" s="126"/>
      <c r="HN59" s="171"/>
      <c r="HO59" s="171"/>
      <c r="HP59" s="12" t="s">
        <v>29</v>
      </c>
      <c r="HQ59" s="171" t="s">
        <v>483</v>
      </c>
      <c r="HR59" s="171"/>
      <c r="HS59" s="171"/>
      <c r="HT59" s="171"/>
      <c r="HU59" s="171"/>
      <c r="HV59" s="126" t="s">
        <v>482</v>
      </c>
      <c r="HW59" s="126"/>
      <c r="HX59" s="171"/>
      <c r="HY59" s="126" t="s">
        <v>389</v>
      </c>
      <c r="HZ59" s="159"/>
      <c r="IA59" s="171"/>
      <c r="IB59" s="171"/>
      <c r="IC59" s="171"/>
      <c r="ID59" s="126" t="s">
        <v>623</v>
      </c>
      <c r="IE59" s="126"/>
      <c r="IF59" s="122"/>
      <c r="IG59" s="122"/>
      <c r="IH59" s="122"/>
      <c r="II59" s="122"/>
      <c r="IJ59" s="122"/>
      <c r="IK59" s="122"/>
      <c r="IL59" s="122"/>
      <c r="IM59" s="122"/>
      <c r="IN59" s="122"/>
      <c r="IO59" s="122"/>
      <c r="IP59" s="122"/>
      <c r="IQ59" s="122"/>
      <c r="IR59" s="123"/>
      <c r="IS59" s="122"/>
      <c r="IT59" s="12" t="s">
        <v>29</v>
      </c>
      <c r="IU59" s="123" t="s">
        <v>623</v>
      </c>
      <c r="IV59" s="123"/>
      <c r="IW59" s="122"/>
      <c r="IX59" s="122"/>
      <c r="IY59" s="122"/>
      <c r="IZ59" s="122"/>
      <c r="JA59" s="122"/>
      <c r="JB59" s="122"/>
      <c r="JC59" s="122"/>
      <c r="JD59" s="122"/>
      <c r="JE59" s="122"/>
      <c r="JF59" s="122"/>
      <c r="JG59" s="122"/>
      <c r="JH59" s="122"/>
      <c r="JI59" s="122"/>
      <c r="JJ59" s="122"/>
      <c r="JK59" s="122"/>
      <c r="JL59" s="122"/>
      <c r="JM59" s="122"/>
      <c r="JN59" s="122"/>
      <c r="JO59" s="122"/>
      <c r="JP59" s="122"/>
      <c r="JQ59" s="122"/>
      <c r="JR59" s="122"/>
      <c r="JS59" s="122"/>
      <c r="JT59" s="122"/>
      <c r="JU59" s="122"/>
      <c r="JV59" s="278"/>
      <c r="JW59" s="173"/>
      <c r="JX59" s="173"/>
      <c r="JY59" s="173"/>
      <c r="JZ59" s="12" t="s">
        <v>29</v>
      </c>
      <c r="KA59" s="173"/>
      <c r="KB59" s="173"/>
      <c r="KC59" s="173"/>
      <c r="KD59" s="173"/>
      <c r="KE59" s="173"/>
      <c r="KF59" s="173"/>
      <c r="KG59" s="173"/>
      <c r="KH59" s="173"/>
      <c r="KI59" s="173"/>
      <c r="KJ59" s="173"/>
      <c r="KK59" s="173"/>
      <c r="KL59" s="173"/>
      <c r="KM59" s="173"/>
      <c r="KN59" s="173"/>
      <c r="KO59" s="173"/>
      <c r="KP59" s="173"/>
      <c r="KQ59" s="173"/>
      <c r="KR59" s="173"/>
      <c r="KS59" s="173"/>
      <c r="KT59" s="173"/>
      <c r="KU59" s="173"/>
      <c r="KV59" s="173"/>
      <c r="KW59" s="173"/>
      <c r="KX59" s="173"/>
      <c r="KY59" s="280"/>
      <c r="LE59" s="12" t="s">
        <v>29</v>
      </c>
      <c r="LF59" s="123" t="s">
        <v>623</v>
      </c>
      <c r="LG59" s="122"/>
      <c r="LH59" s="122"/>
      <c r="LI59" s="122"/>
      <c r="LJ59" s="122"/>
      <c r="LK59" s="155" t="s">
        <v>753</v>
      </c>
      <c r="LL59" s="155"/>
      <c r="LM59" s="153"/>
      <c r="LN59" s="153"/>
      <c r="LO59" s="153"/>
      <c r="LP59" s="153"/>
      <c r="LQ59" s="153"/>
      <c r="LR59" s="153"/>
      <c r="LS59" s="153"/>
      <c r="LT59" s="153"/>
      <c r="LU59" s="155" t="s">
        <v>714</v>
      </c>
      <c r="LV59" s="155"/>
      <c r="LW59" s="153"/>
      <c r="LX59" s="153"/>
      <c r="LY59" s="153"/>
      <c r="LZ59" s="153"/>
      <c r="MA59" s="153"/>
      <c r="MB59" s="716"/>
      <c r="MC59" s="717"/>
      <c r="MD59" s="717"/>
      <c r="ME59" s="718"/>
      <c r="MF59" s="153" t="s">
        <v>714</v>
      </c>
      <c r="MG59" s="153"/>
      <c r="MH59" s="153"/>
      <c r="MI59" s="155" t="s">
        <v>752</v>
      </c>
      <c r="MJ59" s="155"/>
      <c r="MK59" s="289" t="s">
        <v>29</v>
      </c>
      <c r="ML59" s="153" t="s">
        <v>752</v>
      </c>
      <c r="MM59" s="153"/>
      <c r="MN59" s="317" t="s">
        <v>777</v>
      </c>
      <c r="MO59" s="317"/>
      <c r="MP59" s="316"/>
      <c r="MQ59" s="316"/>
      <c r="MR59" s="316"/>
      <c r="MS59" s="155" t="s">
        <v>726</v>
      </c>
      <c r="MT59" s="155" t="s">
        <v>717</v>
      </c>
      <c r="MU59" s="155" t="s">
        <v>720</v>
      </c>
      <c r="MV59" s="155" t="s">
        <v>718</v>
      </c>
      <c r="MW59" s="155" t="s">
        <v>725</v>
      </c>
      <c r="MX59" s="155" t="s">
        <v>724</v>
      </c>
      <c r="MY59" s="155" t="s">
        <v>723</v>
      </c>
      <c r="MZ59" s="155" t="s">
        <v>722</v>
      </c>
      <c r="NA59" s="155" t="s">
        <v>721</v>
      </c>
      <c r="NB59" s="361"/>
      <c r="NC59" s="155"/>
      <c r="ND59" s="155" t="s">
        <v>729</v>
      </c>
      <c r="NE59" s="155" t="s">
        <v>727</v>
      </c>
      <c r="NF59" s="155" t="s">
        <v>728</v>
      </c>
      <c r="NG59" s="155" t="s">
        <v>719</v>
      </c>
      <c r="NH59" s="155" t="s">
        <v>823</v>
      </c>
      <c r="NI59" s="316"/>
      <c r="NJ59" s="316"/>
      <c r="NK59" s="316"/>
      <c r="NL59" s="316"/>
      <c r="NM59" s="316"/>
      <c r="NN59" s="316"/>
      <c r="NO59" s="316"/>
      <c r="NP59" s="12" t="s">
        <v>29</v>
      </c>
      <c r="NQ59" s="153" t="s">
        <v>703</v>
      </c>
      <c r="NR59" s="153"/>
      <c r="NS59" s="153"/>
      <c r="NT59" s="153"/>
      <c r="NU59" s="153"/>
      <c r="NV59" s="153"/>
      <c r="NW59" s="317" t="s">
        <v>824</v>
      </c>
      <c r="NX59" s="317"/>
      <c r="NY59" s="153"/>
      <c r="NZ59" s="153"/>
      <c r="OA59" s="153"/>
      <c r="OB59" s="153"/>
      <c r="OC59" s="153"/>
      <c r="OD59" s="316"/>
      <c r="OE59" s="316"/>
      <c r="OF59" s="316"/>
      <c r="OG59" s="153"/>
      <c r="OH59" s="153"/>
      <c r="OI59" s="317" t="s">
        <v>826</v>
      </c>
      <c r="OJ59" s="317"/>
      <c r="OK59" s="316"/>
      <c r="OL59" s="153"/>
      <c r="OM59" s="153"/>
      <c r="ON59" s="153"/>
      <c r="OO59" s="153"/>
      <c r="OP59" s="153"/>
      <c r="OQ59" s="153"/>
      <c r="OR59" s="316"/>
      <c r="OS59" s="316"/>
      <c r="OT59" s="724"/>
      <c r="OU59" s="725"/>
      <c r="OV59" s="188" t="s">
        <v>29</v>
      </c>
      <c r="OW59" s="740"/>
      <c r="OX59" s="741"/>
      <c r="OY59" s="741"/>
      <c r="OZ59" s="741"/>
      <c r="PA59" s="741"/>
      <c r="PB59" s="741"/>
      <c r="PC59" s="742"/>
      <c r="PD59" s="339" t="s">
        <v>977</v>
      </c>
      <c r="PE59" s="339"/>
      <c r="PF59" s="179" t="s">
        <v>960</v>
      </c>
      <c r="PG59" s="156"/>
      <c r="PH59" s="180"/>
      <c r="PI59" s="180"/>
      <c r="PJ59" s="180"/>
      <c r="PK59" s="180"/>
      <c r="PL59" s="339" t="s">
        <v>1068</v>
      </c>
      <c r="PM59" s="318"/>
      <c r="PN59" s="179" t="s">
        <v>939</v>
      </c>
      <c r="PO59" s="179"/>
      <c r="PP59" s="179" t="s">
        <v>1016</v>
      </c>
      <c r="PQ59" s="179"/>
      <c r="PR59" s="180"/>
      <c r="PS59" s="180"/>
      <c r="PT59" s="180"/>
      <c r="PU59" s="180"/>
      <c r="PV59" s="339" t="s">
        <v>1080</v>
      </c>
      <c r="PW59" s="318"/>
      <c r="PX59" s="171"/>
      <c r="PY59" s="171"/>
      <c r="PZ59" s="317" t="s">
        <v>962</v>
      </c>
      <c r="QA59" s="317"/>
      <c r="QB59" s="12" t="s">
        <v>29</v>
      </c>
      <c r="QC59" s="316" t="s">
        <v>962</v>
      </c>
      <c r="QD59" s="361" t="s">
        <v>1271</v>
      </c>
      <c r="QE59" s="318"/>
      <c r="QF59" s="319"/>
      <c r="QG59" s="319"/>
      <c r="QH59" s="319"/>
      <c r="QI59" s="319"/>
      <c r="QJ59" s="319"/>
      <c r="QK59" s="319"/>
      <c r="QL59" s="319"/>
      <c r="QM59" s="319"/>
      <c r="QN59" s="319"/>
      <c r="QO59" s="319"/>
      <c r="QP59" s="319"/>
      <c r="QQ59" s="319"/>
      <c r="QR59" s="319"/>
      <c r="QS59" s="319"/>
      <c r="QT59" s="319"/>
      <c r="QU59" s="319"/>
      <c r="QV59" s="339" t="s">
        <v>1290</v>
      </c>
      <c r="QW59" s="339"/>
      <c r="QX59" s="361" t="s">
        <v>1011</v>
      </c>
      <c r="QY59" s="361"/>
      <c r="QZ59" s="316"/>
      <c r="RA59" s="316"/>
      <c r="RB59" s="316"/>
      <c r="RC59" s="361" t="s">
        <v>1293</v>
      </c>
      <c r="RD59" s="318"/>
      <c r="RE59" s="345" t="s">
        <v>1036</v>
      </c>
      <c r="RF59" s="318"/>
      <c r="RG59" s="12" t="s">
        <v>29</v>
      </c>
      <c r="RH59" s="352" t="s">
        <v>1036</v>
      </c>
      <c r="RI59" s="352"/>
      <c r="RJ59" s="311"/>
      <c r="RK59" s="311"/>
      <c r="RL59" s="311"/>
      <c r="RM59" s="311"/>
      <c r="RN59" s="311"/>
      <c r="RO59" s="311"/>
      <c r="RP59" s="311"/>
      <c r="RQ59" s="311"/>
      <c r="RR59" s="311"/>
      <c r="RS59" s="311"/>
      <c r="RT59" s="311"/>
      <c r="RU59" s="311"/>
      <c r="RV59" s="311"/>
      <c r="RW59" s="361" t="s">
        <v>1390</v>
      </c>
      <c r="RX59" s="361"/>
      <c r="RY59" s="361" t="s">
        <v>1387</v>
      </c>
      <c r="RZ59" s="361" t="s">
        <v>1275</v>
      </c>
      <c r="SA59" s="361"/>
      <c r="SB59" s="361" t="s">
        <v>1278</v>
      </c>
      <c r="SC59" s="361"/>
      <c r="SD59" s="361" t="s">
        <v>1385</v>
      </c>
      <c r="SE59" s="361" t="s">
        <v>1386</v>
      </c>
      <c r="SF59" s="361" t="s">
        <v>1276</v>
      </c>
      <c r="SG59" s="361" t="s">
        <v>1389</v>
      </c>
      <c r="SH59" s="361"/>
      <c r="SI59" s="361" t="s">
        <v>1388</v>
      </c>
      <c r="SJ59" s="361"/>
      <c r="SK59" s="361" t="s">
        <v>1279</v>
      </c>
      <c r="SL59" s="361"/>
      <c r="SM59" s="12" t="s">
        <v>29</v>
      </c>
      <c r="SN59" s="361" t="s">
        <v>1280</v>
      </c>
      <c r="SO59" s="361" t="s">
        <v>1384</v>
      </c>
      <c r="SP59" s="361"/>
      <c r="SQ59" s="361" t="s">
        <v>1274</v>
      </c>
      <c r="SR59" s="361"/>
      <c r="SS59" s="316"/>
      <c r="ST59" s="438"/>
      <c r="SU59" s="438"/>
      <c r="SV59" s="438"/>
      <c r="SW59" s="438"/>
      <c r="SX59" s="438"/>
      <c r="SY59" s="361" t="s">
        <v>1391</v>
      </c>
      <c r="SZ59" s="361" t="s">
        <v>1399</v>
      </c>
      <c r="TA59" s="361"/>
      <c r="TB59" s="361" t="s">
        <v>1051</v>
      </c>
      <c r="TC59" s="361"/>
      <c r="TD59" s="316"/>
      <c r="TE59" s="316"/>
      <c r="TF59" s="316"/>
      <c r="TG59" s="361" t="s">
        <v>1277</v>
      </c>
      <c r="TH59" s="361"/>
      <c r="TI59" s="361" t="s">
        <v>1123</v>
      </c>
      <c r="TJ59" s="361"/>
      <c r="TK59" s="361" t="s">
        <v>1124</v>
      </c>
      <c r="TL59" s="361"/>
      <c r="TM59" s="316"/>
      <c r="TN59" s="316"/>
      <c r="TO59" s="316"/>
      <c r="TP59" s="361" t="s">
        <v>1401</v>
      </c>
      <c r="TQ59" s="361"/>
      <c r="TR59" s="12" t="s">
        <v>29</v>
      </c>
      <c r="TS59" s="361" t="s">
        <v>1638</v>
      </c>
      <c r="TT59" s="318"/>
      <c r="TU59" s="319"/>
      <c r="TV59" s="319"/>
      <c r="TW59" s="319"/>
      <c r="TX59" s="319"/>
      <c r="TY59" s="319"/>
      <c r="TZ59" s="319"/>
      <c r="UA59" s="319"/>
      <c r="UB59" s="319"/>
      <c r="UC59" s="319"/>
      <c r="UD59" s="319"/>
      <c r="UE59" s="319"/>
      <c r="UF59" s="319"/>
      <c r="UG59" s="319"/>
      <c r="UH59" s="319"/>
      <c r="UI59" s="319"/>
      <c r="UJ59" s="319"/>
      <c r="UK59" s="319"/>
      <c r="UL59" s="319"/>
      <c r="UM59" s="319"/>
      <c r="UN59" s="319"/>
      <c r="UO59" s="319"/>
      <c r="UP59" s="319"/>
      <c r="UQ59" s="319"/>
      <c r="UR59" s="319"/>
      <c r="US59" s="319"/>
      <c r="UT59" s="319"/>
      <c r="UU59" s="319"/>
      <c r="UV59" s="319"/>
      <c r="UW59" s="319"/>
      <c r="UX59" s="12" t="s">
        <v>29</v>
      </c>
      <c r="UY59" s="319" t="s">
        <v>1597</v>
      </c>
      <c r="UZ59" s="455"/>
      <c r="VA59" s="375"/>
      <c r="VB59" s="375"/>
      <c r="VC59" s="375"/>
      <c r="VD59" s="375"/>
      <c r="VE59" s="375"/>
      <c r="VF59" s="375"/>
      <c r="VG59" s="375"/>
      <c r="VH59" s="375"/>
      <c r="VI59" s="375"/>
      <c r="VJ59" s="375"/>
      <c r="VK59" s="375"/>
      <c r="VL59" s="375"/>
      <c r="VM59" s="375"/>
      <c r="VN59" s="375"/>
      <c r="VO59" s="375"/>
      <c r="VP59" s="375"/>
      <c r="VQ59" s="375"/>
      <c r="VR59" s="361" t="s">
        <v>1806</v>
      </c>
      <c r="VS59" s="361"/>
      <c r="VT59" s="361" t="s">
        <v>1373</v>
      </c>
      <c r="VU59" s="361" t="s">
        <v>1969</v>
      </c>
      <c r="VV59" s="361"/>
      <c r="VW59" s="316"/>
      <c r="VX59" s="316"/>
      <c r="VY59" s="316"/>
      <c r="VZ59" s="316"/>
      <c r="WA59" s="361" t="s">
        <v>1582</v>
      </c>
      <c r="WB59" s="361"/>
      <c r="WC59" s="316"/>
      <c r="WD59" s="12" t="s">
        <v>29</v>
      </c>
      <c r="WE59" s="316" t="s">
        <v>1582</v>
      </c>
      <c r="WF59" s="316"/>
      <c r="WG59" s="361" t="s">
        <v>1966</v>
      </c>
      <c r="WH59" s="361"/>
      <c r="WI59" s="316"/>
      <c r="WJ59" s="316"/>
      <c r="WK59" s="361" t="s">
        <v>1968</v>
      </c>
      <c r="WL59" s="361"/>
      <c r="WM59" s="316"/>
      <c r="WN59" s="316"/>
      <c r="WO59" s="316"/>
      <c r="WP59" s="361" t="s">
        <v>1954</v>
      </c>
      <c r="WQ59" s="361"/>
      <c r="WR59" s="316"/>
      <c r="WS59" s="361" t="s">
        <v>1967</v>
      </c>
      <c r="WT59" s="361"/>
      <c r="WU59" s="316"/>
      <c r="WV59" s="316"/>
      <c r="WW59" s="316"/>
      <c r="WX59" s="316"/>
      <c r="WY59" s="361" t="s">
        <v>1963</v>
      </c>
      <c r="WZ59" s="361"/>
      <c r="XA59" s="316"/>
      <c r="XB59" s="361" t="s">
        <v>1962</v>
      </c>
      <c r="XC59" s="361"/>
      <c r="XD59" s="316"/>
      <c r="XE59" s="345" t="s">
        <v>1894</v>
      </c>
      <c r="XF59" s="345"/>
      <c r="XG59" s="12" t="s">
        <v>29</v>
      </c>
      <c r="XH59" s="352" t="s">
        <v>1894</v>
      </c>
      <c r="XI59" s="311"/>
      <c r="XJ59" s="311"/>
      <c r="XK59" s="311"/>
      <c r="XL59" s="311"/>
      <c r="XM59" s="361" t="s">
        <v>2064</v>
      </c>
      <c r="XN59" s="361"/>
      <c r="XO59" s="316"/>
      <c r="XP59" s="361" t="s">
        <v>2061</v>
      </c>
      <c r="XQ59" s="361"/>
      <c r="XR59" s="316"/>
      <c r="XS59" s="361" t="s">
        <v>2060</v>
      </c>
      <c r="XT59" s="361"/>
      <c r="XU59" s="316"/>
      <c r="XV59" s="316"/>
      <c r="XW59" s="361" t="s">
        <v>2046</v>
      </c>
      <c r="XX59" s="361"/>
      <c r="XY59" s="316"/>
      <c r="XZ59" s="316"/>
      <c r="YA59" s="316"/>
      <c r="YB59" s="438"/>
      <c r="YC59" s="438"/>
      <c r="YD59" s="438"/>
      <c r="YE59" s="438"/>
      <c r="YF59" s="438"/>
      <c r="YG59" s="438"/>
      <c r="YH59" s="361" t="s">
        <v>2065</v>
      </c>
      <c r="YI59" s="361"/>
      <c r="YJ59" s="316"/>
      <c r="YK59" s="316"/>
      <c r="YL59" s="316"/>
      <c r="YM59" s="12" t="s">
        <v>29</v>
      </c>
      <c r="YN59" s="316" t="s">
        <v>2013</v>
      </c>
      <c r="YO59" s="361" t="s">
        <v>2062</v>
      </c>
      <c r="YP59" s="361"/>
      <c r="YQ59" s="316"/>
      <c r="YR59" s="316"/>
      <c r="YS59" s="316"/>
      <c r="YT59" s="316"/>
      <c r="YU59" s="316"/>
      <c r="YV59" s="361" t="s">
        <v>2049</v>
      </c>
      <c r="YW59" s="361"/>
      <c r="YX59" s="361" t="s">
        <v>2048</v>
      </c>
      <c r="YY59" s="361"/>
      <c r="YZ59" s="361" t="s">
        <v>2047</v>
      </c>
      <c r="ZA59" s="361"/>
      <c r="ZB59" s="361" t="s">
        <v>2069</v>
      </c>
      <c r="ZC59" s="361" t="s">
        <v>2068</v>
      </c>
      <c r="ZD59" s="316"/>
      <c r="ZE59" s="361" t="s">
        <v>2158</v>
      </c>
      <c r="ZF59" s="361"/>
      <c r="ZG59" s="361" t="s">
        <v>2156</v>
      </c>
      <c r="ZH59" s="361"/>
      <c r="ZI59" s="361" t="s">
        <v>2157</v>
      </c>
      <c r="ZJ59" s="361" t="s">
        <v>2159</v>
      </c>
      <c r="ZK59" s="361"/>
      <c r="ZL59" s="361" t="s">
        <v>1922</v>
      </c>
      <c r="ZM59" s="210" t="s">
        <v>2103</v>
      </c>
      <c r="ZN59" s="210"/>
      <c r="ZO59" s="180"/>
      <c r="ZP59" s="180"/>
      <c r="ZQ59" s="180"/>
      <c r="ZR59" s="12" t="s">
        <v>29</v>
      </c>
      <c r="ZS59" s="180" t="s">
        <v>2103</v>
      </c>
      <c r="ZT59" s="180"/>
      <c r="ZU59" s="180"/>
      <c r="ZV59" s="180"/>
      <c r="ZW59" s="210" t="s">
        <v>2210</v>
      </c>
      <c r="ZX59" s="210"/>
      <c r="ZY59" s="180"/>
      <c r="ZZ59" s="180"/>
      <c r="AAA59" s="180"/>
      <c r="AAB59" s="180"/>
      <c r="AAC59" s="180"/>
      <c r="AAD59" s="173"/>
      <c r="AAE59" s="777"/>
      <c r="AAF59" s="705"/>
      <c r="AAG59" s="705"/>
      <c r="AAH59" s="705"/>
      <c r="AAI59" s="778"/>
      <c r="AAJ59" s="210" t="s">
        <v>2138</v>
      </c>
      <c r="AAK59" s="210" t="s">
        <v>2136</v>
      </c>
      <c r="AAL59" s="210" t="s">
        <v>2137</v>
      </c>
      <c r="AAM59" s="519" t="s">
        <v>2209</v>
      </c>
      <c r="AAN59" s="210"/>
      <c r="AAO59" s="180"/>
      <c r="AAP59" s="180"/>
      <c r="AAQ59" s="180"/>
      <c r="AAR59" s="545" t="s">
        <v>2146</v>
      </c>
      <c r="AAS59" s="545"/>
      <c r="AAT59" s="180"/>
      <c r="AAU59" s="180"/>
      <c r="AAV59" s="180"/>
      <c r="AAW59" s="210" t="s">
        <v>2295</v>
      </c>
      <c r="AAX59" s="12" t="s">
        <v>29</v>
      </c>
      <c r="AAY59" s="547" t="s">
        <v>2295</v>
      </c>
      <c r="AAZ59" s="547"/>
      <c r="ABA59" s="547"/>
      <c r="ABB59" s="210" t="s">
        <v>2216</v>
      </c>
      <c r="ABE59" s="210" t="s">
        <v>2144</v>
      </c>
      <c r="ABF59" s="210"/>
      <c r="ABG59" s="547"/>
      <c r="ABH59" s="547"/>
      <c r="ABI59" s="210" t="s">
        <v>2143</v>
      </c>
      <c r="ABJ59" s="210"/>
      <c r="ABK59" s="547"/>
      <c r="ABL59" s="210" t="s">
        <v>2301</v>
      </c>
      <c r="ABM59" s="210" t="s">
        <v>2303</v>
      </c>
      <c r="ABN59" s="210"/>
      <c r="ABO59" s="180"/>
      <c r="ABP59" s="180"/>
      <c r="ABQ59" s="180"/>
      <c r="ABR59" s="210" t="s">
        <v>2302</v>
      </c>
      <c r="ABS59" s="210"/>
      <c r="ABT59" s="180"/>
      <c r="ABU59" s="180"/>
      <c r="ABV59" s="180"/>
      <c r="ABW59" s="293" t="s">
        <v>2350</v>
      </c>
      <c r="ABX59" s="545" t="s">
        <v>2352</v>
      </c>
      <c r="ABY59" s="545"/>
      <c r="ABZ59" s="547"/>
      <c r="ACA59" s="547"/>
      <c r="ACB59" s="547"/>
      <c r="ACC59" s="7" t="s">
        <v>2393</v>
      </c>
      <c r="ACD59" s="545" t="s">
        <v>2353</v>
      </c>
      <c r="ACE59" s="585"/>
      <c r="ACF59" s="210" t="s">
        <v>2304</v>
      </c>
      <c r="ACG59" s="210" t="s">
        <v>2245</v>
      </c>
      <c r="ACH59" s="210"/>
      <c r="ACI59" s="210" t="s">
        <v>2140</v>
      </c>
      <c r="ACJ59" s="210"/>
      <c r="ACK59" s="180"/>
      <c r="ACL59" s="180"/>
      <c r="ACM59" s="180"/>
      <c r="ACN59" s="545" t="s">
        <v>2354</v>
      </c>
      <c r="ACO59" s="545"/>
      <c r="ACP59" s="210" t="s">
        <v>2348</v>
      </c>
      <c r="ACQ59" s="210"/>
      <c r="ACR59" s="180"/>
      <c r="ACS59" s="180"/>
      <c r="ACT59" s="210" t="s">
        <v>2349</v>
      </c>
      <c r="ACU59" s="210"/>
      <c r="ACV59" s="180"/>
      <c r="ACW59" s="785"/>
      <c r="ACX59" s="786"/>
      <c r="ACY59" s="786"/>
      <c r="ACZ59" s="786"/>
      <c r="ADA59" s="786"/>
      <c r="ADB59" s="786"/>
      <c r="ADC59" s="786"/>
      <c r="ADD59" s="786"/>
      <c r="ADE59" s="786"/>
      <c r="ADF59" s="786"/>
      <c r="ADG59" s="787"/>
      <c r="ADH59" s="314"/>
      <c r="ADI59" s="7" t="s">
        <v>2393</v>
      </c>
      <c r="ADJ59" s="210" t="s">
        <v>2351</v>
      </c>
      <c r="ADK59" s="210"/>
      <c r="ADL59" s="210" t="s">
        <v>2344</v>
      </c>
      <c r="ADM59" s="210"/>
      <c r="ADN59" s="180"/>
      <c r="ADO59" s="180"/>
      <c r="ADP59" s="519" t="s">
        <v>2347</v>
      </c>
      <c r="ADQ59" s="519"/>
      <c r="ADR59" s="180"/>
      <c r="ADS59" s="180"/>
      <c r="ADT59" s="180"/>
      <c r="ADU59" s="180"/>
      <c r="ADV59" s="180"/>
      <c r="ADW59" s="180"/>
      <c r="ADX59" s="210" t="s">
        <v>2378</v>
      </c>
      <c r="ADY59" s="210"/>
      <c r="ADZ59" s="180"/>
      <c r="AEA59" s="180"/>
      <c r="AEB59" s="180"/>
      <c r="AEC59" s="210" t="s">
        <v>2380</v>
      </c>
      <c r="AED59" s="210"/>
      <c r="AEE59" s="180"/>
      <c r="AEF59" s="180"/>
      <c r="AEG59" s="210" t="s">
        <v>2329</v>
      </c>
      <c r="AEH59" s="210"/>
      <c r="AEI59" s="180"/>
      <c r="AEJ59" s="180"/>
      <c r="AEK59" s="180"/>
      <c r="AEL59" s="361" t="s">
        <v>2476</v>
      </c>
      <c r="AEM59" s="361" t="s">
        <v>2475</v>
      </c>
      <c r="AEN59" s="361"/>
      <c r="AEO59" s="7" t="s">
        <v>19</v>
      </c>
      <c r="AEP59" s="173"/>
      <c r="AEQ59" s="173"/>
      <c r="AER59" s="210" t="s">
        <v>2326</v>
      </c>
      <c r="AES59" s="210"/>
      <c r="AET59" s="210" t="s">
        <v>2495</v>
      </c>
      <c r="AEU59" s="210"/>
      <c r="AEV59" s="180"/>
      <c r="AEW59" s="210" t="s">
        <v>2478</v>
      </c>
      <c r="AEX59" s="293"/>
      <c r="AEY59" s="180"/>
      <c r="AEZ59" s="180"/>
      <c r="AFA59" s="180"/>
      <c r="AFB59" s="210" t="s">
        <v>2388</v>
      </c>
      <c r="AFC59" s="293"/>
      <c r="AFD59" s="180"/>
      <c r="AFE59" s="180"/>
      <c r="AFF59" s="180"/>
      <c r="AFG59" s="180"/>
      <c r="AFH59" s="210" t="s">
        <v>2479</v>
      </c>
      <c r="AFI59" s="210"/>
      <c r="AFJ59" s="345" t="s">
        <v>2306</v>
      </c>
      <c r="AFK59" s="345"/>
      <c r="AFL59" s="361" t="s">
        <v>2404</v>
      </c>
      <c r="AFM59" s="361"/>
      <c r="AFN59" s="316"/>
      <c r="AFO59" s="316"/>
      <c r="AFP59" s="316"/>
      <c r="AFQ59" s="316"/>
      <c r="AFR59" s="316"/>
      <c r="AFS59" s="316"/>
      <c r="AFT59" s="7" t="s">
        <v>19</v>
      </c>
      <c r="AFU59" s="316" t="s">
        <v>2404</v>
      </c>
      <c r="AFV59" s="316"/>
      <c r="AFW59" s="345" t="s">
        <v>2188</v>
      </c>
      <c r="AFX59" s="345"/>
      <c r="AFY59" s="210" t="s">
        <v>2583</v>
      </c>
      <c r="AFZ59" s="210"/>
      <c r="AGA59" s="180"/>
      <c r="AGB59" s="180"/>
      <c r="AGC59" s="180"/>
      <c r="AGD59" s="361" t="s">
        <v>2484</v>
      </c>
      <c r="AGE59" s="361"/>
      <c r="AGF59" s="316"/>
      <c r="AGG59" s="361" t="s">
        <v>2485</v>
      </c>
      <c r="AGH59" s="361"/>
      <c r="AGI59" s="316"/>
      <c r="AGJ59" s="316"/>
      <c r="AGK59" s="316"/>
      <c r="AGL59" s="210" t="s">
        <v>2574</v>
      </c>
      <c r="AGM59" s="210"/>
      <c r="AGN59" s="180"/>
      <c r="AGO59" s="180"/>
      <c r="AGP59" s="180"/>
      <c r="AGQ59" s="180"/>
      <c r="AGR59" s="210" t="s">
        <v>2572</v>
      </c>
      <c r="AGS59" s="210"/>
      <c r="AGT59" s="180"/>
      <c r="AGU59" s="210" t="s">
        <v>2563</v>
      </c>
      <c r="AGV59" s="210"/>
      <c r="AGW59" s="180"/>
      <c r="AGX59" s="180"/>
      <c r="AGY59" s="180"/>
      <c r="AGZ59" s="7" t="s">
        <v>19</v>
      </c>
      <c r="AHA59" s="180" t="s">
        <v>2563</v>
      </c>
      <c r="AHB59" s="376" t="s">
        <v>2451</v>
      </c>
      <c r="AHC59" s="210" t="s">
        <v>2593</v>
      </c>
      <c r="AHD59" s="210"/>
      <c r="AHE59" s="180"/>
      <c r="AHF59" s="180"/>
      <c r="AHG59" s="180"/>
      <c r="AHH59" s="180"/>
      <c r="AHI59" s="180"/>
      <c r="AHJ59" s="210" t="s">
        <v>2728</v>
      </c>
      <c r="AHK59" s="210"/>
      <c r="AHL59" s="180"/>
      <c r="AHM59" s="180"/>
      <c r="AHN59" s="180"/>
      <c r="AHO59" s="210" t="s">
        <v>2729</v>
      </c>
      <c r="AHP59" s="210"/>
      <c r="AHQ59" s="210" t="s">
        <v>2730</v>
      </c>
      <c r="AHR59" s="210"/>
      <c r="AHS59" s="180"/>
      <c r="AHT59" s="180"/>
      <c r="AHU59" s="180"/>
      <c r="AHV59" s="180"/>
      <c r="AHW59" s="180"/>
      <c r="AHX59" s="180"/>
      <c r="AHY59" s="180"/>
      <c r="AHZ59" s="180"/>
      <c r="AIA59" s="210" t="s">
        <v>2589</v>
      </c>
      <c r="AIB59" s="210"/>
      <c r="AIC59" s="180"/>
      <c r="AID59" s="180"/>
      <c r="AIE59" s="7" t="s">
        <v>19</v>
      </c>
      <c r="AIF59" s="180" t="s">
        <v>2589</v>
      </c>
      <c r="AIG59" s="180"/>
      <c r="AIH59" s="210" t="s">
        <v>2562</v>
      </c>
      <c r="AII59" s="210"/>
      <c r="AIJ59" s="180"/>
      <c r="AIK59" s="180"/>
      <c r="AIL59" s="361" t="s">
        <v>2747</v>
      </c>
      <c r="AIM59" s="361"/>
      <c r="AIN59" s="316"/>
      <c r="AIO59" s="316"/>
      <c r="AIP59" s="361" t="s">
        <v>2745</v>
      </c>
      <c r="AIQ59" s="361" t="s">
        <v>2746</v>
      </c>
      <c r="AIR59" s="361"/>
      <c r="AIS59" s="361" t="s">
        <v>2743</v>
      </c>
      <c r="AIT59" s="361"/>
      <c r="AIU59" s="316"/>
      <c r="AIV59" s="361" t="s">
        <v>2744</v>
      </c>
      <c r="AIW59" s="361" t="s">
        <v>2468</v>
      </c>
      <c r="AIX59" s="361" t="s">
        <v>2527</v>
      </c>
      <c r="AIY59" s="361"/>
      <c r="AIZ59" s="361" t="s">
        <v>2528</v>
      </c>
      <c r="AJA59" s="361"/>
      <c r="AJB59" s="316"/>
      <c r="AJC59" s="361" t="s">
        <v>2529</v>
      </c>
      <c r="AJD59" s="361"/>
      <c r="AJE59" s="345" t="s">
        <v>2628</v>
      </c>
      <c r="AJF59" s="345"/>
      <c r="AJG59" s="352"/>
      <c r="AJH59" s="352"/>
      <c r="AJI59" s="352"/>
      <c r="AJJ59" s="352"/>
      <c r="AJK59" s="7" t="s">
        <v>19</v>
      </c>
      <c r="AJL59" s="352" t="s">
        <v>2628</v>
      </c>
      <c r="AJM59" s="352"/>
      <c r="AJN59" s="352"/>
      <c r="AJO59" s="352"/>
      <c r="AJP59" s="352"/>
      <c r="AJQ59" s="352"/>
      <c r="AJR59" s="352"/>
      <c r="AJS59" s="352"/>
      <c r="AJT59" s="352"/>
      <c r="AJU59" s="361" t="s">
        <v>2834</v>
      </c>
      <c r="AJV59" s="361"/>
      <c r="AJW59" s="319"/>
      <c r="AJX59" s="319"/>
      <c r="AJY59" s="319"/>
      <c r="AJZ59" s="319"/>
      <c r="AKA59" s="319"/>
      <c r="AKB59" s="319"/>
      <c r="AKC59" s="319"/>
      <c r="AKD59" s="319"/>
      <c r="AKE59" s="319"/>
      <c r="AKF59" s="319"/>
      <c r="AKG59" s="319"/>
      <c r="AKH59" s="319"/>
      <c r="AKI59" s="319"/>
      <c r="AKJ59" s="319"/>
      <c r="AKK59" s="319"/>
      <c r="AKL59" s="319"/>
      <c r="AKM59" s="319"/>
      <c r="AKN59" s="319"/>
      <c r="AKO59" s="319"/>
      <c r="AKP59" s="319"/>
      <c r="AKQ59" s="7" t="s">
        <v>19</v>
      </c>
      <c r="AKR59" s="319" t="s">
        <v>2834</v>
      </c>
      <c r="AKS59" s="319"/>
      <c r="AKT59" s="319"/>
      <c r="AKU59" s="319"/>
      <c r="AKV59" s="361" t="s">
        <v>2629</v>
      </c>
      <c r="AKW59" s="361"/>
      <c r="AKX59" s="319"/>
      <c r="AKY59" s="319"/>
      <c r="AKZ59" s="319"/>
      <c r="ALA59" s="319"/>
      <c r="ALB59" s="319"/>
      <c r="ALC59" s="319"/>
      <c r="ALD59" s="319"/>
      <c r="ALE59" s="319"/>
      <c r="ALF59" s="319"/>
      <c r="ALG59" s="319"/>
      <c r="ALH59" s="319"/>
      <c r="ALI59" s="319"/>
      <c r="ALJ59" s="319"/>
      <c r="ALK59" s="319"/>
      <c r="ALL59" s="319"/>
      <c r="ALM59" s="345" t="s">
        <v>2846</v>
      </c>
      <c r="ALN59" s="345"/>
      <c r="ALO59" s="352"/>
      <c r="ALP59" s="352"/>
      <c r="ALQ59" s="352"/>
      <c r="ALR59" s="352"/>
      <c r="ALS59" s="352"/>
      <c r="ALT59" s="7" t="s">
        <v>19</v>
      </c>
      <c r="ALU59" s="352" t="s">
        <v>2846</v>
      </c>
      <c r="ALV59" s="352"/>
      <c r="ALW59" s="352"/>
      <c r="ALX59" s="352"/>
      <c r="ALY59" s="352"/>
      <c r="ALZ59" s="352"/>
      <c r="AMA59" s="352"/>
      <c r="AMB59" s="352"/>
      <c r="AMC59" s="352"/>
      <c r="AMD59" s="352"/>
      <c r="AME59" s="352"/>
      <c r="AMF59" s="352"/>
      <c r="AMG59" s="352"/>
      <c r="AMH59" s="352"/>
      <c r="AMI59" s="352"/>
      <c r="AMJ59" s="352"/>
      <c r="AMK59" s="352"/>
      <c r="AML59" s="352"/>
      <c r="AMM59" s="352"/>
      <c r="AMN59" s="352"/>
      <c r="AMO59" s="352"/>
      <c r="AMP59" s="352"/>
      <c r="AMQ59" s="352"/>
      <c r="AMR59" s="352"/>
      <c r="AMS59" s="352"/>
      <c r="AMT59" s="352"/>
      <c r="AMU59" s="352"/>
      <c r="AMV59" s="352"/>
      <c r="AMW59" s="352"/>
      <c r="AMX59" s="352"/>
      <c r="AMY59" s="352"/>
      <c r="AMZ59" s="7" t="s">
        <v>19</v>
      </c>
      <c r="ANA59" s="352" t="s">
        <v>2846</v>
      </c>
      <c r="ANB59" s="352"/>
      <c r="ANC59" s="352"/>
      <c r="AND59" s="352"/>
      <c r="ANE59" s="352"/>
      <c r="ANF59" s="352"/>
      <c r="ANG59" s="352"/>
      <c r="ANH59" s="352"/>
      <c r="ANI59" s="352"/>
      <c r="ANJ59" s="352"/>
      <c r="ANK59" s="352"/>
      <c r="ANL59" s="352"/>
      <c r="ANM59" s="352"/>
      <c r="ANN59" s="352"/>
      <c r="ANO59" s="352"/>
      <c r="ANP59" s="352"/>
      <c r="ANQ59" s="352"/>
      <c r="ANR59" s="352"/>
      <c r="ANS59" s="352"/>
      <c r="ANT59" s="352"/>
      <c r="ANU59" s="352"/>
      <c r="ANV59" s="352"/>
      <c r="ANW59" s="352"/>
      <c r="ANX59" s="352"/>
      <c r="ANY59" s="352"/>
      <c r="ANZ59" s="352"/>
      <c r="AOA59" s="352"/>
      <c r="AOB59" s="352"/>
      <c r="AOC59" s="352"/>
      <c r="AOD59" s="352"/>
      <c r="AOE59" s="7" t="s">
        <v>19</v>
      </c>
      <c r="AOF59" s="159"/>
      <c r="AOG59" s="159"/>
      <c r="AOH59" s="159"/>
      <c r="AOI59" s="159"/>
      <c r="AOJ59" s="159"/>
      <c r="AOK59" s="159"/>
      <c r="AOL59" s="159"/>
      <c r="AOM59" s="159"/>
      <c r="AON59" s="159"/>
      <c r="AOO59" s="352" t="s">
        <v>2636</v>
      </c>
      <c r="AOP59" s="352"/>
      <c r="AOQ59" s="352"/>
      <c r="AOR59" s="352"/>
      <c r="AOS59" s="352"/>
      <c r="AOT59" s="352"/>
      <c r="AOU59" s="352"/>
      <c r="AOV59" s="352"/>
      <c r="AOW59" s="352"/>
      <c r="AOX59" s="352"/>
      <c r="AOY59" s="352"/>
      <c r="AOZ59" s="352"/>
      <c r="APA59" s="352"/>
      <c r="APB59" s="345" t="s">
        <v>2868</v>
      </c>
      <c r="APC59" s="345"/>
      <c r="APD59" s="352"/>
      <c r="APE59" s="352"/>
      <c r="APF59" s="352"/>
      <c r="APG59" s="352"/>
      <c r="APH59" s="352"/>
      <c r="API59" s="352"/>
      <c r="APJ59" s="352"/>
      <c r="APK59" s="7" t="s">
        <v>19</v>
      </c>
      <c r="APL59" s="352" t="s">
        <v>2868</v>
      </c>
      <c r="APM59" s="352"/>
      <c r="APN59" s="352"/>
      <c r="APO59" s="352"/>
      <c r="APP59" s="352"/>
      <c r="APQ59" s="352"/>
      <c r="APR59" s="352"/>
      <c r="APS59" s="352"/>
      <c r="APT59" s="352"/>
      <c r="APU59" s="352"/>
      <c r="APV59" s="352"/>
      <c r="APW59" s="352"/>
      <c r="APX59" s="352"/>
      <c r="APY59" s="352"/>
      <c r="APZ59" s="352"/>
      <c r="AQA59" s="352"/>
      <c r="AQB59" s="352"/>
      <c r="AQC59" s="352"/>
      <c r="AQD59" s="352"/>
      <c r="AQE59" s="352"/>
      <c r="AQF59" s="352"/>
      <c r="AQG59" s="352"/>
      <c r="AQH59" s="352"/>
      <c r="AQI59" s="352"/>
      <c r="AQJ59" s="352"/>
      <c r="AQK59" s="352"/>
      <c r="AQL59" s="352"/>
      <c r="AQM59" s="352"/>
      <c r="AQN59" s="352"/>
      <c r="AQO59" s="352"/>
      <c r="AQP59" s="7" t="s">
        <v>19</v>
      </c>
      <c r="AQQ59" s="352" t="s">
        <v>2868</v>
      </c>
      <c r="AQR59" s="352"/>
      <c r="AQS59" s="352"/>
      <c r="AQT59" s="352"/>
      <c r="AQU59" s="352"/>
      <c r="AQV59" s="352"/>
      <c r="AQW59" s="352"/>
      <c r="AQX59" s="159"/>
      <c r="AQY59" s="159"/>
      <c r="AQZ59" s="159"/>
      <c r="ARA59" s="159"/>
      <c r="ARB59" s="159"/>
      <c r="ARC59" s="159"/>
      <c r="ARD59" s="159"/>
      <c r="ARE59" s="159"/>
      <c r="ARF59" s="159"/>
      <c r="ARG59" s="352" t="s">
        <v>2868</v>
      </c>
      <c r="ARH59" s="352"/>
      <c r="ARI59" s="352"/>
      <c r="ARJ59" s="352"/>
      <c r="ARK59" s="352"/>
      <c r="ARL59" s="352"/>
      <c r="ARM59" s="352"/>
      <c r="ARN59" s="352"/>
      <c r="ARO59" s="352"/>
      <c r="ARP59" s="352"/>
      <c r="ARQ59" s="352"/>
      <c r="ARR59" s="352"/>
      <c r="ARS59" s="352"/>
      <c r="ART59" s="352"/>
      <c r="ARU59" s="352"/>
      <c r="ARV59" s="7" t="s">
        <v>19</v>
      </c>
      <c r="ARW59" s="352" t="s">
        <v>2868</v>
      </c>
      <c r="ARX59" s="352"/>
      <c r="ARY59" s="352"/>
      <c r="ARZ59" s="352"/>
      <c r="ASA59" s="352"/>
      <c r="ASB59" s="352"/>
      <c r="ASC59" s="352"/>
      <c r="ASD59" s="352"/>
      <c r="ASE59" s="352"/>
      <c r="ASF59" s="352"/>
      <c r="ASG59" s="352"/>
      <c r="ASH59" s="352"/>
      <c r="ASI59" s="352"/>
      <c r="ASJ59" s="352"/>
      <c r="ASK59" s="352"/>
      <c r="ASL59" s="352"/>
      <c r="ASM59" s="352"/>
      <c r="ASN59" s="352"/>
      <c r="ASO59" s="352"/>
      <c r="ASP59" s="352"/>
      <c r="ASQ59" s="352"/>
      <c r="ASR59" s="352"/>
      <c r="ASS59" s="352"/>
      <c r="AST59" s="352"/>
      <c r="ASU59" s="352"/>
      <c r="ASV59" s="352"/>
      <c r="ASW59" s="352"/>
      <c r="ASX59" s="352"/>
      <c r="ASY59" s="352"/>
      <c r="ASZ59" s="345" t="s">
        <v>2693</v>
      </c>
      <c r="ATA59" s="345"/>
      <c r="ATB59" s="7" t="s">
        <v>19</v>
      </c>
      <c r="ATC59" s="352" t="s">
        <v>2693</v>
      </c>
      <c r="ATD59" s="352"/>
      <c r="ATE59" s="352"/>
      <c r="ATF59" s="352"/>
      <c r="ATG59" s="352"/>
      <c r="ATH59" s="352"/>
      <c r="ATI59" s="352"/>
      <c r="ATJ59" s="352"/>
      <c r="ATK59" s="352"/>
      <c r="ATL59" s="352"/>
      <c r="ATM59" s="352"/>
      <c r="ATN59" s="352"/>
      <c r="ATO59" s="352"/>
      <c r="ATP59" s="352"/>
      <c r="ATQ59" s="352"/>
      <c r="ATR59" s="352"/>
      <c r="ATS59" s="352"/>
      <c r="ATT59" s="352"/>
      <c r="ATU59" s="352"/>
      <c r="ATV59" s="352"/>
      <c r="ATW59" s="352"/>
      <c r="ATX59" s="352"/>
      <c r="ATY59" s="352"/>
      <c r="ATZ59" s="352"/>
      <c r="AUA59" s="352"/>
      <c r="AUB59" s="352"/>
      <c r="AUC59" s="352"/>
      <c r="AUD59" s="352"/>
      <c r="AUE59" s="352"/>
      <c r="AUF59" s="352"/>
      <c r="AUG59" s="7" t="s">
        <v>19</v>
      </c>
      <c r="AUH59" s="352" t="s">
        <v>2693</v>
      </c>
      <c r="AUI59" s="352"/>
      <c r="AUJ59" s="352"/>
      <c r="AUK59" s="352"/>
      <c r="AUL59" s="352"/>
      <c r="AUM59" s="352"/>
      <c r="AUN59" s="352"/>
      <c r="AUO59" s="352"/>
      <c r="AUP59" s="352"/>
      <c r="AUQ59" s="352"/>
      <c r="AUR59" s="352"/>
      <c r="AUS59" s="352"/>
      <c r="AUT59" s="352"/>
      <c r="AUU59" s="352"/>
      <c r="AUV59" s="352"/>
      <c r="AUW59" s="352"/>
      <c r="AUX59" s="352"/>
      <c r="AUY59" s="352"/>
      <c r="AUZ59" s="352"/>
      <c r="AVA59" s="352"/>
      <c r="AVB59" s="352"/>
      <c r="AVC59" s="352"/>
      <c r="AVD59" s="352"/>
      <c r="AVE59" s="352"/>
      <c r="AVF59" s="352"/>
      <c r="AVG59" s="352"/>
      <c r="AVH59" s="352"/>
      <c r="AVI59" s="352"/>
      <c r="AVJ59" s="352"/>
      <c r="AVK59" s="352"/>
      <c r="AVL59" s="352"/>
      <c r="AVM59" s="7" t="s">
        <v>19</v>
      </c>
      <c r="AVN59" s="352" t="s">
        <v>2693</v>
      </c>
      <c r="AVO59" s="352"/>
      <c r="AVP59" s="352"/>
      <c r="AVQ59" s="352"/>
      <c r="AVR59" s="352"/>
      <c r="AVS59" s="352"/>
      <c r="AVT59" s="352"/>
      <c r="AVU59" s="352"/>
      <c r="AVV59" s="352"/>
      <c r="AVW59" s="352"/>
      <c r="AVX59" s="352"/>
      <c r="AVY59" s="352"/>
      <c r="AVZ59" s="352"/>
      <c r="AWA59" s="352"/>
      <c r="AWB59" s="352"/>
      <c r="AWC59" s="352"/>
      <c r="AWD59" s="352"/>
      <c r="AWE59" s="352"/>
      <c r="AWF59" s="352"/>
      <c r="AWG59" s="345" t="s">
        <v>2697</v>
      </c>
      <c r="AWH59" s="345"/>
      <c r="AWI59" s="352"/>
      <c r="AWJ59" s="352"/>
      <c r="AWK59" s="352"/>
      <c r="AWL59" s="352"/>
      <c r="AWM59" s="352"/>
      <c r="AWN59" s="352"/>
      <c r="AWO59" s="352"/>
      <c r="AWP59" s="352"/>
      <c r="AWQ59" s="352"/>
      <c r="AWR59" s="7" t="s">
        <v>19</v>
      </c>
      <c r="AWS59" s="352" t="s">
        <v>2697</v>
      </c>
      <c r="AWT59" s="352"/>
      <c r="AWU59" s="352"/>
      <c r="AWV59" s="352"/>
      <c r="AWW59" s="352"/>
      <c r="AWX59" s="352"/>
      <c r="AWY59" s="352"/>
      <c r="AWZ59" s="352"/>
      <c r="AXA59" s="352"/>
      <c r="AXB59" s="352"/>
      <c r="AXC59" s="352"/>
      <c r="AXD59" s="352"/>
      <c r="AXE59" s="352"/>
      <c r="AXF59" s="352"/>
      <c r="AXG59" s="352"/>
      <c r="AXH59" s="352"/>
      <c r="AXI59" s="352"/>
      <c r="AXJ59" s="352"/>
      <c r="AXK59" s="352"/>
      <c r="AXL59" s="352"/>
      <c r="AXM59" s="352"/>
      <c r="AXN59" s="352"/>
      <c r="AXO59" s="352"/>
      <c r="AXP59" s="352"/>
      <c r="AXQ59" s="352"/>
      <c r="AXR59" s="352"/>
      <c r="AXS59" s="352"/>
      <c r="AXT59" s="352"/>
      <c r="AXU59" s="352"/>
      <c r="AXV59" s="352"/>
      <c r="AXW59" s="352"/>
      <c r="AXX59" s="7" t="s">
        <v>19</v>
      </c>
    </row>
    <row r="60" spans="1:1324" s="136" customFormat="1" ht="22.8" customHeight="1" x14ac:dyDescent="0.25">
      <c r="A60" s="711"/>
      <c r="B60" s="627"/>
      <c r="C60" s="139">
        <v>900</v>
      </c>
      <c r="D60" s="139">
        <v>900</v>
      </c>
      <c r="E60" s="139">
        <v>900</v>
      </c>
      <c r="F60" s="139">
        <v>1000</v>
      </c>
      <c r="G60" s="139"/>
      <c r="H60" s="139">
        <v>1000</v>
      </c>
      <c r="I60" s="139">
        <v>1000</v>
      </c>
      <c r="J60" s="139">
        <v>1000</v>
      </c>
      <c r="K60" s="136">
        <v>1000</v>
      </c>
      <c r="L60" s="136">
        <v>1000</v>
      </c>
      <c r="M60" s="136">
        <v>1000</v>
      </c>
      <c r="O60" s="136">
        <v>1000</v>
      </c>
      <c r="P60" s="136">
        <v>1000</v>
      </c>
      <c r="Q60" s="136">
        <v>1000</v>
      </c>
      <c r="R60" s="136">
        <v>1000</v>
      </c>
      <c r="S60" s="136">
        <v>1000</v>
      </c>
      <c r="T60" s="136">
        <v>1000</v>
      </c>
      <c r="V60" s="136">
        <v>1000</v>
      </c>
      <c r="W60" s="136">
        <v>1000</v>
      </c>
      <c r="X60" s="136">
        <v>1000</v>
      </c>
      <c r="Y60" s="136">
        <v>1000</v>
      </c>
      <c r="Z60" s="136">
        <v>1000</v>
      </c>
      <c r="AA60" s="136">
        <v>1000</v>
      </c>
      <c r="AC60" s="136">
        <v>1000</v>
      </c>
      <c r="AD60" s="136">
        <v>1000</v>
      </c>
      <c r="AE60" s="136">
        <v>1000</v>
      </c>
      <c r="AF60" s="136">
        <v>1000</v>
      </c>
      <c r="AG60" s="136">
        <v>1000</v>
      </c>
      <c r="AH60" s="73"/>
      <c r="AL60" s="136">
        <v>1845</v>
      </c>
      <c r="AP60" s="136">
        <v>1185</v>
      </c>
      <c r="AQ60" s="731"/>
      <c r="AR60" s="732"/>
      <c r="AS60" s="732"/>
      <c r="AT60" s="732"/>
      <c r="AU60" s="732"/>
      <c r="AV60" s="732"/>
      <c r="AW60" s="732"/>
      <c r="AX60" s="732"/>
      <c r="AY60" s="732"/>
      <c r="AZ60" s="733"/>
      <c r="BA60" s="136">
        <v>2520</v>
      </c>
      <c r="BC60" s="136">
        <v>850</v>
      </c>
      <c r="BD60" s="136">
        <v>1020</v>
      </c>
      <c r="BH60" s="136">
        <v>950</v>
      </c>
      <c r="BM60" s="136">
        <v>3000</v>
      </c>
      <c r="BN60" s="72"/>
      <c r="BO60" s="136">
        <v>2100</v>
      </c>
      <c r="CD60" s="136">
        <v>11660</v>
      </c>
      <c r="CE60" s="136">
        <v>1375</v>
      </c>
      <c r="CF60" s="136">
        <v>1375</v>
      </c>
      <c r="CG60" s="136">
        <v>1375</v>
      </c>
      <c r="CI60" s="136">
        <v>1375</v>
      </c>
      <c r="CJ60" s="136">
        <v>1375</v>
      </c>
      <c r="CK60" s="136">
        <v>1375</v>
      </c>
      <c r="CL60" s="136">
        <v>1375</v>
      </c>
      <c r="CM60" s="136">
        <v>300</v>
      </c>
      <c r="CN60" s="136">
        <v>600</v>
      </c>
      <c r="CP60" s="136">
        <v>900</v>
      </c>
      <c r="CQ60" s="136">
        <v>1200</v>
      </c>
      <c r="CR60" s="136">
        <v>1200</v>
      </c>
      <c r="CS60" s="72"/>
      <c r="CT60" s="136">
        <v>1250</v>
      </c>
      <c r="CU60" s="136">
        <v>1250</v>
      </c>
      <c r="CV60" s="136">
        <v>1014</v>
      </c>
      <c r="DM60" s="136">
        <v>13787</v>
      </c>
      <c r="DX60" s="136">
        <v>11333</v>
      </c>
      <c r="DY60" s="76"/>
      <c r="EA60" s="136">
        <v>920</v>
      </c>
      <c r="EB60" s="136">
        <v>1150</v>
      </c>
      <c r="EC60" s="136">
        <v>950</v>
      </c>
      <c r="ED60" s="136">
        <v>750</v>
      </c>
      <c r="EE60" s="136">
        <v>736</v>
      </c>
      <c r="EF60" s="136">
        <v>801</v>
      </c>
      <c r="EH60" s="136">
        <v>330</v>
      </c>
      <c r="EI60" s="136">
        <v>339</v>
      </c>
      <c r="EJ60" s="136">
        <v>796</v>
      </c>
      <c r="EK60" s="136">
        <v>370</v>
      </c>
      <c r="EL60" s="136">
        <v>350</v>
      </c>
      <c r="EM60" s="136">
        <v>1012</v>
      </c>
      <c r="EO60" s="136">
        <v>274</v>
      </c>
      <c r="EP60" s="136">
        <v>485</v>
      </c>
      <c r="EQ60" s="136">
        <v>314</v>
      </c>
      <c r="ER60" s="136">
        <v>315</v>
      </c>
      <c r="ES60" s="136">
        <v>410</v>
      </c>
      <c r="ET60" s="136">
        <v>500</v>
      </c>
      <c r="EV60" s="136">
        <v>446</v>
      </c>
      <c r="EW60" s="136">
        <v>808</v>
      </c>
      <c r="EX60" s="136">
        <v>250</v>
      </c>
      <c r="EY60" s="136">
        <v>500</v>
      </c>
      <c r="EZ60" s="136">
        <v>750</v>
      </c>
      <c r="FA60" s="136">
        <v>1000</v>
      </c>
      <c r="FC60" s="136">
        <v>1000</v>
      </c>
      <c r="FD60" s="72"/>
      <c r="FE60" s="136">
        <v>470</v>
      </c>
      <c r="FF60" s="136">
        <v>950</v>
      </c>
      <c r="FG60" s="137">
        <v>444</v>
      </c>
      <c r="FH60" s="136">
        <v>529</v>
      </c>
      <c r="FI60" s="136">
        <v>514</v>
      </c>
      <c r="FJ60" s="136">
        <v>770</v>
      </c>
      <c r="FK60" s="136">
        <v>224</v>
      </c>
      <c r="FL60" s="136">
        <v>516</v>
      </c>
      <c r="FM60" s="136">
        <v>680</v>
      </c>
      <c r="FN60" s="136">
        <v>900</v>
      </c>
      <c r="FO60" s="136">
        <v>900</v>
      </c>
      <c r="FP60" s="136">
        <v>828</v>
      </c>
      <c r="FU60" s="137">
        <v>521</v>
      </c>
      <c r="FV60" s="136">
        <v>700</v>
      </c>
      <c r="FW60" s="137">
        <f>393+94</f>
        <v>487</v>
      </c>
      <c r="FX60" s="136">
        <v>360</v>
      </c>
      <c r="FY60" s="136">
        <v>800</v>
      </c>
      <c r="FZ60" s="136">
        <v>970</v>
      </c>
      <c r="GA60" s="136">
        <v>950</v>
      </c>
      <c r="GB60" s="137">
        <v>1000</v>
      </c>
      <c r="GC60" s="136">
        <v>300</v>
      </c>
      <c r="GD60" s="136">
        <v>600</v>
      </c>
      <c r="GF60" s="136">
        <v>900</v>
      </c>
      <c r="GG60" s="136">
        <v>900</v>
      </c>
      <c r="GH60" s="137">
        <v>550</v>
      </c>
      <c r="GI60" s="136">
        <v>500</v>
      </c>
      <c r="GJ60" s="72"/>
      <c r="GK60" s="137">
        <v>846</v>
      </c>
      <c r="GL60" s="137">
        <v>578</v>
      </c>
      <c r="GN60" s="136">
        <v>400</v>
      </c>
      <c r="GO60" s="136">
        <v>1000</v>
      </c>
      <c r="GP60" s="136">
        <v>1150</v>
      </c>
      <c r="GQ60" s="136">
        <v>1200</v>
      </c>
      <c r="GR60" s="137">
        <v>846</v>
      </c>
      <c r="GS60" s="136">
        <v>1235</v>
      </c>
      <c r="GU60" s="136">
        <v>771</v>
      </c>
      <c r="GV60" s="136">
        <v>1039</v>
      </c>
      <c r="GW60" s="136">
        <f>350+312</f>
        <v>662</v>
      </c>
      <c r="GX60" s="136">
        <v>916</v>
      </c>
      <c r="GY60" s="136">
        <f>621+50</f>
        <v>671</v>
      </c>
      <c r="GZ60" s="136">
        <f>270+150</f>
        <v>420</v>
      </c>
      <c r="HB60" s="136">
        <v>370</v>
      </c>
      <c r="HC60" s="136">
        <v>350</v>
      </c>
      <c r="HD60" s="136">
        <v>450</v>
      </c>
      <c r="HE60" s="137">
        <f>470+550</f>
        <v>1020</v>
      </c>
      <c r="HF60" s="136">
        <v>800</v>
      </c>
      <c r="HG60" s="136">
        <v>1000</v>
      </c>
      <c r="HI60" s="136">
        <v>1100</v>
      </c>
      <c r="HJ60" s="137">
        <v>432</v>
      </c>
      <c r="HK60" s="136">
        <v>660</v>
      </c>
      <c r="HL60" s="136">
        <v>1100</v>
      </c>
      <c r="HM60" s="137">
        <v>776</v>
      </c>
      <c r="HN60" s="136">
        <v>650</v>
      </c>
      <c r="HP60" s="72"/>
      <c r="HQ60" s="136">
        <v>954</v>
      </c>
      <c r="HR60" s="136">
        <v>900</v>
      </c>
      <c r="HS60" s="136">
        <v>920</v>
      </c>
      <c r="HT60" s="136">
        <v>1000</v>
      </c>
      <c r="HU60" s="136">
        <v>745</v>
      </c>
      <c r="HV60" s="136">
        <v>1100</v>
      </c>
      <c r="HX60" s="136">
        <v>1160</v>
      </c>
      <c r="HY60" s="136">
        <v>947</v>
      </c>
      <c r="HZ60" s="137">
        <v>1100</v>
      </c>
      <c r="IA60" s="136">
        <v>745</v>
      </c>
      <c r="IB60" s="136">
        <v>1100</v>
      </c>
      <c r="IC60" s="137">
        <v>1015</v>
      </c>
      <c r="IE60" s="137">
        <v>963</v>
      </c>
      <c r="IF60" s="136">
        <v>1105</v>
      </c>
      <c r="IG60" s="136">
        <v>1100</v>
      </c>
      <c r="IH60" s="136">
        <v>1325</v>
      </c>
      <c r="II60" s="136">
        <v>1320</v>
      </c>
      <c r="IJ60" s="136">
        <v>1320</v>
      </c>
      <c r="IL60" s="136">
        <v>1320</v>
      </c>
      <c r="IM60" s="136">
        <v>1320</v>
      </c>
      <c r="IN60" s="136">
        <v>1320</v>
      </c>
      <c r="IO60" s="136">
        <v>1150</v>
      </c>
      <c r="IP60" s="136">
        <v>1164</v>
      </c>
      <c r="IQ60" s="136">
        <v>930</v>
      </c>
      <c r="IS60" s="136">
        <v>1100</v>
      </c>
      <c r="IT60" s="72"/>
      <c r="IU60" s="136">
        <v>1270</v>
      </c>
      <c r="IV60" s="136">
        <v>1320</v>
      </c>
      <c r="IW60" s="136">
        <v>1320</v>
      </c>
      <c r="IX60" s="136">
        <v>1320</v>
      </c>
      <c r="IY60" s="136">
        <v>1200</v>
      </c>
      <c r="JA60" s="136">
        <v>1320</v>
      </c>
      <c r="JB60" s="137">
        <v>1320</v>
      </c>
      <c r="JC60" s="136">
        <f>129+470</f>
        <v>599</v>
      </c>
      <c r="JD60" s="136">
        <v>1100</v>
      </c>
      <c r="JE60" s="136">
        <v>1320</v>
      </c>
      <c r="JF60" s="136">
        <v>1100</v>
      </c>
      <c r="JG60" s="136">
        <v>1200</v>
      </c>
      <c r="JH60" s="136">
        <v>1270</v>
      </c>
      <c r="JI60" s="136">
        <v>1270</v>
      </c>
      <c r="JJ60" s="136">
        <f>810+80</f>
        <v>890</v>
      </c>
      <c r="JL60" s="137">
        <f>189+128</f>
        <v>317</v>
      </c>
      <c r="JM60" s="137">
        <v>50</v>
      </c>
      <c r="JO60" s="137">
        <v>266</v>
      </c>
      <c r="JP60" s="136">
        <v>500</v>
      </c>
      <c r="JQ60" s="136">
        <v>800</v>
      </c>
      <c r="JR60" s="137">
        <f>318+400</f>
        <v>718</v>
      </c>
      <c r="JS60" s="136">
        <v>900</v>
      </c>
      <c r="JV60" s="278"/>
      <c r="JW60" s="173"/>
      <c r="JX60" s="173"/>
      <c r="JY60" s="173"/>
      <c r="JZ60" s="282"/>
      <c r="KA60" s="173"/>
      <c r="KB60" s="173"/>
      <c r="KC60" s="173"/>
      <c r="KD60" s="173"/>
      <c r="KE60" s="173"/>
      <c r="KF60" s="173"/>
      <c r="KG60" s="173"/>
      <c r="KH60" s="173"/>
      <c r="KI60" s="173"/>
      <c r="KJ60" s="173"/>
      <c r="KK60" s="173"/>
      <c r="KL60" s="173"/>
      <c r="KM60" s="173"/>
      <c r="KN60" s="173"/>
      <c r="KO60" s="173"/>
      <c r="KP60" s="173"/>
      <c r="KQ60" s="173"/>
      <c r="KR60" s="173"/>
      <c r="KS60" s="173"/>
      <c r="KT60" s="173"/>
      <c r="KU60" s="173"/>
      <c r="KV60" s="173"/>
      <c r="KW60" s="173"/>
      <c r="KX60" s="173"/>
      <c r="KY60" s="280"/>
      <c r="LE60" s="72"/>
      <c r="LG60" s="136">
        <v>9240</v>
      </c>
      <c r="LJ60" s="136">
        <v>580</v>
      </c>
      <c r="LK60" s="136">
        <v>513</v>
      </c>
      <c r="LL60" s="136">
        <v>560</v>
      </c>
      <c r="LN60" s="136">
        <v>800</v>
      </c>
      <c r="LO60" s="136">
        <f>900-20</f>
        <v>880</v>
      </c>
      <c r="LP60" s="136">
        <f>900-20</f>
        <v>880</v>
      </c>
      <c r="LQ60" s="136">
        <v>920</v>
      </c>
      <c r="LR60" s="136">
        <v>870</v>
      </c>
      <c r="LS60" s="136">
        <v>960</v>
      </c>
      <c r="LU60" s="136">
        <v>880</v>
      </c>
      <c r="LV60" s="136">
        <v>750</v>
      </c>
      <c r="LW60" s="136">
        <v>960</v>
      </c>
      <c r="LX60" s="136">
        <v>960</v>
      </c>
      <c r="LY60" s="137">
        <v>960</v>
      </c>
      <c r="LZ60" s="301">
        <v>820</v>
      </c>
      <c r="MA60" s="301">
        <v>880</v>
      </c>
      <c r="MB60" s="716"/>
      <c r="MC60" s="717"/>
      <c r="MD60" s="717"/>
      <c r="ME60" s="718"/>
      <c r="MF60" s="136">
        <v>1050</v>
      </c>
      <c r="MG60" s="136">
        <v>1200</v>
      </c>
      <c r="MI60" s="136">
        <v>1200</v>
      </c>
      <c r="MJ60" s="314">
        <v>1200</v>
      </c>
      <c r="MK60" s="288"/>
      <c r="ML60" s="136">
        <f>1015+150</f>
        <v>1165</v>
      </c>
      <c r="MM60" s="136">
        <v>1320</v>
      </c>
      <c r="MN60" s="136">
        <v>1320</v>
      </c>
      <c r="MO60" s="136">
        <v>1320</v>
      </c>
      <c r="MQ60" s="136">
        <v>1200</v>
      </c>
      <c r="MR60" s="315">
        <f>365+300</f>
        <v>665</v>
      </c>
      <c r="MS60" s="136">
        <v>1050</v>
      </c>
      <c r="MT60" s="136">
        <v>1210</v>
      </c>
      <c r="MU60" s="136">
        <v>1430</v>
      </c>
      <c r="MV60" s="136">
        <v>1430</v>
      </c>
      <c r="MX60" s="136">
        <v>1450</v>
      </c>
      <c r="MY60" s="136">
        <v>1450</v>
      </c>
      <c r="MZ60" s="136">
        <v>1431</v>
      </c>
      <c r="NA60" s="136">
        <v>1430</v>
      </c>
      <c r="NB60" s="136">
        <v>1380</v>
      </c>
      <c r="NC60" s="136">
        <v>1430</v>
      </c>
      <c r="NE60" s="136">
        <v>1430</v>
      </c>
      <c r="NF60" s="136">
        <v>1430</v>
      </c>
      <c r="NG60" s="136">
        <v>1430</v>
      </c>
      <c r="NH60" s="136">
        <v>1500</v>
      </c>
      <c r="NI60" s="365">
        <v>646</v>
      </c>
      <c r="NJ60" s="173">
        <f>352+10</f>
        <v>362</v>
      </c>
      <c r="NL60" s="136">
        <v>830</v>
      </c>
      <c r="NM60" s="136">
        <v>1100</v>
      </c>
      <c r="NN60" s="136">
        <v>1210</v>
      </c>
      <c r="NO60" s="365">
        <v>971</v>
      </c>
      <c r="NP60" s="72"/>
      <c r="NQ60" s="314">
        <v>460</v>
      </c>
      <c r="NR60" s="136">
        <v>800</v>
      </c>
      <c r="NT60" s="136">
        <v>1100</v>
      </c>
      <c r="NU60" s="136">
        <v>1050</v>
      </c>
      <c r="NV60" s="314">
        <v>1200</v>
      </c>
      <c r="NW60" s="314">
        <v>1320</v>
      </c>
      <c r="NX60" s="314">
        <v>1150</v>
      </c>
      <c r="NY60" s="314">
        <v>1100</v>
      </c>
      <c r="NZ60" s="314"/>
      <c r="OA60" s="314">
        <v>1250</v>
      </c>
      <c r="OB60" s="314">
        <v>950</v>
      </c>
      <c r="OC60" s="314">
        <v>1270</v>
      </c>
      <c r="OD60" s="314">
        <v>1210</v>
      </c>
      <c r="OE60" s="314">
        <f>340+960</f>
        <v>1300</v>
      </c>
      <c r="OF60" s="314">
        <v>1320</v>
      </c>
      <c r="OH60" s="136">
        <v>1210</v>
      </c>
      <c r="OI60" s="136">
        <f>252+1070</f>
        <v>1322</v>
      </c>
      <c r="OJ60" s="136">
        <v>1380</v>
      </c>
      <c r="OK60" s="136">
        <v>1250</v>
      </c>
      <c r="OL60" s="136">
        <v>1210</v>
      </c>
      <c r="OM60" s="136">
        <v>1320</v>
      </c>
      <c r="ON60" s="136">
        <v>960</v>
      </c>
      <c r="OO60" s="136">
        <v>1270</v>
      </c>
      <c r="OP60" s="136">
        <v>1150</v>
      </c>
      <c r="OQ60" s="365">
        <f>577+120</f>
        <v>697</v>
      </c>
      <c r="OR60" s="173">
        <v>482</v>
      </c>
      <c r="OS60" s="173">
        <v>200</v>
      </c>
      <c r="OT60" s="724"/>
      <c r="OU60" s="725"/>
      <c r="OV60" s="304"/>
      <c r="OW60" s="740"/>
      <c r="OX60" s="741"/>
      <c r="OY60" s="741"/>
      <c r="OZ60" s="741"/>
      <c r="PA60" s="741"/>
      <c r="PB60" s="741"/>
      <c r="PC60" s="742"/>
      <c r="PD60" s="173">
        <v>200</v>
      </c>
      <c r="PE60" s="314">
        <v>770</v>
      </c>
      <c r="PF60" s="314">
        <v>900</v>
      </c>
      <c r="PG60" s="314">
        <f>501+200+70</f>
        <v>771</v>
      </c>
      <c r="PH60" s="136">
        <f>7+950</f>
        <v>957</v>
      </c>
      <c r="PI60" s="365">
        <f>212+556+20</f>
        <v>788</v>
      </c>
      <c r="PL60" s="314">
        <v>620</v>
      </c>
      <c r="PM60" s="314">
        <f>176+530</f>
        <v>706</v>
      </c>
      <c r="PN60" s="136">
        <f>94+610</f>
        <v>704</v>
      </c>
      <c r="PO60" s="136">
        <f>220+600</f>
        <v>820</v>
      </c>
      <c r="PP60" s="365">
        <v>847</v>
      </c>
      <c r="PR60" s="314">
        <v>700</v>
      </c>
      <c r="PS60" s="314">
        <v>960</v>
      </c>
      <c r="PT60" s="365">
        <f>380+160</f>
        <v>540</v>
      </c>
      <c r="PU60" s="314">
        <v>1000</v>
      </c>
      <c r="PV60" s="136">
        <v>980</v>
      </c>
      <c r="PW60" s="136">
        <v>1200</v>
      </c>
      <c r="PX60" s="314"/>
      <c r="PY60" s="314">
        <v>1080</v>
      </c>
      <c r="PZ60" s="314">
        <v>1000</v>
      </c>
      <c r="QA60" s="365">
        <v>600</v>
      </c>
      <c r="QB60" s="72"/>
      <c r="QC60" s="136">
        <f>660+280</f>
        <v>940</v>
      </c>
      <c r="QD60" s="136">
        <v>800</v>
      </c>
      <c r="QE60" s="136">
        <v>1210</v>
      </c>
      <c r="QG60" s="136">
        <v>1210</v>
      </c>
      <c r="QH60" s="136">
        <v>1210</v>
      </c>
      <c r="QI60" s="314">
        <v>1100</v>
      </c>
      <c r="QJ60" s="365">
        <v>785</v>
      </c>
      <c r="QK60" s="314">
        <v>220</v>
      </c>
      <c r="QL60" s="314">
        <v>600</v>
      </c>
      <c r="QM60" s="136">
        <v>750</v>
      </c>
      <c r="QN60" s="314">
        <v>1000</v>
      </c>
      <c r="QO60" s="314">
        <v>1200</v>
      </c>
      <c r="QP60" s="314"/>
      <c r="QQ60" s="314">
        <v>1200</v>
      </c>
      <c r="QR60" s="314">
        <v>1320</v>
      </c>
      <c r="QS60" s="314">
        <v>1200</v>
      </c>
      <c r="QU60" s="314">
        <v>1250</v>
      </c>
      <c r="QV60" s="314">
        <v>1380</v>
      </c>
      <c r="QW60" s="314">
        <v>1200</v>
      </c>
      <c r="QX60" s="314">
        <v>1250</v>
      </c>
      <c r="QY60" s="314">
        <v>1250</v>
      </c>
      <c r="QZ60" s="314">
        <v>1250</v>
      </c>
      <c r="RB60" s="314">
        <v>1050</v>
      </c>
      <c r="RC60" s="365">
        <f>513+130</f>
        <v>643</v>
      </c>
      <c r="RD60" s="314">
        <f>596+20</f>
        <v>616</v>
      </c>
      <c r="RE60" s="314">
        <v>447</v>
      </c>
      <c r="RF60" s="314">
        <f>265+0</f>
        <v>265</v>
      </c>
      <c r="RG60" s="72"/>
      <c r="RH60" s="314">
        <f>9+60</f>
        <v>69</v>
      </c>
      <c r="RJ60" s="365">
        <v>576</v>
      </c>
      <c r="RK60" s="136">
        <v>600</v>
      </c>
      <c r="RL60" s="136">
        <f>135+660</f>
        <v>795</v>
      </c>
      <c r="RM60" s="136">
        <v>1280</v>
      </c>
      <c r="RN60" s="136">
        <f>638+120</f>
        <v>758</v>
      </c>
      <c r="RP60" s="314">
        <v>700</v>
      </c>
      <c r="RQ60" s="314">
        <v>1004</v>
      </c>
      <c r="RR60" s="314">
        <f>211+384</f>
        <v>595</v>
      </c>
      <c r="RS60" s="136">
        <v>250</v>
      </c>
      <c r="RT60" s="314">
        <v>750</v>
      </c>
      <c r="RU60" s="136">
        <v>980</v>
      </c>
      <c r="RV60" s="136">
        <v>1210</v>
      </c>
      <c r="RX60" s="365">
        <v>927</v>
      </c>
      <c r="RY60" s="314">
        <f>10+420</f>
        <v>430</v>
      </c>
      <c r="RZ60" s="136">
        <v>1320</v>
      </c>
      <c r="SA60" s="365">
        <f>834+340</f>
        <v>1174</v>
      </c>
      <c r="SB60" s="365">
        <f>814+303</f>
        <v>1117</v>
      </c>
      <c r="SC60" s="173">
        <f>187+208+180</f>
        <v>575</v>
      </c>
      <c r="SD60" s="314"/>
      <c r="SE60" s="173">
        <v>20</v>
      </c>
      <c r="SF60" s="173">
        <f>205+180+30</f>
        <v>415</v>
      </c>
      <c r="SG60" s="173">
        <f>66+1+251+180</f>
        <v>498</v>
      </c>
      <c r="SH60" s="173">
        <f>27+27+56</f>
        <v>110</v>
      </c>
      <c r="SI60" s="173">
        <v>18</v>
      </c>
      <c r="SJ60" s="173">
        <f>180+70</f>
        <v>250</v>
      </c>
      <c r="SK60" s="314"/>
      <c r="SL60" s="173">
        <f>30+24+80</f>
        <v>134</v>
      </c>
      <c r="SM60" s="72"/>
      <c r="SN60" s="173">
        <f>198+180</f>
        <v>378</v>
      </c>
      <c r="SO60" s="173">
        <f>50+80</f>
        <v>130</v>
      </c>
      <c r="SP60" s="173">
        <f>170+150</f>
        <v>320</v>
      </c>
      <c r="SQ60" s="173">
        <f>98+248+100+24+24</f>
        <v>494</v>
      </c>
      <c r="SR60" s="173">
        <f>70+40</f>
        <v>110</v>
      </c>
      <c r="SS60" s="173">
        <f>40+40+30</f>
        <v>110</v>
      </c>
      <c r="ST60" s="173">
        <v>390</v>
      </c>
      <c r="SU60" s="173">
        <f>330+0</f>
        <v>330</v>
      </c>
      <c r="SV60" s="173"/>
      <c r="SW60" s="173">
        <v>720</v>
      </c>
      <c r="SX60" s="173">
        <f>720+20</f>
        <v>740</v>
      </c>
      <c r="SY60" s="173">
        <f>690+275</f>
        <v>965</v>
      </c>
      <c r="SZ60" s="173"/>
      <c r="TA60" s="173">
        <f>18+27</f>
        <v>45</v>
      </c>
      <c r="TB60" s="173">
        <f>35+30+30+24+24</f>
        <v>143</v>
      </c>
      <c r="TC60" s="136">
        <f>21+520</f>
        <v>541</v>
      </c>
      <c r="TD60" s="136">
        <v>1180</v>
      </c>
      <c r="TE60" s="136">
        <v>1200</v>
      </c>
      <c r="TF60" s="365">
        <v>913</v>
      </c>
      <c r="TH60" s="314">
        <v>600</v>
      </c>
      <c r="TI60" s="314">
        <v>780</v>
      </c>
      <c r="TJ60" s="314">
        <f>58+1200</f>
        <v>1258</v>
      </c>
      <c r="TK60" s="314">
        <f>574+530</f>
        <v>1104</v>
      </c>
      <c r="TL60" s="365">
        <f>710+270</f>
        <v>980</v>
      </c>
      <c r="TM60" s="314">
        <v>1250</v>
      </c>
      <c r="TN60" s="314"/>
      <c r="TO60" s="314">
        <v>1480</v>
      </c>
      <c r="TP60" s="314">
        <v>1400</v>
      </c>
      <c r="TQ60" s="314">
        <v>1280</v>
      </c>
      <c r="TR60" s="72"/>
      <c r="TS60" s="314">
        <v>1800</v>
      </c>
      <c r="TT60" s="314">
        <v>1900</v>
      </c>
      <c r="TU60" s="136">
        <v>1760</v>
      </c>
      <c r="TW60" s="314">
        <v>1800</v>
      </c>
      <c r="TX60" s="314">
        <v>1870</v>
      </c>
      <c r="TY60" s="314">
        <v>1870</v>
      </c>
      <c r="TZ60" s="314">
        <v>1870</v>
      </c>
      <c r="UA60" s="314">
        <v>1800</v>
      </c>
      <c r="UB60" s="314">
        <f>564+50</f>
        <v>614</v>
      </c>
      <c r="UC60" s="136">
        <v>500</v>
      </c>
      <c r="UD60" s="314">
        <v>900</v>
      </c>
      <c r="UE60" s="136">
        <v>1060</v>
      </c>
      <c r="UF60" s="136">
        <v>1150</v>
      </c>
      <c r="UG60" s="136">
        <f>522+280</f>
        <v>802</v>
      </c>
      <c r="UI60" s="314"/>
      <c r="UJ60" s="314"/>
      <c r="UK60" s="314">
        <v>970</v>
      </c>
      <c r="UL60" s="314">
        <v>1000</v>
      </c>
      <c r="UM60" s="136">
        <v>900</v>
      </c>
      <c r="UN60" s="365">
        <f>1026+2</f>
        <v>1028</v>
      </c>
      <c r="UO60" s="136">
        <v>600</v>
      </c>
      <c r="UP60" s="136">
        <f>932+70</f>
        <v>1002</v>
      </c>
      <c r="UR60" s="136">
        <v>930</v>
      </c>
      <c r="US60" s="136">
        <f>617+250</f>
        <v>867</v>
      </c>
      <c r="UT60" s="136">
        <v>1100</v>
      </c>
      <c r="UU60" s="136">
        <v>845</v>
      </c>
      <c r="UV60" s="136">
        <v>700</v>
      </c>
      <c r="UW60" s="136">
        <v>603</v>
      </c>
      <c r="UX60" s="72"/>
      <c r="UZ60" s="314">
        <v>530</v>
      </c>
      <c r="VA60" s="136">
        <f>326+450</f>
        <v>776</v>
      </c>
      <c r="VB60" s="136">
        <f>311+180+150</f>
        <v>641</v>
      </c>
      <c r="VC60" s="314">
        <f>510+0</f>
        <v>510</v>
      </c>
      <c r="VD60" s="314">
        <v>0</v>
      </c>
      <c r="VE60" s="314">
        <v>140</v>
      </c>
      <c r="VG60" s="136">
        <v>275</v>
      </c>
      <c r="VH60" s="136">
        <v>400</v>
      </c>
      <c r="VI60" s="314">
        <f>303+70</f>
        <v>373</v>
      </c>
      <c r="VJ60" s="136">
        <v>450</v>
      </c>
      <c r="VK60" s="314">
        <v>450</v>
      </c>
      <c r="VL60" s="314">
        <f>101+140</f>
        <v>241</v>
      </c>
      <c r="VN60" s="136">
        <v>1100</v>
      </c>
      <c r="VO60" s="136">
        <v>1405</v>
      </c>
      <c r="VP60" s="136">
        <v>1600</v>
      </c>
      <c r="VQ60" s="136">
        <v>1372</v>
      </c>
      <c r="VR60" s="136">
        <v>1470</v>
      </c>
      <c r="VS60" s="314">
        <v>1240</v>
      </c>
      <c r="VT60" s="314"/>
      <c r="VU60" s="136">
        <v>1300</v>
      </c>
      <c r="VV60" s="136">
        <f>717+10</f>
        <v>727</v>
      </c>
      <c r="VW60" s="314">
        <v>630</v>
      </c>
      <c r="VX60" s="365">
        <f>715+24</f>
        <v>739</v>
      </c>
      <c r="VY60" s="136">
        <v>620</v>
      </c>
      <c r="VZ60" s="136">
        <v>830</v>
      </c>
      <c r="WB60" s="365">
        <v>973</v>
      </c>
      <c r="WC60" s="136">
        <v>440</v>
      </c>
      <c r="WD60" s="72"/>
      <c r="WE60" s="314">
        <v>970</v>
      </c>
      <c r="WF60" s="314">
        <f>835+50</f>
        <v>885</v>
      </c>
      <c r="WG60" s="314">
        <v>820</v>
      </c>
      <c r="WH60" s="314">
        <v>960</v>
      </c>
      <c r="WI60" s="314"/>
      <c r="WJ60" s="314">
        <v>1000</v>
      </c>
      <c r="WK60" s="314">
        <f>727+180</f>
        <v>907</v>
      </c>
      <c r="WL60" s="314">
        <v>990</v>
      </c>
      <c r="WM60" s="314">
        <v>1000</v>
      </c>
      <c r="WN60" s="314">
        <v>1100</v>
      </c>
      <c r="WO60" s="136">
        <f>287+560</f>
        <v>847</v>
      </c>
      <c r="WP60" s="136">
        <v>600</v>
      </c>
      <c r="WQ60" s="136">
        <v>1150</v>
      </c>
      <c r="WR60" s="136">
        <v>1210</v>
      </c>
      <c r="WS60" s="173">
        <f>24+350+138</f>
        <v>512</v>
      </c>
      <c r="WT60" s="173">
        <f>272+400</f>
        <v>672</v>
      </c>
      <c r="WU60" s="136">
        <f>233+867</f>
        <v>1100</v>
      </c>
      <c r="WV60" s="314">
        <f>450+297</f>
        <v>747</v>
      </c>
      <c r="WW60" s="314"/>
      <c r="WX60" s="314"/>
      <c r="WY60" s="314"/>
      <c r="WZ60" s="314">
        <f>522+460</f>
        <v>982</v>
      </c>
      <c r="XA60" s="314">
        <v>1200</v>
      </c>
      <c r="XB60" s="314">
        <v>1360</v>
      </c>
      <c r="XC60" s="314">
        <v>1320</v>
      </c>
      <c r="XE60" s="314">
        <v>1380</v>
      </c>
      <c r="XF60" s="314">
        <v>1380</v>
      </c>
      <c r="XG60" s="72"/>
      <c r="XH60" s="314">
        <v>1380</v>
      </c>
      <c r="XI60" s="314">
        <v>1270</v>
      </c>
      <c r="XJ60" s="314">
        <f>1325+50</f>
        <v>1375</v>
      </c>
      <c r="XK60" s="314">
        <v>1210</v>
      </c>
      <c r="XL60" s="314"/>
      <c r="XM60" s="314">
        <v>1300</v>
      </c>
      <c r="XN60" s="314">
        <v>1380</v>
      </c>
      <c r="XO60" s="314">
        <v>1380</v>
      </c>
      <c r="XP60" s="314">
        <v>1450</v>
      </c>
      <c r="XQ60" s="314">
        <v>1450</v>
      </c>
      <c r="XR60" s="314">
        <v>1400</v>
      </c>
      <c r="XS60" s="178"/>
      <c r="XT60" s="314">
        <v>1400</v>
      </c>
      <c r="XU60" s="314">
        <v>1400</v>
      </c>
      <c r="XV60" s="314">
        <v>1380</v>
      </c>
      <c r="XW60" s="314">
        <v>1400</v>
      </c>
      <c r="XX60" s="314">
        <v>1430</v>
      </c>
      <c r="XY60" s="314">
        <v>1430</v>
      </c>
      <c r="XZ60" s="314">
        <v>1230</v>
      </c>
      <c r="YA60" s="314">
        <v>1380</v>
      </c>
      <c r="YB60" s="314">
        <v>1430</v>
      </c>
      <c r="YC60" s="314">
        <v>1430</v>
      </c>
      <c r="YD60" s="314">
        <v>1430</v>
      </c>
      <c r="YE60" s="314">
        <v>1330</v>
      </c>
      <c r="YF60" s="124">
        <f>959+200</f>
        <v>1159</v>
      </c>
      <c r="YG60" s="178"/>
      <c r="YH60" s="314">
        <v>1330</v>
      </c>
      <c r="YI60" s="314">
        <v>1430</v>
      </c>
      <c r="YJ60" s="136">
        <f>607+316+30</f>
        <v>953</v>
      </c>
      <c r="YK60" s="314"/>
      <c r="YL60" s="314">
        <v>1150</v>
      </c>
      <c r="YM60" s="72"/>
      <c r="YN60" s="136">
        <v>1200</v>
      </c>
      <c r="YO60" s="314"/>
      <c r="YP60" s="314">
        <f>983+400</f>
        <v>1383</v>
      </c>
      <c r="YQ60" s="314">
        <v>1330</v>
      </c>
      <c r="YR60" s="314">
        <v>1470</v>
      </c>
      <c r="YS60" s="124">
        <f>284+570</f>
        <v>854</v>
      </c>
      <c r="YT60" s="314">
        <v>1100</v>
      </c>
      <c r="YU60" s="314">
        <v>1210</v>
      </c>
      <c r="YV60" s="314"/>
      <c r="YW60" s="314">
        <v>1320</v>
      </c>
      <c r="YX60" s="314">
        <v>1300</v>
      </c>
      <c r="YY60" s="314">
        <v>1430</v>
      </c>
      <c r="YZ60" s="314">
        <v>1120</v>
      </c>
      <c r="ZA60" s="314"/>
      <c r="ZB60" s="314">
        <f>312+30</f>
        <v>342</v>
      </c>
      <c r="ZC60" s="314"/>
      <c r="ZD60" s="314">
        <v>630</v>
      </c>
      <c r="ZE60" s="314">
        <v>800</v>
      </c>
      <c r="ZF60" s="314">
        <v>800</v>
      </c>
      <c r="ZG60" s="314">
        <v>950</v>
      </c>
      <c r="ZH60" s="314">
        <v>1000</v>
      </c>
      <c r="ZI60" s="124">
        <v>846</v>
      </c>
      <c r="ZK60" s="314">
        <v>540</v>
      </c>
      <c r="ZL60" s="314">
        <v>810</v>
      </c>
      <c r="ZM60" s="314">
        <v>1000</v>
      </c>
      <c r="ZN60" s="314">
        <v>1000</v>
      </c>
      <c r="ZO60" s="314">
        <f>264+320</f>
        <v>584</v>
      </c>
      <c r="ZP60" s="314">
        <v>850</v>
      </c>
      <c r="ZQ60" s="314"/>
      <c r="ZR60" s="76"/>
      <c r="ZT60" s="124">
        <v>890</v>
      </c>
      <c r="ZU60" s="136">
        <v>540</v>
      </c>
      <c r="ZV60" s="136">
        <v>810</v>
      </c>
      <c r="ZW60" s="314">
        <v>900</v>
      </c>
      <c r="ZX60" s="173">
        <f>105+271+70</f>
        <v>446</v>
      </c>
      <c r="ZZ60" s="136">
        <f>211+350</f>
        <v>561</v>
      </c>
      <c r="AAA60" s="136">
        <v>850</v>
      </c>
      <c r="AAB60" s="314">
        <f>650+140</f>
        <v>790</v>
      </c>
      <c r="AAC60" s="314">
        <v>750</v>
      </c>
      <c r="AAD60" s="314">
        <v>700</v>
      </c>
      <c r="AAE60" s="777"/>
      <c r="AAF60" s="705"/>
      <c r="AAG60" s="705"/>
      <c r="AAH60" s="705"/>
      <c r="AAI60" s="778"/>
      <c r="AAJ60" s="314">
        <v>1000</v>
      </c>
      <c r="AAK60" s="314">
        <f>451+272+30</f>
        <v>753</v>
      </c>
      <c r="AAL60" s="314">
        <v>930</v>
      </c>
      <c r="AAM60" s="124">
        <f>441+25</f>
        <v>466</v>
      </c>
      <c r="AAN60" s="314">
        <f>24+21+150</f>
        <v>195</v>
      </c>
      <c r="AAO60" s="314">
        <v>720</v>
      </c>
      <c r="AAP60" s="314">
        <v>860</v>
      </c>
      <c r="AAQ60" s="314">
        <v>1130</v>
      </c>
      <c r="AAR60" s="124">
        <f>236+400</f>
        <v>636</v>
      </c>
      <c r="AAS60" s="314">
        <v>1000</v>
      </c>
      <c r="AAT60" s="314"/>
      <c r="AAU60" s="314">
        <v>1200</v>
      </c>
      <c r="AAV60" s="314">
        <f>808+230</f>
        <v>1038</v>
      </c>
      <c r="AAW60" s="314">
        <v>800</v>
      </c>
      <c r="AAX60" s="72"/>
      <c r="AAY60" s="314">
        <f>311+700</f>
        <v>1011</v>
      </c>
      <c r="AAZ60" s="124">
        <f>600+150</f>
        <v>750</v>
      </c>
      <c r="ABA60" s="314">
        <v>880</v>
      </c>
      <c r="ABB60" s="314"/>
      <c r="ABC60" s="314">
        <v>1020</v>
      </c>
      <c r="ABD60" s="314">
        <v>1040</v>
      </c>
      <c r="ABE60" s="124">
        <v>999</v>
      </c>
      <c r="ABF60" s="173">
        <f>296+20</f>
        <v>316</v>
      </c>
      <c r="ABG60" s="173">
        <f>264+296</f>
        <v>560</v>
      </c>
      <c r="ABH60" s="314">
        <f>278+50</f>
        <v>328</v>
      </c>
      <c r="ABI60" s="314"/>
      <c r="ABJ60" s="314">
        <v>620</v>
      </c>
      <c r="ABK60" s="136">
        <v>850</v>
      </c>
      <c r="ABL60" s="136">
        <f>157+700</f>
        <v>857</v>
      </c>
      <c r="ABM60" s="136">
        <v>979</v>
      </c>
      <c r="ABN60" s="136">
        <v>850</v>
      </c>
      <c r="ABO60" s="124">
        <f>826+50</f>
        <v>876</v>
      </c>
      <c r="ABP60" s="314">
        <v>570</v>
      </c>
      <c r="ABQ60" s="314">
        <v>1000</v>
      </c>
      <c r="ABR60" s="314">
        <v>1100</v>
      </c>
      <c r="ABS60" s="314">
        <v>1130</v>
      </c>
      <c r="ABT60" s="314">
        <v>1260</v>
      </c>
      <c r="ABU60" s="124">
        <f>1+1147+110</f>
        <v>1258</v>
      </c>
      <c r="ABV60" s="314">
        <v>1200</v>
      </c>
      <c r="ABW60" s="314"/>
      <c r="ABX60" s="314">
        <v>1300</v>
      </c>
      <c r="ABY60" s="314">
        <v>1320</v>
      </c>
      <c r="ABZ60" s="314">
        <v>1500</v>
      </c>
      <c r="ACA60" s="314">
        <v>1350</v>
      </c>
      <c r="ACB60" s="314">
        <v>1100</v>
      </c>
      <c r="ACC60" s="72"/>
      <c r="ACD60" s="124">
        <f>331+970</f>
        <v>1301</v>
      </c>
      <c r="ACE60" s="136">
        <v>1150</v>
      </c>
      <c r="ACF60" s="314">
        <v>1500</v>
      </c>
      <c r="ACG60" s="314">
        <v>1450</v>
      </c>
      <c r="ACH60" s="314">
        <v>1500</v>
      </c>
      <c r="ACI60" s="314">
        <v>1420</v>
      </c>
      <c r="ACJ60" s="314">
        <v>1300</v>
      </c>
      <c r="ACK60" s="314">
        <v>1500</v>
      </c>
      <c r="ACL60" s="314"/>
      <c r="ACM60" s="136">
        <v>1500</v>
      </c>
      <c r="ACN60" s="314">
        <v>1350</v>
      </c>
      <c r="ACO60" s="314">
        <v>1500</v>
      </c>
      <c r="ACP60" s="314">
        <v>1400</v>
      </c>
      <c r="ACQ60" s="314">
        <v>1540</v>
      </c>
      <c r="ACR60" s="314">
        <v>1500</v>
      </c>
      <c r="ACS60" s="124">
        <f>766+370</f>
        <v>1136</v>
      </c>
      <c r="ACT60" s="136">
        <v>1500</v>
      </c>
      <c r="ACU60" s="314">
        <v>1320</v>
      </c>
      <c r="ACV60" s="136">
        <v>980</v>
      </c>
      <c r="ACW60" s="785"/>
      <c r="ACX60" s="786"/>
      <c r="ACY60" s="786"/>
      <c r="ACZ60" s="786"/>
      <c r="ADA60" s="786"/>
      <c r="ADB60" s="786"/>
      <c r="ADC60" s="786"/>
      <c r="ADD60" s="786"/>
      <c r="ADE60" s="786"/>
      <c r="ADF60" s="786"/>
      <c r="ADG60" s="787"/>
      <c r="ADH60" s="314"/>
      <c r="ADI60" s="72"/>
      <c r="ADJ60" s="314">
        <v>900</v>
      </c>
      <c r="ADK60" s="314">
        <v>1350</v>
      </c>
      <c r="ADL60" s="314">
        <v>1300</v>
      </c>
      <c r="ADM60" s="124">
        <v>1027</v>
      </c>
      <c r="ADN60" s="173">
        <f>180+200+18</f>
        <v>398</v>
      </c>
      <c r="ADP60" s="587">
        <f>12+570</f>
        <v>582</v>
      </c>
      <c r="ADQ60" s="587">
        <v>1000</v>
      </c>
      <c r="ADR60" s="587">
        <v>950</v>
      </c>
      <c r="ADS60" s="136">
        <f>357+9+18+21+24+420</f>
        <v>849</v>
      </c>
      <c r="ADT60" s="587">
        <v>850</v>
      </c>
      <c r="ADU60" s="587">
        <f>780+27</f>
        <v>807</v>
      </c>
      <c r="ADV60" s="136">
        <v>638</v>
      </c>
      <c r="ADY60" s="136">
        <f>626+140</f>
        <v>766</v>
      </c>
      <c r="ADZ60" s="136">
        <f>328+60</f>
        <v>388</v>
      </c>
      <c r="AEA60" s="136">
        <v>700</v>
      </c>
      <c r="AEB60" s="136">
        <f>495+280</f>
        <v>775</v>
      </c>
      <c r="AED60" s="136">
        <f>476+350</f>
        <v>826</v>
      </c>
      <c r="AEE60" s="314">
        <f>282+400</f>
        <v>682</v>
      </c>
      <c r="AEF60" s="587">
        <v>1020</v>
      </c>
      <c r="AEG60" s="587">
        <v>840</v>
      </c>
      <c r="AEH60" s="124">
        <f>227+500</f>
        <v>727</v>
      </c>
      <c r="AEI60" s="136">
        <f>370+150</f>
        <v>520</v>
      </c>
      <c r="AEK60" s="124">
        <f>580+200</f>
        <v>780</v>
      </c>
      <c r="AEL60" s="136">
        <v>894</v>
      </c>
      <c r="AEM60" s="136">
        <v>600</v>
      </c>
      <c r="AEN60" s="136">
        <v>820</v>
      </c>
      <c r="AEO60" s="627"/>
      <c r="AEP60" s="136">
        <v>880</v>
      </c>
      <c r="AEQ60" s="136">
        <v>950</v>
      </c>
      <c r="AES60" s="136">
        <f>714+20</f>
        <v>734</v>
      </c>
      <c r="AET60" s="136">
        <v>750</v>
      </c>
      <c r="AEU60" s="136">
        <v>766</v>
      </c>
      <c r="AEV60" s="136">
        <v>700</v>
      </c>
      <c r="AEW60" s="136">
        <v>900</v>
      </c>
      <c r="AEX60" s="136">
        <f>748+30</f>
        <v>778</v>
      </c>
      <c r="AEY60" s="314"/>
      <c r="AEZ60" s="136">
        <v>470</v>
      </c>
      <c r="AFA60" s="136">
        <v>700</v>
      </c>
      <c r="AFB60" s="136">
        <v>720</v>
      </c>
      <c r="AFC60" s="136">
        <v>1100</v>
      </c>
      <c r="AFD60" s="136">
        <v>1060</v>
      </c>
      <c r="AFE60" s="136">
        <f>267+350</f>
        <v>617</v>
      </c>
      <c r="AFG60" s="136">
        <v>950</v>
      </c>
      <c r="AFH60" s="136">
        <v>1150</v>
      </c>
      <c r="AFI60" s="136">
        <v>1060</v>
      </c>
      <c r="AFJ60" s="314">
        <v>1070</v>
      </c>
      <c r="AFK60" s="314">
        <v>610</v>
      </c>
      <c r="AFL60" s="136">
        <f>129+0</f>
        <v>129</v>
      </c>
      <c r="AFN60" s="136">
        <v>800</v>
      </c>
      <c r="AFO60" s="136">
        <f>2+1230</f>
        <v>1232</v>
      </c>
      <c r="AFP60" s="124">
        <v>1320</v>
      </c>
      <c r="AFQ60" s="136">
        <f>114+444+100</f>
        <v>658</v>
      </c>
      <c r="AFR60" s="136">
        <v>1100</v>
      </c>
      <c r="AFS60" s="136">
        <v>1180</v>
      </c>
      <c r="AFT60" s="627"/>
      <c r="AFU60" s="625"/>
      <c r="AFV60" s="136">
        <f>1435+40</f>
        <v>1475</v>
      </c>
      <c r="AFW60" s="314">
        <v>880</v>
      </c>
      <c r="AFX60" s="136">
        <v>1050</v>
      </c>
      <c r="AFY60" s="136">
        <f>878+33</f>
        <v>911</v>
      </c>
      <c r="AFZ60" s="136">
        <v>700</v>
      </c>
      <c r="AGA60" s="136">
        <v>950</v>
      </c>
      <c r="AGC60" s="136">
        <v>1000</v>
      </c>
      <c r="AGD60" s="124">
        <f>290+230</f>
        <v>520</v>
      </c>
      <c r="AGE60" s="136">
        <v>700</v>
      </c>
      <c r="AGF60" s="136">
        <v>900</v>
      </c>
      <c r="AGG60" s="136">
        <f>605+200</f>
        <v>805</v>
      </c>
      <c r="AGH60" s="136">
        <v>850</v>
      </c>
      <c r="AGJ60" s="136">
        <v>1130</v>
      </c>
      <c r="AGK60" s="136">
        <f>864+160</f>
        <v>1024</v>
      </c>
      <c r="AGL60" s="136">
        <v>960</v>
      </c>
      <c r="AGM60" s="136">
        <v>1030</v>
      </c>
      <c r="AGN60" s="124">
        <f>888+50</f>
        <v>938</v>
      </c>
      <c r="AGO60" s="136">
        <f>680+24</f>
        <v>704</v>
      </c>
      <c r="AGP60" s="314"/>
      <c r="AGQ60" s="136">
        <v>1000</v>
      </c>
      <c r="AGR60" s="136">
        <v>1020</v>
      </c>
      <c r="AGS60" s="136">
        <v>1200</v>
      </c>
      <c r="AGT60" s="136">
        <v>1200</v>
      </c>
      <c r="AGU60" s="136">
        <f>665+150</f>
        <v>815</v>
      </c>
      <c r="AGV60" s="136">
        <f>1+870</f>
        <v>871</v>
      </c>
      <c r="AGX60" s="136">
        <v>950</v>
      </c>
      <c r="AGY60" s="136">
        <v>950</v>
      </c>
      <c r="AGZ60" s="627"/>
      <c r="AHA60" s="136">
        <v>1100</v>
      </c>
      <c r="AHB60" s="136">
        <f>579+120</f>
        <v>699</v>
      </c>
      <c r="AHC60" s="314">
        <v>930</v>
      </c>
      <c r="AHD60" s="314">
        <v>1000</v>
      </c>
      <c r="AHE60" s="314"/>
      <c r="AHF60" s="124">
        <v>988</v>
      </c>
      <c r="AHG60" s="173">
        <f>341+198+100</f>
        <v>639</v>
      </c>
      <c r="AHH60" s="136">
        <f>205+180</f>
        <v>385</v>
      </c>
      <c r="AHI60" s="136">
        <v>830</v>
      </c>
      <c r="AHJ60" s="136">
        <v>920</v>
      </c>
      <c r="AHK60" s="136">
        <v>973</v>
      </c>
      <c r="AHM60" s="136">
        <v>1220</v>
      </c>
      <c r="AHN60" s="314">
        <v>1150</v>
      </c>
      <c r="AHO60" s="136">
        <v>1601</v>
      </c>
      <c r="AHP60" s="136">
        <v>1560</v>
      </c>
      <c r="AHQ60" s="136">
        <v>1520</v>
      </c>
      <c r="AHR60" s="136">
        <v>670</v>
      </c>
      <c r="AHS60" s="314"/>
      <c r="AHT60" s="136">
        <v>1000</v>
      </c>
      <c r="AHU60" s="136">
        <v>1000</v>
      </c>
      <c r="AHV60" s="136">
        <v>1000</v>
      </c>
      <c r="AHW60" s="136">
        <v>530</v>
      </c>
      <c r="AHX60" s="314">
        <v>1000</v>
      </c>
      <c r="AHY60" s="314">
        <v>1000</v>
      </c>
      <c r="AHZ60" s="314"/>
      <c r="AIA60" s="314">
        <v>1000</v>
      </c>
      <c r="AIB60" s="124">
        <v>1060</v>
      </c>
      <c r="AIC60" s="314"/>
      <c r="AID60" s="314"/>
      <c r="AIE60" s="627"/>
      <c r="AIF60" s="314"/>
      <c r="AIG60" s="314">
        <v>740</v>
      </c>
      <c r="AIH60" s="314"/>
      <c r="AII60" s="314">
        <v>900</v>
      </c>
      <c r="AIJ60" s="314">
        <v>900</v>
      </c>
      <c r="AIK60" s="314">
        <v>900</v>
      </c>
      <c r="AIL60" s="124">
        <v>640</v>
      </c>
      <c r="AIM60" s="314"/>
      <c r="AIN60" s="124">
        <v>1040</v>
      </c>
      <c r="AIO60" s="314"/>
      <c r="AIP60" s="314">
        <v>800</v>
      </c>
      <c r="AIQ60" s="314">
        <v>1270</v>
      </c>
      <c r="AIR60" s="124">
        <v>1250</v>
      </c>
      <c r="AIS60" s="314">
        <v>820</v>
      </c>
      <c r="AIT60" s="136">
        <v>820</v>
      </c>
      <c r="AIW60" s="136">
        <v>820</v>
      </c>
      <c r="AIX60" s="136">
        <v>500</v>
      </c>
      <c r="AIY60" s="314">
        <v>1000</v>
      </c>
      <c r="AIZ60" s="136">
        <v>1040</v>
      </c>
      <c r="AJA60" s="314">
        <v>500</v>
      </c>
      <c r="AJB60" s="314">
        <v>1000</v>
      </c>
      <c r="AJD60" s="124">
        <v>740</v>
      </c>
      <c r="AJE60" s="136">
        <v>600</v>
      </c>
      <c r="AJF60" s="124">
        <v>1000</v>
      </c>
      <c r="AJG60" s="136">
        <v>900</v>
      </c>
      <c r="AJH60" s="136">
        <v>900</v>
      </c>
      <c r="AJI60" s="136">
        <v>900</v>
      </c>
      <c r="AJK60" s="627"/>
      <c r="AJL60" s="314">
        <f>360+540</f>
        <v>900</v>
      </c>
      <c r="AJM60" s="314">
        <v>900</v>
      </c>
      <c r="AJN60" s="136">
        <v>900</v>
      </c>
      <c r="AJO60" s="124">
        <v>720</v>
      </c>
      <c r="AJP60" s="314">
        <v>900</v>
      </c>
      <c r="AJQ60" s="136">
        <v>900</v>
      </c>
      <c r="AJS60" s="136">
        <v>750</v>
      </c>
      <c r="AJT60" s="136">
        <v>1050</v>
      </c>
      <c r="AJU60" s="136">
        <v>900</v>
      </c>
      <c r="AJV60" s="314">
        <v>900</v>
      </c>
      <c r="AJW60" s="314">
        <v>900</v>
      </c>
      <c r="AJX60" s="314">
        <v>900</v>
      </c>
      <c r="AJZ60" s="124">
        <v>960</v>
      </c>
      <c r="AKA60" s="136">
        <v>840</v>
      </c>
      <c r="AKB60" s="136">
        <v>900</v>
      </c>
      <c r="AKC60" s="136">
        <v>900</v>
      </c>
      <c r="AKD60" s="136">
        <v>900</v>
      </c>
      <c r="AKE60" s="136">
        <v>900</v>
      </c>
      <c r="AKG60" s="136">
        <v>460</v>
      </c>
      <c r="AKH60" s="136">
        <v>1340</v>
      </c>
      <c r="AKI60" s="136">
        <v>900</v>
      </c>
      <c r="AKJ60" s="136">
        <v>900</v>
      </c>
      <c r="AKK60" s="136">
        <v>900</v>
      </c>
      <c r="AKL60" s="136">
        <v>860</v>
      </c>
      <c r="AKN60" s="136">
        <v>940</v>
      </c>
      <c r="AKO60" s="136">
        <v>900</v>
      </c>
      <c r="AKP60" s="136">
        <v>900</v>
      </c>
      <c r="AKQ60" s="74"/>
      <c r="AKR60" s="136">
        <v>900</v>
      </c>
      <c r="AKS60" s="136">
        <v>950</v>
      </c>
      <c r="AKT60" s="136">
        <v>850</v>
      </c>
      <c r="AKV60" s="136">
        <v>980</v>
      </c>
      <c r="AKW60" s="136">
        <v>820</v>
      </c>
      <c r="AKX60" s="136">
        <v>900</v>
      </c>
      <c r="AKY60" s="136">
        <v>620</v>
      </c>
      <c r="AKZ60" s="136">
        <v>1180</v>
      </c>
      <c r="ALA60" s="136">
        <v>900</v>
      </c>
      <c r="ALB60" s="314"/>
      <c r="ALC60" s="136">
        <v>900</v>
      </c>
      <c r="ALD60" s="124">
        <v>1100</v>
      </c>
      <c r="ALE60" s="314">
        <v>500</v>
      </c>
      <c r="ALF60" s="314">
        <v>800</v>
      </c>
      <c r="ALG60" s="314">
        <v>1000</v>
      </c>
      <c r="ALH60" s="314">
        <v>1400</v>
      </c>
      <c r="ALI60" s="314"/>
      <c r="ALJ60" s="314">
        <v>1400</v>
      </c>
      <c r="ALK60" s="314">
        <v>1400</v>
      </c>
      <c r="ALL60" s="314"/>
      <c r="ALM60" s="314">
        <v>1400</v>
      </c>
      <c r="ALN60" s="314">
        <v>1400</v>
      </c>
      <c r="ALO60" s="314">
        <v>1400</v>
      </c>
      <c r="ALP60" s="314"/>
      <c r="ALQ60" s="314">
        <v>1400</v>
      </c>
      <c r="ALR60" s="314">
        <v>1400</v>
      </c>
      <c r="ALS60" s="314">
        <v>1400</v>
      </c>
      <c r="ALT60" s="74"/>
      <c r="ALU60" s="603">
        <v>1400</v>
      </c>
      <c r="ALV60" s="603">
        <v>1400</v>
      </c>
      <c r="ALW60" s="603">
        <v>1400</v>
      </c>
      <c r="ALX60" s="603"/>
      <c r="ALY60" s="603">
        <v>1400</v>
      </c>
      <c r="ALZ60" s="603">
        <v>1400</v>
      </c>
      <c r="AMA60" s="603">
        <v>1400</v>
      </c>
      <c r="AMB60" s="603">
        <v>1400</v>
      </c>
      <c r="AMC60" s="603">
        <v>1400</v>
      </c>
      <c r="AMD60" s="603">
        <v>1400</v>
      </c>
      <c r="AME60" s="603"/>
      <c r="AMF60" s="603">
        <v>1400</v>
      </c>
      <c r="AMG60" s="603">
        <v>1400</v>
      </c>
      <c r="AMH60" s="603">
        <v>1400</v>
      </c>
      <c r="AMI60" s="603">
        <v>1400</v>
      </c>
      <c r="AMJ60" s="603">
        <v>1400</v>
      </c>
      <c r="AMK60" s="603">
        <v>1400</v>
      </c>
      <c r="AML60" s="603"/>
      <c r="AMM60" s="603">
        <v>1400</v>
      </c>
      <c r="AMN60" s="603">
        <v>1400</v>
      </c>
      <c r="AMO60" s="603">
        <v>1400</v>
      </c>
      <c r="AMP60" s="603">
        <v>1400</v>
      </c>
      <c r="AMQ60" s="603">
        <v>1400</v>
      </c>
      <c r="AMR60" s="603">
        <v>1400</v>
      </c>
      <c r="AMS60" s="603"/>
      <c r="AMT60" s="603"/>
      <c r="AMU60" s="603">
        <v>1400</v>
      </c>
      <c r="AMV60" s="603">
        <v>1400</v>
      </c>
      <c r="AMW60" s="603">
        <v>1400</v>
      </c>
      <c r="AMX60" s="603">
        <v>1400</v>
      </c>
      <c r="AMY60" s="603">
        <v>1400</v>
      </c>
      <c r="AMZ60" s="74"/>
      <c r="ANA60" s="314"/>
      <c r="ANB60" s="603">
        <v>1170</v>
      </c>
      <c r="ANC60" s="603">
        <v>1170</v>
      </c>
      <c r="AND60" s="603">
        <v>1170</v>
      </c>
      <c r="ANE60" s="603">
        <v>1170</v>
      </c>
      <c r="ANF60" s="603">
        <v>1170</v>
      </c>
      <c r="ANG60" s="603">
        <v>1170</v>
      </c>
      <c r="ANH60" s="603">
        <v>1170</v>
      </c>
      <c r="ANI60" s="603">
        <v>1170</v>
      </c>
      <c r="ANJ60" s="603">
        <v>1170</v>
      </c>
      <c r="ANK60" s="603">
        <v>1170</v>
      </c>
      <c r="ANL60" s="603">
        <v>1170</v>
      </c>
      <c r="ANM60" s="604">
        <v>1170</v>
      </c>
      <c r="ANN60" s="603"/>
      <c r="ANO60" s="603"/>
      <c r="ANP60" s="603">
        <v>1170</v>
      </c>
      <c r="ANQ60" s="603">
        <v>1170</v>
      </c>
      <c r="ANR60" s="603">
        <v>1170</v>
      </c>
      <c r="ANS60" s="603">
        <v>1170</v>
      </c>
      <c r="ANT60" s="603">
        <v>1170</v>
      </c>
      <c r="ANU60" s="603">
        <v>1170</v>
      </c>
      <c r="ANV60" s="603">
        <v>1170</v>
      </c>
      <c r="ANW60" s="603">
        <v>1170</v>
      </c>
      <c r="ANX60" s="603">
        <v>1170</v>
      </c>
      <c r="ANY60" s="603">
        <v>1170</v>
      </c>
      <c r="ANZ60" s="603">
        <v>1170</v>
      </c>
      <c r="AOA60" s="603">
        <v>1170</v>
      </c>
      <c r="AOB60" s="603">
        <v>1170</v>
      </c>
      <c r="AOC60" s="603"/>
      <c r="AOD60" s="603">
        <v>1170</v>
      </c>
      <c r="AOE60" s="74"/>
      <c r="AOF60" s="142"/>
      <c r="AOG60" s="142"/>
      <c r="AOH60" s="142"/>
      <c r="AOI60" s="142"/>
      <c r="AOJ60" s="142"/>
      <c r="AOK60" s="142"/>
      <c r="AOL60" s="142"/>
      <c r="AOM60" s="142"/>
      <c r="AON60" s="142"/>
      <c r="AOO60" s="314">
        <v>1430</v>
      </c>
      <c r="AOP60" s="314">
        <v>1430</v>
      </c>
      <c r="AOQ60" s="314">
        <v>1430</v>
      </c>
      <c r="AOR60" s="314"/>
      <c r="AOS60" s="314">
        <v>1430</v>
      </c>
      <c r="AOT60" s="314">
        <v>1430</v>
      </c>
      <c r="AOU60" s="314">
        <v>1430</v>
      </c>
      <c r="AOV60" s="314">
        <v>1430</v>
      </c>
      <c r="AOW60" s="314">
        <v>1430</v>
      </c>
      <c r="AOX60" s="314">
        <v>1430</v>
      </c>
      <c r="AOY60" s="314"/>
      <c r="AOZ60" s="314">
        <v>1430</v>
      </c>
      <c r="APA60" s="314">
        <v>1430</v>
      </c>
      <c r="APB60" s="314">
        <v>1430</v>
      </c>
      <c r="APC60" s="124">
        <v>1375</v>
      </c>
      <c r="APD60" s="314">
        <v>1375</v>
      </c>
      <c r="APE60" s="314">
        <v>1375</v>
      </c>
      <c r="APF60" s="314"/>
      <c r="APG60" s="314">
        <v>1375</v>
      </c>
      <c r="APH60" s="314">
        <v>1375</v>
      </c>
      <c r="API60" s="314">
        <v>1375</v>
      </c>
      <c r="APJ60" s="314">
        <v>1375</v>
      </c>
      <c r="APK60" s="74"/>
      <c r="APL60" s="314">
        <v>1375</v>
      </c>
      <c r="APM60" s="314">
        <v>1375</v>
      </c>
      <c r="APN60" s="314">
        <v>1000</v>
      </c>
      <c r="APO60" s="314">
        <v>1375</v>
      </c>
      <c r="APP60" s="314">
        <v>1375</v>
      </c>
      <c r="APQ60" s="314">
        <v>1375</v>
      </c>
      <c r="APR60" s="314">
        <v>1375</v>
      </c>
      <c r="APS60" s="314">
        <v>1375</v>
      </c>
      <c r="APT60" s="314">
        <v>1375</v>
      </c>
      <c r="APU60" s="314"/>
      <c r="APV60" s="314">
        <v>1375</v>
      </c>
      <c r="APW60" s="314">
        <v>1375</v>
      </c>
      <c r="APX60" s="314">
        <v>1375</v>
      </c>
      <c r="APY60" s="314">
        <v>1375</v>
      </c>
      <c r="APZ60" s="314">
        <v>1375</v>
      </c>
      <c r="AQA60" s="314">
        <v>1375</v>
      </c>
      <c r="AQB60" s="314"/>
      <c r="AQC60" s="314">
        <v>1375</v>
      </c>
      <c r="AQD60" s="314">
        <v>1375</v>
      </c>
      <c r="AQE60" s="314">
        <v>1375</v>
      </c>
      <c r="AQF60" s="314">
        <v>1375</v>
      </c>
      <c r="AQG60" s="314">
        <v>1375</v>
      </c>
      <c r="AQH60" s="314">
        <v>1375</v>
      </c>
      <c r="AQI60" s="314">
        <v>1000</v>
      </c>
      <c r="AQJ60" s="314">
        <v>1375</v>
      </c>
      <c r="AQK60" s="314">
        <v>1375</v>
      </c>
      <c r="AQL60" s="314">
        <v>1375</v>
      </c>
      <c r="AQM60" s="124">
        <v>1375</v>
      </c>
      <c r="AQN60" s="314">
        <v>1375</v>
      </c>
      <c r="AQO60" s="314">
        <v>1375</v>
      </c>
      <c r="AQP60" s="74"/>
      <c r="AQQ60" s="603"/>
      <c r="AQR60" s="603">
        <v>1375</v>
      </c>
      <c r="AQS60" s="603">
        <v>1375</v>
      </c>
      <c r="AQT60" s="603">
        <v>1375</v>
      </c>
      <c r="AQU60" s="603">
        <v>1375</v>
      </c>
      <c r="AQV60" s="603">
        <v>1375</v>
      </c>
      <c r="AQW60" s="603">
        <v>1375</v>
      </c>
      <c r="AQX60" s="142"/>
      <c r="AQY60" s="142"/>
      <c r="AQZ60" s="142"/>
      <c r="ARA60" s="142"/>
      <c r="ARB60" s="142"/>
      <c r="ARC60" s="142"/>
      <c r="ARD60" s="142"/>
      <c r="ARE60" s="142"/>
      <c r="ARF60" s="142"/>
      <c r="ARG60" s="603">
        <v>1375</v>
      </c>
      <c r="ARH60" s="603">
        <v>1375</v>
      </c>
      <c r="ARI60" s="603">
        <v>1375</v>
      </c>
      <c r="ARJ60" s="603">
        <v>1375</v>
      </c>
      <c r="ARK60" s="603">
        <v>1375</v>
      </c>
      <c r="ARM60" s="603">
        <v>1375</v>
      </c>
      <c r="ARN60" s="603">
        <v>1375</v>
      </c>
      <c r="ARO60" s="603">
        <v>1375</v>
      </c>
      <c r="ARP60" s="603">
        <v>1375</v>
      </c>
      <c r="ARQ60" s="603">
        <v>1375</v>
      </c>
      <c r="ARR60" s="603">
        <v>1375</v>
      </c>
      <c r="ARS60" s="603"/>
      <c r="ART60" s="603">
        <v>1375</v>
      </c>
      <c r="ARU60" s="603">
        <v>1375</v>
      </c>
      <c r="ARV60" s="74"/>
      <c r="ARW60" s="603">
        <v>1250</v>
      </c>
      <c r="ARX60" s="603">
        <v>1250</v>
      </c>
      <c r="ARY60" s="603">
        <v>1250</v>
      </c>
      <c r="ARZ60" s="603">
        <v>1250</v>
      </c>
      <c r="ASA60" s="603"/>
      <c r="ASB60" s="603">
        <v>1250</v>
      </c>
      <c r="ASC60" s="603">
        <v>1250</v>
      </c>
      <c r="ASD60" s="603">
        <v>1250</v>
      </c>
      <c r="ASE60" s="603">
        <v>1250</v>
      </c>
      <c r="ASF60" s="603">
        <v>1250</v>
      </c>
      <c r="ASG60" s="603">
        <v>1250</v>
      </c>
      <c r="ASH60" s="603"/>
      <c r="ASI60" s="603">
        <v>1250</v>
      </c>
      <c r="ASJ60" s="603">
        <v>1250</v>
      </c>
      <c r="ASL60" s="603">
        <v>1250</v>
      </c>
      <c r="ASM60" s="603">
        <v>1250</v>
      </c>
      <c r="ASN60" s="603">
        <v>1250</v>
      </c>
      <c r="ASO60" s="603"/>
      <c r="ASP60" s="603">
        <v>1250</v>
      </c>
      <c r="ASQ60" s="603">
        <v>1250</v>
      </c>
      <c r="ASR60" s="603">
        <v>1250</v>
      </c>
      <c r="ASS60" s="603">
        <v>1250</v>
      </c>
      <c r="AST60" s="603">
        <v>1250</v>
      </c>
      <c r="ASU60" s="603">
        <v>1250</v>
      </c>
      <c r="ASV60" s="603"/>
      <c r="ASW60" s="603">
        <v>1250</v>
      </c>
      <c r="ASX60" s="603">
        <v>1250</v>
      </c>
      <c r="ASY60" s="603">
        <v>1250</v>
      </c>
      <c r="ASZ60" s="603">
        <v>1250</v>
      </c>
      <c r="ATA60" s="604">
        <v>1250</v>
      </c>
      <c r="ATB60" s="74"/>
      <c r="ATC60" s="603">
        <v>1150</v>
      </c>
      <c r="ATD60" s="603"/>
      <c r="ATE60" s="603">
        <v>1150</v>
      </c>
      <c r="ATF60" s="603">
        <v>1150</v>
      </c>
      <c r="ATG60" s="603">
        <v>1150</v>
      </c>
      <c r="ATH60" s="603">
        <v>1150</v>
      </c>
      <c r="ATI60" s="603">
        <v>1150</v>
      </c>
      <c r="ATJ60" s="603">
        <v>1150</v>
      </c>
      <c r="ATK60" s="603"/>
      <c r="ATL60" s="603">
        <v>1150</v>
      </c>
      <c r="ATM60" s="603">
        <v>1150</v>
      </c>
      <c r="ATN60" s="603">
        <v>1150</v>
      </c>
      <c r="ATO60" s="603">
        <v>1150</v>
      </c>
      <c r="ATP60" s="603">
        <v>1150</v>
      </c>
      <c r="ATQ60" s="603">
        <v>1150</v>
      </c>
      <c r="ATR60" s="603"/>
      <c r="ATS60" s="603">
        <v>1150</v>
      </c>
      <c r="ATT60" s="603">
        <v>1150</v>
      </c>
      <c r="ATU60" s="603">
        <v>1150</v>
      </c>
      <c r="ATV60" s="603">
        <v>1150</v>
      </c>
      <c r="ATW60" s="603">
        <v>1150</v>
      </c>
      <c r="ATX60" s="603">
        <v>1150</v>
      </c>
      <c r="ATY60" s="603"/>
      <c r="ATZ60" s="603">
        <v>1150</v>
      </c>
      <c r="AUA60" s="603">
        <v>1150</v>
      </c>
      <c r="AUB60" s="603">
        <v>1150</v>
      </c>
      <c r="AUC60" s="603">
        <v>1150</v>
      </c>
      <c r="AUD60" s="603">
        <v>1150</v>
      </c>
      <c r="AUE60" s="603">
        <v>1150</v>
      </c>
      <c r="AUF60" s="603"/>
      <c r="AUG60" s="74"/>
      <c r="AUH60" s="603">
        <v>1150</v>
      </c>
      <c r="AUI60" s="603">
        <v>1150</v>
      </c>
      <c r="AUJ60" s="603">
        <v>1150</v>
      </c>
      <c r="AUK60" s="603">
        <v>1150</v>
      </c>
      <c r="AUL60" s="310"/>
      <c r="AUM60" s="603">
        <v>1150</v>
      </c>
      <c r="AUN60" s="603"/>
      <c r="AUO60" s="603">
        <v>1150</v>
      </c>
      <c r="AUP60" s="603">
        <v>1150</v>
      </c>
      <c r="AUQ60" s="603">
        <v>1150</v>
      </c>
      <c r="AUR60" s="603">
        <v>1150</v>
      </c>
      <c r="AUS60" s="603">
        <v>1150</v>
      </c>
      <c r="AUT60" s="603">
        <v>1150</v>
      </c>
      <c r="AUU60" s="603"/>
      <c r="AUV60" s="603">
        <v>1150</v>
      </c>
      <c r="AUW60" s="603">
        <v>1150</v>
      </c>
      <c r="AUX60" s="603">
        <v>1150</v>
      </c>
      <c r="AUY60" s="603">
        <v>1150</v>
      </c>
      <c r="AUZ60" s="603">
        <v>1150</v>
      </c>
      <c r="AVA60" s="603">
        <v>1150</v>
      </c>
      <c r="AVB60" s="603"/>
      <c r="AVC60" s="603">
        <v>1150</v>
      </c>
      <c r="AVD60" s="603">
        <v>1150</v>
      </c>
      <c r="AVE60" s="603">
        <v>1150</v>
      </c>
      <c r="AVF60" s="603">
        <v>1150</v>
      </c>
      <c r="AVG60" s="603">
        <v>1150</v>
      </c>
      <c r="AVH60" s="603">
        <v>1150</v>
      </c>
      <c r="AVI60" s="603"/>
      <c r="AVJ60" s="603">
        <v>1150</v>
      </c>
      <c r="AVK60" s="603">
        <v>1150</v>
      </c>
      <c r="AVL60" s="603">
        <v>1150</v>
      </c>
      <c r="AVM60" s="74"/>
      <c r="AVN60" s="603">
        <v>1150</v>
      </c>
      <c r="AVO60" s="603">
        <v>1150</v>
      </c>
      <c r="AVP60" s="603">
        <v>1150</v>
      </c>
      <c r="AVR60" s="603">
        <v>1150</v>
      </c>
      <c r="AVS60" s="603">
        <v>1150</v>
      </c>
      <c r="AVT60" s="603">
        <v>1150</v>
      </c>
      <c r="AVU60" s="603">
        <v>1150</v>
      </c>
      <c r="AVV60" s="603">
        <v>1150</v>
      </c>
      <c r="AVW60" s="603">
        <v>1150</v>
      </c>
      <c r="AVX60" s="603"/>
      <c r="AVY60" s="603">
        <v>1150</v>
      </c>
      <c r="AVZ60" s="603">
        <v>1150</v>
      </c>
      <c r="AWA60" s="603">
        <v>1150</v>
      </c>
      <c r="AWB60" s="603">
        <v>1150</v>
      </c>
      <c r="AWC60" s="603">
        <v>1150</v>
      </c>
      <c r="AWD60" s="603">
        <v>1150</v>
      </c>
      <c r="AWE60" s="603"/>
      <c r="AWF60" s="603">
        <v>1150</v>
      </c>
      <c r="AWG60" s="603">
        <v>1150</v>
      </c>
      <c r="AWH60" s="603">
        <v>1150</v>
      </c>
      <c r="AWI60" s="603">
        <v>1150</v>
      </c>
      <c r="AWJ60" s="603">
        <v>1150</v>
      </c>
      <c r="AWK60" s="603">
        <v>1150</v>
      </c>
      <c r="AWL60" s="603"/>
      <c r="AWM60" s="603">
        <v>1150</v>
      </c>
      <c r="AWN60" s="603">
        <v>1150</v>
      </c>
      <c r="AWO60" s="603">
        <v>1150</v>
      </c>
      <c r="AWP60" s="603">
        <v>1150</v>
      </c>
      <c r="AWQ60" s="604">
        <v>1150</v>
      </c>
      <c r="AWR60" s="74"/>
      <c r="AWS60" s="603">
        <v>1150</v>
      </c>
      <c r="AWT60" s="603"/>
      <c r="AWU60" s="603">
        <v>1150</v>
      </c>
      <c r="AWV60" s="603">
        <v>1150</v>
      </c>
      <c r="AWW60" s="603">
        <v>1150</v>
      </c>
      <c r="AWX60" s="603">
        <v>1150</v>
      </c>
      <c r="AWY60" s="603">
        <v>1150</v>
      </c>
      <c r="AWZ60" s="603">
        <v>1150</v>
      </c>
      <c r="AXA60" s="603"/>
      <c r="AXB60" s="603">
        <v>1150</v>
      </c>
      <c r="AXC60" s="603">
        <v>1150</v>
      </c>
      <c r="AXD60" s="603">
        <v>1150</v>
      </c>
      <c r="AXE60" s="603">
        <v>1150</v>
      </c>
      <c r="AXF60" s="603">
        <v>1150</v>
      </c>
      <c r="AXG60" s="603">
        <v>1150</v>
      </c>
      <c r="AXH60" s="603"/>
      <c r="AXI60" s="603">
        <v>1150</v>
      </c>
      <c r="AXJ60" s="603">
        <v>1150</v>
      </c>
      <c r="AXK60" s="603">
        <v>1150</v>
      </c>
      <c r="AXL60" s="603">
        <v>1150</v>
      </c>
      <c r="AXM60" s="603">
        <v>1150</v>
      </c>
      <c r="AXN60" s="603">
        <v>1150</v>
      </c>
      <c r="AXO60" s="603"/>
      <c r="AXP60" s="603">
        <v>1150</v>
      </c>
      <c r="AXQ60" s="603">
        <v>1150</v>
      </c>
      <c r="AXR60" s="603">
        <v>1150</v>
      </c>
      <c r="AXS60" s="603">
        <v>1150</v>
      </c>
      <c r="AXT60" s="603">
        <v>1150</v>
      </c>
      <c r="AXU60" s="603">
        <v>1150</v>
      </c>
      <c r="AXV60" s="603"/>
      <c r="AXW60" s="603">
        <v>1150</v>
      </c>
      <c r="AXX60" s="74"/>
    </row>
    <row r="61" spans="1:1324" s="184" customFormat="1" ht="22.8" customHeight="1" x14ac:dyDescent="0.3">
      <c r="A61" s="711"/>
      <c r="B61" s="7" t="s">
        <v>2541</v>
      </c>
      <c r="C61" s="123" t="s">
        <v>624</v>
      </c>
      <c r="D61" s="122"/>
      <c r="E61" s="122"/>
      <c r="F61" s="122"/>
      <c r="G61" s="122"/>
      <c r="H61" s="122"/>
      <c r="I61" s="161" t="s">
        <v>76</v>
      </c>
      <c r="J61" s="174"/>
      <c r="K61" s="160"/>
      <c r="L61" s="160"/>
      <c r="M61" s="160"/>
      <c r="N61" s="160"/>
      <c r="O61" s="160"/>
      <c r="P61" s="126" t="s">
        <v>625</v>
      </c>
      <c r="Q61" s="156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51" t="s">
        <v>28</v>
      </c>
      <c r="AI61" s="161" t="s">
        <v>119</v>
      </c>
      <c r="AJ61" s="174"/>
      <c r="AK61" s="160"/>
      <c r="AL61" s="160"/>
      <c r="AM61" s="156" t="s">
        <v>120</v>
      </c>
      <c r="AN61" s="156"/>
      <c r="AO61" s="155" t="s">
        <v>109</v>
      </c>
      <c r="AP61" s="159"/>
      <c r="AQ61" s="731"/>
      <c r="AR61" s="732"/>
      <c r="AS61" s="732"/>
      <c r="AT61" s="732"/>
      <c r="AU61" s="732"/>
      <c r="AV61" s="732"/>
      <c r="AW61" s="732"/>
      <c r="AX61" s="732"/>
      <c r="AY61" s="732"/>
      <c r="AZ61" s="733"/>
      <c r="BA61" s="154"/>
      <c r="BB61" s="156" t="s">
        <v>104</v>
      </c>
      <c r="BC61" s="159"/>
      <c r="BD61" s="156" t="s">
        <v>97</v>
      </c>
      <c r="BE61" s="159"/>
      <c r="BF61" s="156" t="s">
        <v>98</v>
      </c>
      <c r="BG61" s="156"/>
      <c r="BH61" s="156"/>
      <c r="BI61" s="126" t="s">
        <v>108</v>
      </c>
      <c r="BJ61" s="159"/>
      <c r="BK61" s="160"/>
      <c r="BL61" s="160"/>
      <c r="BM61" s="160"/>
      <c r="BN61" s="12" t="s">
        <v>28</v>
      </c>
      <c r="BO61" s="126" t="s">
        <v>106</v>
      </c>
      <c r="BP61" s="126" t="s">
        <v>619</v>
      </c>
      <c r="BQ61" s="156"/>
      <c r="BR61" s="122"/>
      <c r="BS61" s="122"/>
      <c r="BT61" s="122"/>
      <c r="BU61" s="122"/>
      <c r="BV61" s="122"/>
      <c r="BW61" s="122"/>
      <c r="BX61" s="122"/>
      <c r="BY61" s="122"/>
      <c r="BZ61" s="122"/>
      <c r="CA61" s="122"/>
      <c r="CB61" s="122"/>
      <c r="CC61" s="122"/>
      <c r="CD61" s="122"/>
      <c r="CE61" s="122"/>
      <c r="CF61" s="122"/>
      <c r="CG61" s="122"/>
      <c r="CH61" s="122"/>
      <c r="CI61" s="122"/>
      <c r="CJ61" s="122"/>
      <c r="CK61" s="156" t="s">
        <v>626</v>
      </c>
      <c r="CL61" s="156"/>
      <c r="CM61" s="122"/>
      <c r="CN61" s="122"/>
      <c r="CO61" s="122"/>
      <c r="CP61" s="122"/>
      <c r="CQ61" s="122"/>
      <c r="CR61" s="122"/>
      <c r="CS61" s="12" t="s">
        <v>28</v>
      </c>
      <c r="CT61" s="122" t="s">
        <v>619</v>
      </c>
      <c r="CU61" s="156" t="s">
        <v>626</v>
      </c>
      <c r="CV61" s="156"/>
      <c r="CW61" s="122"/>
      <c r="CX61" s="122"/>
      <c r="CY61" s="122"/>
      <c r="CZ61" s="122"/>
      <c r="DA61" s="122"/>
      <c r="DB61" s="122"/>
      <c r="DC61" s="122"/>
      <c r="DD61" s="122"/>
      <c r="DE61" s="122"/>
      <c r="DF61" s="122"/>
      <c r="DG61" s="122"/>
      <c r="DH61" s="122"/>
      <c r="DI61" s="122"/>
      <c r="DJ61" s="122"/>
      <c r="DK61" s="122"/>
      <c r="DL61" s="156" t="s">
        <v>627</v>
      </c>
      <c r="DM61" s="156"/>
      <c r="DN61" s="122"/>
      <c r="DO61" s="122"/>
      <c r="DP61" s="122"/>
      <c r="DQ61" s="122"/>
      <c r="DR61" s="122"/>
      <c r="DS61" s="122"/>
      <c r="DT61" s="122"/>
      <c r="DU61" s="122"/>
      <c r="DV61" s="122"/>
      <c r="DW61" s="122"/>
      <c r="DX61" s="122"/>
      <c r="DY61" s="12" t="s">
        <v>28</v>
      </c>
      <c r="DZ61" s="122" t="s">
        <v>627</v>
      </c>
      <c r="EA61" s="122"/>
      <c r="EB61" s="122"/>
      <c r="EC61" s="122"/>
      <c r="ED61" s="122"/>
      <c r="EE61" s="122"/>
      <c r="EF61" s="155" t="s">
        <v>154</v>
      </c>
      <c r="EG61" s="159"/>
      <c r="EH61" s="155" t="s">
        <v>155</v>
      </c>
      <c r="EI61" s="155" t="s">
        <v>153</v>
      </c>
      <c r="EJ61" s="155" t="s">
        <v>158</v>
      </c>
      <c r="EK61" s="155" t="s">
        <v>268</v>
      </c>
      <c r="EL61" s="162"/>
      <c r="EM61" s="155" t="s">
        <v>154</v>
      </c>
      <c r="EN61" s="162"/>
      <c r="EO61" s="155" t="s">
        <v>155</v>
      </c>
      <c r="EP61" s="126" t="s">
        <v>180</v>
      </c>
      <c r="EQ61" s="126" t="s">
        <v>169</v>
      </c>
      <c r="ER61" s="155" t="s">
        <v>158</v>
      </c>
      <c r="ES61" s="162"/>
      <c r="ET61" s="162"/>
      <c r="EU61" s="155" t="s">
        <v>152</v>
      </c>
      <c r="EV61" s="126" t="s">
        <v>180</v>
      </c>
      <c r="EW61" s="126"/>
      <c r="EX61" s="171"/>
      <c r="EY61" s="171"/>
      <c r="EZ61" s="171"/>
      <c r="FA61" s="171"/>
      <c r="FB61" s="171"/>
      <c r="FC61" s="171"/>
      <c r="FD61" s="12" t="s">
        <v>28</v>
      </c>
      <c r="FE61" s="126" t="s">
        <v>282</v>
      </c>
      <c r="FF61" s="126" t="s">
        <v>173</v>
      </c>
      <c r="FG61" s="126" t="s">
        <v>175</v>
      </c>
      <c r="FH61" s="126"/>
      <c r="FI61" s="126" t="s">
        <v>288</v>
      </c>
      <c r="FJ61" s="126" t="s">
        <v>174</v>
      </c>
      <c r="FK61" s="126" t="s">
        <v>171</v>
      </c>
      <c r="FL61" s="126"/>
      <c r="FM61" s="171"/>
      <c r="FN61" s="171"/>
      <c r="FO61" s="126" t="s">
        <v>286</v>
      </c>
      <c r="FP61" s="126"/>
      <c r="FQ61" s="171"/>
      <c r="FR61" s="171"/>
      <c r="FS61" s="171"/>
      <c r="FT61" s="126" t="s">
        <v>282</v>
      </c>
      <c r="FU61" s="126"/>
      <c r="FV61" s="126" t="s">
        <v>164</v>
      </c>
      <c r="FW61" s="126"/>
      <c r="FX61" s="171"/>
      <c r="FY61" s="171"/>
      <c r="FZ61" s="171"/>
      <c r="GA61" s="126" t="s">
        <v>191</v>
      </c>
      <c r="GB61" s="126"/>
      <c r="GC61" s="171"/>
      <c r="GD61" s="171"/>
      <c r="GE61" s="171"/>
      <c r="GF61" s="171"/>
      <c r="GG61" s="126" t="s">
        <v>423</v>
      </c>
      <c r="GH61" s="159"/>
      <c r="GI61" s="171"/>
      <c r="GJ61" s="12" t="s">
        <v>28</v>
      </c>
      <c r="GK61" s="126" t="s">
        <v>603</v>
      </c>
      <c r="GL61" s="126" t="s">
        <v>172</v>
      </c>
      <c r="GM61" s="159"/>
      <c r="GN61" s="182"/>
      <c r="GO61" s="182"/>
      <c r="GP61" s="182"/>
      <c r="GQ61" s="126" t="s">
        <v>391</v>
      </c>
      <c r="GR61" s="159"/>
      <c r="GS61" s="171"/>
      <c r="GT61" s="182"/>
      <c r="GU61" s="182"/>
      <c r="GV61" s="205" t="s">
        <v>424</v>
      </c>
      <c r="GW61" s="126" t="s">
        <v>277</v>
      </c>
      <c r="GX61" s="126" t="s">
        <v>395</v>
      </c>
      <c r="GY61" s="155" t="s">
        <v>437</v>
      </c>
      <c r="GZ61" s="158"/>
      <c r="HA61" s="158"/>
      <c r="HB61" s="158"/>
      <c r="HC61" s="126" t="s">
        <v>492</v>
      </c>
      <c r="HD61" s="159"/>
      <c r="HE61" s="171"/>
      <c r="HF61" s="171"/>
      <c r="HG61" s="171"/>
      <c r="HH61" s="171"/>
      <c r="HI61" s="126" t="s">
        <v>385</v>
      </c>
      <c r="HJ61" s="126"/>
      <c r="HK61" s="171"/>
      <c r="HL61" s="126" t="s">
        <v>474</v>
      </c>
      <c r="HM61" s="126"/>
      <c r="HN61" s="171"/>
      <c r="HO61" s="171"/>
      <c r="HP61" s="12" t="s">
        <v>28</v>
      </c>
      <c r="HQ61" s="171" t="s">
        <v>474</v>
      </c>
      <c r="HR61" s="171"/>
      <c r="HS61" s="171"/>
      <c r="HT61" s="171"/>
      <c r="HU61" s="171"/>
      <c r="HV61" s="171"/>
      <c r="HW61" s="171"/>
      <c r="HX61" s="171"/>
      <c r="HY61" s="126" t="s">
        <v>469</v>
      </c>
      <c r="HZ61" s="159"/>
      <c r="IA61" s="171"/>
      <c r="IB61" s="171"/>
      <c r="IC61" s="126" t="s">
        <v>395</v>
      </c>
      <c r="ID61" s="126" t="s">
        <v>517</v>
      </c>
      <c r="IE61" s="156"/>
      <c r="IF61" s="122"/>
      <c r="IG61" s="122"/>
      <c r="IH61" s="122"/>
      <c r="II61" s="122"/>
      <c r="IJ61" s="122"/>
      <c r="IK61" s="122"/>
      <c r="IL61" s="122"/>
      <c r="IM61" s="122"/>
      <c r="IN61" s="122"/>
      <c r="IO61" s="122"/>
      <c r="IP61" s="122"/>
      <c r="IQ61" s="122"/>
      <c r="IR61" s="122"/>
      <c r="IS61" s="122"/>
      <c r="IT61" s="12" t="s">
        <v>28</v>
      </c>
      <c r="IU61" s="123" t="s">
        <v>517</v>
      </c>
      <c r="IV61" s="123"/>
      <c r="IW61" s="123"/>
      <c r="IX61" s="123"/>
      <c r="IY61" s="123"/>
      <c r="IZ61" s="123"/>
      <c r="JA61" s="155" t="s">
        <v>524</v>
      </c>
      <c r="JB61" s="155"/>
      <c r="JC61" s="163"/>
      <c r="JD61" s="163"/>
      <c r="JE61" s="163"/>
      <c r="JF61" s="163"/>
      <c r="JG61" s="163"/>
      <c r="JH61" s="163"/>
      <c r="JI61" s="163"/>
      <c r="JJ61" s="163"/>
      <c r="JK61" s="163"/>
      <c r="JL61" s="155" t="s">
        <v>519</v>
      </c>
      <c r="JM61" s="155" t="s">
        <v>642</v>
      </c>
      <c r="JN61" s="126" t="s">
        <v>639</v>
      </c>
      <c r="JO61" s="126"/>
      <c r="JP61" s="171"/>
      <c r="JQ61" s="126" t="s">
        <v>638</v>
      </c>
      <c r="JR61" s="159"/>
      <c r="JS61" s="171"/>
      <c r="JT61" s="171"/>
      <c r="JU61" s="126" t="s">
        <v>623</v>
      </c>
      <c r="JV61" s="278"/>
      <c r="JW61" s="173"/>
      <c r="JX61" s="173"/>
      <c r="JY61" s="173"/>
      <c r="JZ61" s="12" t="s">
        <v>28</v>
      </c>
      <c r="KA61" s="173"/>
      <c r="KB61" s="173"/>
      <c r="KC61" s="173"/>
      <c r="KD61" s="173"/>
      <c r="KE61" s="173"/>
      <c r="KF61" s="173"/>
      <c r="KG61" s="173"/>
      <c r="KH61" s="173"/>
      <c r="KI61" s="173"/>
      <c r="KJ61" s="173"/>
      <c r="KK61" s="173"/>
      <c r="KL61" s="173"/>
      <c r="KM61" s="173"/>
      <c r="KN61" s="173"/>
      <c r="KO61" s="173"/>
      <c r="KP61" s="173"/>
      <c r="KQ61" s="173"/>
      <c r="KR61" s="173"/>
      <c r="KS61" s="173"/>
      <c r="KT61" s="173"/>
      <c r="KU61" s="173"/>
      <c r="KV61" s="173"/>
      <c r="KW61" s="173"/>
      <c r="KX61" s="173"/>
      <c r="KY61" s="280"/>
      <c r="LE61" s="12" t="s">
        <v>28</v>
      </c>
      <c r="LI61" s="171" t="s">
        <v>623</v>
      </c>
      <c r="LJ61" s="155" t="s">
        <v>745</v>
      </c>
      <c r="LK61" s="155"/>
      <c r="LL61" s="153"/>
      <c r="LM61" s="153"/>
      <c r="LN61" s="153"/>
      <c r="LO61" s="153"/>
      <c r="LP61" s="153"/>
      <c r="LQ61" s="153"/>
      <c r="LR61" s="153"/>
      <c r="LS61" s="153"/>
      <c r="LT61" s="153"/>
      <c r="LU61" s="153"/>
      <c r="LV61" s="153"/>
      <c r="LW61" s="153"/>
      <c r="LX61" s="316"/>
      <c r="LY61" s="316"/>
      <c r="LZ61" s="153"/>
      <c r="MA61" s="153"/>
      <c r="MB61" s="716"/>
      <c r="MC61" s="717"/>
      <c r="MD61" s="717"/>
      <c r="ME61" s="718"/>
      <c r="MF61" s="153" t="s">
        <v>745</v>
      </c>
      <c r="MG61" s="153"/>
      <c r="MH61" s="153"/>
      <c r="MI61" s="317" t="s">
        <v>815</v>
      </c>
      <c r="MJ61" s="317"/>
      <c r="MK61" s="289" t="s">
        <v>28</v>
      </c>
      <c r="ML61" s="153" t="s">
        <v>815</v>
      </c>
      <c r="MM61" s="153"/>
      <c r="MN61" s="153"/>
      <c r="MO61" s="153"/>
      <c r="MP61" s="153"/>
      <c r="MQ61" s="155" t="s">
        <v>790</v>
      </c>
      <c r="MR61" s="156"/>
      <c r="MS61" s="319"/>
      <c r="MT61" s="319"/>
      <c r="MU61" s="157"/>
      <c r="MV61" s="157"/>
      <c r="MW61" s="157"/>
      <c r="MX61" s="157"/>
      <c r="MY61" s="157"/>
      <c r="MZ61" s="157"/>
      <c r="NA61" s="157"/>
      <c r="NB61" s="157"/>
      <c r="NC61" s="157"/>
      <c r="ND61" s="157"/>
      <c r="NE61" s="157"/>
      <c r="NF61" s="157"/>
      <c r="NG61" s="157"/>
      <c r="NH61" s="179" t="s">
        <v>907</v>
      </c>
      <c r="NI61" s="179"/>
      <c r="NJ61" s="171"/>
      <c r="NK61" s="171"/>
      <c r="NL61" s="171"/>
      <c r="NM61" s="171"/>
      <c r="NN61" s="155" t="s">
        <v>823</v>
      </c>
      <c r="NO61" s="361"/>
      <c r="NP61" s="12" t="s">
        <v>28</v>
      </c>
      <c r="NQ61" s="316" t="s">
        <v>823</v>
      </c>
      <c r="NR61" s="316"/>
      <c r="NS61" s="316"/>
      <c r="NT61" s="316"/>
      <c r="NU61" s="316"/>
      <c r="NV61" s="316"/>
      <c r="NW61" s="317" t="s">
        <v>824</v>
      </c>
      <c r="NX61" s="317"/>
      <c r="NY61" s="153"/>
      <c r="NZ61" s="153"/>
      <c r="OA61" s="153"/>
      <c r="OB61" s="153"/>
      <c r="OC61" s="317" t="s">
        <v>802</v>
      </c>
      <c r="OD61" s="317"/>
      <c r="OE61" s="316"/>
      <c r="OF61" s="316"/>
      <c r="OG61" s="317" t="s">
        <v>826</v>
      </c>
      <c r="OH61" s="317"/>
      <c r="OI61" s="316"/>
      <c r="OJ61" s="316"/>
      <c r="OK61" s="153"/>
      <c r="OL61" s="153"/>
      <c r="OM61" s="153"/>
      <c r="ON61" s="153"/>
      <c r="OO61" s="153"/>
      <c r="OP61" s="153"/>
      <c r="OQ61" s="316"/>
      <c r="OR61" s="316"/>
      <c r="OS61" s="361" t="s">
        <v>955</v>
      </c>
      <c r="OT61" s="724"/>
      <c r="OU61" s="725"/>
      <c r="OV61" s="188" t="s">
        <v>28</v>
      </c>
      <c r="OW61" s="740"/>
      <c r="OX61" s="741"/>
      <c r="OY61" s="741"/>
      <c r="OZ61" s="741"/>
      <c r="PA61" s="741"/>
      <c r="PB61" s="741"/>
      <c r="PC61" s="742"/>
      <c r="PD61" s="361" t="s">
        <v>955</v>
      </c>
      <c r="PE61" s="316"/>
      <c r="PF61" s="317" t="s">
        <v>956</v>
      </c>
      <c r="PG61" s="317" t="s">
        <v>958</v>
      </c>
      <c r="PH61" s="317" t="s">
        <v>957</v>
      </c>
      <c r="PI61" s="316"/>
      <c r="PJ61" s="316"/>
      <c r="PK61" s="317" t="s">
        <v>803</v>
      </c>
      <c r="PL61" s="317" t="s">
        <v>804</v>
      </c>
      <c r="PM61" s="317" t="s">
        <v>1070</v>
      </c>
      <c r="PN61" s="361"/>
      <c r="PO61" s="179" t="s">
        <v>901</v>
      </c>
      <c r="PP61" s="204"/>
      <c r="PQ61" s="180"/>
      <c r="PR61" s="179" t="s">
        <v>1079</v>
      </c>
      <c r="PS61" s="179"/>
      <c r="PT61" s="180"/>
      <c r="PU61" s="180"/>
      <c r="PV61" s="180"/>
      <c r="PW61" s="180"/>
      <c r="PX61" s="180"/>
      <c r="PY61" s="180"/>
      <c r="PZ61" s="210" t="s">
        <v>1075</v>
      </c>
      <c r="QA61" s="210"/>
      <c r="QB61" s="12" t="s">
        <v>28</v>
      </c>
      <c r="QC61" s="180" t="s">
        <v>1075</v>
      </c>
      <c r="QD61" s="180"/>
      <c r="QE61" s="180"/>
      <c r="QF61" s="210" t="s">
        <v>980</v>
      </c>
      <c r="QG61" s="210"/>
      <c r="QH61" s="180"/>
      <c r="QI61" s="361" t="s">
        <v>1273</v>
      </c>
      <c r="QJ61" s="361"/>
      <c r="QK61" s="319"/>
      <c r="QL61" s="319"/>
      <c r="QM61" s="319"/>
      <c r="QN61" s="319"/>
      <c r="QO61" s="319"/>
      <c r="QP61" s="319"/>
      <c r="QQ61" s="319"/>
      <c r="QR61" s="319"/>
      <c r="QS61" s="319"/>
      <c r="QT61" s="319"/>
      <c r="QU61" s="319"/>
      <c r="QV61" s="319"/>
      <c r="QW61" s="319"/>
      <c r="QX61" s="319"/>
      <c r="QY61" s="319"/>
      <c r="QZ61" s="319"/>
      <c r="RA61" s="319"/>
      <c r="RB61" s="361" t="s">
        <v>1292</v>
      </c>
      <c r="RC61" s="361" t="s">
        <v>1026</v>
      </c>
      <c r="RD61" s="361"/>
      <c r="RE61" s="361" t="s">
        <v>1025</v>
      </c>
      <c r="RF61" s="361"/>
      <c r="RG61" s="12" t="s">
        <v>28</v>
      </c>
      <c r="RH61" s="361" t="s">
        <v>1292</v>
      </c>
      <c r="RI61" s="318"/>
      <c r="RJ61" s="319"/>
      <c r="RK61" s="319"/>
      <c r="RL61" s="319"/>
      <c r="RM61" s="361" t="s">
        <v>1026</v>
      </c>
      <c r="RN61" s="318"/>
      <c r="RO61" s="319"/>
      <c r="RP61" s="319"/>
      <c r="RQ61" s="361" t="s">
        <v>1197</v>
      </c>
      <c r="RR61" s="361"/>
      <c r="RS61" s="319"/>
      <c r="RT61" s="319"/>
      <c r="RU61" s="319"/>
      <c r="RV61" s="319"/>
      <c r="RW61" s="361" t="s">
        <v>1460</v>
      </c>
      <c r="RX61" s="361"/>
      <c r="RY61" s="316"/>
      <c r="RZ61" s="316"/>
      <c r="SA61" s="345" t="s">
        <v>1461</v>
      </c>
      <c r="SB61" s="345"/>
      <c r="SC61" s="438"/>
      <c r="SD61" s="438"/>
      <c r="SE61" s="438"/>
      <c r="SF61" s="438"/>
      <c r="SG61" s="438"/>
      <c r="SH61" s="438"/>
      <c r="SI61" s="438"/>
      <c r="SJ61" s="438"/>
      <c r="SK61" s="438"/>
      <c r="SL61" s="438"/>
      <c r="SM61" s="12" t="s">
        <v>28</v>
      </c>
      <c r="SN61" s="438"/>
      <c r="SO61" s="438"/>
      <c r="SP61" s="438"/>
      <c r="SQ61" s="438"/>
      <c r="SR61" s="438"/>
      <c r="SS61" s="438"/>
      <c r="ST61" s="438"/>
      <c r="SU61" s="438"/>
      <c r="SV61" s="438"/>
      <c r="SW61" s="438"/>
      <c r="SX61" s="438"/>
      <c r="SY61" s="438"/>
      <c r="SZ61" s="438"/>
      <c r="TA61" s="210" t="s">
        <v>1471</v>
      </c>
      <c r="TB61" s="210"/>
      <c r="TC61" s="180"/>
      <c r="TD61" s="180"/>
      <c r="TE61" s="180"/>
      <c r="TF61" s="361" t="s">
        <v>1228</v>
      </c>
      <c r="TG61" s="361"/>
      <c r="TH61" s="361" t="s">
        <v>1049</v>
      </c>
      <c r="TI61" s="361"/>
      <c r="TJ61" s="361" t="s">
        <v>1130</v>
      </c>
      <c r="TK61" s="361" t="s">
        <v>1424</v>
      </c>
      <c r="TL61" s="433"/>
      <c r="TM61" s="319"/>
      <c r="TN61" s="319"/>
      <c r="TO61" s="319"/>
      <c r="TP61" s="319"/>
      <c r="TQ61" s="319"/>
      <c r="TR61" s="12" t="s">
        <v>28</v>
      </c>
      <c r="TS61" s="319" t="s">
        <v>1424</v>
      </c>
      <c r="TT61" s="319"/>
      <c r="TU61" s="319"/>
      <c r="TV61" s="319"/>
      <c r="TW61" s="319"/>
      <c r="TX61" s="319"/>
      <c r="TY61" s="319"/>
      <c r="TZ61" s="319"/>
      <c r="UA61" s="361" t="s">
        <v>1418</v>
      </c>
      <c r="UB61" s="361"/>
      <c r="UC61" s="361" t="s">
        <v>1420</v>
      </c>
      <c r="UD61" s="361"/>
      <c r="UE61" s="361" t="s">
        <v>1417</v>
      </c>
      <c r="UF61" s="361"/>
      <c r="UG61" s="316"/>
      <c r="UH61" s="316"/>
      <c r="UI61" s="361" t="s">
        <v>1419</v>
      </c>
      <c r="UJ61" s="361"/>
      <c r="UK61" s="316"/>
      <c r="UL61" s="316"/>
      <c r="UM61" s="210" t="s">
        <v>1486</v>
      </c>
      <c r="UN61" s="210"/>
      <c r="UO61" s="210" t="s">
        <v>1489</v>
      </c>
      <c r="UP61" s="210"/>
      <c r="UQ61" s="180"/>
      <c r="UR61" s="210" t="s">
        <v>1490</v>
      </c>
      <c r="US61" s="210"/>
      <c r="UT61" s="361" t="s">
        <v>1808</v>
      </c>
      <c r="UU61" s="361"/>
      <c r="UV61" s="361" t="s">
        <v>1370</v>
      </c>
      <c r="UW61" s="361"/>
      <c r="UX61" s="12" t="s">
        <v>28</v>
      </c>
      <c r="UY61" s="361" t="s">
        <v>1371</v>
      </c>
      <c r="UZ61" s="361" t="s">
        <v>1807</v>
      </c>
      <c r="VA61" s="316"/>
      <c r="VB61" s="361" t="s">
        <v>1374</v>
      </c>
      <c r="VC61" s="361"/>
      <c r="VD61" s="316"/>
      <c r="VE61" s="316"/>
      <c r="VF61" s="316"/>
      <c r="VG61" s="316"/>
      <c r="VH61" s="361" t="s">
        <v>1693</v>
      </c>
      <c r="VI61" s="361"/>
      <c r="VJ61" s="316"/>
      <c r="VK61" s="361" t="s">
        <v>1811</v>
      </c>
      <c r="VL61" s="433"/>
      <c r="VM61" s="319"/>
      <c r="VN61" s="319"/>
      <c r="VO61" s="319"/>
      <c r="VP61" s="319"/>
      <c r="VQ61" s="319"/>
      <c r="VR61" s="319"/>
      <c r="VS61" s="319"/>
      <c r="VT61" s="319"/>
      <c r="VU61" s="361" t="s">
        <v>1307</v>
      </c>
      <c r="VV61" s="318"/>
      <c r="VW61" s="210" t="s">
        <v>1948</v>
      </c>
      <c r="VX61" s="210"/>
      <c r="VY61" s="180"/>
      <c r="VZ61" s="180"/>
      <c r="WA61" s="210" t="s">
        <v>1970</v>
      </c>
      <c r="WB61" s="210"/>
      <c r="WC61" s="210" t="s">
        <v>1888</v>
      </c>
      <c r="WD61" s="12" t="s">
        <v>28</v>
      </c>
      <c r="WE61" s="210" t="s">
        <v>1888</v>
      </c>
      <c r="WF61" s="180"/>
      <c r="WG61" s="180"/>
      <c r="WH61" s="180"/>
      <c r="WI61" s="210" t="s">
        <v>1889</v>
      </c>
      <c r="WJ61" s="210"/>
      <c r="WK61" s="180"/>
      <c r="WL61" s="180"/>
      <c r="WM61" s="210" t="s">
        <v>2026</v>
      </c>
      <c r="WN61" s="210"/>
      <c r="WO61" s="180"/>
      <c r="WP61" s="180"/>
      <c r="WQ61" s="180"/>
      <c r="WR61" s="180"/>
      <c r="WS61" s="345" t="s">
        <v>1894</v>
      </c>
      <c r="WT61" s="345"/>
      <c r="WU61" s="352"/>
      <c r="WV61" s="311"/>
      <c r="WW61" s="311"/>
      <c r="WX61" s="345" t="s">
        <v>1973</v>
      </c>
      <c r="WY61" s="345"/>
      <c r="WZ61" s="311"/>
      <c r="XA61" s="311"/>
      <c r="XB61" s="311"/>
      <c r="XC61" s="311"/>
      <c r="XD61" s="311"/>
      <c r="XE61" s="311"/>
      <c r="XF61" s="311"/>
      <c r="XG61" s="12" t="s">
        <v>28</v>
      </c>
      <c r="XH61" s="352" t="s">
        <v>1973</v>
      </c>
      <c r="XI61" s="345" t="s">
        <v>1974</v>
      </c>
      <c r="XJ61" s="345"/>
      <c r="XK61" s="311"/>
      <c r="XL61" s="311"/>
      <c r="XM61" s="311"/>
      <c r="XN61" s="311"/>
      <c r="XO61" s="311"/>
      <c r="XP61" s="352"/>
      <c r="XQ61" s="311"/>
      <c r="XR61" s="311"/>
      <c r="XS61" s="311"/>
      <c r="XT61" s="311"/>
      <c r="XU61" s="311"/>
      <c r="XV61" s="311"/>
      <c r="XW61" s="311"/>
      <c r="XX61" s="311"/>
      <c r="XY61" s="311"/>
      <c r="XZ61" s="311"/>
      <c r="YA61" s="311"/>
      <c r="YB61" s="311"/>
      <c r="YC61" s="311"/>
      <c r="YD61" s="311"/>
      <c r="YE61" s="551" t="s">
        <v>1800</v>
      </c>
      <c r="YF61" s="551"/>
      <c r="YG61" s="552"/>
      <c r="YH61" s="551" t="s">
        <v>2055</v>
      </c>
      <c r="YI61" s="551"/>
      <c r="YJ61" s="525"/>
      <c r="YK61" s="525"/>
      <c r="YL61" s="525"/>
      <c r="YM61" s="12" t="s">
        <v>28</v>
      </c>
      <c r="YN61" s="345" t="s">
        <v>2071</v>
      </c>
      <c r="YO61" s="345"/>
      <c r="YP61" s="525"/>
      <c r="YQ61" s="361" t="s">
        <v>2066</v>
      </c>
      <c r="YR61" s="361"/>
      <c r="YS61" s="316"/>
      <c r="YT61" s="316"/>
      <c r="YU61" s="316"/>
      <c r="YV61" s="316"/>
      <c r="YW61" s="316"/>
      <c r="YX61" s="316"/>
      <c r="YY61" s="316"/>
      <c r="YZ61" s="361" t="s">
        <v>2036</v>
      </c>
      <c r="ZA61" s="361"/>
      <c r="ZB61" s="316"/>
      <c r="ZC61" s="316"/>
      <c r="ZD61" s="316"/>
      <c r="ZE61" s="316"/>
      <c r="ZF61" s="316"/>
      <c r="ZG61" s="316"/>
      <c r="ZH61" s="361" t="s">
        <v>1907</v>
      </c>
      <c r="ZI61" s="361"/>
      <c r="ZJ61" s="316"/>
      <c r="ZK61" s="316"/>
      <c r="ZL61" s="316"/>
      <c r="ZM61" s="316"/>
      <c r="ZN61" s="361" t="s">
        <v>2037</v>
      </c>
      <c r="ZO61" s="361"/>
      <c r="ZP61" s="316"/>
      <c r="ZQ61" s="316"/>
      <c r="ZR61" s="12" t="s">
        <v>28</v>
      </c>
      <c r="ZS61" s="210" t="s">
        <v>2131</v>
      </c>
      <c r="ZT61" s="210"/>
      <c r="ZU61" s="180"/>
      <c r="ZV61" s="584"/>
      <c r="ZW61" s="210" t="s">
        <v>2223</v>
      </c>
      <c r="ZX61" s="210"/>
      <c r="ZY61" s="180"/>
      <c r="ZZ61" s="210" t="s">
        <v>2207</v>
      </c>
      <c r="AAA61" s="210"/>
      <c r="AAB61" s="180"/>
      <c r="AAC61" s="180"/>
      <c r="AAD61" s="180"/>
      <c r="AAE61" s="777"/>
      <c r="AAF61" s="705"/>
      <c r="AAG61" s="705"/>
      <c r="AAH61" s="705"/>
      <c r="AAI61" s="778"/>
      <c r="AAJ61" s="210" t="s">
        <v>2223</v>
      </c>
      <c r="AAK61" s="180"/>
      <c r="AAL61" s="361" t="s">
        <v>1992</v>
      </c>
      <c r="AAM61" s="361"/>
      <c r="AAN61" s="316"/>
      <c r="AAO61" s="316"/>
      <c r="AAP61" s="361" t="s">
        <v>2264</v>
      </c>
      <c r="AAQ61" s="361"/>
      <c r="AAR61" s="316"/>
      <c r="AAS61" s="316"/>
      <c r="AAT61" s="361" t="s">
        <v>2263</v>
      </c>
      <c r="AAU61" s="361"/>
      <c r="AAV61" s="361" t="s">
        <v>2269</v>
      </c>
      <c r="AAW61" s="361"/>
      <c r="AAX61" s="12" t="s">
        <v>28</v>
      </c>
      <c r="AAY61" s="361" t="s">
        <v>2087</v>
      </c>
      <c r="AAZ61" s="361"/>
      <c r="ABA61" s="316"/>
      <c r="ABB61" s="316"/>
      <c r="ABC61" s="316"/>
      <c r="ABD61" s="316"/>
      <c r="ABE61" s="438"/>
      <c r="ABF61" s="210" t="s">
        <v>2299</v>
      </c>
      <c r="ABG61" s="210"/>
      <c r="ABH61" s="180"/>
      <c r="ABI61" s="180"/>
      <c r="ABJ61" s="210" t="s">
        <v>2300</v>
      </c>
      <c r="ABK61" s="210"/>
      <c r="ABL61" s="210" t="s">
        <v>2322</v>
      </c>
      <c r="ABM61" s="210"/>
      <c r="ABN61" s="345" t="s">
        <v>2306</v>
      </c>
      <c r="ABO61" s="345"/>
      <c r="ABP61" s="352"/>
      <c r="ABQ61" s="352"/>
      <c r="ABR61" s="352"/>
      <c r="ABS61" s="345" t="s">
        <v>2305</v>
      </c>
      <c r="ABT61" s="345"/>
      <c r="ABU61" s="352"/>
      <c r="ABV61" s="352"/>
      <c r="ABW61" s="352"/>
      <c r="ABX61" s="352"/>
      <c r="ABY61" s="352"/>
      <c r="ABZ61" s="352"/>
      <c r="ACA61" s="345" t="s">
        <v>2306</v>
      </c>
      <c r="ACB61" s="345"/>
      <c r="ACC61" s="7" t="s">
        <v>2394</v>
      </c>
      <c r="ACD61" s="537" t="s">
        <v>2306</v>
      </c>
      <c r="ACE61" s="537"/>
      <c r="ACF61" s="537"/>
      <c r="ACG61" s="537"/>
      <c r="ACH61" s="537"/>
      <c r="ACI61" s="537"/>
      <c r="ACJ61" s="537"/>
      <c r="ACK61" s="537"/>
      <c r="ACL61" s="537"/>
      <c r="ACM61" s="352"/>
      <c r="ACN61" s="352"/>
      <c r="ACO61" s="352"/>
      <c r="ACP61" s="352"/>
      <c r="ACQ61" s="352"/>
      <c r="ACR61" s="345" t="s">
        <v>2241</v>
      </c>
      <c r="ACS61" s="345"/>
      <c r="ACT61" s="352"/>
      <c r="ACU61" s="352"/>
      <c r="ACV61" s="352"/>
      <c r="ACW61" s="785"/>
      <c r="ACX61" s="786"/>
      <c r="ACY61" s="786"/>
      <c r="ACZ61" s="786"/>
      <c r="ADA61" s="786"/>
      <c r="ADB61" s="786"/>
      <c r="ADC61" s="786"/>
      <c r="ADD61" s="786"/>
      <c r="ADE61" s="786"/>
      <c r="ADF61" s="786"/>
      <c r="ADG61" s="787"/>
      <c r="ADH61" s="314"/>
      <c r="ADI61" s="7" t="s">
        <v>2394</v>
      </c>
      <c r="ADJ61" s="352" t="s">
        <v>2241</v>
      </c>
      <c r="ADK61" s="352"/>
      <c r="ADL61" s="438"/>
      <c r="ADM61" s="210" t="s">
        <v>2391</v>
      </c>
      <c r="ADN61" s="210"/>
      <c r="ADO61" s="180"/>
      <c r="ADP61" s="180"/>
      <c r="ADQ61" s="210" t="s">
        <v>2390</v>
      </c>
      <c r="ADR61" s="210"/>
      <c r="ADS61" s="180"/>
      <c r="ADT61" s="180"/>
      <c r="ADU61" s="210" t="s">
        <v>2374</v>
      </c>
      <c r="ADV61" s="210"/>
      <c r="ADW61" s="180"/>
      <c r="ADX61" s="361" t="s">
        <v>2382</v>
      </c>
      <c r="ADY61" s="361" t="s">
        <v>2230</v>
      </c>
      <c r="ADZ61" s="361"/>
      <c r="AEA61" s="361" t="s">
        <v>2383</v>
      </c>
      <c r="AEB61" s="361" t="s">
        <v>2231</v>
      </c>
      <c r="AEC61" s="210" t="s">
        <v>2387</v>
      </c>
      <c r="AED61" s="210"/>
      <c r="AEE61" s="180"/>
      <c r="AEF61" s="519" t="s">
        <v>2323</v>
      </c>
      <c r="AEG61" s="210"/>
      <c r="AEH61" s="361" t="s">
        <v>2191</v>
      </c>
      <c r="AEI61" s="519" t="s">
        <v>2323</v>
      </c>
      <c r="AEJ61" s="519"/>
      <c r="AEK61" s="210" t="s">
        <v>2385</v>
      </c>
      <c r="AEL61" s="293"/>
      <c r="AEM61" s="180"/>
      <c r="AEN61" s="180"/>
      <c r="AEO61" s="7" t="s">
        <v>2541</v>
      </c>
      <c r="AEP61" s="180" t="s">
        <v>2385</v>
      </c>
      <c r="AEQ61" s="180"/>
      <c r="AER61" s="210" t="s">
        <v>2327</v>
      </c>
      <c r="AES61" s="210"/>
      <c r="AET61" s="210" t="s">
        <v>2467</v>
      </c>
      <c r="AEU61" s="210"/>
      <c r="AEV61" s="180"/>
      <c r="AEW61" s="210" t="s">
        <v>2477</v>
      </c>
      <c r="AEX61" s="210"/>
      <c r="AEY61" s="180"/>
      <c r="AEZ61" s="180"/>
      <c r="AFA61" s="180"/>
      <c r="AFB61" s="180"/>
      <c r="AFC61" s="361" t="s">
        <v>2365</v>
      </c>
      <c r="AFD61" s="361"/>
      <c r="AFE61" s="316"/>
      <c r="AFF61" s="316"/>
      <c r="AFG61" s="316"/>
      <c r="AFH61" s="316"/>
      <c r="AFI61" s="316"/>
      <c r="AFJ61" s="361" t="s">
        <v>2482</v>
      </c>
      <c r="AFK61" s="361"/>
      <c r="AFL61" s="316"/>
      <c r="AFM61" s="316"/>
      <c r="AFN61" s="316"/>
      <c r="AFO61" s="361" t="s">
        <v>2474</v>
      </c>
      <c r="AFP61" s="361"/>
      <c r="AFQ61" s="316"/>
      <c r="AFR61" s="361" t="s">
        <v>2483</v>
      </c>
      <c r="AFS61" s="361"/>
      <c r="AFT61" s="7" t="s">
        <v>2541</v>
      </c>
      <c r="AFU61" s="316" t="s">
        <v>2483</v>
      </c>
      <c r="AFV61" s="316"/>
      <c r="AFW61" s="316"/>
      <c r="AFX61" s="361" t="s">
        <v>2364</v>
      </c>
      <c r="AFY61" s="361"/>
      <c r="AFZ61" s="316"/>
      <c r="AGA61" s="316"/>
      <c r="AGB61" s="361" t="s">
        <v>2366</v>
      </c>
      <c r="AGC61" s="361"/>
      <c r="AGD61" s="316"/>
      <c r="AGE61" s="361" t="s">
        <v>2407</v>
      </c>
      <c r="AGF61" s="361"/>
      <c r="AGG61" s="316"/>
      <c r="AGH61" s="316"/>
      <c r="AGI61" s="361" t="s">
        <v>2406</v>
      </c>
      <c r="AGJ61" s="361"/>
      <c r="AGK61" s="316"/>
      <c r="AGL61" s="210" t="s">
        <v>2561</v>
      </c>
      <c r="AGM61" s="210"/>
      <c r="AGN61" s="180"/>
      <c r="AGO61" s="180"/>
      <c r="AGP61" s="180"/>
      <c r="AGQ61" s="180"/>
      <c r="AGR61" s="180"/>
      <c r="AGS61" s="210" t="s">
        <v>2567</v>
      </c>
      <c r="AGT61" s="210"/>
      <c r="AGU61" s="180"/>
      <c r="AGV61" s="180"/>
      <c r="AGW61" s="180"/>
      <c r="AGX61" s="180"/>
      <c r="AGY61" s="180"/>
      <c r="AGZ61" s="7" t="s">
        <v>2541</v>
      </c>
      <c r="AHA61" s="210" t="s">
        <v>2573</v>
      </c>
      <c r="AHB61" s="210"/>
      <c r="AHC61" s="180"/>
      <c r="AHD61" s="180"/>
      <c r="AHE61" s="180"/>
      <c r="AHF61" s="376" t="s">
        <v>2451</v>
      </c>
      <c r="AHG61" s="524"/>
      <c r="AHH61" s="375"/>
      <c r="AHI61" s="375"/>
      <c r="AHJ61" s="375"/>
      <c r="AHK61" s="375"/>
      <c r="AHL61" s="375"/>
      <c r="AHM61" s="375"/>
      <c r="AHN61" s="375"/>
      <c r="AHO61" s="375"/>
      <c r="AHP61" s="210" t="s">
        <v>2735</v>
      </c>
      <c r="AHQ61" s="210"/>
      <c r="AHR61" s="180"/>
      <c r="AHS61" s="180"/>
      <c r="AHT61" s="180"/>
      <c r="AHU61" s="210" t="s">
        <v>2764</v>
      </c>
      <c r="AHV61" s="210"/>
      <c r="AHW61" s="210" t="s">
        <v>2765</v>
      </c>
      <c r="AHX61" s="210"/>
      <c r="AHY61" s="180"/>
      <c r="AHZ61" s="180"/>
      <c r="AIA61" s="180"/>
      <c r="AIB61" s="180"/>
      <c r="AIC61" s="314"/>
      <c r="AID61" s="210" t="s">
        <v>2555</v>
      </c>
      <c r="AIE61" s="7" t="s">
        <v>2541</v>
      </c>
      <c r="AIF61" s="180" t="s">
        <v>2555</v>
      </c>
      <c r="AIG61" s="180"/>
      <c r="AIH61" s="180"/>
      <c r="AII61" s="180"/>
      <c r="AIJ61" s="180"/>
      <c r="AIK61" s="210" t="s">
        <v>2869</v>
      </c>
      <c r="AIL61" s="210"/>
      <c r="AIM61" s="180"/>
      <c r="AIN61" s="210" t="s">
        <v>2762</v>
      </c>
      <c r="AIO61" s="210"/>
      <c r="AIP61" s="210" t="s">
        <v>2819</v>
      </c>
      <c r="AIQ61" s="210" t="s">
        <v>2566</v>
      </c>
      <c r="AIR61" s="210"/>
      <c r="AIS61" s="180"/>
      <c r="AIT61" s="180"/>
      <c r="AIU61" s="180"/>
      <c r="AIV61" s="180"/>
      <c r="AIW61" s="210" t="s">
        <v>2774</v>
      </c>
      <c r="AIX61" s="210"/>
      <c r="AIY61" s="210" t="s">
        <v>2569</v>
      </c>
      <c r="AIZ61" s="210"/>
      <c r="AJA61" s="180"/>
      <c r="AJB61" s="180"/>
      <c r="AJC61" s="210" t="s">
        <v>2817</v>
      </c>
      <c r="AJD61" s="210"/>
      <c r="AJE61" s="210" t="s">
        <v>2740</v>
      </c>
      <c r="AJF61" s="210"/>
      <c r="AJG61" s="180"/>
      <c r="AJH61" s="210" t="s">
        <v>2735</v>
      </c>
      <c r="AJI61" s="210"/>
      <c r="AJJ61" s="180"/>
      <c r="AJK61" s="7" t="s">
        <v>2541</v>
      </c>
      <c r="AJL61" s="180" t="s">
        <v>2735</v>
      </c>
      <c r="AJM61" s="180"/>
      <c r="AJN61" s="210" t="s">
        <v>2413</v>
      </c>
      <c r="AJO61" s="210"/>
      <c r="AJP61" s="180"/>
      <c r="AJQ61" s="180"/>
      <c r="AJR61" s="210" t="s">
        <v>2415</v>
      </c>
      <c r="AJS61" s="210"/>
      <c r="AJT61" s="180"/>
      <c r="AJU61" s="180"/>
      <c r="AJV61" s="180"/>
      <c r="AJW61" s="180"/>
      <c r="AJX61" s="180"/>
      <c r="AJY61" s="210" t="s">
        <v>2661</v>
      </c>
      <c r="AJZ61" s="210"/>
      <c r="AKA61" s="180"/>
      <c r="AKB61" s="180"/>
      <c r="AKC61" s="180"/>
      <c r="AKD61" s="180"/>
      <c r="AKE61" s="180"/>
      <c r="AKF61" s="210" t="s">
        <v>2662</v>
      </c>
      <c r="AKG61" s="210"/>
      <c r="AKH61" s="180"/>
      <c r="AKI61" s="180"/>
      <c r="AKJ61" s="180"/>
      <c r="AKK61" s="210" t="s">
        <v>2665</v>
      </c>
      <c r="AKL61" s="210"/>
      <c r="AKM61" s="180"/>
      <c r="AKN61" s="180"/>
      <c r="AKO61" s="180"/>
      <c r="AKP61" s="180"/>
      <c r="AKQ61" s="7" t="s">
        <v>2541</v>
      </c>
      <c r="AKR61" s="210" t="s">
        <v>2417</v>
      </c>
      <c r="AKS61" s="210"/>
      <c r="AKT61" s="180"/>
      <c r="AKU61" s="519" t="s">
        <v>2411</v>
      </c>
      <c r="AKV61" s="210"/>
      <c r="AKW61" s="180"/>
      <c r="AKX61" s="210" t="s">
        <v>2410</v>
      </c>
      <c r="AKY61" s="293"/>
      <c r="AKZ61" s="180"/>
      <c r="ALA61" s="180"/>
      <c r="ALB61" s="180"/>
      <c r="ALC61" s="345" t="s">
        <v>2846</v>
      </c>
      <c r="ALD61" s="345"/>
      <c r="ALE61" s="352"/>
      <c r="ALF61" s="352"/>
      <c r="ALG61" s="352"/>
      <c r="ALH61" s="352"/>
      <c r="ALI61" s="352"/>
      <c r="ALJ61" s="352"/>
      <c r="ALK61" s="352"/>
      <c r="ALL61" s="352"/>
      <c r="ALM61" s="352"/>
      <c r="ALN61" s="352"/>
      <c r="ALO61" s="352"/>
      <c r="ALP61" s="352"/>
      <c r="ALQ61" s="352"/>
      <c r="ALR61" s="352"/>
      <c r="ALS61" s="352"/>
      <c r="ALT61" s="7" t="s">
        <v>2541</v>
      </c>
      <c r="ALU61" s="352" t="s">
        <v>2846</v>
      </c>
      <c r="ALV61" s="352"/>
      <c r="ALW61" s="352"/>
      <c r="ALX61" s="352"/>
      <c r="ALY61" s="352"/>
      <c r="ALZ61" s="352"/>
      <c r="AMA61" s="352"/>
      <c r="AMB61" s="352"/>
      <c r="AMC61" s="352"/>
      <c r="AMD61" s="352"/>
      <c r="AME61" s="352"/>
      <c r="AMF61" s="352"/>
      <c r="AMG61" s="352"/>
      <c r="AMH61" s="352"/>
      <c r="AMI61" s="352"/>
      <c r="AMJ61" s="352"/>
      <c r="AMK61" s="352"/>
      <c r="AML61" s="352"/>
      <c r="AMM61" s="352"/>
      <c r="AMN61" s="352"/>
      <c r="AMO61" s="352"/>
      <c r="AMP61" s="352"/>
      <c r="AMQ61" s="352"/>
      <c r="AMR61" s="352"/>
      <c r="AMS61" s="352"/>
      <c r="AMT61" s="352"/>
      <c r="AMU61" s="352"/>
      <c r="AMV61" s="352"/>
      <c r="AMW61" s="352"/>
      <c r="AMX61" s="352"/>
      <c r="AMY61" s="352"/>
      <c r="AMZ61" s="7" t="s">
        <v>2541</v>
      </c>
      <c r="ANA61" s="352" t="s">
        <v>2846</v>
      </c>
      <c r="ANB61" s="352"/>
      <c r="ANC61" s="352"/>
      <c r="AND61" s="352"/>
      <c r="ANE61" s="352"/>
      <c r="ANF61" s="352"/>
      <c r="ANG61" s="352"/>
      <c r="ANH61" s="352"/>
      <c r="ANI61" s="352"/>
      <c r="ANJ61" s="352"/>
      <c r="ANK61" s="352"/>
      <c r="ANL61" s="352"/>
      <c r="ANM61" s="352"/>
      <c r="ANN61" s="352"/>
      <c r="ANO61" s="352"/>
      <c r="ANP61" s="352"/>
      <c r="ANQ61" s="352"/>
      <c r="ANR61" s="352"/>
      <c r="ANS61" s="352"/>
      <c r="ANT61" s="352"/>
      <c r="ANU61" s="352"/>
      <c r="ANV61" s="352"/>
      <c r="ANW61" s="352"/>
      <c r="ANX61" s="352"/>
      <c r="ANY61" s="352"/>
      <c r="ANZ61" s="352"/>
      <c r="AOA61" s="352"/>
      <c r="AOB61" s="352"/>
      <c r="AOC61" s="352"/>
      <c r="AOD61" s="352"/>
      <c r="AOE61" s="7" t="s">
        <v>2541</v>
      </c>
      <c r="AOF61" s="159"/>
      <c r="AOG61" s="159"/>
      <c r="AOH61" s="159"/>
      <c r="AOI61" s="159"/>
      <c r="AOJ61" s="159"/>
      <c r="AOK61" s="159"/>
      <c r="AOL61" s="159"/>
      <c r="AOM61" s="159"/>
      <c r="AON61" s="159"/>
      <c r="AOO61" s="352" t="s">
        <v>2636</v>
      </c>
      <c r="AOP61" s="352"/>
      <c r="AOQ61" s="352"/>
      <c r="AOR61" s="352"/>
      <c r="AOS61" s="352"/>
      <c r="AOT61" s="352"/>
      <c r="AOU61" s="352"/>
      <c r="AOV61" s="352"/>
      <c r="AOW61" s="352"/>
      <c r="AOX61" s="352"/>
      <c r="AOY61" s="352"/>
      <c r="AOZ61" s="352"/>
      <c r="APA61" s="352"/>
      <c r="APB61" s="345" t="s">
        <v>2868</v>
      </c>
      <c r="APC61" s="345"/>
      <c r="APD61" s="352"/>
      <c r="APE61" s="352"/>
      <c r="APF61" s="352"/>
      <c r="APG61" s="352"/>
      <c r="APH61" s="352"/>
      <c r="API61" s="352"/>
      <c r="APJ61" s="352"/>
      <c r="APK61" s="7" t="s">
        <v>2541</v>
      </c>
      <c r="APL61" s="352" t="s">
        <v>2868</v>
      </c>
      <c r="APM61" s="352"/>
      <c r="APN61" s="352"/>
      <c r="APO61" s="352"/>
      <c r="APP61" s="352"/>
      <c r="APQ61" s="352"/>
      <c r="APR61" s="352"/>
      <c r="APS61" s="352"/>
      <c r="APT61" s="352"/>
      <c r="APU61" s="352"/>
      <c r="APV61" s="352"/>
      <c r="APW61" s="352"/>
      <c r="APX61" s="352"/>
      <c r="APY61" s="352"/>
      <c r="APZ61" s="352"/>
      <c r="AQA61" s="352"/>
      <c r="AQB61" s="352"/>
      <c r="AQC61" s="352"/>
      <c r="AQD61" s="352"/>
      <c r="AQE61" s="352"/>
      <c r="AQF61" s="352"/>
      <c r="AQG61" s="352"/>
      <c r="AQH61" s="352"/>
      <c r="AQI61" s="352"/>
      <c r="AQJ61" s="352"/>
      <c r="AQK61" s="352"/>
      <c r="AQL61" s="352"/>
      <c r="AQM61" s="352"/>
      <c r="AQN61" s="352"/>
      <c r="AQO61" s="352"/>
      <c r="AQP61" s="7" t="s">
        <v>2541</v>
      </c>
      <c r="AQQ61" s="352" t="s">
        <v>2868</v>
      </c>
      <c r="AQR61" s="352"/>
      <c r="AQS61" s="352"/>
      <c r="AQT61" s="352"/>
      <c r="AQU61" s="352"/>
      <c r="AQV61" s="352"/>
      <c r="AQW61" s="352"/>
      <c r="AQX61" s="159"/>
      <c r="AQY61" s="159"/>
      <c r="AQZ61" s="159"/>
      <c r="ARA61" s="159"/>
      <c r="ARB61" s="159"/>
      <c r="ARC61" s="159"/>
      <c r="ARD61" s="159"/>
      <c r="ARE61" s="159"/>
      <c r="ARF61" s="159"/>
      <c r="ARG61" s="352" t="s">
        <v>2868</v>
      </c>
      <c r="ARH61" s="352"/>
      <c r="ARI61" s="352"/>
      <c r="ARJ61" s="352"/>
      <c r="ARK61" s="352"/>
      <c r="ARL61" s="352"/>
      <c r="ARM61" s="352"/>
      <c r="ARN61" s="352"/>
      <c r="ARO61" s="352"/>
      <c r="ARP61" s="352"/>
      <c r="ARQ61" s="352"/>
      <c r="ARR61" s="352"/>
      <c r="ARS61" s="352"/>
      <c r="ART61" s="352"/>
      <c r="ARU61" s="352"/>
      <c r="ARV61" s="7" t="s">
        <v>2541</v>
      </c>
      <c r="ARW61" s="352" t="s">
        <v>2868</v>
      </c>
      <c r="ARX61" s="352"/>
      <c r="ARY61" s="352"/>
      <c r="ARZ61" s="352"/>
      <c r="ASA61" s="352"/>
      <c r="ASB61" s="352"/>
      <c r="ASC61" s="352"/>
      <c r="ASD61" s="352"/>
      <c r="ASE61" s="352"/>
      <c r="ASF61" s="352"/>
      <c r="ASG61" s="352"/>
      <c r="ASH61" s="352"/>
      <c r="ASI61" s="352"/>
      <c r="ASJ61" s="352"/>
      <c r="ASK61" s="352"/>
      <c r="ASL61" s="352"/>
      <c r="ASM61" s="352"/>
      <c r="ASN61" s="352"/>
      <c r="ASO61" s="352"/>
      <c r="ASP61" s="352"/>
      <c r="ASQ61" s="352"/>
      <c r="ASR61" s="352"/>
      <c r="ASS61" s="352"/>
      <c r="AST61" s="352"/>
      <c r="ASU61" s="352"/>
      <c r="ASV61" s="352"/>
      <c r="ASW61" s="352"/>
      <c r="ASX61" s="352"/>
      <c r="ASY61" s="352"/>
      <c r="ASZ61" s="345" t="s">
        <v>2695</v>
      </c>
      <c r="ATA61" s="345"/>
      <c r="ATB61" s="7" t="s">
        <v>2541</v>
      </c>
      <c r="ATC61" s="352" t="s">
        <v>2695</v>
      </c>
      <c r="ATD61" s="352"/>
      <c r="ATE61" s="352"/>
      <c r="ATF61" s="352"/>
      <c r="ATG61" s="352"/>
      <c r="ATH61" s="352"/>
      <c r="ATI61" s="352"/>
      <c r="ATJ61" s="352"/>
      <c r="ATK61" s="352"/>
      <c r="ATL61" s="352"/>
      <c r="ATM61" s="352"/>
      <c r="ATN61" s="352"/>
      <c r="ATO61" s="352"/>
      <c r="ATP61" s="352"/>
      <c r="ATQ61" s="352"/>
      <c r="ATR61" s="352"/>
      <c r="ATS61" s="352"/>
      <c r="ATT61" s="352"/>
      <c r="ATU61" s="352"/>
      <c r="ATV61" s="352"/>
      <c r="ATW61" s="352"/>
      <c r="ATX61" s="352"/>
      <c r="ATY61" s="352"/>
      <c r="ATZ61" s="352"/>
      <c r="AUA61" s="352"/>
      <c r="AUB61" s="352"/>
      <c r="AUC61" s="352"/>
      <c r="AUD61" s="352"/>
      <c r="AUE61" s="352"/>
      <c r="AUF61" s="352"/>
      <c r="AUG61" s="7" t="s">
        <v>2541</v>
      </c>
      <c r="AUH61" s="352" t="s">
        <v>2695</v>
      </c>
      <c r="AUI61" s="352"/>
      <c r="AUJ61" s="352"/>
      <c r="AUK61" s="352"/>
      <c r="AUL61" s="352"/>
      <c r="AUM61" s="352"/>
      <c r="AUN61" s="352"/>
      <c r="AUO61" s="352"/>
      <c r="AUP61" s="352"/>
      <c r="AUQ61" s="352"/>
      <c r="AUR61" s="352"/>
      <c r="AUS61" s="352"/>
      <c r="AUT61" s="352"/>
      <c r="AUU61" s="352"/>
      <c r="AUV61" s="352"/>
      <c r="AUW61" s="352"/>
      <c r="AUX61" s="352"/>
      <c r="AUY61" s="352"/>
      <c r="AUZ61" s="352"/>
      <c r="AVA61" s="352"/>
      <c r="AVB61" s="352"/>
      <c r="AVC61" s="352"/>
      <c r="AVD61" s="352"/>
      <c r="AVE61" s="352"/>
      <c r="AVF61" s="352"/>
      <c r="AVG61" s="352"/>
      <c r="AVH61" s="352"/>
      <c r="AVI61" s="352"/>
      <c r="AVJ61" s="352"/>
      <c r="AVK61" s="352"/>
      <c r="AVL61" s="352"/>
      <c r="AVM61" s="7" t="s">
        <v>2541</v>
      </c>
      <c r="AVN61" s="352" t="s">
        <v>2695</v>
      </c>
      <c r="AVO61" s="352"/>
      <c r="AVP61" s="352"/>
      <c r="AVQ61" s="352"/>
      <c r="AVR61" s="352"/>
      <c r="AVS61" s="352"/>
      <c r="AVT61" s="352"/>
      <c r="AVU61" s="352"/>
      <c r="AVV61" s="352"/>
      <c r="AVW61" s="352"/>
      <c r="AVX61" s="352"/>
      <c r="AVY61" s="352"/>
      <c r="AVZ61" s="352"/>
      <c r="AWA61" s="352"/>
      <c r="AWB61" s="352"/>
      <c r="AWC61" s="352"/>
      <c r="AWD61" s="352"/>
      <c r="AWE61" s="352"/>
      <c r="AWF61" s="352"/>
      <c r="AWG61" s="352"/>
      <c r="AWH61" s="352"/>
      <c r="AWI61" s="352"/>
      <c r="AWJ61" s="352"/>
      <c r="AWK61" s="352"/>
      <c r="AWL61" s="352"/>
      <c r="AWM61" s="352"/>
      <c r="AWN61" s="352"/>
      <c r="AWO61" s="352"/>
      <c r="AWP61" s="352"/>
      <c r="AWQ61" s="352"/>
      <c r="AWR61" s="7" t="s">
        <v>2541</v>
      </c>
      <c r="AWS61" s="345" t="s">
        <v>2699</v>
      </c>
      <c r="AWT61" s="345"/>
      <c r="AWU61" s="352"/>
      <c r="AWV61" s="352"/>
      <c r="AWW61" s="352"/>
      <c r="AWX61" s="352"/>
      <c r="AWY61" s="352"/>
      <c r="AWZ61" s="352"/>
      <c r="AXA61" s="352"/>
      <c r="AXB61" s="352"/>
      <c r="AXC61" s="352"/>
      <c r="AXD61" s="352"/>
      <c r="AXE61" s="352"/>
      <c r="AXF61" s="352"/>
      <c r="AXG61" s="352"/>
      <c r="AXH61" s="352"/>
      <c r="AXI61" s="352"/>
      <c r="AXJ61" s="352"/>
      <c r="AXK61" s="352"/>
      <c r="AXL61" s="352"/>
      <c r="AXM61" s="352"/>
      <c r="AXN61" s="352"/>
      <c r="AXO61" s="352"/>
      <c r="AXP61" s="352"/>
      <c r="AXQ61" s="352"/>
      <c r="AXR61" s="352"/>
      <c r="AXS61" s="352"/>
      <c r="AXT61" s="352"/>
      <c r="AXU61" s="352"/>
      <c r="AXV61" s="352"/>
      <c r="AXW61" s="352"/>
      <c r="AXX61" s="7" t="s">
        <v>2541</v>
      </c>
    </row>
    <row r="62" spans="1:1324" s="136" customFormat="1" ht="22.8" customHeight="1" x14ac:dyDescent="0.25">
      <c r="A62" s="711"/>
      <c r="B62" s="314"/>
      <c r="V62" s="136">
        <v>900</v>
      </c>
      <c r="W62" s="136">
        <v>900</v>
      </c>
      <c r="X62" s="136">
        <v>900</v>
      </c>
      <c r="Y62" s="136">
        <v>900</v>
      </c>
      <c r="Z62" s="136">
        <v>900</v>
      </c>
      <c r="AA62" s="136">
        <v>900</v>
      </c>
      <c r="AC62" s="136">
        <v>900</v>
      </c>
      <c r="AD62" s="136">
        <v>900</v>
      </c>
      <c r="AE62" s="136">
        <v>900</v>
      </c>
      <c r="AF62" s="136">
        <v>900</v>
      </c>
      <c r="AG62" s="136">
        <v>900</v>
      </c>
      <c r="AH62" s="77"/>
      <c r="AL62" s="136">
        <v>4281</v>
      </c>
      <c r="AQ62" s="731"/>
      <c r="AR62" s="732"/>
      <c r="AS62" s="732"/>
      <c r="AT62" s="732"/>
      <c r="AU62" s="732"/>
      <c r="AV62" s="732"/>
      <c r="AW62" s="732"/>
      <c r="AX62" s="732"/>
      <c r="AY62" s="732"/>
      <c r="AZ62" s="733"/>
      <c r="BC62" s="136">
        <v>5500</v>
      </c>
      <c r="BH62" s="136">
        <v>2558</v>
      </c>
      <c r="BM62" s="136">
        <v>1000</v>
      </c>
      <c r="BN62" s="76"/>
      <c r="BQ62" s="136">
        <v>2675</v>
      </c>
      <c r="CD62" s="136">
        <v>10030</v>
      </c>
      <c r="CE62" s="136">
        <v>1400</v>
      </c>
      <c r="CF62" s="136">
        <v>1400</v>
      </c>
      <c r="CG62" s="136">
        <v>1400</v>
      </c>
      <c r="CI62" s="136">
        <v>1400</v>
      </c>
      <c r="CJ62" s="136">
        <v>1400</v>
      </c>
      <c r="CK62" s="136">
        <v>1400</v>
      </c>
      <c r="CL62" s="136">
        <v>1400</v>
      </c>
      <c r="CM62" s="136">
        <v>300</v>
      </c>
      <c r="CN62" s="136">
        <v>700</v>
      </c>
      <c r="CP62" s="136">
        <v>1000</v>
      </c>
      <c r="CQ62" s="136">
        <v>1320</v>
      </c>
      <c r="CR62" s="136">
        <v>1320</v>
      </c>
      <c r="CS62" s="76"/>
      <c r="CT62" s="136">
        <v>1300</v>
      </c>
      <c r="CU62" s="136">
        <v>1250</v>
      </c>
      <c r="CV62" s="136">
        <v>1250</v>
      </c>
      <c r="CX62" s="136">
        <v>1250</v>
      </c>
      <c r="CY62" s="136">
        <v>1250</v>
      </c>
      <c r="CZ62" s="136">
        <v>1050</v>
      </c>
      <c r="DA62" s="136">
        <v>1150</v>
      </c>
      <c r="DB62" s="136">
        <v>1303</v>
      </c>
      <c r="DC62" s="136">
        <v>110</v>
      </c>
      <c r="DE62" s="136">
        <v>357</v>
      </c>
      <c r="DF62" s="136">
        <v>634</v>
      </c>
      <c r="DG62" s="136">
        <v>392</v>
      </c>
      <c r="DH62" s="136">
        <v>378</v>
      </c>
      <c r="DI62" s="136">
        <v>500</v>
      </c>
      <c r="DJ62" s="136">
        <v>870</v>
      </c>
      <c r="DL62" s="136">
        <v>900</v>
      </c>
      <c r="DM62" s="136">
        <v>1000</v>
      </c>
      <c r="DQ62" s="136">
        <v>3934</v>
      </c>
      <c r="DX62" s="136">
        <v>6635</v>
      </c>
      <c r="DY62" s="76"/>
      <c r="EA62" s="136">
        <v>250</v>
      </c>
      <c r="EB62" s="137">
        <v>532</v>
      </c>
      <c r="EC62" s="136">
        <v>770</v>
      </c>
      <c r="ED62" s="136">
        <v>1000</v>
      </c>
      <c r="EE62" s="136">
        <v>541</v>
      </c>
      <c r="EF62" s="136">
        <f>240+316</f>
        <v>556</v>
      </c>
      <c r="EH62" s="136">
        <v>810</v>
      </c>
      <c r="EI62" s="136">
        <v>1100</v>
      </c>
      <c r="EJ62" s="136">
        <v>980</v>
      </c>
      <c r="EK62" s="136">
        <v>1030</v>
      </c>
      <c r="EL62" s="136">
        <v>950</v>
      </c>
      <c r="EM62" s="136">
        <v>900</v>
      </c>
      <c r="EO62" s="136">
        <v>293</v>
      </c>
      <c r="EP62" s="136">
        <v>110</v>
      </c>
      <c r="EQ62" s="136">
        <v>530</v>
      </c>
      <c r="ER62" s="136">
        <v>960</v>
      </c>
      <c r="ES62" s="136">
        <v>1130</v>
      </c>
      <c r="ET62" s="136">
        <v>1170</v>
      </c>
      <c r="EV62" s="136">
        <v>1400</v>
      </c>
      <c r="EW62" s="136">
        <v>1400</v>
      </c>
      <c r="EX62" s="136">
        <v>1350</v>
      </c>
      <c r="EY62" s="136">
        <v>1350</v>
      </c>
      <c r="EZ62" s="137">
        <v>1300</v>
      </c>
      <c r="FA62" s="136">
        <v>250</v>
      </c>
      <c r="FC62" s="136">
        <v>500</v>
      </c>
      <c r="FD62" s="76"/>
      <c r="FE62" s="136">
        <v>990</v>
      </c>
      <c r="FF62" s="136">
        <v>570</v>
      </c>
      <c r="FG62" s="136">
        <v>630</v>
      </c>
      <c r="FH62" s="136">
        <v>1150</v>
      </c>
      <c r="FI62" s="137">
        <v>1358</v>
      </c>
      <c r="FJ62" s="136">
        <v>560</v>
      </c>
      <c r="FK62" s="136">
        <v>830</v>
      </c>
      <c r="FL62" s="136">
        <v>950</v>
      </c>
      <c r="FM62" s="136">
        <v>1000</v>
      </c>
      <c r="FN62" s="136">
        <v>950</v>
      </c>
      <c r="FO62" s="136">
        <v>1040</v>
      </c>
      <c r="FP62" s="136">
        <v>920</v>
      </c>
      <c r="FU62" s="137">
        <f>373+70</f>
        <v>443</v>
      </c>
      <c r="FV62" s="136">
        <v>760</v>
      </c>
      <c r="FW62" s="136">
        <v>1400</v>
      </c>
      <c r="FX62" s="136">
        <v>1200</v>
      </c>
      <c r="FY62" s="136">
        <v>1280</v>
      </c>
      <c r="FZ62" s="136">
        <v>1360</v>
      </c>
      <c r="GA62" s="136">
        <v>1360</v>
      </c>
      <c r="GB62" s="136">
        <v>1320</v>
      </c>
      <c r="GC62" s="137">
        <v>1320</v>
      </c>
      <c r="GD62" s="136">
        <v>500</v>
      </c>
      <c r="GF62" s="136">
        <v>600</v>
      </c>
      <c r="GG62" s="136">
        <v>500</v>
      </c>
      <c r="GH62" s="136">
        <v>750</v>
      </c>
      <c r="GI62" s="136">
        <v>900</v>
      </c>
      <c r="GJ62" s="74"/>
      <c r="GK62" s="136">
        <v>860</v>
      </c>
      <c r="GL62" s="136">
        <v>1060</v>
      </c>
      <c r="GN62" s="136">
        <v>860</v>
      </c>
      <c r="GO62" s="137">
        <f>828+150</f>
        <v>978</v>
      </c>
      <c r="GP62" s="136">
        <v>750</v>
      </c>
      <c r="GQ62" s="136">
        <v>1100</v>
      </c>
      <c r="GR62" s="136">
        <v>1350</v>
      </c>
      <c r="GS62" s="136">
        <v>1250</v>
      </c>
      <c r="GU62" s="136">
        <v>1000</v>
      </c>
      <c r="GV62" s="136">
        <v>1400</v>
      </c>
      <c r="GW62" s="136">
        <v>1380</v>
      </c>
      <c r="GX62" s="136">
        <v>1250</v>
      </c>
      <c r="GY62" s="136">
        <v>1170</v>
      </c>
      <c r="GZ62" s="137">
        <f>196+300</f>
        <v>496</v>
      </c>
      <c r="HB62" s="136">
        <v>750</v>
      </c>
      <c r="HC62" s="137">
        <f>565+250</f>
        <v>815</v>
      </c>
      <c r="HD62" s="136">
        <v>900</v>
      </c>
      <c r="HE62" s="136">
        <v>1040</v>
      </c>
      <c r="HF62" s="137">
        <v>870</v>
      </c>
      <c r="HG62" s="136">
        <v>1050</v>
      </c>
      <c r="HI62" s="137">
        <f>430+400</f>
        <v>830</v>
      </c>
      <c r="HJ62" s="136">
        <v>1040</v>
      </c>
      <c r="HK62" s="136">
        <v>1100</v>
      </c>
      <c r="HL62" s="136">
        <v>1180</v>
      </c>
      <c r="HM62" s="136">
        <v>1200</v>
      </c>
      <c r="HN62" s="136">
        <v>960</v>
      </c>
      <c r="HP62" s="76"/>
      <c r="HQ62" s="136">
        <v>1250</v>
      </c>
      <c r="HR62" s="136">
        <v>1030</v>
      </c>
      <c r="HS62" s="136">
        <v>950</v>
      </c>
      <c r="HT62" s="137">
        <f>318+450</f>
        <v>768</v>
      </c>
      <c r="HU62" s="136">
        <v>800</v>
      </c>
      <c r="HV62" s="136">
        <v>1000</v>
      </c>
      <c r="HX62" s="136">
        <v>1100</v>
      </c>
      <c r="HY62" s="137">
        <v>1100</v>
      </c>
      <c r="HZ62" s="136">
        <v>725</v>
      </c>
      <c r="IA62" s="136">
        <v>1150</v>
      </c>
      <c r="IB62" s="136">
        <v>1320</v>
      </c>
      <c r="IC62" s="136">
        <v>1000</v>
      </c>
      <c r="IE62" s="136">
        <v>1220</v>
      </c>
      <c r="IF62" s="136">
        <v>1380</v>
      </c>
      <c r="IG62" s="136">
        <v>1430</v>
      </c>
      <c r="IH62" s="136">
        <v>1380</v>
      </c>
      <c r="II62" s="136">
        <v>1380</v>
      </c>
      <c r="IJ62" s="136">
        <v>1380</v>
      </c>
      <c r="IL62" s="136">
        <v>1430</v>
      </c>
      <c r="IM62" s="136">
        <v>1380</v>
      </c>
      <c r="IN62" s="136">
        <v>1250</v>
      </c>
      <c r="IO62" s="136">
        <v>1380</v>
      </c>
      <c r="IP62" s="136">
        <v>1380</v>
      </c>
      <c r="IQ62" s="136">
        <v>1250</v>
      </c>
      <c r="IS62" s="136">
        <v>1300</v>
      </c>
      <c r="IT62" s="76"/>
      <c r="IU62" s="136">
        <v>1430</v>
      </c>
      <c r="IV62" s="136">
        <v>1400</v>
      </c>
      <c r="IW62" s="136">
        <v>1380</v>
      </c>
      <c r="IX62" s="136">
        <v>1380</v>
      </c>
      <c r="IY62" s="136">
        <v>1380</v>
      </c>
      <c r="JA62" s="137">
        <v>931</v>
      </c>
      <c r="JB62" s="136">
        <v>50</v>
      </c>
      <c r="JC62" s="136">
        <v>330</v>
      </c>
      <c r="JD62" s="136">
        <v>440</v>
      </c>
      <c r="JE62" s="136">
        <v>550</v>
      </c>
      <c r="JF62" s="136">
        <v>660</v>
      </c>
      <c r="JG62" s="136">
        <v>700</v>
      </c>
      <c r="JH62" s="136">
        <v>770</v>
      </c>
      <c r="JI62" s="136">
        <v>770</v>
      </c>
      <c r="JJ62" s="137">
        <f>336+240</f>
        <v>576</v>
      </c>
      <c r="JL62" s="136">
        <v>538</v>
      </c>
      <c r="JM62" s="136">
        <v>560</v>
      </c>
      <c r="JO62" s="136">
        <v>560</v>
      </c>
      <c r="JP62" s="136">
        <v>560</v>
      </c>
      <c r="JQ62" s="137">
        <f>197+30+100</f>
        <v>327</v>
      </c>
      <c r="JR62" s="136">
        <v>650</v>
      </c>
      <c r="JS62" s="136">
        <f>300+70</f>
        <v>370</v>
      </c>
      <c r="JV62" s="278"/>
      <c r="JW62" s="173"/>
      <c r="JX62" s="173"/>
      <c r="JY62" s="173"/>
      <c r="JZ62" s="283"/>
      <c r="KA62" s="173"/>
      <c r="KB62" s="173"/>
      <c r="KC62" s="173"/>
      <c r="KD62" s="173"/>
      <c r="KE62" s="173"/>
      <c r="KF62" s="173"/>
      <c r="KG62" s="173"/>
      <c r="KH62" s="173"/>
      <c r="KI62" s="173"/>
      <c r="KJ62" s="173"/>
      <c r="KK62" s="173"/>
      <c r="KL62" s="173"/>
      <c r="KM62" s="173"/>
      <c r="KN62" s="173"/>
      <c r="KO62" s="173"/>
      <c r="KP62" s="173"/>
      <c r="KQ62" s="173"/>
      <c r="KR62" s="173"/>
      <c r="KS62" s="173"/>
      <c r="KT62" s="173"/>
      <c r="KU62" s="173"/>
      <c r="KV62" s="173"/>
      <c r="KW62" s="173"/>
      <c r="KX62" s="173"/>
      <c r="KY62" s="280"/>
      <c r="LG62" s="136">
        <v>323</v>
      </c>
      <c r="LH62" s="137">
        <v>405</v>
      </c>
      <c r="LI62" s="136">
        <v>320</v>
      </c>
      <c r="LJ62" s="136">
        <v>640</v>
      </c>
      <c r="LK62" s="136">
        <v>800</v>
      </c>
      <c r="LL62" s="137">
        <v>826</v>
      </c>
      <c r="LN62" s="136">
        <v>90</v>
      </c>
      <c r="LO62" s="136">
        <f>213+120</f>
        <v>333</v>
      </c>
      <c r="LP62" s="136">
        <f>240+150</f>
        <v>390</v>
      </c>
      <c r="LQ62" s="137">
        <v>721</v>
      </c>
      <c r="LR62" s="136">
        <v>50</v>
      </c>
      <c r="LS62" s="136">
        <v>560</v>
      </c>
      <c r="LU62" s="136">
        <v>800</v>
      </c>
      <c r="LV62" s="137">
        <v>831</v>
      </c>
      <c r="LW62" s="136">
        <v>560</v>
      </c>
      <c r="LX62" s="137">
        <v>971</v>
      </c>
      <c r="LY62" s="136">
        <v>100</v>
      </c>
      <c r="LZ62" s="136">
        <v>560</v>
      </c>
      <c r="MA62" s="297">
        <v>980</v>
      </c>
      <c r="MB62" s="716"/>
      <c r="MC62" s="717"/>
      <c r="MD62" s="717"/>
      <c r="ME62" s="718"/>
      <c r="MF62" s="136">
        <f>292+350</f>
        <v>642</v>
      </c>
      <c r="MG62" s="136">
        <v>850</v>
      </c>
      <c r="MI62" s="297">
        <f>402+250</f>
        <v>652</v>
      </c>
      <c r="MJ62" s="136">
        <v>900</v>
      </c>
      <c r="MK62" s="290"/>
      <c r="ML62" s="136">
        <v>1100</v>
      </c>
      <c r="MM62" s="136">
        <v>1320</v>
      </c>
      <c r="MN62" s="137">
        <f>670+250</f>
        <v>920</v>
      </c>
      <c r="MO62" s="301">
        <v>850</v>
      </c>
      <c r="MQ62" s="315">
        <v>916</v>
      </c>
      <c r="MR62" s="314">
        <v>664</v>
      </c>
      <c r="MS62" s="136">
        <v>990</v>
      </c>
      <c r="MT62" s="137">
        <f>370+350</f>
        <v>720</v>
      </c>
      <c r="MU62" s="136">
        <v>1020</v>
      </c>
      <c r="MV62" s="315">
        <f>656+200</f>
        <v>856</v>
      </c>
      <c r="MX62" s="136">
        <v>1040</v>
      </c>
      <c r="MY62" s="136">
        <v>1210</v>
      </c>
      <c r="MZ62" s="137">
        <f>212+500</f>
        <v>712</v>
      </c>
      <c r="NA62" s="136">
        <v>1050</v>
      </c>
      <c r="NB62" s="365">
        <v>1105</v>
      </c>
      <c r="NC62" s="173">
        <v>605</v>
      </c>
      <c r="NE62" s="173">
        <f>61+350+18</f>
        <v>429</v>
      </c>
      <c r="NF62" s="136">
        <v>550</v>
      </c>
      <c r="NG62" s="136">
        <v>1000</v>
      </c>
      <c r="NH62" s="314">
        <v>1000</v>
      </c>
      <c r="NI62" s="314">
        <v>950</v>
      </c>
      <c r="NJ62" s="314">
        <v>900</v>
      </c>
      <c r="NK62" s="314"/>
      <c r="NL62" s="365">
        <v>975</v>
      </c>
      <c r="NM62" s="314">
        <v>400</v>
      </c>
      <c r="NN62" s="314">
        <v>930</v>
      </c>
      <c r="NO62" s="136">
        <v>1100</v>
      </c>
      <c r="NP62" s="76"/>
      <c r="NQ62" s="136">
        <v>1150</v>
      </c>
      <c r="NR62" s="314">
        <v>1100</v>
      </c>
      <c r="NS62" s="314"/>
      <c r="NT62" s="314">
        <v>1200</v>
      </c>
      <c r="NU62" s="365">
        <f>355+370</f>
        <v>725</v>
      </c>
      <c r="NV62" s="314">
        <v>900</v>
      </c>
      <c r="NW62" s="136">
        <v>1100</v>
      </c>
      <c r="NX62" s="136">
        <v>1000</v>
      </c>
      <c r="NY62" s="365">
        <f>701+50</f>
        <v>751</v>
      </c>
      <c r="OA62" s="314">
        <v>800</v>
      </c>
      <c r="OB62" s="314">
        <v>1040</v>
      </c>
      <c r="OC62" s="365">
        <v>950</v>
      </c>
      <c r="OD62" s="314">
        <f>232+150</f>
        <v>382</v>
      </c>
      <c r="OE62" s="136">
        <v>830</v>
      </c>
      <c r="OF62" s="136">
        <v>1100</v>
      </c>
      <c r="OH62" s="136">
        <v>1320</v>
      </c>
      <c r="OI62" s="136">
        <v>1200</v>
      </c>
      <c r="OJ62" s="136">
        <v>1140</v>
      </c>
      <c r="OK62" s="365">
        <f>332+100</f>
        <v>432</v>
      </c>
      <c r="OL62" s="314">
        <v>710</v>
      </c>
      <c r="OM62" s="136">
        <f>407+430</f>
        <v>837</v>
      </c>
      <c r="ON62" s="365">
        <v>1010</v>
      </c>
      <c r="OO62" s="314">
        <v>880</v>
      </c>
      <c r="OP62" s="365">
        <v>811</v>
      </c>
      <c r="OQ62" s="136">
        <v>660</v>
      </c>
      <c r="OR62" s="136">
        <v>800</v>
      </c>
      <c r="OS62" s="136">
        <v>660</v>
      </c>
      <c r="OT62" s="724"/>
      <c r="OU62" s="725"/>
      <c r="OV62" s="305"/>
      <c r="OW62" s="740"/>
      <c r="OX62" s="741"/>
      <c r="OY62" s="741"/>
      <c r="OZ62" s="741"/>
      <c r="PA62" s="741"/>
      <c r="PB62" s="741"/>
      <c r="PC62" s="742"/>
      <c r="PD62" s="136">
        <v>1250</v>
      </c>
      <c r="PE62" s="136">
        <v>1430</v>
      </c>
      <c r="PF62" s="136">
        <v>1480</v>
      </c>
      <c r="PG62" s="136">
        <v>1480</v>
      </c>
      <c r="PH62" s="136">
        <v>1500</v>
      </c>
      <c r="PI62" s="365">
        <v>1500</v>
      </c>
      <c r="PJ62" s="314"/>
      <c r="PK62" s="314"/>
      <c r="PL62" s="136">
        <v>1400</v>
      </c>
      <c r="PM62" s="136">
        <v>1500</v>
      </c>
      <c r="PN62" s="136">
        <v>1500</v>
      </c>
      <c r="PO62" s="136">
        <v>1650</v>
      </c>
      <c r="PP62" s="136">
        <v>1550</v>
      </c>
      <c r="PR62" s="365">
        <v>931</v>
      </c>
      <c r="PS62" s="136">
        <v>870</v>
      </c>
      <c r="PT62" s="136">
        <v>1100</v>
      </c>
      <c r="PU62" s="136">
        <v>1010</v>
      </c>
      <c r="PV62" s="365">
        <f>80+107+190</f>
        <v>377</v>
      </c>
      <c r="PW62" s="136">
        <f>146+260</f>
        <v>406</v>
      </c>
      <c r="PY62" s="314">
        <v>630</v>
      </c>
      <c r="PZ62" s="136">
        <v>550</v>
      </c>
      <c r="QA62" s="136">
        <v>740</v>
      </c>
      <c r="QB62" s="76"/>
      <c r="QC62" s="136">
        <v>1100</v>
      </c>
      <c r="QD62" s="136">
        <v>950</v>
      </c>
      <c r="QE62" s="136">
        <f>708+80</f>
        <v>788</v>
      </c>
      <c r="QG62" s="136">
        <v>800</v>
      </c>
      <c r="QH62" s="314">
        <v>1000</v>
      </c>
      <c r="QI62" s="314">
        <v>1150</v>
      </c>
      <c r="QJ62" s="365">
        <f>809+50</f>
        <v>859</v>
      </c>
      <c r="QK62" s="136">
        <v>900</v>
      </c>
      <c r="QL62" s="136">
        <v>1210</v>
      </c>
      <c r="QM62" s="314">
        <v>1320</v>
      </c>
      <c r="QN62" s="136">
        <v>1430</v>
      </c>
      <c r="QO62" s="365">
        <v>1200</v>
      </c>
      <c r="QP62" s="314"/>
      <c r="QQ62" s="136">
        <f>368+350</f>
        <v>718</v>
      </c>
      <c r="QR62" s="136">
        <v>900</v>
      </c>
      <c r="QS62" s="136">
        <v>1100</v>
      </c>
      <c r="QU62" s="136">
        <f>510+750</f>
        <v>1260</v>
      </c>
      <c r="QV62" s="365">
        <f>668+240</f>
        <v>908</v>
      </c>
      <c r="QW62" s="314">
        <v>1100</v>
      </c>
      <c r="QX62" s="136">
        <v>1100</v>
      </c>
      <c r="QY62" s="365">
        <f>615+240</f>
        <v>855</v>
      </c>
      <c r="QZ62" s="314">
        <v>900</v>
      </c>
      <c r="RA62" s="314"/>
      <c r="RB62" s="136">
        <v>1120</v>
      </c>
      <c r="RC62" s="136">
        <f>785+36+40</f>
        <v>861</v>
      </c>
      <c r="RD62" s="136">
        <v>810</v>
      </c>
      <c r="RE62" s="136">
        <v>750</v>
      </c>
      <c r="RF62" s="136">
        <v>1080</v>
      </c>
      <c r="RG62" s="76"/>
      <c r="RH62" s="136">
        <f>441+104+200</f>
        <v>745</v>
      </c>
      <c r="RJ62" s="314">
        <v>1100</v>
      </c>
      <c r="RK62" s="314">
        <v>1320</v>
      </c>
      <c r="RL62" s="314">
        <v>1430</v>
      </c>
      <c r="RM62" s="314">
        <v>1410</v>
      </c>
      <c r="RN62" s="136">
        <v>1430</v>
      </c>
      <c r="RP62" s="136">
        <v>1430</v>
      </c>
      <c r="RQ62" s="314">
        <v>1430</v>
      </c>
      <c r="RR62" s="314">
        <v>1430</v>
      </c>
      <c r="RS62" s="314">
        <v>1430</v>
      </c>
      <c r="RT62" s="314">
        <v>1430</v>
      </c>
      <c r="RU62" s="136">
        <v>1430</v>
      </c>
      <c r="RV62" s="136">
        <f>523+300</f>
        <v>823</v>
      </c>
      <c r="RX62" s="136">
        <v>1100</v>
      </c>
      <c r="RY62" s="136">
        <v>1100</v>
      </c>
      <c r="RZ62" s="136">
        <v>1180</v>
      </c>
      <c r="SA62" s="136">
        <v>1220</v>
      </c>
      <c r="SB62" s="136">
        <f>810+260</f>
        <v>1070</v>
      </c>
      <c r="SC62" s="136">
        <f>120+682+18+280</f>
        <v>1100</v>
      </c>
      <c r="SE62" s="136">
        <v>1160</v>
      </c>
      <c r="SF62" s="136">
        <v>1320</v>
      </c>
      <c r="SG62" s="136">
        <v>1320</v>
      </c>
      <c r="SH62" s="136">
        <v>1320</v>
      </c>
      <c r="SI62" s="136">
        <v>1320</v>
      </c>
      <c r="SJ62" s="314">
        <v>960</v>
      </c>
      <c r="SL62" s="136">
        <f>760+110</f>
        <v>870</v>
      </c>
      <c r="SM62" s="76"/>
      <c r="SN62" s="136">
        <f>14+1310</f>
        <v>1324</v>
      </c>
      <c r="SO62" s="136">
        <v>1350</v>
      </c>
      <c r="SP62" s="136">
        <v>1320</v>
      </c>
      <c r="SQ62" s="136">
        <v>1320</v>
      </c>
      <c r="SR62" s="136">
        <v>1320</v>
      </c>
      <c r="SS62" s="365">
        <f>1157+30</f>
        <v>1187</v>
      </c>
      <c r="ST62" s="314">
        <f>376+40</f>
        <v>416</v>
      </c>
      <c r="SU62" s="136">
        <v>710</v>
      </c>
      <c r="SW62" s="365">
        <v>778</v>
      </c>
      <c r="SX62" s="314">
        <v>770</v>
      </c>
      <c r="SY62" s="314">
        <v>1140</v>
      </c>
      <c r="TA62" s="136">
        <f>745+480</f>
        <v>1225</v>
      </c>
      <c r="TB62" s="314">
        <v>1320</v>
      </c>
      <c r="TC62" s="365">
        <v>1129</v>
      </c>
      <c r="TD62" s="136">
        <v>960</v>
      </c>
      <c r="TE62" s="136">
        <v>1360</v>
      </c>
      <c r="TF62" s="136">
        <v>1440</v>
      </c>
      <c r="TG62" s="314"/>
      <c r="TH62" s="136">
        <v>1300</v>
      </c>
      <c r="TI62" s="314">
        <f>720+240</f>
        <v>960</v>
      </c>
      <c r="TJ62" s="314">
        <f>774+60</f>
        <v>834</v>
      </c>
      <c r="TK62" s="314">
        <v>960</v>
      </c>
      <c r="TL62" s="314">
        <f>1082+18</f>
        <v>1100</v>
      </c>
      <c r="TM62" s="314">
        <v>1080</v>
      </c>
      <c r="TO62" s="365">
        <f>349+190</f>
        <v>539</v>
      </c>
      <c r="TP62" s="314">
        <v>800</v>
      </c>
      <c r="TQ62" s="314">
        <v>800</v>
      </c>
      <c r="TR62" s="76"/>
      <c r="TS62" s="314">
        <v>1060</v>
      </c>
      <c r="TT62" s="136">
        <f>248+460</f>
        <v>708</v>
      </c>
      <c r="TU62" s="136">
        <v>960</v>
      </c>
      <c r="TW62" s="136">
        <v>1100</v>
      </c>
      <c r="TX62" s="136">
        <f>479+540</f>
        <v>1019</v>
      </c>
      <c r="TY62" s="136">
        <f>800+110</f>
        <v>910</v>
      </c>
      <c r="TZ62" s="314">
        <f>1+162+272+470</f>
        <v>905</v>
      </c>
      <c r="UA62" s="314">
        <v>1210</v>
      </c>
      <c r="UB62" s="314">
        <v>1106</v>
      </c>
      <c r="UC62" s="173">
        <f>180+178</f>
        <v>358</v>
      </c>
      <c r="UD62" s="173">
        <f>180+39+40</f>
        <v>259</v>
      </c>
      <c r="UE62" s="173">
        <f>35+35+40</f>
        <v>110</v>
      </c>
      <c r="UF62" s="173">
        <f>40+35</f>
        <v>75</v>
      </c>
      <c r="UG62" s="173">
        <f>60+35+0</f>
        <v>95</v>
      </c>
      <c r="UI62" s="314"/>
      <c r="UJ62" s="314"/>
      <c r="UK62" s="314">
        <f>35+50+230</f>
        <v>315</v>
      </c>
      <c r="UL62" s="314">
        <v>660</v>
      </c>
      <c r="UM62" s="314">
        <v>800</v>
      </c>
      <c r="UN62" s="314">
        <f>100+30+30+30+100</f>
        <v>290</v>
      </c>
      <c r="UO62" s="314">
        <v>600</v>
      </c>
      <c r="UP62" s="314">
        <f>520+300</f>
        <v>820</v>
      </c>
      <c r="UQ62" s="314"/>
      <c r="UR62" s="136">
        <v>800</v>
      </c>
      <c r="US62" s="136">
        <f>588+350</f>
        <v>938</v>
      </c>
      <c r="UT62" s="314">
        <v>1100</v>
      </c>
      <c r="UU62" s="314">
        <f>486+390</f>
        <v>876</v>
      </c>
      <c r="UV62" s="314">
        <v>1000</v>
      </c>
      <c r="UW62" s="314">
        <f>521+280</f>
        <v>801</v>
      </c>
      <c r="UX62" s="76"/>
      <c r="UY62" s="314"/>
      <c r="UZ62" s="314">
        <v>830</v>
      </c>
      <c r="VA62" s="136">
        <f>81+800</f>
        <v>881</v>
      </c>
      <c r="VB62" s="136">
        <f>567+100</f>
        <v>667</v>
      </c>
      <c r="VC62" s="136">
        <v>1000</v>
      </c>
      <c r="VD62" s="136">
        <v>961</v>
      </c>
      <c r="VE62" s="314">
        <v>700</v>
      </c>
      <c r="VG62" s="136">
        <f>55+234+480</f>
        <v>769</v>
      </c>
      <c r="VH62" s="136">
        <f>531+420</f>
        <v>951</v>
      </c>
      <c r="VI62" s="365">
        <f>432+380</f>
        <v>812</v>
      </c>
      <c r="VJ62" s="314">
        <v>1050</v>
      </c>
      <c r="VK62" s="314">
        <v>1320</v>
      </c>
      <c r="VL62" s="314">
        <v>630</v>
      </c>
      <c r="VM62" s="314"/>
      <c r="VN62" s="314">
        <v>1300</v>
      </c>
      <c r="VO62" s="314">
        <v>1100</v>
      </c>
      <c r="VP62" s="314">
        <v>1050</v>
      </c>
      <c r="VQ62" s="314">
        <v>1170</v>
      </c>
      <c r="VR62" s="314">
        <v>1300</v>
      </c>
      <c r="VS62" s="314">
        <v>1300</v>
      </c>
      <c r="VT62" s="314"/>
      <c r="VU62" s="314">
        <v>1300</v>
      </c>
      <c r="VV62" s="314">
        <v>1300</v>
      </c>
      <c r="VW62" s="314">
        <v>1350</v>
      </c>
      <c r="VX62" s="314">
        <v>1350</v>
      </c>
      <c r="VY62" s="314">
        <v>1220</v>
      </c>
      <c r="VZ62" s="314">
        <v>1200</v>
      </c>
      <c r="WA62" s="314"/>
      <c r="WB62" s="314">
        <v>1220</v>
      </c>
      <c r="WC62" s="314">
        <v>800</v>
      </c>
      <c r="WD62" s="76"/>
      <c r="WE62" s="314">
        <f>391+530</f>
        <v>921</v>
      </c>
      <c r="WF62" s="314">
        <v>1120</v>
      </c>
      <c r="WG62" s="314">
        <v>1210</v>
      </c>
      <c r="WH62" s="314">
        <v>1210</v>
      </c>
      <c r="WJ62" s="314">
        <v>1230</v>
      </c>
      <c r="WK62" s="314">
        <f>508+460</f>
        <v>968</v>
      </c>
      <c r="WL62" s="136">
        <v>1210</v>
      </c>
      <c r="WM62" s="314">
        <v>1130</v>
      </c>
      <c r="WN62" s="314">
        <v>1210</v>
      </c>
      <c r="WO62" s="314">
        <v>1220</v>
      </c>
      <c r="WP62" s="365">
        <f>461+24+90</f>
        <v>575</v>
      </c>
      <c r="WQ62" s="314">
        <v>1000</v>
      </c>
      <c r="WR62" s="314">
        <v>1320</v>
      </c>
      <c r="WS62" s="136">
        <v>1350</v>
      </c>
      <c r="WT62" s="136">
        <v>1430</v>
      </c>
      <c r="WU62" s="136">
        <v>1430</v>
      </c>
      <c r="WV62" s="314">
        <v>900</v>
      </c>
      <c r="WW62" s="314"/>
      <c r="WZ62" s="136">
        <f>1113+219</f>
        <v>1332</v>
      </c>
      <c r="XA62" s="314">
        <v>600</v>
      </c>
      <c r="XB62" s="124">
        <v>966</v>
      </c>
      <c r="XC62" s="314">
        <v>450</v>
      </c>
      <c r="XE62" s="124">
        <v>815</v>
      </c>
      <c r="XF62" s="136">
        <f>760+41</f>
        <v>801</v>
      </c>
      <c r="XG62" s="76"/>
      <c r="XH62" s="136">
        <v>1420</v>
      </c>
      <c r="XI62" s="136">
        <v>1380</v>
      </c>
      <c r="XJ62" s="136">
        <v>1380</v>
      </c>
      <c r="XK62" s="136">
        <v>1380</v>
      </c>
      <c r="XM62" s="314">
        <v>1380</v>
      </c>
      <c r="XN62" s="314">
        <v>1380</v>
      </c>
      <c r="XO62" s="314">
        <f>1350+30</f>
        <v>1380</v>
      </c>
      <c r="XP62" s="314">
        <v>1380</v>
      </c>
      <c r="XQ62" s="314">
        <v>1480</v>
      </c>
      <c r="XR62" s="314">
        <v>1380</v>
      </c>
      <c r="XS62" s="178"/>
      <c r="XT62" s="314">
        <v>1380</v>
      </c>
      <c r="XU62" s="314">
        <v>1380</v>
      </c>
      <c r="XV62" s="314">
        <v>1380</v>
      </c>
      <c r="XW62" s="314">
        <v>1430</v>
      </c>
      <c r="XX62" s="314">
        <v>1430</v>
      </c>
      <c r="XY62" s="314">
        <v>1430</v>
      </c>
      <c r="XZ62" s="314">
        <v>1300</v>
      </c>
      <c r="YA62" s="314">
        <v>1430</v>
      </c>
      <c r="YB62" s="314">
        <v>1430</v>
      </c>
      <c r="YC62" s="314">
        <v>1351</v>
      </c>
      <c r="YD62" s="314">
        <v>1430</v>
      </c>
      <c r="YE62" s="314">
        <v>1430</v>
      </c>
      <c r="YF62" s="314">
        <v>1430</v>
      </c>
      <c r="YG62" s="178"/>
      <c r="YH62" s="314">
        <v>1430</v>
      </c>
      <c r="YI62" s="314">
        <v>1430</v>
      </c>
      <c r="YJ62" s="136">
        <v>1300</v>
      </c>
      <c r="YK62" s="314"/>
      <c r="YL62" s="314">
        <v>1350</v>
      </c>
      <c r="YM62" s="76"/>
      <c r="YN62" s="136">
        <f>1381+139</f>
        <v>1520</v>
      </c>
      <c r="YO62" s="314"/>
      <c r="YP62" s="314">
        <v>1490</v>
      </c>
      <c r="YQ62" s="314">
        <v>1460</v>
      </c>
      <c r="YR62" s="314">
        <v>1430</v>
      </c>
      <c r="YS62" s="314">
        <v>1430</v>
      </c>
      <c r="YT62" s="314">
        <v>1430</v>
      </c>
      <c r="YU62" s="314">
        <v>1430</v>
      </c>
      <c r="YW62" s="314">
        <v>1450</v>
      </c>
      <c r="YX62" s="314">
        <v>1450</v>
      </c>
      <c r="YY62" s="124">
        <f>430+70</f>
        <v>500</v>
      </c>
      <c r="YZ62" s="314">
        <v>496</v>
      </c>
      <c r="ZA62" s="314"/>
      <c r="ZB62" s="314">
        <v>70</v>
      </c>
      <c r="ZC62" s="314"/>
      <c r="ZD62" s="314">
        <v>370</v>
      </c>
      <c r="ZE62" s="314">
        <v>720</v>
      </c>
      <c r="ZF62" s="136">
        <f>460+180</f>
        <v>640</v>
      </c>
      <c r="ZG62" s="314">
        <v>630</v>
      </c>
      <c r="ZH62" s="314">
        <v>950</v>
      </c>
      <c r="ZI62" s="314">
        <v>1080</v>
      </c>
      <c r="ZK62" s="314">
        <v>1080</v>
      </c>
      <c r="ZL62" s="314">
        <v>1080</v>
      </c>
      <c r="ZM62" s="314">
        <v>1080</v>
      </c>
      <c r="ZN62" s="314">
        <v>1080</v>
      </c>
      <c r="ZO62" s="124">
        <f>493+30</f>
        <v>523</v>
      </c>
      <c r="ZP62" s="136">
        <v>630</v>
      </c>
      <c r="ZQ62" s="314"/>
      <c r="ZR62" s="76"/>
      <c r="ZS62" s="320"/>
      <c r="ZT62" s="136">
        <v>750</v>
      </c>
      <c r="ZU62" s="136">
        <v>800</v>
      </c>
      <c r="ZV62" s="136">
        <v>1000</v>
      </c>
      <c r="ZW62" s="314">
        <v>1030</v>
      </c>
      <c r="ZX62" s="314">
        <v>1000</v>
      </c>
      <c r="ZY62" s="314"/>
      <c r="ZZ62" s="314">
        <v>1040</v>
      </c>
      <c r="AAA62" s="124">
        <f>463+200</f>
        <v>663</v>
      </c>
      <c r="AAB62" s="314">
        <v>850</v>
      </c>
      <c r="AAC62" s="314">
        <v>1080</v>
      </c>
      <c r="AAD62" s="314">
        <v>960</v>
      </c>
      <c r="AAE62" s="777"/>
      <c r="AAF62" s="705"/>
      <c r="AAG62" s="705"/>
      <c r="AAH62" s="705"/>
      <c r="AAI62" s="778"/>
      <c r="AAJ62" s="314">
        <v>1130</v>
      </c>
      <c r="AAK62" s="314">
        <v>1300</v>
      </c>
      <c r="AAL62" s="314">
        <v>1300</v>
      </c>
      <c r="AAM62" s="314">
        <v>1080</v>
      </c>
      <c r="AAN62" s="314">
        <v>1400</v>
      </c>
      <c r="AAO62" s="314">
        <v>1400</v>
      </c>
      <c r="AAP62" s="314">
        <v>1540</v>
      </c>
      <c r="AAQ62" s="314">
        <v>1400</v>
      </c>
      <c r="AAR62" s="136">
        <v>1400</v>
      </c>
      <c r="AAS62" s="136">
        <v>1260</v>
      </c>
      <c r="AAU62" s="136">
        <v>1300</v>
      </c>
      <c r="AAV62" s="136">
        <v>960</v>
      </c>
      <c r="AAW62" s="136">
        <v>1020</v>
      </c>
      <c r="AAX62" s="76"/>
      <c r="AAY62" s="314">
        <v>1500</v>
      </c>
      <c r="AAZ62" s="314">
        <v>1540</v>
      </c>
      <c r="ABA62" s="314">
        <v>1500</v>
      </c>
      <c r="ABB62" s="314"/>
      <c r="ABC62" s="136">
        <f>322+800</f>
        <v>1122</v>
      </c>
      <c r="ABD62" s="314">
        <v>1400</v>
      </c>
      <c r="ABE62" s="314">
        <v>1400</v>
      </c>
      <c r="ABF62" s="209">
        <f>877+423</f>
        <v>1300</v>
      </c>
      <c r="ABG62" s="314">
        <v>1350</v>
      </c>
      <c r="ABH62" s="314">
        <v>1400</v>
      </c>
      <c r="ABJ62" s="136">
        <v>1400</v>
      </c>
      <c r="ABK62" s="314">
        <v>1400</v>
      </c>
      <c r="ABL62" s="124">
        <f>1027+170</f>
        <v>1197</v>
      </c>
      <c r="ABM62" s="314">
        <v>1400</v>
      </c>
      <c r="ABN62" s="314">
        <v>1300</v>
      </c>
      <c r="ABO62" s="314">
        <v>1540</v>
      </c>
      <c r="ABP62" s="136">
        <v>960</v>
      </c>
      <c r="ABQ62" s="314">
        <v>1400</v>
      </c>
      <c r="ABR62" s="314">
        <v>1350</v>
      </c>
      <c r="ABS62" s="314">
        <v>1400</v>
      </c>
      <c r="ABT62" s="314">
        <v>1400</v>
      </c>
      <c r="ABU62" s="314">
        <v>1250</v>
      </c>
      <c r="ABV62" s="314">
        <v>1450</v>
      </c>
      <c r="ABX62" s="314">
        <v>1430</v>
      </c>
      <c r="ABY62" s="314">
        <v>1500</v>
      </c>
      <c r="ABZ62" s="314">
        <v>1500</v>
      </c>
      <c r="ACA62" s="314">
        <v>1400</v>
      </c>
      <c r="ACB62" s="314">
        <v>1160</v>
      </c>
      <c r="ACC62" s="76"/>
      <c r="ACD62" s="314">
        <v>1350</v>
      </c>
      <c r="ACE62" s="314">
        <v>1220</v>
      </c>
      <c r="ACF62" s="314">
        <v>1500</v>
      </c>
      <c r="ACG62" s="314">
        <v>1450</v>
      </c>
      <c r="ACH62" s="314">
        <v>1500</v>
      </c>
      <c r="ACI62" s="314">
        <v>1500</v>
      </c>
      <c r="ACJ62" s="124">
        <f>624+680</f>
        <v>1304</v>
      </c>
      <c r="ACK62" s="314">
        <v>1500</v>
      </c>
      <c r="ACL62" s="314"/>
      <c r="ACM62" s="314">
        <v>1500</v>
      </c>
      <c r="ACN62" s="314">
        <v>1540</v>
      </c>
      <c r="ACO62" s="314">
        <v>1500</v>
      </c>
      <c r="ACP62" s="314">
        <v>1500</v>
      </c>
      <c r="ACQ62" s="314">
        <v>1500</v>
      </c>
      <c r="ACR62" s="314">
        <v>1500</v>
      </c>
      <c r="ACS62" s="314">
        <v>1260</v>
      </c>
      <c r="ACT62" s="314">
        <v>1500</v>
      </c>
      <c r="ACU62" s="314">
        <v>1380</v>
      </c>
      <c r="ACV62" s="314">
        <v>960</v>
      </c>
      <c r="ACW62" s="785"/>
      <c r="ACX62" s="786"/>
      <c r="ACY62" s="786"/>
      <c r="ACZ62" s="786"/>
      <c r="ADA62" s="786"/>
      <c r="ADB62" s="786"/>
      <c r="ADC62" s="786"/>
      <c r="ADD62" s="786"/>
      <c r="ADE62" s="786"/>
      <c r="ADF62" s="786"/>
      <c r="ADG62" s="787"/>
      <c r="ADH62" s="314"/>
      <c r="ADI62" s="76"/>
      <c r="ADJ62" s="314">
        <v>800</v>
      </c>
      <c r="ADK62" s="314">
        <v>1230</v>
      </c>
      <c r="ADL62" s="314">
        <v>1380</v>
      </c>
      <c r="ADM62" s="314">
        <v>1400</v>
      </c>
      <c r="ADN62" s="314">
        <v>1500</v>
      </c>
      <c r="ADO62" s="314"/>
      <c r="ADP62" s="314">
        <v>1500</v>
      </c>
      <c r="ADQ62" s="314">
        <v>1500</v>
      </c>
      <c r="ADR62" s="314">
        <v>1500</v>
      </c>
      <c r="ADS62" s="314">
        <v>1500</v>
      </c>
      <c r="ADT62" s="314">
        <v>1500</v>
      </c>
      <c r="ADU62" s="314">
        <v>1500</v>
      </c>
      <c r="ADV62" s="314">
        <v>1100</v>
      </c>
      <c r="ADW62" s="314"/>
      <c r="ADX62" s="314"/>
      <c r="ADY62" s="124">
        <f>1345+0</f>
        <v>1345</v>
      </c>
      <c r="ADZ62" s="314">
        <v>700</v>
      </c>
      <c r="AEA62" s="314">
        <v>990</v>
      </c>
      <c r="AEB62" s="314">
        <f>37+1070</f>
        <v>1107</v>
      </c>
      <c r="AEC62" s="314"/>
      <c r="AED62" s="314">
        <v>1210</v>
      </c>
      <c r="AEE62" s="314">
        <v>1270</v>
      </c>
      <c r="AEF62" s="314">
        <v>1280</v>
      </c>
      <c r="AEG62" s="314">
        <v>1200</v>
      </c>
      <c r="AEH62" s="314">
        <v>1200</v>
      </c>
      <c r="AEI62" s="314">
        <v>1100</v>
      </c>
      <c r="AEJ62" s="314"/>
      <c r="AEK62" s="314">
        <v>1100</v>
      </c>
      <c r="AEL62" s="314">
        <v>1050</v>
      </c>
      <c r="AEM62" s="314">
        <v>1100</v>
      </c>
      <c r="AEN62" s="314">
        <v>920</v>
      </c>
      <c r="AEO62" s="314"/>
      <c r="AEP62" s="314">
        <v>900</v>
      </c>
      <c r="AEQ62" s="314">
        <v>920</v>
      </c>
      <c r="AER62" s="314"/>
      <c r="AES62" s="314">
        <v>1030</v>
      </c>
      <c r="AET62" s="314">
        <v>1100</v>
      </c>
      <c r="AEU62" s="314">
        <v>1100</v>
      </c>
      <c r="AEV62" s="314">
        <v>1150</v>
      </c>
      <c r="AEW62" s="314">
        <v>1150</v>
      </c>
      <c r="AEX62" s="314">
        <v>1100</v>
      </c>
      <c r="AEZ62" s="124">
        <f>702+100</f>
        <v>802</v>
      </c>
      <c r="AFA62" s="314">
        <v>1050</v>
      </c>
      <c r="AFB62" s="314">
        <v>1200</v>
      </c>
      <c r="AFC62" s="314">
        <v>1350</v>
      </c>
      <c r="AFD62" s="314">
        <v>1050</v>
      </c>
      <c r="AFE62" s="314">
        <v>1450</v>
      </c>
      <c r="AFF62" s="314"/>
      <c r="AFG62" s="124">
        <f>621+280</f>
        <v>901</v>
      </c>
      <c r="AFH62" s="314">
        <v>1200</v>
      </c>
      <c r="AFI62" s="314">
        <v>1100</v>
      </c>
      <c r="AFJ62" s="314">
        <f>329+671</f>
        <v>1000</v>
      </c>
      <c r="AFK62" s="124">
        <v>1000</v>
      </c>
      <c r="AFL62" s="314">
        <v>1080</v>
      </c>
      <c r="AFN62" s="314">
        <v>1080</v>
      </c>
      <c r="AFO62" s="314">
        <v>1080</v>
      </c>
      <c r="AFP62" s="124">
        <v>1094</v>
      </c>
      <c r="AFQ62" s="314">
        <v>850</v>
      </c>
      <c r="AFR62" s="314">
        <v>950</v>
      </c>
      <c r="AFS62" s="314">
        <v>830</v>
      </c>
      <c r="AFT62" s="314"/>
      <c r="AFU62" s="314"/>
      <c r="AFV62" s="314">
        <v>1300</v>
      </c>
      <c r="AFW62" s="314">
        <v>1260</v>
      </c>
      <c r="AFX62" s="314">
        <v>1400</v>
      </c>
      <c r="AFY62" s="314">
        <v>1350</v>
      </c>
      <c r="AFZ62" s="314">
        <v>1300</v>
      </c>
      <c r="AGA62" s="314">
        <v>1250</v>
      </c>
      <c r="AGB62" s="314"/>
      <c r="AGC62" s="124">
        <f>571+780</f>
        <v>1351</v>
      </c>
      <c r="AGD62" s="314">
        <v>1350</v>
      </c>
      <c r="AGE62" s="314">
        <v>1250</v>
      </c>
      <c r="AGF62" s="314">
        <v>1300</v>
      </c>
      <c r="AGG62" s="314">
        <v>1300</v>
      </c>
      <c r="AGH62" s="314">
        <v>1400</v>
      </c>
      <c r="AGI62" s="314"/>
      <c r="AGJ62" s="314">
        <v>1400</v>
      </c>
      <c r="AGK62" s="314">
        <v>1400</v>
      </c>
      <c r="AGL62" s="314">
        <v>1400</v>
      </c>
      <c r="AGM62" s="314">
        <v>1300</v>
      </c>
      <c r="AGN62" s="314">
        <v>1400</v>
      </c>
      <c r="AGO62" s="124">
        <f>966+280</f>
        <v>1246</v>
      </c>
      <c r="AGP62" s="314"/>
      <c r="AGQ62" s="314">
        <f>735+250</f>
        <v>985</v>
      </c>
      <c r="AGR62" s="314">
        <v>1100</v>
      </c>
      <c r="AGS62" s="314">
        <v>1200</v>
      </c>
      <c r="AGT62" s="314">
        <v>1300</v>
      </c>
      <c r="AGU62" s="314">
        <v>1250</v>
      </c>
      <c r="AGV62" s="314">
        <v>1300</v>
      </c>
      <c r="AGX62" s="136">
        <v>1200</v>
      </c>
      <c r="AGY62" s="173">
        <f>238+316</f>
        <v>554</v>
      </c>
      <c r="AGZ62" s="314"/>
      <c r="AHA62" s="314">
        <f>320+230</f>
        <v>550</v>
      </c>
      <c r="AHB62" s="314">
        <v>830</v>
      </c>
      <c r="AHC62" s="314">
        <v>1000</v>
      </c>
      <c r="AHD62" s="314">
        <v>1210</v>
      </c>
      <c r="AHE62" s="314"/>
      <c r="AHF62" s="314">
        <v>1050</v>
      </c>
      <c r="AHG62" s="314">
        <v>1000</v>
      </c>
      <c r="AHH62" s="124">
        <f>431+380</f>
        <v>811</v>
      </c>
      <c r="AHI62" s="136">
        <v>1020</v>
      </c>
      <c r="AHJ62" s="136">
        <v>1220</v>
      </c>
      <c r="AHK62" s="136">
        <v>1100</v>
      </c>
      <c r="AHM62" s="136">
        <v>1150</v>
      </c>
      <c r="AHN62" s="136">
        <f>498+200</f>
        <v>698</v>
      </c>
      <c r="AHO62" s="314">
        <f>900+6</f>
        <v>906</v>
      </c>
      <c r="AHP62" s="136">
        <f>251+800</f>
        <v>1051</v>
      </c>
      <c r="AHQ62" s="136">
        <f>550+470</f>
        <v>1020</v>
      </c>
      <c r="AHR62" s="124">
        <v>930</v>
      </c>
      <c r="AIC62" s="136">
        <v>500</v>
      </c>
      <c r="AID62" s="124">
        <v>1000</v>
      </c>
      <c r="AIE62" s="74"/>
      <c r="AIF62" s="136">
        <v>800</v>
      </c>
      <c r="AIG62" s="136">
        <v>1200</v>
      </c>
      <c r="AII62" s="136">
        <v>1430</v>
      </c>
      <c r="AIJ62" s="314">
        <v>1430</v>
      </c>
      <c r="AIK62" s="314">
        <v>1430</v>
      </c>
      <c r="AIL62" s="314">
        <v>1430</v>
      </c>
      <c r="AIM62" s="314">
        <v>1430</v>
      </c>
      <c r="AIN62" s="314">
        <v>1430</v>
      </c>
      <c r="AIO62" s="314"/>
      <c r="AIP62" s="314">
        <v>1430</v>
      </c>
      <c r="AIQ62" s="314">
        <v>1430</v>
      </c>
      <c r="AIR62" s="314">
        <v>1430</v>
      </c>
      <c r="AIS62" s="124">
        <v>1330</v>
      </c>
      <c r="AIT62" s="314">
        <v>500</v>
      </c>
      <c r="AIU62" s="314"/>
      <c r="AIV62" s="314"/>
      <c r="AIW62" s="314">
        <v>1000</v>
      </c>
      <c r="AIX62" s="314">
        <v>1300</v>
      </c>
      <c r="AIY62" s="314">
        <v>1300</v>
      </c>
      <c r="AIZ62" s="124">
        <v>1300</v>
      </c>
      <c r="AJA62" s="136">
        <v>600</v>
      </c>
      <c r="AJB62" s="136">
        <v>1150</v>
      </c>
      <c r="AJD62" s="136">
        <v>1150</v>
      </c>
      <c r="AJE62" s="136">
        <v>1150</v>
      </c>
      <c r="AJF62" s="136">
        <v>1265</v>
      </c>
      <c r="AJG62" s="314">
        <v>1265</v>
      </c>
      <c r="AJH62" s="314">
        <v>1265</v>
      </c>
      <c r="AJI62" s="314">
        <v>1265</v>
      </c>
      <c r="AJK62" s="314"/>
      <c r="AJL62" s="136">
        <v>1265</v>
      </c>
      <c r="AJM62" s="314">
        <v>1265</v>
      </c>
      <c r="AJN62" s="314">
        <v>1265</v>
      </c>
      <c r="AJO62" s="314">
        <v>1265</v>
      </c>
      <c r="AJP62" s="314">
        <v>1265</v>
      </c>
      <c r="AJQ62" s="314">
        <v>1265</v>
      </c>
      <c r="AJS62" s="124">
        <v>1360</v>
      </c>
      <c r="AJT62" s="314">
        <v>900</v>
      </c>
      <c r="AJU62" s="314">
        <v>900</v>
      </c>
      <c r="AJV62" s="314">
        <v>900</v>
      </c>
      <c r="AJW62" s="314">
        <v>900</v>
      </c>
      <c r="AJX62" s="314">
        <v>900</v>
      </c>
      <c r="AJY62" s="314"/>
      <c r="AJZ62" s="314">
        <v>900</v>
      </c>
      <c r="AKA62" s="314">
        <v>900</v>
      </c>
      <c r="AKB62" s="314">
        <v>900</v>
      </c>
      <c r="AKC62" s="314">
        <v>970</v>
      </c>
      <c r="AKD62" s="314">
        <v>830</v>
      </c>
      <c r="AKE62" s="136">
        <v>900</v>
      </c>
      <c r="AKG62" s="136">
        <v>900</v>
      </c>
      <c r="AKH62" s="136">
        <v>900</v>
      </c>
      <c r="AKI62" s="136">
        <v>900</v>
      </c>
      <c r="AKJ62" s="136">
        <v>1100</v>
      </c>
      <c r="AKK62" s="136">
        <v>700</v>
      </c>
      <c r="AKL62" s="136">
        <v>900</v>
      </c>
      <c r="AKN62" s="136">
        <v>900</v>
      </c>
      <c r="AKO62" s="136">
        <v>560</v>
      </c>
      <c r="AKP62" s="314">
        <v>1240</v>
      </c>
      <c r="AKQ62" s="74"/>
      <c r="AKR62" s="314">
        <v>900</v>
      </c>
      <c r="AKS62" s="314">
        <v>920</v>
      </c>
      <c r="AKT62" s="314">
        <v>880</v>
      </c>
      <c r="AKV62" s="314">
        <v>900</v>
      </c>
      <c r="AKW62" s="314">
        <v>900</v>
      </c>
      <c r="AKX62" s="314">
        <v>900</v>
      </c>
      <c r="AKY62" s="314">
        <v>900</v>
      </c>
      <c r="AKZ62" s="124">
        <v>1140</v>
      </c>
      <c r="ALA62" s="603">
        <v>500</v>
      </c>
      <c r="ALB62" s="603"/>
      <c r="ALC62" s="603">
        <v>800</v>
      </c>
      <c r="ALD62" s="603">
        <v>1000</v>
      </c>
      <c r="ALE62" s="603">
        <v>1400</v>
      </c>
      <c r="ALF62" s="603">
        <v>1400</v>
      </c>
      <c r="ALG62" s="603">
        <v>1400</v>
      </c>
      <c r="ALH62" s="603">
        <v>1400</v>
      </c>
      <c r="ALI62" s="603"/>
      <c r="ALJ62" s="603">
        <v>1400</v>
      </c>
      <c r="ALK62" s="603">
        <v>1400</v>
      </c>
      <c r="ALL62" s="603"/>
      <c r="ALM62" s="603">
        <v>1400</v>
      </c>
      <c r="ALN62" s="603">
        <v>1400</v>
      </c>
      <c r="ALO62" s="603">
        <v>1400</v>
      </c>
      <c r="ALP62" s="603"/>
      <c r="ALQ62" s="603">
        <v>1400</v>
      </c>
      <c r="ALR62" s="603">
        <v>1400</v>
      </c>
      <c r="ALS62" s="603">
        <v>1400</v>
      </c>
      <c r="ALT62" s="74"/>
      <c r="ALU62" s="603">
        <v>1400</v>
      </c>
      <c r="ALV62" s="603">
        <v>1400</v>
      </c>
      <c r="ALW62" s="603">
        <v>1400</v>
      </c>
      <c r="ALX62" s="603"/>
      <c r="ALY62" s="603">
        <v>1400</v>
      </c>
      <c r="ALZ62" s="603">
        <v>1400</v>
      </c>
      <c r="AMA62" s="603">
        <v>1400</v>
      </c>
      <c r="AMB62" s="603">
        <v>1400</v>
      </c>
      <c r="AMC62" s="603">
        <v>1400</v>
      </c>
      <c r="AMD62" s="603">
        <v>1400</v>
      </c>
      <c r="AME62" s="603"/>
      <c r="AMF62" s="603">
        <v>1400</v>
      </c>
      <c r="AMG62" s="603">
        <v>1400</v>
      </c>
      <c r="AMH62" s="603">
        <v>1400</v>
      </c>
      <c r="AMI62" s="603">
        <v>1400</v>
      </c>
      <c r="AMJ62" s="603">
        <v>1400</v>
      </c>
      <c r="AMK62" s="603">
        <v>1400</v>
      </c>
      <c r="AML62" s="603"/>
      <c r="AMM62" s="603">
        <v>1400</v>
      </c>
      <c r="AMN62" s="603">
        <v>1400</v>
      </c>
      <c r="AMO62" s="603">
        <v>1400</v>
      </c>
      <c r="AMP62" s="603">
        <v>1400</v>
      </c>
      <c r="AMQ62" s="603">
        <v>1400</v>
      </c>
      <c r="AMR62" s="603">
        <v>1400</v>
      </c>
      <c r="AMS62" s="603"/>
      <c r="AMT62" s="603"/>
      <c r="AMU62" s="603">
        <v>1400</v>
      </c>
      <c r="AMV62" s="603">
        <v>1400</v>
      </c>
      <c r="AMW62" s="603">
        <v>1400</v>
      </c>
      <c r="AMX62" s="603">
        <v>1400</v>
      </c>
      <c r="AMY62" s="603">
        <v>1400</v>
      </c>
      <c r="AMZ62" s="74"/>
      <c r="ANB62" s="603">
        <v>1170</v>
      </c>
      <c r="ANC62" s="603">
        <v>1170</v>
      </c>
      <c r="AND62" s="603">
        <v>1170</v>
      </c>
      <c r="ANE62" s="603">
        <v>1170</v>
      </c>
      <c r="ANF62" s="603">
        <v>1170</v>
      </c>
      <c r="ANG62" s="603">
        <v>1170</v>
      </c>
      <c r="ANH62" s="603">
        <v>1170</v>
      </c>
      <c r="ANI62" s="603">
        <v>1170</v>
      </c>
      <c r="ANJ62" s="603">
        <v>1170</v>
      </c>
      <c r="ANK62" s="603">
        <v>1170</v>
      </c>
      <c r="ANL62" s="603">
        <v>1170</v>
      </c>
      <c r="ANM62" s="604">
        <v>1170</v>
      </c>
      <c r="ANN62" s="603"/>
      <c r="ANO62" s="603"/>
      <c r="ANP62" s="603">
        <v>1170</v>
      </c>
      <c r="ANQ62" s="603">
        <v>1170</v>
      </c>
      <c r="ANR62" s="603">
        <v>1170</v>
      </c>
      <c r="ANS62" s="603">
        <v>1170</v>
      </c>
      <c r="ANT62" s="603">
        <v>1170</v>
      </c>
      <c r="ANU62" s="603">
        <v>1170</v>
      </c>
      <c r="ANV62" s="603">
        <v>1170</v>
      </c>
      <c r="ANW62" s="603">
        <v>1170</v>
      </c>
      <c r="ANX62" s="603">
        <v>1170</v>
      </c>
      <c r="ANY62" s="603">
        <v>1170</v>
      </c>
      <c r="ANZ62" s="603">
        <v>1170</v>
      </c>
      <c r="AOA62" s="603">
        <v>1170</v>
      </c>
      <c r="AOB62" s="603">
        <v>1170</v>
      </c>
      <c r="AOC62" s="603"/>
      <c r="AOD62" s="603">
        <v>1170</v>
      </c>
      <c r="AOE62" s="74"/>
      <c r="AOF62" s="142"/>
      <c r="AOG62" s="142"/>
      <c r="AOH62" s="142"/>
      <c r="AOI62" s="142"/>
      <c r="AOJ62" s="142"/>
      <c r="AOK62" s="142"/>
      <c r="AOL62" s="142"/>
      <c r="AOM62" s="142"/>
      <c r="AON62" s="142"/>
      <c r="AOO62" s="314">
        <v>1430</v>
      </c>
      <c r="AOP62" s="314">
        <v>1430</v>
      </c>
      <c r="AOQ62" s="314">
        <v>1430</v>
      </c>
      <c r="AOR62" s="314"/>
      <c r="AOS62" s="314">
        <v>1430</v>
      </c>
      <c r="AOT62" s="314">
        <v>1430</v>
      </c>
      <c r="AOU62" s="314">
        <v>1430</v>
      </c>
      <c r="AOV62" s="314">
        <v>1430</v>
      </c>
      <c r="AOW62" s="314">
        <v>1430</v>
      </c>
      <c r="AOX62" s="314">
        <v>1430</v>
      </c>
      <c r="AOY62" s="314"/>
      <c r="AOZ62" s="314">
        <v>1430</v>
      </c>
      <c r="APA62" s="314">
        <v>1430</v>
      </c>
      <c r="APB62" s="314">
        <v>1430</v>
      </c>
      <c r="APC62" s="124">
        <v>1375</v>
      </c>
      <c r="APD62" s="314">
        <v>1375</v>
      </c>
      <c r="APE62" s="314">
        <v>1375</v>
      </c>
      <c r="APF62" s="314"/>
      <c r="APG62" s="314">
        <v>1375</v>
      </c>
      <c r="APH62" s="314">
        <v>1375</v>
      </c>
      <c r="API62" s="314">
        <v>1375</v>
      </c>
      <c r="APJ62" s="314">
        <v>1375</v>
      </c>
      <c r="APK62" s="74"/>
      <c r="APL62" s="314">
        <v>1375</v>
      </c>
      <c r="APM62" s="314">
        <v>1375</v>
      </c>
      <c r="APN62" s="314">
        <v>1000</v>
      </c>
      <c r="APO62" s="314">
        <v>1375</v>
      </c>
      <c r="APP62" s="314">
        <v>1375</v>
      </c>
      <c r="APQ62" s="314">
        <v>1375</v>
      </c>
      <c r="APR62" s="314">
        <v>1375</v>
      </c>
      <c r="APS62" s="314">
        <v>1375</v>
      </c>
      <c r="APT62" s="314">
        <v>1375</v>
      </c>
      <c r="APU62" s="314"/>
      <c r="APV62" s="314">
        <v>1375</v>
      </c>
      <c r="APW62" s="314">
        <v>1375</v>
      </c>
      <c r="APX62" s="314">
        <v>1375</v>
      </c>
      <c r="APY62" s="314">
        <v>1375</v>
      </c>
      <c r="APZ62" s="314">
        <v>1375</v>
      </c>
      <c r="AQA62" s="314">
        <v>1375</v>
      </c>
      <c r="AQB62" s="314"/>
      <c r="AQC62" s="314">
        <v>1375</v>
      </c>
      <c r="AQD62" s="314">
        <v>1375</v>
      </c>
      <c r="AQE62" s="314">
        <v>1375</v>
      </c>
      <c r="AQF62" s="314">
        <v>1375</v>
      </c>
      <c r="AQG62" s="314">
        <v>1375</v>
      </c>
      <c r="AQH62" s="314">
        <v>1375</v>
      </c>
      <c r="AQI62" s="314">
        <v>1000</v>
      </c>
      <c r="AQJ62" s="314">
        <v>1375</v>
      </c>
      <c r="AQK62" s="314">
        <v>1375</v>
      </c>
      <c r="AQL62" s="314">
        <v>1375</v>
      </c>
      <c r="AQM62" s="124">
        <v>1375</v>
      </c>
      <c r="AQN62" s="314">
        <v>1375</v>
      </c>
      <c r="AQO62" s="314">
        <v>1375</v>
      </c>
      <c r="AQP62" s="74"/>
      <c r="AQQ62" s="603"/>
      <c r="AQR62" s="603">
        <v>1375</v>
      </c>
      <c r="AQS62" s="603">
        <v>1375</v>
      </c>
      <c r="AQT62" s="603">
        <v>1375</v>
      </c>
      <c r="AQU62" s="603">
        <v>1375</v>
      </c>
      <c r="AQV62" s="603">
        <v>1375</v>
      </c>
      <c r="AQW62" s="603">
        <v>1375</v>
      </c>
      <c r="AQX62" s="142"/>
      <c r="AQY62" s="142"/>
      <c r="AQZ62" s="142"/>
      <c r="ARA62" s="142"/>
      <c r="ARB62" s="142"/>
      <c r="ARC62" s="142"/>
      <c r="ARD62" s="142"/>
      <c r="ARE62" s="142"/>
      <c r="ARF62" s="142"/>
      <c r="ARG62" s="603">
        <v>1375</v>
      </c>
      <c r="ARH62" s="603">
        <v>1375</v>
      </c>
      <c r="ARI62" s="603">
        <v>1375</v>
      </c>
      <c r="ARJ62" s="603">
        <v>1375</v>
      </c>
      <c r="ARK62" s="603">
        <v>1375</v>
      </c>
      <c r="ARM62" s="603">
        <v>1375</v>
      </c>
      <c r="ARN62" s="603">
        <v>1375</v>
      </c>
      <c r="ARO62" s="603">
        <v>1375</v>
      </c>
      <c r="ARP62" s="603">
        <v>1375</v>
      </c>
      <c r="ARQ62" s="603">
        <v>1375</v>
      </c>
      <c r="ARR62" s="603">
        <v>1375</v>
      </c>
      <c r="ARS62" s="603"/>
      <c r="ART62" s="603">
        <v>1375</v>
      </c>
      <c r="ARU62" s="603">
        <v>1375</v>
      </c>
      <c r="ARV62" s="74"/>
      <c r="ARW62" s="603">
        <v>1250</v>
      </c>
      <c r="ARX62" s="603">
        <v>1250</v>
      </c>
      <c r="ARY62" s="603">
        <v>1250</v>
      </c>
      <c r="ARZ62" s="603">
        <v>1250</v>
      </c>
      <c r="ASA62" s="603"/>
      <c r="ASB62" s="603">
        <v>1250</v>
      </c>
      <c r="ASC62" s="603">
        <v>1250</v>
      </c>
      <c r="ASD62" s="603">
        <v>1250</v>
      </c>
      <c r="ASE62" s="603">
        <v>1250</v>
      </c>
      <c r="ASF62" s="603">
        <v>1250</v>
      </c>
      <c r="ASG62" s="603">
        <v>1250</v>
      </c>
      <c r="ASH62" s="603"/>
      <c r="ASI62" s="603">
        <v>1250</v>
      </c>
      <c r="ASJ62" s="603">
        <v>1250</v>
      </c>
      <c r="ASL62" s="603">
        <v>1250</v>
      </c>
      <c r="ASM62" s="603">
        <v>1250</v>
      </c>
      <c r="ASN62" s="603">
        <v>1250</v>
      </c>
      <c r="ASO62" s="603"/>
      <c r="ASP62" s="603">
        <v>1250</v>
      </c>
      <c r="ASQ62" s="603">
        <v>1250</v>
      </c>
      <c r="ASR62" s="603">
        <v>1250</v>
      </c>
      <c r="ASS62" s="603">
        <v>1250</v>
      </c>
      <c r="AST62" s="603">
        <v>1250</v>
      </c>
      <c r="ASU62" s="603">
        <v>1250</v>
      </c>
      <c r="ASV62" s="603"/>
      <c r="ASW62" s="603">
        <v>1250</v>
      </c>
      <c r="ASX62" s="603">
        <v>1250</v>
      </c>
      <c r="ASY62" s="603">
        <v>1250</v>
      </c>
      <c r="ASZ62" s="603">
        <v>1250</v>
      </c>
      <c r="ATA62" s="604">
        <v>1250</v>
      </c>
      <c r="ATB62" s="74"/>
      <c r="ATC62" s="603">
        <v>1250</v>
      </c>
      <c r="ATD62" s="603"/>
      <c r="ATE62" s="603">
        <v>1250</v>
      </c>
      <c r="ATF62" s="603">
        <v>1250</v>
      </c>
      <c r="ATG62" s="603">
        <v>1250</v>
      </c>
      <c r="ATH62" s="603">
        <v>1250</v>
      </c>
      <c r="ATI62" s="603">
        <v>1250</v>
      </c>
      <c r="ATJ62" s="603">
        <v>1250</v>
      </c>
      <c r="ATK62" s="603"/>
      <c r="ATL62" s="603">
        <v>1250</v>
      </c>
      <c r="ATM62" s="603">
        <v>1250</v>
      </c>
      <c r="ATN62" s="603">
        <v>1250</v>
      </c>
      <c r="ATO62" s="603">
        <v>1250</v>
      </c>
      <c r="ATP62" s="603">
        <v>1250</v>
      </c>
      <c r="ATQ62" s="603">
        <v>1250</v>
      </c>
      <c r="ATR62" s="603"/>
      <c r="ATS62" s="603">
        <v>1250</v>
      </c>
      <c r="ATT62" s="603">
        <v>1250</v>
      </c>
      <c r="ATU62" s="603">
        <v>1250</v>
      </c>
      <c r="ATV62" s="603">
        <v>1250</v>
      </c>
      <c r="ATW62" s="603">
        <v>1250</v>
      </c>
      <c r="ATX62" s="603">
        <v>1250</v>
      </c>
      <c r="ATY62" s="603"/>
      <c r="ATZ62" s="603">
        <v>1250</v>
      </c>
      <c r="AUA62" s="603">
        <v>1250</v>
      </c>
      <c r="AUB62" s="603">
        <v>1250</v>
      </c>
      <c r="AUC62" s="603">
        <v>1250</v>
      </c>
      <c r="AUD62" s="603">
        <v>1250</v>
      </c>
      <c r="AUE62" s="603">
        <v>1250</v>
      </c>
      <c r="AUF62" s="603"/>
      <c r="AUG62" s="74"/>
      <c r="AUH62" s="603">
        <v>1250</v>
      </c>
      <c r="AUI62" s="603">
        <v>1250</v>
      </c>
      <c r="AUJ62" s="603">
        <v>1250</v>
      </c>
      <c r="AUK62" s="603">
        <v>1250</v>
      </c>
      <c r="AUL62" s="310"/>
      <c r="AUM62" s="603">
        <v>1250</v>
      </c>
      <c r="AUN62" s="603"/>
      <c r="AUO62" s="603">
        <v>1250</v>
      </c>
      <c r="AUP62" s="603">
        <v>1250</v>
      </c>
      <c r="AUQ62" s="603">
        <v>1250</v>
      </c>
      <c r="AUR62" s="603">
        <v>1250</v>
      </c>
      <c r="AUS62" s="603">
        <v>1250</v>
      </c>
      <c r="AUT62" s="603">
        <v>1250</v>
      </c>
      <c r="AUU62" s="603"/>
      <c r="AUV62" s="604">
        <v>1250</v>
      </c>
      <c r="AUW62" s="603">
        <v>0</v>
      </c>
      <c r="AUX62" s="603">
        <v>0</v>
      </c>
      <c r="AUY62" s="603">
        <v>0</v>
      </c>
      <c r="AUZ62" s="603">
        <v>0</v>
      </c>
      <c r="AVA62" s="603">
        <v>0</v>
      </c>
      <c r="AVB62" s="603"/>
      <c r="AVC62" s="603">
        <v>0</v>
      </c>
      <c r="AVD62" s="603">
        <v>0</v>
      </c>
      <c r="AVE62" s="603">
        <v>0</v>
      </c>
      <c r="AVF62" s="603">
        <v>0</v>
      </c>
      <c r="AVG62" s="603">
        <v>0</v>
      </c>
      <c r="AVH62" s="603">
        <v>0</v>
      </c>
      <c r="AVI62" s="603"/>
      <c r="AVJ62" s="603">
        <v>0</v>
      </c>
      <c r="AVK62" s="603">
        <v>0</v>
      </c>
      <c r="AVL62" s="603">
        <v>0</v>
      </c>
      <c r="AVM62" s="74"/>
      <c r="AVN62" s="603">
        <v>0</v>
      </c>
      <c r="AVO62" s="603">
        <v>0</v>
      </c>
      <c r="AVP62" s="603">
        <v>0</v>
      </c>
      <c r="AVR62" s="603">
        <v>0</v>
      </c>
      <c r="AVS62" s="603">
        <v>0</v>
      </c>
      <c r="AVT62" s="603">
        <v>0</v>
      </c>
      <c r="AVU62" s="603">
        <v>0</v>
      </c>
      <c r="AVV62" s="603">
        <v>0</v>
      </c>
      <c r="AVW62" s="603">
        <v>0</v>
      </c>
      <c r="AVX62" s="603"/>
      <c r="AVY62" s="603">
        <v>0</v>
      </c>
      <c r="AVZ62" s="603">
        <v>0</v>
      </c>
      <c r="AWA62" s="603">
        <v>0</v>
      </c>
      <c r="AWB62" s="603">
        <v>0</v>
      </c>
      <c r="AWC62" s="603">
        <v>0</v>
      </c>
      <c r="AWD62" s="603">
        <v>0</v>
      </c>
      <c r="AWE62" s="603"/>
      <c r="AWF62" s="603">
        <v>0</v>
      </c>
      <c r="AWG62" s="603">
        <v>0</v>
      </c>
      <c r="AWH62" s="604">
        <v>0</v>
      </c>
      <c r="AWI62" s="603">
        <v>0</v>
      </c>
      <c r="AWJ62" s="603">
        <v>0</v>
      </c>
      <c r="AWK62" s="603">
        <v>0</v>
      </c>
      <c r="AWL62" s="603"/>
      <c r="AWM62" s="603">
        <v>0</v>
      </c>
      <c r="AWN62" s="603">
        <v>0</v>
      </c>
      <c r="AWO62" s="603">
        <v>0</v>
      </c>
      <c r="AWP62" s="603">
        <v>0</v>
      </c>
      <c r="AWQ62" s="603">
        <v>0</v>
      </c>
      <c r="AWR62" s="74"/>
      <c r="AWS62" s="603">
        <v>0</v>
      </c>
      <c r="AWT62" s="603">
        <v>0</v>
      </c>
      <c r="AWU62" s="603">
        <v>0</v>
      </c>
      <c r="AWV62" s="314"/>
      <c r="AWW62" s="603">
        <v>0</v>
      </c>
      <c r="AWX62" s="603">
        <v>0</v>
      </c>
      <c r="AWY62" s="603">
        <v>0</v>
      </c>
      <c r="AWZ62" s="603">
        <v>0</v>
      </c>
      <c r="AXA62" s="603"/>
      <c r="AXB62" s="603">
        <v>0</v>
      </c>
      <c r="AXC62" s="603">
        <v>0</v>
      </c>
      <c r="AXD62" s="603">
        <v>0</v>
      </c>
      <c r="AXE62" s="603">
        <v>0</v>
      </c>
      <c r="AXF62" s="603">
        <v>0</v>
      </c>
      <c r="AXG62" s="603">
        <v>0</v>
      </c>
      <c r="AXH62" s="603"/>
      <c r="AXI62" s="603">
        <v>0</v>
      </c>
      <c r="AXJ62" s="603">
        <v>0</v>
      </c>
      <c r="AXK62" s="603">
        <v>0</v>
      </c>
      <c r="AXL62" s="603">
        <v>0</v>
      </c>
      <c r="AXM62" s="603">
        <v>0</v>
      </c>
      <c r="AXN62" s="603">
        <v>0</v>
      </c>
      <c r="AXO62" s="603"/>
      <c r="AXP62" s="603">
        <v>0</v>
      </c>
      <c r="AXQ62" s="603">
        <v>0</v>
      </c>
      <c r="AXR62" s="603">
        <v>0</v>
      </c>
      <c r="AXS62" s="603">
        <v>0</v>
      </c>
      <c r="AXT62" s="603">
        <v>0</v>
      </c>
      <c r="AXU62" s="603">
        <v>0</v>
      </c>
      <c r="AXV62" s="603"/>
      <c r="AXW62" s="603">
        <v>0</v>
      </c>
      <c r="AXX62" s="74"/>
    </row>
    <row r="63" spans="1:1324" s="164" customFormat="1" ht="22.8" customHeight="1" thickBot="1" x14ac:dyDescent="0.35">
      <c r="A63" s="711"/>
      <c r="B63" s="7" t="s">
        <v>2397</v>
      </c>
      <c r="C63" s="123" t="s">
        <v>628</v>
      </c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51" t="s">
        <v>21</v>
      </c>
      <c r="AI63" s="161" t="s">
        <v>118</v>
      </c>
      <c r="AJ63" s="174"/>
      <c r="AK63" s="160"/>
      <c r="AL63" s="160"/>
      <c r="AM63" s="126" t="s">
        <v>629</v>
      </c>
      <c r="AN63" s="156"/>
      <c r="AO63" s="122"/>
      <c r="AP63" s="122"/>
      <c r="AQ63" s="731"/>
      <c r="AR63" s="732"/>
      <c r="AS63" s="732"/>
      <c r="AT63" s="732"/>
      <c r="AU63" s="732"/>
      <c r="AV63" s="732"/>
      <c r="AW63" s="732"/>
      <c r="AX63" s="732"/>
      <c r="AY63" s="732"/>
      <c r="AZ63" s="733"/>
      <c r="BA63" s="122"/>
      <c r="BB63" s="122"/>
      <c r="BC63" s="122"/>
      <c r="BD63" s="126" t="s">
        <v>103</v>
      </c>
      <c r="BE63" s="159"/>
      <c r="BF63" s="160"/>
      <c r="BG63" s="160"/>
      <c r="BH63" s="160"/>
      <c r="BI63" s="126" t="s">
        <v>630</v>
      </c>
      <c r="BJ63" s="156"/>
      <c r="BK63" s="122"/>
      <c r="BL63" s="122"/>
      <c r="BM63" s="122"/>
      <c r="BN63" s="12" t="s">
        <v>21</v>
      </c>
      <c r="BO63" s="126" t="s">
        <v>103</v>
      </c>
      <c r="BP63" s="159"/>
      <c r="BQ63" s="160"/>
      <c r="BR63" s="126" t="s">
        <v>619</v>
      </c>
      <c r="BS63" s="156"/>
      <c r="BT63" s="122"/>
      <c r="BU63" s="122"/>
      <c r="BV63" s="122"/>
      <c r="BW63" s="122"/>
      <c r="BX63" s="122"/>
      <c r="BY63" s="122"/>
      <c r="BZ63" s="122"/>
      <c r="CA63" s="122"/>
      <c r="CB63" s="122"/>
      <c r="CC63" s="122"/>
      <c r="CD63" s="122"/>
      <c r="CE63" s="122"/>
      <c r="CF63" s="122"/>
      <c r="CG63" s="122"/>
      <c r="CH63" s="122"/>
      <c r="CI63" s="122"/>
      <c r="CJ63" s="122"/>
      <c r="CK63" s="156" t="s">
        <v>607</v>
      </c>
      <c r="CL63" s="156"/>
      <c r="CM63" s="122"/>
      <c r="CN63" s="122"/>
      <c r="CO63" s="122"/>
      <c r="CP63" s="122"/>
      <c r="CQ63" s="122"/>
      <c r="CR63" s="122"/>
      <c r="CS63" s="12" t="s">
        <v>21</v>
      </c>
      <c r="CT63" s="122" t="s">
        <v>631</v>
      </c>
      <c r="CU63" s="122"/>
      <c r="CV63" s="122"/>
      <c r="CW63" s="122"/>
      <c r="CX63" s="122"/>
      <c r="CY63" s="122"/>
      <c r="CZ63" s="122"/>
      <c r="DA63" s="155" t="s">
        <v>249</v>
      </c>
      <c r="DB63" s="156"/>
      <c r="DC63" s="158"/>
      <c r="DD63" s="158"/>
      <c r="DE63" s="155" t="s">
        <v>121</v>
      </c>
      <c r="DF63" s="156"/>
      <c r="DG63" s="126" t="s">
        <v>270</v>
      </c>
      <c r="DH63" s="126" t="s">
        <v>280</v>
      </c>
      <c r="DI63" s="159"/>
      <c r="DJ63" s="160"/>
      <c r="DK63" s="160"/>
      <c r="DL63" s="160"/>
      <c r="DM63" s="160"/>
      <c r="DN63" s="160"/>
      <c r="DO63" s="160"/>
      <c r="DP63" s="126" t="s">
        <v>278</v>
      </c>
      <c r="DQ63" s="159"/>
      <c r="DR63" s="160"/>
      <c r="DS63" s="160"/>
      <c r="DT63" s="160"/>
      <c r="DU63" s="160"/>
      <c r="DV63" s="160"/>
      <c r="DW63" s="126" t="s">
        <v>267</v>
      </c>
      <c r="DX63" s="159"/>
      <c r="DY63" s="12" t="s">
        <v>21</v>
      </c>
      <c r="DZ63" s="119" t="s">
        <v>267</v>
      </c>
      <c r="EA63" s="126" t="s">
        <v>266</v>
      </c>
      <c r="EB63" s="159"/>
      <c r="EC63" s="119"/>
      <c r="ED63" s="126" t="s">
        <v>159</v>
      </c>
      <c r="EE63" s="159"/>
      <c r="EF63" s="182"/>
      <c r="EG63" s="182"/>
      <c r="EH63" s="182"/>
      <c r="EI63" s="182"/>
      <c r="EJ63" s="182"/>
      <c r="EK63" s="182"/>
      <c r="EL63" s="182"/>
      <c r="EM63" s="182"/>
      <c r="EN63" s="155" t="s">
        <v>256</v>
      </c>
      <c r="EO63" s="155"/>
      <c r="EP63" s="158"/>
      <c r="EQ63" s="158"/>
      <c r="ER63" s="158"/>
      <c r="ES63" s="158"/>
      <c r="ET63" s="158"/>
      <c r="EU63" s="158"/>
      <c r="EV63" s="158"/>
      <c r="EW63" s="158"/>
      <c r="EX63" s="158"/>
      <c r="EY63" s="126" t="s">
        <v>289</v>
      </c>
      <c r="EZ63" s="126"/>
      <c r="FA63" s="171"/>
      <c r="FB63" s="171"/>
      <c r="FC63" s="171"/>
      <c r="FD63" s="12" t="s">
        <v>21</v>
      </c>
      <c r="FE63" s="171" t="s">
        <v>289</v>
      </c>
      <c r="FF63" s="171"/>
      <c r="FG63" s="171"/>
      <c r="FH63" s="126" t="s">
        <v>170</v>
      </c>
      <c r="FI63" s="126"/>
      <c r="FJ63" s="171"/>
      <c r="FK63" s="171"/>
      <c r="FL63" s="171"/>
      <c r="FM63" s="171"/>
      <c r="FN63" s="171"/>
      <c r="FO63" s="171"/>
      <c r="FP63" s="171"/>
      <c r="FQ63" s="171"/>
      <c r="FR63" s="171"/>
      <c r="FS63" s="155" t="s">
        <v>301</v>
      </c>
      <c r="FT63" s="156"/>
      <c r="FU63" s="158"/>
      <c r="FV63" s="158"/>
      <c r="FW63" s="158"/>
      <c r="FX63" s="158"/>
      <c r="FY63" s="158"/>
      <c r="FZ63" s="158"/>
      <c r="GA63" s="158"/>
      <c r="GB63" s="126" t="s">
        <v>287</v>
      </c>
      <c r="GC63" s="126"/>
      <c r="GD63" s="171"/>
      <c r="GE63" s="126" t="s">
        <v>291</v>
      </c>
      <c r="GF63" s="126"/>
      <c r="GG63" s="171"/>
      <c r="GH63" s="171"/>
      <c r="GI63" s="171"/>
      <c r="GJ63" s="12" t="s">
        <v>21</v>
      </c>
      <c r="GK63" s="171" t="s">
        <v>291</v>
      </c>
      <c r="GL63" s="171"/>
      <c r="GM63" s="171"/>
      <c r="GN63" s="185" t="s">
        <v>299</v>
      </c>
      <c r="GO63" s="186"/>
      <c r="GP63" s="122"/>
      <c r="GQ63" s="122"/>
      <c r="GR63" s="122"/>
      <c r="GS63" s="122"/>
      <c r="GT63" s="122"/>
      <c r="GU63" s="122"/>
      <c r="GV63" s="122"/>
      <c r="GW63" s="122"/>
      <c r="GX63" s="122"/>
      <c r="GY63" s="126" t="s">
        <v>394</v>
      </c>
      <c r="GZ63" s="126"/>
      <c r="HA63" s="126" t="s">
        <v>468</v>
      </c>
      <c r="HB63" s="126"/>
      <c r="HC63" s="171"/>
      <c r="HD63" s="171"/>
      <c r="HE63" s="126" t="s">
        <v>467</v>
      </c>
      <c r="HF63" s="156"/>
      <c r="HG63" s="171"/>
      <c r="HH63" s="126" t="s">
        <v>304</v>
      </c>
      <c r="HI63" s="156"/>
      <c r="HJ63" s="122"/>
      <c r="HK63" s="123" t="s">
        <v>304</v>
      </c>
      <c r="HL63" s="122"/>
      <c r="HM63" s="122"/>
      <c r="HN63" s="123"/>
      <c r="HO63" s="123"/>
      <c r="HP63" s="12" t="s">
        <v>21</v>
      </c>
      <c r="HQ63" s="123" t="s">
        <v>304</v>
      </c>
      <c r="HR63" s="123"/>
      <c r="HS63" s="126" t="s">
        <v>386</v>
      </c>
      <c r="HT63" s="159"/>
      <c r="HU63" s="171"/>
      <c r="HV63" s="171"/>
      <c r="HW63" s="171"/>
      <c r="HX63" s="126" t="s">
        <v>609</v>
      </c>
      <c r="HY63" s="126"/>
      <c r="HZ63" s="122"/>
      <c r="IA63" s="122"/>
      <c r="IB63" s="122"/>
      <c r="IC63" s="122"/>
      <c r="ID63" s="122"/>
      <c r="IE63" s="122"/>
      <c r="IF63" s="122"/>
      <c r="IG63" s="122"/>
      <c r="IH63" s="122"/>
      <c r="II63" s="122"/>
      <c r="IJ63" s="122"/>
      <c r="IK63" s="122"/>
      <c r="IL63" s="122"/>
      <c r="IM63" s="122"/>
      <c r="IN63" s="122"/>
      <c r="IO63" s="122"/>
      <c r="IP63" s="122"/>
      <c r="IQ63" s="122"/>
      <c r="IR63" s="122"/>
      <c r="IS63" s="122"/>
      <c r="IT63" s="12" t="s">
        <v>21</v>
      </c>
      <c r="IU63" s="123" t="s">
        <v>604</v>
      </c>
      <c r="IV63" s="123"/>
      <c r="IW63" s="123"/>
      <c r="IX63" s="123"/>
      <c r="IY63" s="123"/>
      <c r="IZ63" s="155" t="s">
        <v>674</v>
      </c>
      <c r="JA63" s="155"/>
      <c r="JB63" s="153"/>
      <c r="JC63" s="163"/>
      <c r="JD63" s="163"/>
      <c r="JE63" s="163"/>
      <c r="JF63" s="163"/>
      <c r="JG63" s="163"/>
      <c r="JH63" s="163"/>
      <c r="JI63" s="155" t="s">
        <v>476</v>
      </c>
      <c r="JJ63" s="155"/>
      <c r="JK63" s="153"/>
      <c r="JL63" s="153"/>
      <c r="JM63" s="163"/>
      <c r="JN63" s="163"/>
      <c r="JO63" s="163"/>
      <c r="JP63" s="155" t="s">
        <v>634</v>
      </c>
      <c r="JQ63" s="156"/>
      <c r="JR63" s="155" t="s">
        <v>641</v>
      </c>
      <c r="JS63" s="155"/>
      <c r="JT63" s="158"/>
      <c r="JU63" s="126" t="s">
        <v>691</v>
      </c>
      <c r="JV63" s="278"/>
      <c r="JW63" s="173"/>
      <c r="JX63" s="173"/>
      <c r="JY63" s="173"/>
      <c r="JZ63" s="12" t="s">
        <v>21</v>
      </c>
      <c r="KA63" s="173"/>
      <c r="KB63" s="173"/>
      <c r="KC63" s="173"/>
      <c r="KD63" s="173"/>
      <c r="KE63" s="173"/>
      <c r="KF63" s="173"/>
      <c r="KG63" s="173"/>
      <c r="KH63" s="173"/>
      <c r="KI63" s="173"/>
      <c r="KJ63" s="173"/>
      <c r="KK63" s="173"/>
      <c r="KL63" s="173"/>
      <c r="KM63" s="173"/>
      <c r="KN63" s="173"/>
      <c r="KO63" s="173"/>
      <c r="KP63" s="173"/>
      <c r="KQ63" s="173"/>
      <c r="KR63" s="173"/>
      <c r="KS63" s="173"/>
      <c r="KT63" s="173"/>
      <c r="KU63" s="173"/>
      <c r="KV63" s="173"/>
      <c r="KW63" s="173"/>
      <c r="KX63" s="173"/>
      <c r="KY63" s="280"/>
      <c r="LE63" s="12" t="s">
        <v>21</v>
      </c>
      <c r="LF63" s="157" t="s">
        <v>641</v>
      </c>
      <c r="LG63" s="126" t="s">
        <v>691</v>
      </c>
      <c r="LH63" s="155"/>
      <c r="LI63" s="292"/>
      <c r="LJ63" s="292"/>
      <c r="LK63" s="155" t="s">
        <v>710</v>
      </c>
      <c r="LL63" s="155"/>
      <c r="LM63" s="155" t="s">
        <v>713</v>
      </c>
      <c r="LN63" s="155"/>
      <c r="LO63" s="126" t="s">
        <v>741</v>
      </c>
      <c r="LP63" s="155" t="s">
        <v>716</v>
      </c>
      <c r="LQ63" s="155"/>
      <c r="LR63" s="153"/>
      <c r="LS63" s="153"/>
      <c r="LT63" s="153"/>
      <c r="LU63" s="155" t="s">
        <v>715</v>
      </c>
      <c r="LV63" s="155"/>
      <c r="LW63" s="126" t="s">
        <v>751</v>
      </c>
      <c r="LX63" s="126"/>
      <c r="LY63" s="165"/>
      <c r="LZ63" s="126" t="s">
        <v>750</v>
      </c>
      <c r="MA63" s="126"/>
      <c r="MB63" s="716"/>
      <c r="MC63" s="717"/>
      <c r="MD63" s="717"/>
      <c r="ME63" s="718"/>
      <c r="MF63" s="165" t="s">
        <v>750</v>
      </c>
      <c r="MG63" s="165"/>
      <c r="MH63" s="126" t="s">
        <v>694</v>
      </c>
      <c r="MI63" s="126"/>
      <c r="MJ63" s="122"/>
      <c r="MK63" s="289" t="s">
        <v>21</v>
      </c>
      <c r="ML63" s="311" t="s">
        <v>694</v>
      </c>
      <c r="MM63" s="179" t="s">
        <v>764</v>
      </c>
      <c r="MN63" s="204"/>
      <c r="MO63" s="180"/>
      <c r="MP63" s="179" t="s">
        <v>763</v>
      </c>
      <c r="MQ63" s="204"/>
      <c r="MR63" s="179" t="s">
        <v>765</v>
      </c>
      <c r="MS63" s="156"/>
      <c r="MT63" s="180"/>
      <c r="MU63" s="210" t="s">
        <v>848</v>
      </c>
      <c r="MV63" s="210"/>
      <c r="MW63" s="211"/>
      <c r="MX63" s="210" t="s">
        <v>849</v>
      </c>
      <c r="MY63" s="210"/>
      <c r="MZ63" s="211"/>
      <c r="NA63" s="211"/>
      <c r="NB63" s="211"/>
      <c r="NC63" s="339" t="s">
        <v>787</v>
      </c>
      <c r="ND63" s="339"/>
      <c r="NE63" s="180"/>
      <c r="NF63" s="180"/>
      <c r="NG63" s="180"/>
      <c r="NH63" s="180"/>
      <c r="NI63" s="180"/>
      <c r="NJ63" s="180"/>
      <c r="NK63" s="179" t="s">
        <v>909</v>
      </c>
      <c r="NL63" s="179"/>
      <c r="NM63" s="171"/>
      <c r="NN63" s="171"/>
      <c r="NO63" s="171"/>
      <c r="NP63" s="12" t="s">
        <v>21</v>
      </c>
      <c r="NQ63" s="180" t="s">
        <v>909</v>
      </c>
      <c r="NR63" s="171"/>
      <c r="NS63" s="171"/>
      <c r="NT63" s="293" t="s">
        <v>773</v>
      </c>
      <c r="NU63" s="179"/>
      <c r="NV63" s="171"/>
      <c r="NW63" s="171"/>
      <c r="NX63" s="339" t="s">
        <v>972</v>
      </c>
      <c r="NY63" s="204"/>
      <c r="NZ63" s="180"/>
      <c r="OA63" s="180"/>
      <c r="OB63" s="179" t="s">
        <v>951</v>
      </c>
      <c r="OC63" s="179"/>
      <c r="OD63" s="171"/>
      <c r="OE63" s="171"/>
      <c r="OF63" s="171"/>
      <c r="OG63" s="171"/>
      <c r="OH63" s="171"/>
      <c r="OI63" s="361" t="s">
        <v>966</v>
      </c>
      <c r="OJ63" s="318"/>
      <c r="OK63" s="339" t="s">
        <v>971</v>
      </c>
      <c r="OL63" s="339"/>
      <c r="OM63" s="179" t="s">
        <v>900</v>
      </c>
      <c r="ON63" s="179"/>
      <c r="OO63" s="361" t="s">
        <v>1065</v>
      </c>
      <c r="OP63" s="318"/>
      <c r="OQ63" s="319"/>
      <c r="OR63" s="319"/>
      <c r="OS63" s="319"/>
      <c r="OT63" s="724"/>
      <c r="OU63" s="725"/>
      <c r="OV63" s="188" t="s">
        <v>21</v>
      </c>
      <c r="OW63" s="740"/>
      <c r="OX63" s="741"/>
      <c r="OY63" s="741"/>
      <c r="OZ63" s="741"/>
      <c r="PA63" s="741"/>
      <c r="PB63" s="741"/>
      <c r="PC63" s="742"/>
      <c r="PD63" s="319" t="s">
        <v>1065</v>
      </c>
      <c r="PE63" s="319"/>
      <c r="PF63" s="319"/>
      <c r="PG63" s="319"/>
      <c r="PH63" s="319"/>
      <c r="PI63" s="319"/>
      <c r="PJ63" s="319"/>
      <c r="PK63" s="319"/>
      <c r="PL63" s="319"/>
      <c r="PM63" s="319"/>
      <c r="PN63" s="319"/>
      <c r="PO63" s="319"/>
      <c r="PP63" s="319"/>
      <c r="PQ63" s="179" t="s">
        <v>1078</v>
      </c>
      <c r="PR63" s="179"/>
      <c r="PS63" s="180"/>
      <c r="PT63" s="180"/>
      <c r="PU63" s="339" t="s">
        <v>1020</v>
      </c>
      <c r="PV63" s="204"/>
      <c r="PW63" s="180"/>
      <c r="PX63" s="180"/>
      <c r="PY63" s="180"/>
      <c r="PZ63" s="180"/>
      <c r="QA63" s="180"/>
      <c r="QB63" s="12" t="s">
        <v>21</v>
      </c>
      <c r="QC63" s="179" t="s">
        <v>1163</v>
      </c>
      <c r="QD63" s="179"/>
      <c r="QE63" s="171"/>
      <c r="QF63" s="171"/>
      <c r="QG63" s="171"/>
      <c r="QH63" s="171"/>
      <c r="QI63" s="345" t="s">
        <v>1268</v>
      </c>
      <c r="QJ63" s="345"/>
      <c r="QK63" s="324"/>
      <c r="QL63" s="324"/>
      <c r="QM63" s="324"/>
      <c r="QN63" s="317" t="s">
        <v>963</v>
      </c>
      <c r="QO63" s="317"/>
      <c r="QP63" s="316"/>
      <c r="QQ63" s="316"/>
      <c r="QR63" s="316"/>
      <c r="QS63" s="317" t="s">
        <v>964</v>
      </c>
      <c r="QT63" s="317"/>
      <c r="QU63" s="361" t="s">
        <v>1088</v>
      </c>
      <c r="QV63" s="361"/>
      <c r="QW63" s="316"/>
      <c r="QX63" s="339" t="s">
        <v>938</v>
      </c>
      <c r="QY63" s="339"/>
      <c r="QZ63" s="211"/>
      <c r="RA63" s="211"/>
      <c r="RB63" s="339" t="s">
        <v>1294</v>
      </c>
      <c r="RC63" s="318"/>
      <c r="RD63" s="171"/>
      <c r="RE63" s="345" t="s">
        <v>1035</v>
      </c>
      <c r="RF63" s="318"/>
      <c r="RG63" s="12" t="s">
        <v>21</v>
      </c>
      <c r="RH63" s="352" t="s">
        <v>1162</v>
      </c>
      <c r="RI63" s="352"/>
      <c r="RJ63" s="311"/>
      <c r="RK63" s="311"/>
      <c r="RL63" s="311"/>
      <c r="RM63" s="311"/>
      <c r="RN63" s="311"/>
      <c r="RO63" s="311"/>
      <c r="RP63" s="311"/>
      <c r="RQ63" s="311"/>
      <c r="RR63" s="311"/>
      <c r="RS63" s="311"/>
      <c r="RT63" s="345" t="s">
        <v>1435</v>
      </c>
      <c r="RU63" s="318"/>
      <c r="RV63" s="311"/>
      <c r="RW63" s="311"/>
      <c r="RX63" s="311"/>
      <c r="RY63" s="311"/>
      <c r="RZ63" s="311"/>
      <c r="SA63" s="345" t="s">
        <v>1436</v>
      </c>
      <c r="SB63" s="318"/>
      <c r="SC63" s="311"/>
      <c r="SD63" s="311"/>
      <c r="SE63" s="311"/>
      <c r="SF63" s="311"/>
      <c r="SG63" s="311"/>
      <c r="SH63" s="311"/>
      <c r="SI63" s="311"/>
      <c r="SJ63" s="311"/>
      <c r="SK63" s="311"/>
      <c r="SL63" s="311"/>
      <c r="SM63" s="12" t="s">
        <v>21</v>
      </c>
      <c r="SN63" s="352" t="s">
        <v>1438</v>
      </c>
      <c r="SO63" s="311"/>
      <c r="SP63" s="311"/>
      <c r="SQ63" s="311"/>
      <c r="SR63" s="361" t="s">
        <v>1120</v>
      </c>
      <c r="SS63" s="361"/>
      <c r="ST63" s="316"/>
      <c r="SU63" s="316"/>
      <c r="SV63" s="361" t="s">
        <v>1050</v>
      </c>
      <c r="SW63" s="361"/>
      <c r="SX63" s="361" t="s">
        <v>1127</v>
      </c>
      <c r="SY63" s="361"/>
      <c r="SZ63" s="316"/>
      <c r="TA63" s="316"/>
      <c r="TB63" s="361" t="s">
        <v>1048</v>
      </c>
      <c r="TC63" s="361"/>
      <c r="TD63" s="316"/>
      <c r="TE63" s="316"/>
      <c r="TF63" s="316"/>
      <c r="TG63" s="361" t="s">
        <v>1092</v>
      </c>
      <c r="TH63" s="361"/>
      <c r="TI63" s="210" t="s">
        <v>1475</v>
      </c>
      <c r="TJ63" s="210"/>
      <c r="TK63" s="180"/>
      <c r="TL63" s="180"/>
      <c r="TM63" s="361" t="s">
        <v>1675</v>
      </c>
      <c r="TN63" s="361"/>
      <c r="TO63" s="316"/>
      <c r="TP63" s="316"/>
      <c r="TQ63" s="316"/>
      <c r="TR63" s="12" t="s">
        <v>21</v>
      </c>
      <c r="TS63" s="361" t="s">
        <v>1677</v>
      </c>
      <c r="TT63" s="361"/>
      <c r="TU63" s="316"/>
      <c r="TV63" s="316"/>
      <c r="TW63" s="361" t="s">
        <v>1676</v>
      </c>
      <c r="TX63" s="361"/>
      <c r="TY63" s="316"/>
      <c r="TZ63" s="316"/>
      <c r="UA63" s="316"/>
      <c r="UB63" s="316"/>
      <c r="UC63" s="465"/>
      <c r="UD63" s="465"/>
      <c r="UE63" s="465"/>
      <c r="UF63" s="361" t="s">
        <v>1674</v>
      </c>
      <c r="UG63" s="361"/>
      <c r="UH63" s="316"/>
      <c r="UI63" s="316"/>
      <c r="UJ63" s="316"/>
      <c r="UK63" s="316"/>
      <c r="UL63" s="361" t="s">
        <v>1444</v>
      </c>
      <c r="UM63" s="361"/>
      <c r="UN63" s="361" t="s">
        <v>1673</v>
      </c>
      <c r="UO63" s="361"/>
      <c r="UP63" s="316"/>
      <c r="UQ63" s="316"/>
      <c r="UR63" s="361" t="s">
        <v>1765</v>
      </c>
      <c r="US63" s="361"/>
      <c r="UT63" s="361" t="s">
        <v>1766</v>
      </c>
      <c r="UU63" s="361"/>
      <c r="UV63" s="361" t="s">
        <v>1364</v>
      </c>
      <c r="UW63" s="361"/>
      <c r="UX63" s="12" t="s">
        <v>21</v>
      </c>
      <c r="UY63" s="361" t="s">
        <v>1764</v>
      </c>
      <c r="UZ63" s="361"/>
      <c r="VA63" s="361" t="s">
        <v>1809</v>
      </c>
      <c r="VB63" s="361"/>
      <c r="VC63" s="361" t="s">
        <v>1377</v>
      </c>
      <c r="VD63" s="361"/>
      <c r="VE63" s="361" t="s">
        <v>1810</v>
      </c>
      <c r="VF63" s="361" t="s">
        <v>1375</v>
      </c>
      <c r="VG63" s="361"/>
      <c r="VH63" s="345" t="s">
        <v>1880</v>
      </c>
      <c r="VI63" s="318"/>
      <c r="VJ63" s="311"/>
      <c r="VK63" s="311"/>
      <c r="VL63" s="311"/>
      <c r="VM63" s="311"/>
      <c r="VN63" s="311"/>
      <c r="VO63" s="311"/>
      <c r="VP63" s="311"/>
      <c r="VQ63" s="311"/>
      <c r="VR63" s="311"/>
      <c r="VS63" s="311"/>
      <c r="VT63" s="311"/>
      <c r="VU63" s="311"/>
      <c r="VV63" s="311"/>
      <c r="VW63" s="311"/>
      <c r="VX63" s="311"/>
      <c r="VY63" s="311"/>
      <c r="VZ63" s="311"/>
      <c r="WA63" s="311"/>
      <c r="WB63" s="210" t="s">
        <v>1946</v>
      </c>
      <c r="WC63" s="210"/>
      <c r="WD63" s="12" t="s">
        <v>21</v>
      </c>
      <c r="WE63" s="180" t="s">
        <v>1946</v>
      </c>
      <c r="WF63" s="180"/>
      <c r="WG63" s="180"/>
      <c r="WH63" s="180"/>
      <c r="WI63" s="180"/>
      <c r="WJ63" s="210" t="s">
        <v>1752</v>
      </c>
      <c r="WK63" s="210"/>
      <c r="WL63" s="180"/>
      <c r="WM63" s="180"/>
      <c r="WN63" s="180"/>
      <c r="WO63" s="345" t="s">
        <v>1897</v>
      </c>
      <c r="WP63" s="345"/>
      <c r="WQ63" s="311"/>
      <c r="WR63" s="311"/>
      <c r="WS63" s="311"/>
      <c r="WT63" s="311"/>
      <c r="WU63" s="311"/>
      <c r="WV63" s="311"/>
      <c r="WW63" s="311"/>
      <c r="WX63" s="311"/>
      <c r="WY63" s="361" t="s">
        <v>1758</v>
      </c>
      <c r="WZ63" s="361"/>
      <c r="XA63" s="361" t="s">
        <v>2053</v>
      </c>
      <c r="XB63" s="318"/>
      <c r="XC63" s="345" t="s">
        <v>1894</v>
      </c>
      <c r="XD63" s="345"/>
      <c r="XE63" s="525"/>
      <c r="XF63" s="525"/>
      <c r="XG63" s="12" t="s">
        <v>21</v>
      </c>
      <c r="XH63" s="352" t="s">
        <v>1894</v>
      </c>
      <c r="XI63" s="352"/>
      <c r="XJ63" s="525"/>
      <c r="XK63" s="525"/>
      <c r="XL63" s="525"/>
      <c r="XM63" s="525"/>
      <c r="XN63" s="525"/>
      <c r="XO63" s="525"/>
      <c r="XP63" s="525"/>
      <c r="XQ63" s="525"/>
      <c r="XR63" s="525"/>
      <c r="XS63" s="525"/>
      <c r="XT63" s="525"/>
      <c r="XU63" s="525"/>
      <c r="XV63" s="525"/>
      <c r="XW63" s="525"/>
      <c r="XX63" s="525"/>
      <c r="XY63" s="525"/>
      <c r="XZ63" s="525"/>
      <c r="YA63" s="525"/>
      <c r="YB63" s="525"/>
      <c r="YC63" s="525"/>
      <c r="YD63" s="552"/>
      <c r="YE63" s="552"/>
      <c r="YF63" s="552"/>
      <c r="YG63" s="552"/>
      <c r="YH63" s="552"/>
      <c r="YI63" s="552"/>
      <c r="YJ63" s="552"/>
      <c r="YK63" s="345" t="s">
        <v>1974</v>
      </c>
      <c r="YL63" s="345"/>
      <c r="YM63" s="12" t="s">
        <v>21</v>
      </c>
      <c r="YN63" s="537" t="s">
        <v>1974</v>
      </c>
      <c r="YO63" s="352"/>
      <c r="YP63" s="352"/>
      <c r="YQ63" s="352"/>
      <c r="YR63" s="352"/>
      <c r="YS63" s="352"/>
      <c r="YT63" s="352"/>
      <c r="YU63" s="352"/>
      <c r="YV63" s="352"/>
      <c r="YW63" s="361" t="s">
        <v>1801</v>
      </c>
      <c r="YX63" s="318"/>
      <c r="YY63" s="319"/>
      <c r="YZ63" s="319"/>
      <c r="ZA63" s="361" t="s">
        <v>1893</v>
      </c>
      <c r="ZB63" s="318"/>
      <c r="ZC63" s="319"/>
      <c r="ZD63" s="361" t="s">
        <v>1801</v>
      </c>
      <c r="ZE63" s="318"/>
      <c r="ZF63" s="319"/>
      <c r="ZG63" s="319"/>
      <c r="ZH63" s="319"/>
      <c r="ZI63" s="319"/>
      <c r="ZJ63" s="319"/>
      <c r="ZK63" s="319"/>
      <c r="ZL63" s="319"/>
      <c r="ZM63" s="210" t="s">
        <v>2133</v>
      </c>
      <c r="ZN63" s="210"/>
      <c r="ZO63" s="180"/>
      <c r="ZP63" s="180"/>
      <c r="ZQ63" s="180"/>
      <c r="ZR63" s="12" t="s">
        <v>21</v>
      </c>
      <c r="ZS63" s="180" t="s">
        <v>2133</v>
      </c>
      <c r="ZT63" s="180"/>
      <c r="ZU63" s="180"/>
      <c r="ZV63" s="180"/>
      <c r="ZW63" s="180"/>
      <c r="ZX63" s="180"/>
      <c r="ZY63" s="345" t="s">
        <v>2055</v>
      </c>
      <c r="ZZ63" s="345"/>
      <c r="AAA63" s="352"/>
      <c r="AAB63" s="352"/>
      <c r="AAC63" s="352"/>
      <c r="AAD63" s="352"/>
      <c r="AAE63" s="777"/>
      <c r="AAF63" s="705"/>
      <c r="AAG63" s="705"/>
      <c r="AAH63" s="705"/>
      <c r="AAI63" s="778"/>
      <c r="AAJ63" s="537" t="s">
        <v>2055</v>
      </c>
      <c r="AAK63" s="537"/>
      <c r="AAL63" s="537"/>
      <c r="AAM63" s="537"/>
      <c r="AAN63" s="352"/>
      <c r="AAO63" s="352"/>
      <c r="AAP63" s="352"/>
      <c r="AAQ63" s="352"/>
      <c r="AAR63" s="352"/>
      <c r="AAS63" s="352"/>
      <c r="AAT63" s="352"/>
      <c r="AAU63" s="352"/>
      <c r="AAV63" s="352"/>
      <c r="AAW63" s="352"/>
      <c r="AAX63" s="12" t="s">
        <v>21</v>
      </c>
      <c r="AAY63" s="537" t="s">
        <v>2055</v>
      </c>
      <c r="AAZ63" s="537"/>
      <c r="ABA63" s="345" t="s">
        <v>1800</v>
      </c>
      <c r="ABB63" s="345"/>
      <c r="ABC63" s="525"/>
      <c r="ABD63" s="345" t="s">
        <v>2237</v>
      </c>
      <c r="ABE63" s="345"/>
      <c r="ABF63" s="352"/>
      <c r="ABG63" s="352"/>
      <c r="ABH63" s="352"/>
      <c r="ABI63" s="352"/>
      <c r="ABJ63" s="352"/>
      <c r="ABK63" s="523" t="s">
        <v>2239</v>
      </c>
      <c r="ABL63" s="523"/>
      <c r="ABM63" s="537"/>
      <c r="ABN63" s="352"/>
      <c r="ABO63" s="352"/>
      <c r="ABP63" s="352"/>
      <c r="ABQ63" s="352"/>
      <c r="ABR63" s="352"/>
      <c r="ABS63" s="352"/>
      <c r="ABT63" s="352"/>
      <c r="ABU63" s="352"/>
      <c r="ABV63" s="352"/>
      <c r="ABW63" s="352"/>
      <c r="ABX63" s="352"/>
      <c r="ABY63" s="352"/>
      <c r="ABZ63" s="352"/>
      <c r="ACA63" s="352"/>
      <c r="ACB63" s="352"/>
      <c r="ACC63" s="7" t="s">
        <v>2395</v>
      </c>
      <c r="ACD63" s="537" t="s">
        <v>2239</v>
      </c>
      <c r="ACE63" s="537"/>
      <c r="ACF63" s="537"/>
      <c r="ACG63" s="537"/>
      <c r="ACH63" s="345" t="s">
        <v>2234</v>
      </c>
      <c r="ACI63" s="345"/>
      <c r="ACJ63" s="352"/>
      <c r="ACK63" s="352"/>
      <c r="ACL63" s="352"/>
      <c r="ACM63" s="352"/>
      <c r="ACN63" s="352"/>
      <c r="ACO63" s="352"/>
      <c r="ACP63" s="352"/>
      <c r="ACQ63" s="352"/>
      <c r="ACR63" s="352"/>
      <c r="ACS63" s="352"/>
      <c r="ACT63" s="352"/>
      <c r="ACU63" s="352"/>
      <c r="ACV63" s="352"/>
      <c r="ACW63" s="785"/>
      <c r="ACX63" s="786"/>
      <c r="ACY63" s="786"/>
      <c r="ACZ63" s="786"/>
      <c r="ADA63" s="786"/>
      <c r="ADB63" s="786"/>
      <c r="ADC63" s="786"/>
      <c r="ADD63" s="786"/>
      <c r="ADE63" s="786"/>
      <c r="ADF63" s="786"/>
      <c r="ADG63" s="787"/>
      <c r="ADH63" s="314"/>
      <c r="ADI63" s="7" t="s">
        <v>2395</v>
      </c>
      <c r="ADJ63" s="352" t="s">
        <v>2234</v>
      </c>
      <c r="ADK63" s="352"/>
      <c r="ADL63" s="352"/>
      <c r="ADM63" s="352"/>
      <c r="ADN63" s="352"/>
      <c r="ADO63" s="352"/>
      <c r="ADP63" s="352"/>
      <c r="ADQ63" s="352"/>
      <c r="ADR63" s="352"/>
      <c r="ADS63" s="352"/>
      <c r="ADT63" s="352"/>
      <c r="ADU63" s="352"/>
      <c r="ADV63" s="352"/>
      <c r="ADW63" s="352"/>
      <c r="ADX63" s="345" t="s">
        <v>2201</v>
      </c>
      <c r="ADY63" s="345"/>
      <c r="ADZ63" s="352"/>
      <c r="AEA63" s="352"/>
      <c r="AEB63" s="352"/>
      <c r="AEC63" s="352"/>
      <c r="AED63" s="352"/>
      <c r="AEE63" s="352"/>
      <c r="AEF63" s="352"/>
      <c r="AEG63" s="352"/>
      <c r="AEH63" s="352"/>
      <c r="AEI63" s="352"/>
      <c r="AEJ63" s="352"/>
      <c r="AEK63" s="352"/>
      <c r="AEL63" s="352"/>
      <c r="AEM63" s="352"/>
      <c r="AEN63" s="352"/>
      <c r="AEO63" s="7" t="s">
        <v>2397</v>
      </c>
      <c r="AEP63" s="352" t="s">
        <v>2201</v>
      </c>
      <c r="AEQ63" s="352"/>
      <c r="AER63" s="352"/>
      <c r="AES63" s="352"/>
      <c r="AET63" s="352"/>
      <c r="AEU63" s="352"/>
      <c r="AEV63" s="352"/>
      <c r="AEW63" s="352"/>
      <c r="AEX63" s="352"/>
      <c r="AEY63" s="345" t="s">
        <v>2456</v>
      </c>
      <c r="AEZ63" s="345"/>
      <c r="AFA63" s="352"/>
      <c r="AFB63" s="352"/>
      <c r="AFC63" s="352"/>
      <c r="AFD63" s="345" t="s">
        <v>2454</v>
      </c>
      <c r="AFE63" s="345"/>
      <c r="AFF63" s="352"/>
      <c r="AFG63" s="352"/>
      <c r="AFH63" s="345" t="s">
        <v>2455</v>
      </c>
      <c r="AFI63" s="345"/>
      <c r="AFJ63" s="345" t="s">
        <v>2551</v>
      </c>
      <c r="AFK63" s="345"/>
      <c r="AFL63" s="352"/>
      <c r="AFM63" s="352"/>
      <c r="AFN63" s="352"/>
      <c r="AFO63" s="345" t="s">
        <v>2454</v>
      </c>
      <c r="AFP63" s="345"/>
      <c r="AFQ63" s="352"/>
      <c r="AFR63" s="352"/>
      <c r="AFS63" s="352"/>
      <c r="AFT63" s="7" t="s">
        <v>2397</v>
      </c>
      <c r="AFU63" s="352" t="s">
        <v>2454</v>
      </c>
      <c r="AFV63" s="352"/>
      <c r="AFW63" s="352"/>
      <c r="AFX63" s="352"/>
      <c r="AFY63" s="352"/>
      <c r="AFZ63" s="352"/>
      <c r="AGA63" s="345" t="s">
        <v>2457</v>
      </c>
      <c r="AGB63" s="345"/>
      <c r="AGC63" s="352"/>
      <c r="AGD63" s="352"/>
      <c r="AGE63" s="352"/>
      <c r="AGF63" s="352"/>
      <c r="AGG63" s="352"/>
      <c r="AGH63" s="352"/>
      <c r="AGI63" s="352"/>
      <c r="AGJ63" s="352"/>
      <c r="AGK63" s="352"/>
      <c r="AGL63" s="352"/>
      <c r="AGM63" s="352"/>
      <c r="AGN63" s="361" t="s">
        <v>2448</v>
      </c>
      <c r="AGO63" s="361"/>
      <c r="AGP63" s="316"/>
      <c r="AGQ63" s="316"/>
      <c r="AGR63" s="316"/>
      <c r="AGS63" s="316"/>
      <c r="AGT63" s="316"/>
      <c r="AGU63" s="316"/>
      <c r="AGV63" s="316"/>
      <c r="AGW63" s="210" t="s">
        <v>2564</v>
      </c>
      <c r="AGX63" s="210"/>
      <c r="AGY63" s="180"/>
      <c r="AGZ63" s="7" t="s">
        <v>2397</v>
      </c>
      <c r="AHA63" s="180" t="s">
        <v>2564</v>
      </c>
      <c r="AHB63" s="180"/>
      <c r="AHC63" s="180"/>
      <c r="AHD63" s="180"/>
      <c r="AHE63" s="180"/>
      <c r="AHF63" s="210" t="s">
        <v>2560</v>
      </c>
      <c r="AHG63" s="210"/>
      <c r="AHH63" s="180"/>
      <c r="AHI63" s="180"/>
      <c r="AHJ63" s="180"/>
      <c r="AHK63" s="180"/>
      <c r="AHL63" s="361" t="s">
        <v>2446</v>
      </c>
      <c r="AHM63" s="361"/>
      <c r="AHN63" s="361" t="s">
        <v>2444</v>
      </c>
      <c r="AHO63" s="361" t="s">
        <v>2445</v>
      </c>
      <c r="AHP63" s="361"/>
      <c r="AIA63" s="345" t="s">
        <v>2820</v>
      </c>
      <c r="AIB63" s="345"/>
      <c r="AIC63" s="345" t="s">
        <v>2616</v>
      </c>
      <c r="AID63" s="345"/>
      <c r="AIE63" s="7" t="s">
        <v>2397</v>
      </c>
      <c r="AIF63" s="352" t="s">
        <v>2616</v>
      </c>
      <c r="AIG63" s="352"/>
      <c r="AIH63" s="352"/>
      <c r="AII63" s="352"/>
      <c r="AIJ63" s="352"/>
      <c r="AIK63" s="352"/>
      <c r="AIL63" s="352"/>
      <c r="AIM63" s="352"/>
      <c r="AIN63" s="352"/>
      <c r="AIO63" s="352"/>
      <c r="AIP63" s="352"/>
      <c r="AIQ63" s="352"/>
      <c r="AIR63" s="376" t="s">
        <v>2625</v>
      </c>
      <c r="AIS63" s="524"/>
      <c r="AIT63" s="375"/>
      <c r="AIU63" s="375"/>
      <c r="AIV63" s="375"/>
      <c r="AIW63" s="375"/>
      <c r="AIX63" s="375"/>
      <c r="AIY63" s="345" t="s">
        <v>2680</v>
      </c>
      <c r="AIZ63" s="345"/>
      <c r="AJA63" s="352"/>
      <c r="AJB63" s="352"/>
      <c r="AJC63" s="352"/>
      <c r="AJD63" s="352"/>
      <c r="AJE63" s="352"/>
      <c r="AJF63" s="352"/>
      <c r="AJG63" s="352"/>
      <c r="AJH63" s="352"/>
      <c r="AJI63" s="352"/>
      <c r="AJJ63" s="352"/>
      <c r="AJK63" s="7" t="s">
        <v>2397</v>
      </c>
      <c r="AJL63" s="352" t="s">
        <v>2680</v>
      </c>
      <c r="AJM63" s="352"/>
      <c r="AJN63" s="352"/>
      <c r="AJO63" s="352"/>
      <c r="AJP63" s="352"/>
      <c r="AJQ63" s="352"/>
      <c r="AJR63" s="210" t="s">
        <v>2663</v>
      </c>
      <c r="AJS63" s="210"/>
      <c r="AJT63" s="180"/>
      <c r="AJU63" s="180"/>
      <c r="AJV63" s="180"/>
      <c r="AJW63" s="210" t="s">
        <v>2668</v>
      </c>
      <c r="AJX63" s="210"/>
      <c r="AJY63" s="180"/>
      <c r="AJZ63" s="180"/>
      <c r="AKA63" s="180"/>
      <c r="AKB63" s="210" t="s">
        <v>2670</v>
      </c>
      <c r="AKC63" s="210"/>
      <c r="AKD63" s="180"/>
      <c r="AKE63" s="180"/>
      <c r="AKF63" s="180"/>
      <c r="AKG63" s="180"/>
      <c r="AKH63" s="180"/>
      <c r="AKI63" s="210" t="s">
        <v>2414</v>
      </c>
      <c r="AKJ63" s="210"/>
      <c r="AKK63" s="180"/>
      <c r="AKL63" s="180"/>
      <c r="AKM63" s="180"/>
      <c r="AKN63" s="210" t="s">
        <v>2416</v>
      </c>
      <c r="AKO63" s="210"/>
      <c r="AKP63" s="180"/>
      <c r="AKQ63" s="7" t="s">
        <v>2397</v>
      </c>
      <c r="AKR63" s="210" t="s">
        <v>2669</v>
      </c>
      <c r="AKS63" s="210"/>
      <c r="AKT63" s="180"/>
      <c r="AKU63" s="180"/>
      <c r="AKV63" s="180"/>
      <c r="AKW63" s="180"/>
      <c r="AKX63" s="180"/>
      <c r="AKY63" s="345" t="s">
        <v>2846</v>
      </c>
      <c r="AKZ63" s="345"/>
      <c r="ALA63" s="352"/>
      <c r="ALB63" s="352"/>
      <c r="ALC63" s="352"/>
      <c r="ALD63" s="352"/>
      <c r="ALE63" s="352"/>
      <c r="ALF63" s="352"/>
      <c r="ALG63" s="352"/>
      <c r="ALH63" s="352"/>
      <c r="ALI63" s="352"/>
      <c r="ALJ63" s="352"/>
      <c r="ALK63" s="352"/>
      <c r="ALL63" s="352"/>
      <c r="ALM63" s="352"/>
      <c r="ALN63" s="352"/>
      <c r="ALO63" s="352"/>
      <c r="ALP63" s="352"/>
      <c r="ALQ63" s="352"/>
      <c r="ALR63" s="352"/>
      <c r="ALS63" s="352"/>
      <c r="ALT63" s="7" t="s">
        <v>2397</v>
      </c>
      <c r="ALU63" s="352" t="s">
        <v>2846</v>
      </c>
      <c r="ALV63" s="352"/>
      <c r="ALW63" s="352"/>
      <c r="ALX63" s="352"/>
      <c r="ALY63" s="352"/>
      <c r="ALZ63" s="352"/>
      <c r="AMA63" s="352"/>
      <c r="AMB63" s="352"/>
      <c r="AMC63" s="352"/>
      <c r="AMD63" s="352"/>
      <c r="AME63" s="352"/>
      <c r="AMF63" s="352"/>
      <c r="AMG63" s="352"/>
      <c r="AMH63" s="352"/>
      <c r="AMI63" s="352"/>
      <c r="AMJ63" s="352"/>
      <c r="AMK63" s="352"/>
      <c r="AML63" s="352"/>
      <c r="AMM63" s="352"/>
      <c r="AMN63" s="352"/>
      <c r="AMO63" s="352"/>
      <c r="AMP63" s="352"/>
      <c r="AMQ63" s="352"/>
      <c r="AMR63" s="352"/>
      <c r="AMS63" s="352"/>
      <c r="AMT63" s="352"/>
      <c r="AMU63" s="352"/>
      <c r="AMV63" s="352"/>
      <c r="AMW63" s="352"/>
      <c r="AMX63" s="352"/>
      <c r="AMY63" s="352"/>
      <c r="AMZ63" s="7" t="s">
        <v>2397</v>
      </c>
      <c r="ANA63" s="352" t="s">
        <v>2846</v>
      </c>
      <c r="ANB63" s="352"/>
      <c r="ANC63" s="352"/>
      <c r="AND63" s="352"/>
      <c r="ANE63" s="352"/>
      <c r="ANF63" s="352"/>
      <c r="ANG63" s="352"/>
      <c r="ANH63" s="352"/>
      <c r="ANI63" s="352"/>
      <c r="ANJ63" s="352"/>
      <c r="ANK63" s="352"/>
      <c r="ANL63" s="352"/>
      <c r="ANM63" s="352"/>
      <c r="ANN63" s="352"/>
      <c r="ANO63" s="352"/>
      <c r="ANP63" s="352"/>
      <c r="ANQ63" s="352"/>
      <c r="ANR63" s="352"/>
      <c r="ANS63" s="352"/>
      <c r="ANT63" s="352"/>
      <c r="ANU63" s="352"/>
      <c r="ANV63" s="352"/>
      <c r="ANW63" s="352"/>
      <c r="ANX63" s="352"/>
      <c r="ANY63" s="352"/>
      <c r="ANZ63" s="352"/>
      <c r="AOA63" s="352"/>
      <c r="AOB63" s="352"/>
      <c r="AOC63" s="352"/>
      <c r="AOD63" s="352"/>
      <c r="AOE63" s="7" t="s">
        <v>2397</v>
      </c>
      <c r="AOF63" s="159"/>
      <c r="AOG63" s="159"/>
      <c r="AOH63" s="159"/>
      <c r="AOI63" s="159"/>
      <c r="AOJ63" s="159"/>
      <c r="AOK63" s="159"/>
      <c r="AOL63" s="159"/>
      <c r="AOM63" s="159"/>
      <c r="AON63" s="159"/>
      <c r="AOO63" s="352" t="s">
        <v>2636</v>
      </c>
      <c r="AOP63" s="352"/>
      <c r="AOQ63" s="352"/>
      <c r="AOR63" s="352"/>
      <c r="AOS63" s="352"/>
      <c r="AOT63" s="352"/>
      <c r="AOU63" s="352"/>
      <c r="AOV63" s="352"/>
      <c r="AOW63" s="352"/>
      <c r="AOX63" s="352"/>
      <c r="AOY63" s="352"/>
      <c r="AOZ63" s="352"/>
      <c r="APA63" s="352"/>
      <c r="APB63" s="345" t="s">
        <v>2868</v>
      </c>
      <c r="APC63" s="345"/>
      <c r="APD63" s="352"/>
      <c r="APE63" s="352"/>
      <c r="APF63" s="352"/>
      <c r="APG63" s="352"/>
      <c r="APH63" s="352"/>
      <c r="API63" s="352"/>
      <c r="APJ63" s="352"/>
      <c r="APK63" s="7" t="s">
        <v>2397</v>
      </c>
      <c r="APL63" s="352" t="s">
        <v>2868</v>
      </c>
      <c r="APM63" s="352"/>
      <c r="APN63" s="352"/>
      <c r="APO63" s="352"/>
      <c r="APP63" s="352"/>
      <c r="APQ63" s="352"/>
      <c r="APR63" s="352"/>
      <c r="APS63" s="352"/>
      <c r="APT63" s="352"/>
      <c r="APU63" s="352"/>
      <c r="APV63" s="352"/>
      <c r="APW63" s="352"/>
      <c r="APX63" s="352"/>
      <c r="APY63" s="352"/>
      <c r="APZ63" s="352"/>
      <c r="AQA63" s="352"/>
      <c r="AQB63" s="352"/>
      <c r="AQC63" s="352"/>
      <c r="AQD63" s="352"/>
      <c r="AQE63" s="352"/>
      <c r="AQF63" s="352"/>
      <c r="AQG63" s="352"/>
      <c r="AQH63" s="352"/>
      <c r="AQI63" s="352"/>
      <c r="AQJ63" s="352"/>
      <c r="AQK63" s="352"/>
      <c r="AQL63" s="352"/>
      <c r="AQM63" s="352"/>
      <c r="AQN63" s="352"/>
      <c r="AQO63" s="352"/>
      <c r="AQP63" s="7" t="s">
        <v>2397</v>
      </c>
      <c r="AQQ63" s="352" t="s">
        <v>2868</v>
      </c>
      <c r="AQR63" s="352"/>
      <c r="AQS63" s="352"/>
      <c r="AQT63" s="352"/>
      <c r="AQU63" s="352"/>
      <c r="AQV63" s="352"/>
      <c r="AQW63" s="352"/>
      <c r="AQX63" s="159"/>
      <c r="AQY63" s="159"/>
      <c r="AQZ63" s="159"/>
      <c r="ARA63" s="159"/>
      <c r="ARB63" s="159"/>
      <c r="ARC63" s="159"/>
      <c r="ARD63" s="159"/>
      <c r="ARE63" s="159"/>
      <c r="ARF63" s="159"/>
      <c r="ARG63" s="352" t="s">
        <v>2868</v>
      </c>
      <c r="ARH63" s="352"/>
      <c r="ARI63" s="352"/>
      <c r="ARJ63" s="352"/>
      <c r="ARK63" s="352"/>
      <c r="ARL63" s="352"/>
      <c r="ARM63" s="352"/>
      <c r="ARN63" s="352"/>
      <c r="ARO63" s="352"/>
      <c r="ARP63" s="352"/>
      <c r="ARQ63" s="352"/>
      <c r="ARR63" s="352"/>
      <c r="ARS63" s="352"/>
      <c r="ART63" s="352"/>
      <c r="ARU63" s="352"/>
      <c r="ARV63" s="7" t="s">
        <v>2397</v>
      </c>
      <c r="ARW63" s="352" t="s">
        <v>2868</v>
      </c>
      <c r="ARX63" s="352"/>
      <c r="ARY63" s="352"/>
      <c r="ARZ63" s="352"/>
      <c r="ASA63" s="352"/>
      <c r="ASB63" s="352"/>
      <c r="ASC63" s="352"/>
      <c r="ASD63" s="352"/>
      <c r="ASE63" s="352"/>
      <c r="ASF63" s="352"/>
      <c r="ASG63" s="352"/>
      <c r="ASH63" s="352"/>
      <c r="ASI63" s="352"/>
      <c r="ASJ63" s="352"/>
      <c r="ASK63" s="352"/>
      <c r="ASL63" s="352"/>
      <c r="ASM63" s="352"/>
      <c r="ASN63" s="352"/>
      <c r="ASO63" s="352"/>
      <c r="ASP63" s="352"/>
      <c r="ASQ63" s="352"/>
      <c r="ASR63" s="352"/>
      <c r="ASS63" s="352"/>
      <c r="AST63" s="352"/>
      <c r="ASU63" s="352"/>
      <c r="ASV63" s="352"/>
      <c r="ASW63" s="352"/>
      <c r="ASX63" s="352"/>
      <c r="ASY63" s="352"/>
      <c r="ASZ63" s="345" t="s">
        <v>2693</v>
      </c>
      <c r="ATA63" s="345"/>
      <c r="ATB63" s="7" t="s">
        <v>2397</v>
      </c>
      <c r="ATC63" s="352" t="s">
        <v>2693</v>
      </c>
      <c r="ATD63" s="352"/>
      <c r="ATE63" s="352"/>
      <c r="ATF63" s="352"/>
      <c r="ATG63" s="352"/>
      <c r="ATH63" s="352"/>
      <c r="ATI63" s="352"/>
      <c r="ATJ63" s="352"/>
      <c r="ATK63" s="352"/>
      <c r="ATL63" s="352"/>
      <c r="ATM63" s="352"/>
      <c r="ATN63" s="352"/>
      <c r="ATO63" s="352"/>
      <c r="ATP63" s="352"/>
      <c r="ATQ63" s="352"/>
      <c r="ATR63" s="352"/>
      <c r="ATS63" s="352"/>
      <c r="ATT63" s="352"/>
      <c r="ATU63" s="352"/>
      <c r="ATV63" s="352"/>
      <c r="ATW63" s="352"/>
      <c r="ATX63" s="352"/>
      <c r="ATY63" s="352"/>
      <c r="ATZ63" s="352"/>
      <c r="AUA63" s="352"/>
      <c r="AUB63" s="352"/>
      <c r="AUC63" s="352"/>
      <c r="AUD63" s="352"/>
      <c r="AUE63" s="352"/>
      <c r="AUF63" s="352"/>
      <c r="AUG63" s="7" t="s">
        <v>2397</v>
      </c>
      <c r="AUH63" s="352" t="s">
        <v>2693</v>
      </c>
      <c r="AUI63" s="352"/>
      <c r="AUJ63" s="352"/>
      <c r="AUK63" s="352"/>
      <c r="AUL63" s="352"/>
      <c r="AUM63" s="352"/>
      <c r="AUN63" s="352"/>
      <c r="AUO63" s="352"/>
      <c r="AUP63" s="352"/>
      <c r="AUQ63" s="352"/>
      <c r="AUR63" s="352"/>
      <c r="AUS63" s="352"/>
      <c r="AUT63" s="352"/>
      <c r="AUU63" s="352"/>
      <c r="AUV63" s="352"/>
      <c r="AUW63" s="352"/>
      <c r="AUX63" s="352"/>
      <c r="AUY63" s="352"/>
      <c r="AUZ63" s="352"/>
      <c r="AVA63" s="352"/>
      <c r="AVB63" s="352"/>
      <c r="AVC63" s="352"/>
      <c r="AVD63" s="352"/>
      <c r="AVE63" s="352"/>
      <c r="AVF63" s="352"/>
      <c r="AVG63" s="352"/>
      <c r="AVH63" s="352"/>
      <c r="AVI63" s="352"/>
      <c r="AVJ63" s="352"/>
      <c r="AVK63" s="352"/>
      <c r="AVL63" s="352"/>
      <c r="AVM63" s="7" t="s">
        <v>2397</v>
      </c>
      <c r="AVN63" s="352" t="s">
        <v>2693</v>
      </c>
      <c r="AVO63" s="352"/>
      <c r="AVP63" s="352"/>
      <c r="AVQ63" s="352"/>
      <c r="AVR63" s="352"/>
      <c r="AVS63" s="352"/>
      <c r="AVT63" s="352"/>
      <c r="AVU63" s="352"/>
      <c r="AVV63" s="352"/>
      <c r="AVW63" s="352"/>
      <c r="AVX63" s="352"/>
      <c r="AVY63" s="352"/>
      <c r="AVZ63" s="352"/>
      <c r="AWA63" s="352"/>
      <c r="AWB63" s="352"/>
      <c r="AWC63" s="352"/>
      <c r="AWD63" s="352"/>
      <c r="AWE63" s="352"/>
      <c r="AWF63" s="352"/>
      <c r="AWG63" s="345" t="s">
        <v>2697</v>
      </c>
      <c r="AWH63" s="345"/>
      <c r="AWI63" s="352"/>
      <c r="AWJ63" s="352"/>
      <c r="AWK63" s="352"/>
      <c r="AWL63" s="352"/>
      <c r="AWM63" s="352"/>
      <c r="AWN63" s="352"/>
      <c r="AWO63" s="352"/>
      <c r="AWP63" s="352"/>
      <c r="AWQ63" s="352"/>
      <c r="AWR63" s="7" t="s">
        <v>2397</v>
      </c>
      <c r="AWS63" s="352" t="s">
        <v>2697</v>
      </c>
      <c r="AWT63" s="352"/>
      <c r="AWU63" s="352"/>
      <c r="AWV63" s="352"/>
      <c r="AWW63" s="352"/>
      <c r="AWX63" s="352"/>
      <c r="AWY63" s="352"/>
      <c r="AWZ63" s="352"/>
      <c r="AXA63" s="352"/>
      <c r="AXB63" s="352"/>
      <c r="AXC63" s="352"/>
      <c r="AXD63" s="352"/>
      <c r="AXE63" s="352"/>
      <c r="AXF63" s="352"/>
      <c r="AXG63" s="352"/>
      <c r="AXH63" s="352"/>
      <c r="AXI63" s="352"/>
      <c r="AXJ63" s="352"/>
      <c r="AXK63" s="352"/>
      <c r="AXL63" s="352"/>
      <c r="AXM63" s="352"/>
      <c r="AXN63" s="352"/>
      <c r="AXO63" s="352"/>
      <c r="AXP63" s="352"/>
      <c r="AXQ63" s="352"/>
      <c r="AXR63" s="352"/>
      <c r="AXS63" s="352"/>
      <c r="AXT63" s="352"/>
      <c r="AXU63" s="352"/>
      <c r="AXV63" s="352"/>
      <c r="AXW63" s="352"/>
      <c r="AXX63" s="7" t="s">
        <v>2397</v>
      </c>
    </row>
    <row r="64" spans="1:1324" s="136" customFormat="1" ht="22.8" customHeight="1" thickTop="1" x14ac:dyDescent="0.25">
      <c r="A64" s="711"/>
      <c r="B64" s="72"/>
      <c r="C64" s="136">
        <v>900</v>
      </c>
      <c r="D64" s="136">
        <v>900</v>
      </c>
      <c r="E64" s="136">
        <v>900</v>
      </c>
      <c r="F64" s="136">
        <v>900</v>
      </c>
      <c r="H64" s="136">
        <v>900</v>
      </c>
      <c r="I64" s="136">
        <v>900</v>
      </c>
      <c r="J64" s="136">
        <v>900</v>
      </c>
      <c r="K64" s="136">
        <v>900</v>
      </c>
      <c r="L64" s="136">
        <v>900</v>
      </c>
      <c r="M64" s="136">
        <v>900</v>
      </c>
      <c r="O64" s="136">
        <v>900</v>
      </c>
      <c r="P64" s="136">
        <v>900</v>
      </c>
      <c r="AH64" s="77"/>
      <c r="AI64" s="136">
        <v>681</v>
      </c>
      <c r="AQ64" s="731"/>
      <c r="AR64" s="732"/>
      <c r="AS64" s="732"/>
      <c r="AT64" s="732"/>
      <c r="AU64" s="732"/>
      <c r="AV64" s="732"/>
      <c r="AW64" s="732"/>
      <c r="AX64" s="732"/>
      <c r="AY64" s="732"/>
      <c r="AZ64" s="733"/>
      <c r="BM64" s="136">
        <v>12500</v>
      </c>
      <c r="BN64" s="76"/>
      <c r="BO64" s="136">
        <v>488</v>
      </c>
      <c r="BS64" s="136">
        <v>3457</v>
      </c>
      <c r="BV64" s="136">
        <v>1830</v>
      </c>
      <c r="CD64" s="136">
        <v>5800</v>
      </c>
      <c r="CE64" s="136">
        <v>1400</v>
      </c>
      <c r="CF64" s="136">
        <v>1400</v>
      </c>
      <c r="CG64" s="136">
        <v>1400</v>
      </c>
      <c r="CI64" s="136">
        <v>1400</v>
      </c>
      <c r="CJ64" s="136">
        <v>1400</v>
      </c>
      <c r="CK64" s="136">
        <v>1400</v>
      </c>
      <c r="CL64" s="136">
        <v>1400</v>
      </c>
      <c r="CM64" s="136">
        <v>1400</v>
      </c>
      <c r="CN64" s="136">
        <v>1400</v>
      </c>
      <c r="CP64" s="136">
        <v>1400</v>
      </c>
      <c r="CQ64" s="136">
        <v>1400</v>
      </c>
      <c r="CR64" s="136">
        <v>1400</v>
      </c>
      <c r="CS64" s="76"/>
      <c r="CT64" s="136">
        <v>1250</v>
      </c>
      <c r="CU64" s="136">
        <v>1250</v>
      </c>
      <c r="CV64" s="136">
        <v>1250</v>
      </c>
      <c r="CX64" s="136">
        <v>1250</v>
      </c>
      <c r="CY64" s="136">
        <v>1250</v>
      </c>
      <c r="CZ64" s="136">
        <v>1250</v>
      </c>
      <c r="DA64" s="136">
        <v>1250</v>
      </c>
      <c r="DB64" s="136">
        <v>1250</v>
      </c>
      <c r="DC64" s="136">
        <v>1250</v>
      </c>
      <c r="DE64" s="136">
        <v>940</v>
      </c>
      <c r="DF64" s="136">
        <v>1150</v>
      </c>
      <c r="DG64" s="136">
        <v>1150</v>
      </c>
      <c r="DH64" s="136">
        <v>250</v>
      </c>
      <c r="DI64" s="136">
        <v>500</v>
      </c>
      <c r="DJ64" s="136">
        <v>800</v>
      </c>
      <c r="DL64" s="136">
        <v>900</v>
      </c>
      <c r="DM64" s="136">
        <v>1000</v>
      </c>
      <c r="DN64" s="136">
        <v>693</v>
      </c>
      <c r="DQ64" s="136">
        <v>2740</v>
      </c>
      <c r="DX64" s="136">
        <v>5835</v>
      </c>
      <c r="DY64" s="76"/>
      <c r="EA64" s="136">
        <v>1000</v>
      </c>
      <c r="EB64" s="136">
        <v>1000</v>
      </c>
      <c r="EC64" s="137">
        <v>1050</v>
      </c>
      <c r="EE64" s="136">
        <v>260</v>
      </c>
      <c r="EF64" s="136">
        <v>780</v>
      </c>
      <c r="EH64" s="136">
        <v>900</v>
      </c>
      <c r="EI64" s="136">
        <v>1100</v>
      </c>
      <c r="EJ64" s="136">
        <v>920</v>
      </c>
      <c r="EK64" s="136">
        <v>1182</v>
      </c>
      <c r="EL64" s="136">
        <v>1200</v>
      </c>
      <c r="EM64" s="136">
        <v>1200</v>
      </c>
      <c r="EO64" s="136">
        <v>1251</v>
      </c>
      <c r="EP64" s="136">
        <v>306</v>
      </c>
      <c r="EQ64" s="136">
        <v>364</v>
      </c>
      <c r="ER64" s="136">
        <v>450</v>
      </c>
      <c r="ES64" s="136">
        <v>800</v>
      </c>
      <c r="ET64" s="136">
        <v>900</v>
      </c>
      <c r="EV64" s="136">
        <v>979</v>
      </c>
      <c r="EW64" s="136">
        <v>1082</v>
      </c>
      <c r="EX64" s="136">
        <v>1000</v>
      </c>
      <c r="EY64" s="136">
        <v>700</v>
      </c>
      <c r="EZ64" s="136">
        <v>400</v>
      </c>
      <c r="FA64" s="136">
        <v>750</v>
      </c>
      <c r="FC64" s="136">
        <v>1000</v>
      </c>
      <c r="FD64" s="76"/>
      <c r="FE64" s="137">
        <v>1247</v>
      </c>
      <c r="FF64" s="136">
        <v>360</v>
      </c>
      <c r="FG64" s="136">
        <v>940</v>
      </c>
      <c r="FH64" s="136">
        <v>1050</v>
      </c>
      <c r="FI64" s="136">
        <v>1100</v>
      </c>
      <c r="FJ64" s="136">
        <v>880</v>
      </c>
      <c r="FK64" s="136">
        <v>1040</v>
      </c>
      <c r="FL64" s="137">
        <v>900</v>
      </c>
      <c r="FM64" s="136">
        <f>178+270</f>
        <v>448</v>
      </c>
      <c r="FN64" s="136">
        <v>600</v>
      </c>
      <c r="FO64" s="136">
        <v>900</v>
      </c>
      <c r="FP64" s="136">
        <v>950</v>
      </c>
      <c r="FU64" s="136">
        <v>990</v>
      </c>
      <c r="FV64" s="136">
        <v>950</v>
      </c>
      <c r="FW64" s="136">
        <v>1200</v>
      </c>
      <c r="FX64" s="137">
        <v>1079</v>
      </c>
      <c r="FY64" s="136">
        <v>481</v>
      </c>
      <c r="FZ64" s="136">
        <v>800</v>
      </c>
      <c r="GA64" s="136">
        <v>940</v>
      </c>
      <c r="GB64" s="136">
        <v>950</v>
      </c>
      <c r="GC64" s="136">
        <v>950</v>
      </c>
      <c r="GD64" s="136">
        <v>950</v>
      </c>
      <c r="GF64" s="136">
        <v>950</v>
      </c>
      <c r="GG64" s="136">
        <v>950</v>
      </c>
      <c r="GH64" s="136">
        <v>950</v>
      </c>
      <c r="GI64" s="136">
        <v>950</v>
      </c>
      <c r="GJ64" s="76"/>
      <c r="GK64" s="137">
        <v>1100</v>
      </c>
      <c r="GL64" s="136">
        <v>990</v>
      </c>
      <c r="GN64" s="136">
        <v>980</v>
      </c>
      <c r="GO64" s="136">
        <v>1250</v>
      </c>
      <c r="GP64" s="136">
        <v>1150</v>
      </c>
      <c r="GQ64" s="136">
        <v>1150</v>
      </c>
      <c r="GR64" s="136">
        <v>1150</v>
      </c>
      <c r="GS64" s="136">
        <v>1150</v>
      </c>
      <c r="GU64" s="136">
        <v>920</v>
      </c>
      <c r="GV64" s="136">
        <v>1270</v>
      </c>
      <c r="GW64" s="136">
        <v>1270</v>
      </c>
      <c r="GX64" s="136">
        <v>1150</v>
      </c>
      <c r="GY64" s="136">
        <v>1150</v>
      </c>
      <c r="GZ64" s="137">
        <f>364+340</f>
        <v>704</v>
      </c>
      <c r="HB64" s="136">
        <v>900</v>
      </c>
      <c r="HC64" s="136">
        <v>1050</v>
      </c>
      <c r="HD64" s="136">
        <v>960</v>
      </c>
      <c r="HE64" s="137">
        <v>1059</v>
      </c>
      <c r="HF64" s="136">
        <v>900</v>
      </c>
      <c r="HG64" s="136">
        <v>1050</v>
      </c>
      <c r="HI64" s="136">
        <v>1210</v>
      </c>
      <c r="HJ64" s="137">
        <v>1124</v>
      </c>
      <c r="HK64" s="136">
        <v>820</v>
      </c>
      <c r="HL64" s="136">
        <v>1170</v>
      </c>
      <c r="HM64" s="136">
        <v>1200</v>
      </c>
      <c r="HN64" s="136">
        <v>960</v>
      </c>
      <c r="HP64" s="76"/>
      <c r="HQ64" s="136">
        <v>1250</v>
      </c>
      <c r="HR64" s="136">
        <v>1220</v>
      </c>
      <c r="HS64" s="136">
        <v>1200</v>
      </c>
      <c r="HT64" s="136">
        <v>1320</v>
      </c>
      <c r="HU64" s="136">
        <v>1100</v>
      </c>
      <c r="HV64" s="137">
        <v>965</v>
      </c>
      <c r="HX64" s="136">
        <v>640</v>
      </c>
      <c r="HY64" s="136">
        <v>1020</v>
      </c>
      <c r="HZ64" s="136">
        <v>1200</v>
      </c>
      <c r="IA64" s="136">
        <v>1380</v>
      </c>
      <c r="IB64" s="136">
        <v>1380</v>
      </c>
      <c r="IC64" s="136">
        <v>1430</v>
      </c>
      <c r="IE64" s="136">
        <v>1380</v>
      </c>
      <c r="IF64" s="136">
        <v>1430</v>
      </c>
      <c r="IG64" s="136">
        <v>1430</v>
      </c>
      <c r="IH64" s="136">
        <v>1380</v>
      </c>
      <c r="II64" s="136">
        <v>1380</v>
      </c>
      <c r="IJ64" s="136">
        <v>1400</v>
      </c>
      <c r="IL64" s="136">
        <v>1430</v>
      </c>
      <c r="IM64" s="136">
        <v>1430</v>
      </c>
      <c r="IN64" s="136">
        <v>1380</v>
      </c>
      <c r="IO64" s="136">
        <v>1380</v>
      </c>
      <c r="IP64" s="136">
        <v>1380</v>
      </c>
      <c r="IQ64" s="137">
        <v>1209</v>
      </c>
      <c r="IS64" s="136">
        <v>1000</v>
      </c>
      <c r="IT64" s="76"/>
      <c r="IU64" s="136">
        <v>1320</v>
      </c>
      <c r="IV64" s="136">
        <v>1430</v>
      </c>
      <c r="IW64" s="136">
        <v>1430</v>
      </c>
      <c r="IX64" s="136">
        <v>1480</v>
      </c>
      <c r="IY64" s="136">
        <v>1430</v>
      </c>
      <c r="JA64" s="136">
        <v>1160</v>
      </c>
      <c r="JB64" s="136">
        <v>1300</v>
      </c>
      <c r="JC64" s="136">
        <v>1430</v>
      </c>
      <c r="JD64" s="137">
        <f>669+50</f>
        <v>719</v>
      </c>
      <c r="JE64" s="136">
        <v>680</v>
      </c>
      <c r="JF64" s="136">
        <v>800</v>
      </c>
      <c r="JG64" s="136">
        <v>900</v>
      </c>
      <c r="JH64" s="137">
        <f>670+200</f>
        <v>870</v>
      </c>
      <c r="JI64" s="136">
        <v>800</v>
      </c>
      <c r="JJ64" s="136">
        <v>900</v>
      </c>
      <c r="JL64" s="136">
        <v>570</v>
      </c>
      <c r="JM64" s="136">
        <v>600</v>
      </c>
      <c r="JO64" s="136">
        <v>880</v>
      </c>
      <c r="JP64" s="136">
        <v>960</v>
      </c>
      <c r="JQ64" s="136">
        <v>850</v>
      </c>
      <c r="JR64" s="136">
        <v>900</v>
      </c>
      <c r="JS64" s="136">
        <v>960</v>
      </c>
      <c r="JV64" s="278"/>
      <c r="JW64" s="173"/>
      <c r="JX64" s="173"/>
      <c r="JY64" s="173"/>
      <c r="JZ64" s="283"/>
      <c r="KA64" s="173"/>
      <c r="KB64" s="173"/>
      <c r="KC64" s="173"/>
      <c r="KD64" s="173"/>
      <c r="KE64" s="173"/>
      <c r="KF64" s="173"/>
      <c r="KG64" s="173"/>
      <c r="KH64" s="173"/>
      <c r="KI64" s="173"/>
      <c r="KJ64" s="173"/>
      <c r="KK64" s="173"/>
      <c r="KL64" s="173"/>
      <c r="KM64" s="173"/>
      <c r="KN64" s="173"/>
      <c r="KO64" s="173"/>
      <c r="KP64" s="173"/>
      <c r="KQ64" s="173"/>
      <c r="KR64" s="173"/>
      <c r="KS64" s="173"/>
      <c r="KT64" s="173"/>
      <c r="KU64" s="173"/>
      <c r="KV64" s="173"/>
      <c r="KW64" s="173"/>
      <c r="KX64" s="173"/>
      <c r="KY64" s="280"/>
      <c r="LE64" s="76"/>
      <c r="LH64" s="136">
        <v>600</v>
      </c>
      <c r="LI64" s="136">
        <v>800</v>
      </c>
      <c r="LJ64" s="136">
        <v>880</v>
      </c>
      <c r="LK64" s="136">
        <v>880</v>
      </c>
      <c r="LL64" s="137">
        <v>920</v>
      </c>
      <c r="LN64" s="136">
        <v>920</v>
      </c>
      <c r="LO64" s="136">
        <f>900+20</f>
        <v>920</v>
      </c>
      <c r="LP64" s="136">
        <f>900+20</f>
        <v>920</v>
      </c>
      <c r="LQ64" s="136">
        <v>900</v>
      </c>
      <c r="LR64" s="136">
        <v>920</v>
      </c>
      <c r="LS64" s="136">
        <v>960</v>
      </c>
      <c r="LU64" s="136">
        <v>960</v>
      </c>
      <c r="LV64" s="137">
        <v>887</v>
      </c>
      <c r="LW64" s="136">
        <v>608</v>
      </c>
      <c r="LX64" s="137">
        <v>983</v>
      </c>
      <c r="LY64" s="136">
        <v>500</v>
      </c>
      <c r="LZ64" s="136">
        <v>610</v>
      </c>
      <c r="MA64" s="137">
        <f>198+160</f>
        <v>358</v>
      </c>
      <c r="MB64" s="716"/>
      <c r="MC64" s="717"/>
      <c r="MD64" s="717"/>
      <c r="ME64" s="718"/>
      <c r="MF64" s="136">
        <v>580</v>
      </c>
      <c r="MG64" s="136">
        <v>850</v>
      </c>
      <c r="MI64" s="136">
        <v>1000</v>
      </c>
      <c r="MJ64" s="136">
        <f>579+420</f>
        <v>999</v>
      </c>
      <c r="MK64" s="290"/>
      <c r="ML64" s="136">
        <v>1210</v>
      </c>
      <c r="MM64" s="136">
        <v>1320</v>
      </c>
      <c r="MN64" s="315">
        <v>1100</v>
      </c>
      <c r="MO64" s="314">
        <v>1320</v>
      </c>
      <c r="MP64" s="314"/>
      <c r="MQ64" s="314">
        <f>972+240</f>
        <v>1212</v>
      </c>
      <c r="MR64" s="314">
        <v>1210</v>
      </c>
      <c r="MS64" s="314">
        <v>1100</v>
      </c>
      <c r="MT64" s="136">
        <v>1320</v>
      </c>
      <c r="MU64" s="136">
        <v>1200</v>
      </c>
      <c r="MV64" s="136">
        <v>1320</v>
      </c>
      <c r="MX64" s="136">
        <v>1210</v>
      </c>
      <c r="MY64" s="315">
        <v>1003</v>
      </c>
      <c r="MZ64" s="136">
        <v>770</v>
      </c>
      <c r="NA64" s="365">
        <v>1239</v>
      </c>
      <c r="NB64" s="314">
        <v>400</v>
      </c>
      <c r="NC64" s="136">
        <v>770</v>
      </c>
      <c r="ND64" s="314"/>
      <c r="NE64" s="314">
        <v>880</v>
      </c>
      <c r="NF64" s="314">
        <v>1030</v>
      </c>
      <c r="NG64" s="136">
        <v>1000</v>
      </c>
      <c r="NH64" s="136">
        <v>1050</v>
      </c>
      <c r="NI64" s="314">
        <v>1000</v>
      </c>
      <c r="NJ64" s="136">
        <v>1100</v>
      </c>
      <c r="NL64" s="136">
        <v>800</v>
      </c>
      <c r="NM64" s="365">
        <f>539+81</f>
        <v>620</v>
      </c>
      <c r="NN64" s="136">
        <v>800</v>
      </c>
      <c r="NO64" s="136">
        <v>1100</v>
      </c>
      <c r="NP64" s="76"/>
      <c r="NQ64" s="314">
        <v>1150</v>
      </c>
      <c r="NR64" s="314">
        <v>1200</v>
      </c>
      <c r="NT64" s="136">
        <v>1200</v>
      </c>
      <c r="NU64" s="136">
        <v>1100</v>
      </c>
      <c r="NV64" s="365">
        <f>273+380</f>
        <v>653</v>
      </c>
      <c r="NW64" s="136">
        <v>800</v>
      </c>
      <c r="NX64" s="136">
        <v>1000</v>
      </c>
      <c r="NY64" s="136">
        <v>1100</v>
      </c>
      <c r="NZ64" s="314"/>
      <c r="OA64" s="365">
        <f>124+450</f>
        <v>574</v>
      </c>
      <c r="OB64" s="314">
        <v>960</v>
      </c>
      <c r="OC64" s="136">
        <v>1250</v>
      </c>
      <c r="OD64" s="314">
        <v>1320</v>
      </c>
      <c r="OE64" s="314">
        <f>738+320</f>
        <v>1058</v>
      </c>
      <c r="OF64" s="314">
        <v>1320</v>
      </c>
      <c r="OG64" s="314"/>
      <c r="OH64" s="314">
        <v>1500</v>
      </c>
      <c r="OI64" s="314">
        <v>1500</v>
      </c>
      <c r="OJ64" s="314">
        <v>1500</v>
      </c>
      <c r="OK64" s="314">
        <v>1320</v>
      </c>
      <c r="OL64" s="136">
        <v>1380</v>
      </c>
      <c r="OM64" s="365">
        <v>1148</v>
      </c>
      <c r="ON64" s="136">
        <v>330</v>
      </c>
      <c r="OO64" s="136">
        <v>1100</v>
      </c>
      <c r="OP64" s="136">
        <v>1430</v>
      </c>
      <c r="OQ64" s="314">
        <v>1450</v>
      </c>
      <c r="OR64" s="136">
        <v>1550</v>
      </c>
      <c r="OS64" s="136">
        <v>1200</v>
      </c>
      <c r="OT64" s="724"/>
      <c r="OU64" s="725"/>
      <c r="OV64" s="305"/>
      <c r="OW64" s="740"/>
      <c r="OX64" s="741"/>
      <c r="OY64" s="741"/>
      <c r="OZ64" s="741"/>
      <c r="PA64" s="741"/>
      <c r="PB64" s="741"/>
      <c r="PC64" s="742"/>
      <c r="PD64" s="136">
        <v>1500</v>
      </c>
      <c r="PE64" s="136">
        <v>1600</v>
      </c>
      <c r="PF64" s="136">
        <v>1800</v>
      </c>
      <c r="PG64" s="314">
        <v>1760</v>
      </c>
      <c r="PH64" s="314">
        <v>1760</v>
      </c>
      <c r="PI64" s="314">
        <v>1760</v>
      </c>
      <c r="PJ64" s="314"/>
      <c r="PK64" s="314"/>
      <c r="PL64" s="314">
        <v>1600</v>
      </c>
      <c r="PM64" s="314">
        <v>1600</v>
      </c>
      <c r="PN64" s="314">
        <v>1650</v>
      </c>
      <c r="PO64" s="314">
        <v>1650</v>
      </c>
      <c r="PP64" s="365">
        <f>634+334</f>
        <v>968</v>
      </c>
      <c r="PR64" s="173">
        <f>316+24+0</f>
        <v>340</v>
      </c>
      <c r="PS64" s="314">
        <v>280</v>
      </c>
      <c r="PT64" s="136">
        <v>900</v>
      </c>
      <c r="PU64" s="136">
        <v>1050</v>
      </c>
      <c r="PV64" s="136">
        <v>820</v>
      </c>
      <c r="PW64" s="314">
        <v>1200</v>
      </c>
      <c r="PY64" s="136">
        <v>1000</v>
      </c>
      <c r="PZ64" s="136">
        <f>982+18</f>
        <v>1000</v>
      </c>
      <c r="QA64" s="136">
        <v>557</v>
      </c>
      <c r="QB64" s="76"/>
      <c r="QC64" s="136">
        <v>1000</v>
      </c>
      <c r="QD64" s="136">
        <v>950</v>
      </c>
      <c r="QE64" s="136">
        <v>1100</v>
      </c>
      <c r="QG64" s="136">
        <v>1030</v>
      </c>
      <c r="QH64" s="365">
        <f>766+100</f>
        <v>866</v>
      </c>
      <c r="QI64" s="314">
        <f>224+500</f>
        <v>724</v>
      </c>
      <c r="QJ64" s="136">
        <v>880</v>
      </c>
      <c r="QK64" s="136">
        <v>1100</v>
      </c>
      <c r="QL64" s="136">
        <v>1270</v>
      </c>
      <c r="QM64" s="365">
        <f>623+35+150</f>
        <v>808</v>
      </c>
      <c r="QN64" s="136">
        <v>990</v>
      </c>
      <c r="QO64" s="136">
        <v>1210</v>
      </c>
      <c r="QQ64" s="136">
        <v>1200</v>
      </c>
      <c r="QR64" s="136">
        <v>1108</v>
      </c>
      <c r="QS64" s="136">
        <v>580</v>
      </c>
      <c r="QU64" s="314">
        <v>1000</v>
      </c>
      <c r="QV64" s="365">
        <f>372+600</f>
        <v>972</v>
      </c>
      <c r="QW64" s="365">
        <v>936</v>
      </c>
      <c r="QX64" s="314">
        <v>1020</v>
      </c>
      <c r="QY64" s="136">
        <v>1200</v>
      </c>
      <c r="QZ64" s="314">
        <v>1200</v>
      </c>
      <c r="RB64" s="365">
        <f>921+40</f>
        <v>961</v>
      </c>
      <c r="RC64" s="136">
        <v>600</v>
      </c>
      <c r="RD64" s="314">
        <v>840</v>
      </c>
      <c r="RE64" s="365">
        <f>564+50</f>
        <v>614</v>
      </c>
      <c r="RF64" s="136">
        <v>820</v>
      </c>
      <c r="RG64" s="76"/>
      <c r="RH64" s="314">
        <v>1370</v>
      </c>
      <c r="RJ64" s="314">
        <v>1430</v>
      </c>
      <c r="RK64" s="314">
        <v>1430</v>
      </c>
      <c r="RL64" s="314">
        <v>1430</v>
      </c>
      <c r="RM64" s="314">
        <v>1430</v>
      </c>
      <c r="RN64" s="314">
        <v>1390</v>
      </c>
      <c r="RP64" s="314">
        <v>1300</v>
      </c>
      <c r="RQ64" s="314">
        <v>1430</v>
      </c>
      <c r="RR64" s="314">
        <v>1320</v>
      </c>
      <c r="RS64" s="136">
        <v>1430</v>
      </c>
      <c r="RT64" s="365">
        <f>231+316</f>
        <v>547</v>
      </c>
      <c r="RU64" s="136">
        <v>780</v>
      </c>
      <c r="RV64" s="314">
        <v>860</v>
      </c>
      <c r="RX64" s="136">
        <f>147+860</f>
        <v>1007</v>
      </c>
      <c r="RY64" s="136">
        <f>338+630</f>
        <v>968</v>
      </c>
      <c r="RZ64" s="136">
        <v>1460</v>
      </c>
      <c r="SA64" s="136">
        <v>1540</v>
      </c>
      <c r="SB64" s="136">
        <v>1590</v>
      </c>
      <c r="SC64" s="136">
        <v>1710</v>
      </c>
      <c r="SE64" s="136">
        <v>1650</v>
      </c>
      <c r="SF64" s="314">
        <v>1650</v>
      </c>
      <c r="SG64" s="314">
        <v>1660</v>
      </c>
      <c r="SH64" s="314">
        <v>1870</v>
      </c>
      <c r="SI64" s="314">
        <v>1870</v>
      </c>
      <c r="SJ64" s="136">
        <v>1400</v>
      </c>
      <c r="SL64" s="136">
        <v>459</v>
      </c>
      <c r="SM64" s="76"/>
      <c r="SN64" s="365">
        <f>472+10</f>
        <v>482</v>
      </c>
      <c r="SO64" s="136">
        <v>590</v>
      </c>
      <c r="SP64" s="365">
        <v>779</v>
      </c>
      <c r="SQ64" s="136">
        <v>660</v>
      </c>
      <c r="SR64" s="136">
        <v>1000</v>
      </c>
      <c r="SS64" s="136">
        <v>1210</v>
      </c>
      <c r="ST64" s="136">
        <f>223+220</f>
        <v>443</v>
      </c>
      <c r="SU64" s="136">
        <v>770</v>
      </c>
      <c r="SV64" s="314"/>
      <c r="SW64" s="136">
        <v>870</v>
      </c>
      <c r="SX64" s="136">
        <f>261+500</f>
        <v>761</v>
      </c>
      <c r="SY64" s="136">
        <f>1100+1</f>
        <v>1101</v>
      </c>
      <c r="TA64" s="136">
        <f>531+520</f>
        <v>1051</v>
      </c>
      <c r="TB64" s="136">
        <v>1000</v>
      </c>
      <c r="TC64" s="136">
        <v>1220</v>
      </c>
      <c r="TD64" s="365">
        <v>1335</v>
      </c>
      <c r="TE64" s="314">
        <v>720</v>
      </c>
      <c r="TF64" s="314">
        <v>920</v>
      </c>
      <c r="TG64" s="314"/>
      <c r="TH64" s="314">
        <v>920</v>
      </c>
      <c r="TI64" s="314">
        <f>307+268+70</f>
        <v>645</v>
      </c>
      <c r="TJ64" s="314">
        <v>800</v>
      </c>
      <c r="TK64" s="314">
        <v>1130</v>
      </c>
      <c r="TL64" s="314">
        <v>1320</v>
      </c>
      <c r="TM64" s="314">
        <f>1100+21</f>
        <v>1121</v>
      </c>
      <c r="TN64" s="314"/>
      <c r="TO64" s="365">
        <f>87+670</f>
        <v>757</v>
      </c>
      <c r="TP64" s="136">
        <f>12+970</f>
        <v>982</v>
      </c>
      <c r="TQ64" s="136">
        <v>880</v>
      </c>
      <c r="TR64" s="76"/>
      <c r="TS64" s="314">
        <v>1100</v>
      </c>
      <c r="TT64" s="136">
        <f>673+310</f>
        <v>983</v>
      </c>
      <c r="TU64" s="314">
        <f>700+270+24</f>
        <v>994</v>
      </c>
      <c r="TV64" s="314"/>
      <c r="TW64" s="314">
        <v>1100</v>
      </c>
      <c r="TX64" s="314">
        <v>1204</v>
      </c>
      <c r="TY64" s="314">
        <v>850</v>
      </c>
      <c r="TZ64" s="136">
        <v>1100</v>
      </c>
      <c r="UA64" s="365">
        <v>1070</v>
      </c>
      <c r="UB64" s="136">
        <f>134+760</f>
        <v>894</v>
      </c>
      <c r="UC64" s="136">
        <v>900</v>
      </c>
      <c r="UD64" s="136">
        <v>1210</v>
      </c>
      <c r="UE64" s="136">
        <f>791+160</f>
        <v>951</v>
      </c>
      <c r="UF64" s="314">
        <f>680+274</f>
        <v>954</v>
      </c>
      <c r="UG64" s="314">
        <v>800</v>
      </c>
      <c r="UH64" s="314"/>
      <c r="UK64" s="136">
        <f>450+630</f>
        <v>1080</v>
      </c>
      <c r="UL64" s="136">
        <v>1040</v>
      </c>
      <c r="UM64" s="314">
        <f>448+300</f>
        <v>748</v>
      </c>
      <c r="UN64" s="314">
        <v>770</v>
      </c>
      <c r="UO64" s="314">
        <v>1100</v>
      </c>
      <c r="UP64" s="314">
        <f>62+740</f>
        <v>802</v>
      </c>
      <c r="UR64" s="136">
        <v>1050</v>
      </c>
      <c r="US64" s="136">
        <f>718+240</f>
        <v>958</v>
      </c>
      <c r="UT64" s="136">
        <v>1100</v>
      </c>
      <c r="UU64" s="136">
        <v>1100</v>
      </c>
      <c r="UV64" s="136">
        <v>1100</v>
      </c>
      <c r="UW64" s="136">
        <f>246+276</f>
        <v>522</v>
      </c>
      <c r="UX64" s="76"/>
      <c r="UY64" s="314"/>
      <c r="UZ64" s="136">
        <v>582</v>
      </c>
      <c r="VA64" s="136">
        <v>820</v>
      </c>
      <c r="VB64" s="136">
        <v>1120</v>
      </c>
      <c r="VC64" s="136">
        <v>1200</v>
      </c>
      <c r="VD64" s="136">
        <f>473+330</f>
        <v>803</v>
      </c>
      <c r="VE64" s="314">
        <v>1043</v>
      </c>
      <c r="VG64" s="314">
        <f>990+15</f>
        <v>1005</v>
      </c>
      <c r="VH64" s="314">
        <f>764+180</f>
        <v>944</v>
      </c>
      <c r="VI64" s="314">
        <v>990</v>
      </c>
      <c r="VJ64" s="314">
        <v>1040</v>
      </c>
      <c r="VK64" s="314">
        <f>728+320</f>
        <v>1048</v>
      </c>
      <c r="VL64" s="314">
        <f>330+83</f>
        <v>413</v>
      </c>
      <c r="VN64" s="136">
        <f>418+510</f>
        <v>928</v>
      </c>
      <c r="VO64" s="314">
        <f>220+311+340</f>
        <v>871</v>
      </c>
      <c r="VP64" s="314">
        <v>1100</v>
      </c>
      <c r="VQ64" s="314">
        <v>1100</v>
      </c>
      <c r="VR64" s="314">
        <v>1100</v>
      </c>
      <c r="VS64" s="136">
        <f>639+360</f>
        <v>999</v>
      </c>
      <c r="VU64" s="314">
        <v>1170</v>
      </c>
      <c r="VV64" s="314">
        <v>1150</v>
      </c>
      <c r="VW64" s="314">
        <v>1070</v>
      </c>
      <c r="VX64" s="365">
        <f>327+500</f>
        <v>827</v>
      </c>
      <c r="VY64" s="136">
        <v>1000</v>
      </c>
      <c r="VZ64" s="136">
        <f>776+180</f>
        <v>956</v>
      </c>
      <c r="WB64" s="136">
        <v>1000</v>
      </c>
      <c r="WC64" s="136">
        <f>988+10</f>
        <v>998</v>
      </c>
      <c r="WD64" s="76"/>
      <c r="WE64" s="136">
        <v>880</v>
      </c>
      <c r="WF64" s="314">
        <v>1100</v>
      </c>
      <c r="WG64" s="314">
        <f>34+272+690</f>
        <v>996</v>
      </c>
      <c r="WH64" s="314">
        <v>1100</v>
      </c>
      <c r="WJ64" s="136">
        <f>861+60</f>
        <v>921</v>
      </c>
      <c r="WK64" s="136">
        <v>1100</v>
      </c>
      <c r="WL64" s="136">
        <v>1210</v>
      </c>
      <c r="WM64" s="136">
        <f>132+740</f>
        <v>872</v>
      </c>
      <c r="WN64" s="136">
        <v>1100</v>
      </c>
      <c r="WO64" s="136">
        <v>1210</v>
      </c>
      <c r="WP64" s="136">
        <f>546+0</f>
        <v>546</v>
      </c>
      <c r="WQ64" s="136">
        <f>293+400</f>
        <v>693</v>
      </c>
      <c r="WR64" s="314">
        <v>1320</v>
      </c>
      <c r="WS64" s="136">
        <v>1280</v>
      </c>
      <c r="WT64" s="136">
        <v>1430</v>
      </c>
      <c r="WU64" s="136">
        <v>1430</v>
      </c>
      <c r="WV64" s="136">
        <v>910</v>
      </c>
      <c r="WX64" s="314"/>
      <c r="WZ64" s="572">
        <v>1250</v>
      </c>
      <c r="XA64" s="314">
        <f>155+352+280</f>
        <v>787</v>
      </c>
      <c r="XB64" s="314">
        <v>1000</v>
      </c>
      <c r="XC64" s="314">
        <v>1430</v>
      </c>
      <c r="XE64" s="314">
        <f>123+1000</f>
        <v>1123</v>
      </c>
      <c r="XF64" s="314">
        <v>1150</v>
      </c>
      <c r="XG64" s="76"/>
      <c r="XH64" s="124">
        <f>568+0</f>
        <v>568</v>
      </c>
      <c r="XI64" s="314">
        <v>1100</v>
      </c>
      <c r="XJ64" s="314">
        <v>1210</v>
      </c>
      <c r="XK64" s="314">
        <v>1320</v>
      </c>
      <c r="XM64" s="314">
        <v>1320</v>
      </c>
      <c r="XN64" s="314">
        <v>1320</v>
      </c>
      <c r="XO64" s="314">
        <v>1380</v>
      </c>
      <c r="XP64" s="124">
        <f>648+732</f>
        <v>1380</v>
      </c>
      <c r="XQ64" s="314">
        <v>1380</v>
      </c>
      <c r="XR64" s="314">
        <f>910+300</f>
        <v>1210</v>
      </c>
      <c r="XS64" s="178"/>
      <c r="XT64" s="314">
        <v>1380</v>
      </c>
      <c r="XU64" s="314">
        <v>1380</v>
      </c>
      <c r="XV64" s="314">
        <v>1380</v>
      </c>
      <c r="XW64" s="314">
        <v>1133</v>
      </c>
      <c r="XX64" s="124">
        <f>30+30+760</f>
        <v>820</v>
      </c>
      <c r="XY64" s="314">
        <v>1150</v>
      </c>
      <c r="XZ64" s="314">
        <v>1200</v>
      </c>
      <c r="YA64" s="314">
        <v>1430</v>
      </c>
      <c r="YB64" s="314">
        <v>1430</v>
      </c>
      <c r="YC64" s="314">
        <v>1510</v>
      </c>
      <c r="YD64" s="314">
        <v>1430</v>
      </c>
      <c r="YE64" s="314">
        <v>1430</v>
      </c>
      <c r="YF64" s="314">
        <v>1430</v>
      </c>
      <c r="YG64" s="173"/>
      <c r="YH64" s="314">
        <v>1320</v>
      </c>
      <c r="YI64" s="314">
        <v>1430</v>
      </c>
      <c r="YJ64" s="314">
        <v>1300</v>
      </c>
      <c r="YK64" s="314"/>
      <c r="YL64" s="314">
        <v>1320</v>
      </c>
      <c r="YM64" s="76"/>
      <c r="YN64" s="136">
        <v>1490</v>
      </c>
      <c r="YO64" s="314"/>
      <c r="YP64" s="314">
        <v>1490</v>
      </c>
      <c r="YQ64" s="314">
        <v>1310</v>
      </c>
      <c r="YR64" s="314">
        <v>1200</v>
      </c>
      <c r="YS64" s="314">
        <v>1500</v>
      </c>
      <c r="YT64" s="314">
        <v>1430</v>
      </c>
      <c r="YU64" s="314">
        <v>1430</v>
      </c>
      <c r="YW64" s="314">
        <v>1430</v>
      </c>
      <c r="YX64" s="314">
        <v>1430</v>
      </c>
      <c r="YY64" s="314">
        <v>1430</v>
      </c>
      <c r="YZ64" s="314">
        <v>1300</v>
      </c>
      <c r="ZA64" s="314"/>
      <c r="ZB64" s="136">
        <v>1170</v>
      </c>
      <c r="ZD64" s="314">
        <v>1170</v>
      </c>
      <c r="ZE64" s="314">
        <v>1170</v>
      </c>
      <c r="ZF64" s="314">
        <v>1220</v>
      </c>
      <c r="ZG64" s="314">
        <v>1220</v>
      </c>
      <c r="ZH64" s="124">
        <f>534+150</f>
        <v>684</v>
      </c>
      <c r="ZI64" s="136">
        <v>900</v>
      </c>
      <c r="ZK64" s="136">
        <v>1170</v>
      </c>
      <c r="ZL64" s="136">
        <v>1260</v>
      </c>
      <c r="ZM64" s="136">
        <v>1300</v>
      </c>
      <c r="ZN64" s="136">
        <v>1350</v>
      </c>
      <c r="ZO64" s="314">
        <v>1440</v>
      </c>
      <c r="ZP64" s="136">
        <v>1450</v>
      </c>
      <c r="ZR64" s="72"/>
      <c r="ZS64" s="320"/>
      <c r="ZT64" s="124">
        <v>1313</v>
      </c>
      <c r="ZU64" s="124">
        <f>3+290+40</f>
        <v>333</v>
      </c>
      <c r="ZV64" s="173">
        <f>244+15+15+24</f>
        <v>298</v>
      </c>
      <c r="ZW64" s="136">
        <v>430</v>
      </c>
      <c r="ZX64" s="314">
        <v>1050</v>
      </c>
      <c r="ZY64" s="314"/>
      <c r="ZZ64" s="314">
        <v>1080</v>
      </c>
      <c r="AAA64" s="314">
        <v>1080</v>
      </c>
      <c r="AAB64" s="314">
        <v>1170</v>
      </c>
      <c r="AAC64" s="314">
        <v>1170</v>
      </c>
      <c r="AAD64" s="314">
        <v>1000</v>
      </c>
      <c r="AAE64" s="777"/>
      <c r="AAF64" s="705"/>
      <c r="AAG64" s="705"/>
      <c r="AAH64" s="705"/>
      <c r="AAI64" s="778"/>
      <c r="AAJ64" s="314">
        <v>1180</v>
      </c>
      <c r="AAK64" s="314">
        <v>1350</v>
      </c>
      <c r="AAL64" s="124">
        <f>1240+110</f>
        <v>1350</v>
      </c>
      <c r="AAM64" s="314">
        <v>1120</v>
      </c>
      <c r="AAN64" s="314">
        <v>1400</v>
      </c>
      <c r="AAO64" s="314">
        <v>1400</v>
      </c>
      <c r="AAP64" s="314">
        <v>1470</v>
      </c>
      <c r="AAQ64" s="314">
        <v>1400</v>
      </c>
      <c r="AAR64" s="314">
        <v>1450</v>
      </c>
      <c r="AAS64" s="124">
        <f>160+1090</f>
        <v>1250</v>
      </c>
      <c r="AAT64" s="314"/>
      <c r="AAU64" s="136">
        <v>1250</v>
      </c>
      <c r="AAV64" s="136">
        <v>1080</v>
      </c>
      <c r="AAW64" s="136">
        <v>1040</v>
      </c>
      <c r="AAX64" s="76"/>
      <c r="AAY64" s="136">
        <v>1500</v>
      </c>
      <c r="AAZ64" s="136">
        <v>1540</v>
      </c>
      <c r="ABA64" s="124">
        <f>1035+380</f>
        <v>1415</v>
      </c>
      <c r="ABC64" s="136">
        <v>1250</v>
      </c>
      <c r="ABD64" s="136">
        <v>1470</v>
      </c>
      <c r="ABE64" s="136">
        <v>1450</v>
      </c>
      <c r="ABF64" s="136">
        <v>1480</v>
      </c>
      <c r="ABG64" s="136">
        <v>1360</v>
      </c>
      <c r="ABH64" s="314">
        <v>1400</v>
      </c>
      <c r="ABJ64" s="209">
        <f>157+1150</f>
        <v>1307</v>
      </c>
      <c r="ABK64" s="314">
        <v>1400</v>
      </c>
      <c r="ABL64" s="136">
        <v>1430</v>
      </c>
      <c r="ABM64" s="136">
        <v>1400</v>
      </c>
      <c r="ABN64" s="136">
        <v>1410</v>
      </c>
      <c r="ABO64" s="314">
        <v>1540</v>
      </c>
      <c r="ABP64" s="314">
        <v>1080</v>
      </c>
      <c r="ABQ64" s="314">
        <v>1500</v>
      </c>
      <c r="ABR64" s="314">
        <v>1500</v>
      </c>
      <c r="ABS64" s="314">
        <v>1500</v>
      </c>
      <c r="ABT64" s="314">
        <v>1480</v>
      </c>
      <c r="ABU64" s="314">
        <v>1400</v>
      </c>
      <c r="ABV64" s="124">
        <f>590+820</f>
        <v>1410</v>
      </c>
      <c r="ABX64" s="314">
        <v>1430</v>
      </c>
      <c r="ABY64" s="314">
        <v>1480</v>
      </c>
      <c r="ABZ64" s="314">
        <v>1450</v>
      </c>
      <c r="ACA64" s="314">
        <v>1400</v>
      </c>
      <c r="ACB64" s="314">
        <v>1200</v>
      </c>
      <c r="ACC64" s="72"/>
      <c r="ACD64" s="314">
        <v>1400</v>
      </c>
      <c r="ACE64" s="314">
        <v>1260</v>
      </c>
      <c r="ACF64" s="314">
        <v>1500</v>
      </c>
      <c r="ACG64" s="314">
        <v>1480</v>
      </c>
      <c r="ACH64" s="314">
        <v>1500</v>
      </c>
      <c r="ACI64" s="314">
        <v>1500</v>
      </c>
      <c r="ACJ64" s="314">
        <v>1400</v>
      </c>
      <c r="ACK64" s="314">
        <v>1500</v>
      </c>
      <c r="ACM64" s="314">
        <v>1450</v>
      </c>
      <c r="ACN64" s="314">
        <v>1480</v>
      </c>
      <c r="ACO64" s="314">
        <v>1500</v>
      </c>
      <c r="ACP64" s="314">
        <v>1500</v>
      </c>
      <c r="ACQ64" s="314">
        <v>1450</v>
      </c>
      <c r="ACR64" s="314">
        <v>1450</v>
      </c>
      <c r="ACS64" s="314">
        <v>1200</v>
      </c>
      <c r="ACT64" s="314">
        <v>1450</v>
      </c>
      <c r="ACU64" s="136">
        <v>1380</v>
      </c>
      <c r="ACV64" s="136">
        <v>890</v>
      </c>
      <c r="ACW64" s="785"/>
      <c r="ACX64" s="786"/>
      <c r="ACY64" s="786"/>
      <c r="ACZ64" s="786"/>
      <c r="ADA64" s="786"/>
      <c r="ADB64" s="786"/>
      <c r="ADC64" s="786"/>
      <c r="ADD64" s="786"/>
      <c r="ADE64" s="786"/>
      <c r="ADF64" s="786"/>
      <c r="ADG64" s="787"/>
      <c r="ADH64" s="314"/>
      <c r="ADI64" s="72"/>
      <c r="ADJ64" s="314">
        <v>800</v>
      </c>
      <c r="ADK64" s="314">
        <v>1260</v>
      </c>
      <c r="ADL64" s="314">
        <v>1430</v>
      </c>
      <c r="ADM64" s="314">
        <v>1500</v>
      </c>
      <c r="ADN64" s="314">
        <v>1500</v>
      </c>
      <c r="ADO64" s="314"/>
      <c r="ADP64" s="314">
        <v>1500</v>
      </c>
      <c r="ADQ64" s="314">
        <v>1500</v>
      </c>
      <c r="ADR64" s="314">
        <v>1500</v>
      </c>
      <c r="ADS64" s="314">
        <v>1500</v>
      </c>
      <c r="ADT64" s="314">
        <v>1500</v>
      </c>
      <c r="ADU64" s="314">
        <v>1500</v>
      </c>
      <c r="ADV64" s="314">
        <v>1100</v>
      </c>
      <c r="ADW64" s="314"/>
      <c r="ADX64" s="314"/>
      <c r="ADY64" s="314">
        <v>1500</v>
      </c>
      <c r="ADZ64" s="314">
        <v>1500</v>
      </c>
      <c r="AEA64" s="314">
        <v>1500</v>
      </c>
      <c r="AEB64" s="314">
        <v>1500</v>
      </c>
      <c r="AEC64" s="314"/>
      <c r="AED64" s="314">
        <v>1540</v>
      </c>
      <c r="AEE64" s="314">
        <v>1540</v>
      </c>
      <c r="AEF64" s="314">
        <v>1500</v>
      </c>
      <c r="AEG64" s="314">
        <v>1500</v>
      </c>
      <c r="AEH64" s="314">
        <v>1480</v>
      </c>
      <c r="AEI64" s="314">
        <v>1360</v>
      </c>
      <c r="AEJ64" s="314"/>
      <c r="AEK64" s="314">
        <v>1360</v>
      </c>
      <c r="AEL64" s="314">
        <v>1250</v>
      </c>
      <c r="AEM64" s="314">
        <v>1350</v>
      </c>
      <c r="AEN64" s="314">
        <v>1120</v>
      </c>
      <c r="AEO64" s="72"/>
      <c r="AEP64" s="314">
        <v>1120</v>
      </c>
      <c r="AEQ64" s="124">
        <v>1074</v>
      </c>
      <c r="AER64" s="314"/>
      <c r="AES64" s="314">
        <v>700</v>
      </c>
      <c r="AET64" s="314">
        <v>1000</v>
      </c>
      <c r="AEU64" s="314">
        <v>1100</v>
      </c>
      <c r="AEV64" s="314">
        <v>1150</v>
      </c>
      <c r="AEW64" s="314">
        <v>1050</v>
      </c>
      <c r="AEX64" s="314">
        <v>1070</v>
      </c>
      <c r="AEZ64" s="625">
        <v>1050</v>
      </c>
      <c r="AFA64" s="625">
        <v>1100</v>
      </c>
      <c r="AFB64" s="626">
        <f>906+20</f>
        <v>926</v>
      </c>
      <c r="AFC64" s="625">
        <v>1000</v>
      </c>
      <c r="AFD64" s="136">
        <v>950</v>
      </c>
      <c r="AFE64" s="136">
        <v>1350</v>
      </c>
      <c r="AFG64" s="124">
        <f>1284+20</f>
        <v>1304</v>
      </c>
      <c r="AFH64" s="136">
        <v>1050</v>
      </c>
      <c r="AFI64" s="314">
        <v>1200</v>
      </c>
      <c r="AFJ64" s="314">
        <v>1200</v>
      </c>
      <c r="AFK64" s="314">
        <v>1080</v>
      </c>
      <c r="AFL64" s="314">
        <v>980</v>
      </c>
      <c r="AFM64" s="314"/>
      <c r="AFN64" s="314">
        <v>1100</v>
      </c>
      <c r="AFO64" s="314">
        <v>1080</v>
      </c>
      <c r="AFP64" s="314">
        <f>22+1040</f>
        <v>1062</v>
      </c>
      <c r="AFQ64" s="314">
        <v>1040</v>
      </c>
      <c r="AFR64" s="314">
        <v>1040</v>
      </c>
      <c r="AFS64" s="314">
        <v>850</v>
      </c>
      <c r="AFT64" s="72"/>
      <c r="AFU64" s="314"/>
      <c r="AFV64" s="314">
        <v>1350</v>
      </c>
      <c r="AFW64" s="314">
        <v>1350</v>
      </c>
      <c r="AFX64" s="314">
        <v>1410</v>
      </c>
      <c r="AFY64" s="314">
        <f>1268+10</f>
        <v>1278</v>
      </c>
      <c r="AFZ64" s="314">
        <v>800</v>
      </c>
      <c r="AGA64" s="314">
        <v>900</v>
      </c>
      <c r="AGB64" s="314"/>
      <c r="AGC64" s="314">
        <v>1000</v>
      </c>
      <c r="AGD64" s="314">
        <v>1150</v>
      </c>
      <c r="AGE64" s="314">
        <v>1150</v>
      </c>
      <c r="AGF64" s="314">
        <v>1120</v>
      </c>
      <c r="AGG64" s="314">
        <v>1100</v>
      </c>
      <c r="AGH64" s="314">
        <v>1100</v>
      </c>
      <c r="AGJ64" s="314">
        <v>1100</v>
      </c>
      <c r="AGK64" s="314">
        <v>850</v>
      </c>
      <c r="AGL64" s="314">
        <f>36+296+570</f>
        <v>902</v>
      </c>
      <c r="AGM64" s="314">
        <f>1074+30</f>
        <v>1104</v>
      </c>
      <c r="AGN64" s="314">
        <v>1250</v>
      </c>
      <c r="AGO64" s="314">
        <v>1370</v>
      </c>
      <c r="AGP64" s="314"/>
      <c r="AGQ64" s="314">
        <v>1400</v>
      </c>
      <c r="AGR64" s="314">
        <v>1400</v>
      </c>
      <c r="AGS64" s="314">
        <v>1400</v>
      </c>
      <c r="AGT64" s="314">
        <v>1400</v>
      </c>
      <c r="AGU64" s="314">
        <v>1250</v>
      </c>
      <c r="AGV64" s="124">
        <v>1350</v>
      </c>
      <c r="AGW64" s="314"/>
      <c r="AGX64" s="314">
        <f>267+500</f>
        <v>767</v>
      </c>
      <c r="AGY64" s="314">
        <v>950</v>
      </c>
      <c r="AGZ64" s="72"/>
      <c r="AHA64" s="314">
        <v>1230</v>
      </c>
      <c r="AHB64" s="314">
        <v>1320</v>
      </c>
      <c r="AHC64" s="314">
        <v>1320</v>
      </c>
      <c r="AHD64" s="314">
        <v>1380</v>
      </c>
      <c r="AHE64" s="314"/>
      <c r="AHF64" s="124">
        <f>917+30</f>
        <v>947</v>
      </c>
      <c r="AHG64" s="173">
        <f>269+130</f>
        <v>399</v>
      </c>
      <c r="AHH64" s="314">
        <f>174+304+30</f>
        <v>508</v>
      </c>
      <c r="AHI64" s="136">
        <f>270+120</f>
        <v>390</v>
      </c>
      <c r="AHJ64" s="314">
        <v>550</v>
      </c>
      <c r="AHK64" s="136">
        <v>900</v>
      </c>
      <c r="AHM64" s="136">
        <f>277+800</f>
        <v>1077</v>
      </c>
      <c r="AHN64" s="136">
        <v>558</v>
      </c>
      <c r="AHO64" s="173">
        <f>154+307+20+24</f>
        <v>505</v>
      </c>
      <c r="AHP64" s="173">
        <v>290</v>
      </c>
      <c r="AHQ64" s="136">
        <v>450</v>
      </c>
      <c r="AHX64" s="314">
        <v>500</v>
      </c>
      <c r="AHY64" s="314">
        <v>800</v>
      </c>
      <c r="AIA64" s="314">
        <v>1430</v>
      </c>
      <c r="AIB64" s="314">
        <v>1430</v>
      </c>
      <c r="AIC64" s="314">
        <v>1430</v>
      </c>
      <c r="AID64" s="314">
        <v>1430</v>
      </c>
      <c r="AIE64" s="72"/>
      <c r="AIF64" s="314">
        <v>1430</v>
      </c>
      <c r="AIG64" s="314">
        <v>1430</v>
      </c>
      <c r="AII64" s="314">
        <v>1430</v>
      </c>
      <c r="AIJ64" s="314">
        <v>1430</v>
      </c>
      <c r="AIK64" s="314">
        <v>1430</v>
      </c>
      <c r="AIL64" s="314">
        <v>1430</v>
      </c>
      <c r="AIM64" s="314">
        <v>1430</v>
      </c>
      <c r="AIN64" s="314">
        <v>1430</v>
      </c>
      <c r="AIO64" s="314"/>
      <c r="AIP64" s="314">
        <v>1430</v>
      </c>
      <c r="AIQ64" s="314">
        <v>1430</v>
      </c>
      <c r="AIR64" s="314">
        <v>1430</v>
      </c>
      <c r="AIS64" s="314">
        <v>1430</v>
      </c>
      <c r="AIT64" s="314">
        <v>1430</v>
      </c>
      <c r="AIU64" s="314"/>
      <c r="AIV64" s="314"/>
      <c r="AIW64" s="314">
        <v>1430</v>
      </c>
      <c r="AIX64" s="314">
        <v>1430</v>
      </c>
      <c r="AIY64" s="314">
        <v>1430</v>
      </c>
      <c r="AIZ64" s="314">
        <v>1430</v>
      </c>
      <c r="AJA64" s="314">
        <v>1430</v>
      </c>
      <c r="AJB64" s="314">
        <v>1430</v>
      </c>
      <c r="AJC64" s="314"/>
      <c r="AJD64" s="314">
        <v>1430</v>
      </c>
      <c r="AJE64" s="314">
        <v>1430</v>
      </c>
      <c r="AJF64" s="314">
        <v>1430</v>
      </c>
      <c r="AJG64" s="314">
        <v>1430</v>
      </c>
      <c r="AJH64" s="314">
        <v>1430</v>
      </c>
      <c r="AJI64" s="314">
        <v>1430</v>
      </c>
      <c r="AJJ64" s="314"/>
      <c r="AJK64" s="72"/>
      <c r="AJL64" s="314">
        <v>1430</v>
      </c>
      <c r="AJM64" s="314">
        <v>1430</v>
      </c>
      <c r="AJN64" s="314">
        <v>1430</v>
      </c>
      <c r="AJO64" s="124">
        <v>650</v>
      </c>
      <c r="AJP64" s="314">
        <v>900</v>
      </c>
      <c r="AJQ64" s="314">
        <v>900</v>
      </c>
      <c r="AJS64" s="314">
        <v>900</v>
      </c>
      <c r="AJT64" s="314">
        <v>560</v>
      </c>
      <c r="AJU64" s="314">
        <v>1240</v>
      </c>
      <c r="AJV64" s="314">
        <v>900</v>
      </c>
      <c r="AJW64" s="314">
        <v>920</v>
      </c>
      <c r="AJX64" s="314">
        <v>880</v>
      </c>
      <c r="AJZ64" s="314">
        <v>900</v>
      </c>
      <c r="AKA64" s="314">
        <v>770</v>
      </c>
      <c r="AKB64" s="136">
        <v>900</v>
      </c>
      <c r="AKC64" s="136">
        <v>900</v>
      </c>
      <c r="AKD64" s="136">
        <v>650</v>
      </c>
      <c r="AKE64" s="136">
        <v>1150</v>
      </c>
      <c r="AKG64" s="136">
        <v>680</v>
      </c>
      <c r="AKH64" s="603">
        <v>790</v>
      </c>
      <c r="AKI64" s="314">
        <v>900</v>
      </c>
      <c r="AKJ64" s="314">
        <v>900</v>
      </c>
      <c r="AKK64" s="314">
        <v>900</v>
      </c>
      <c r="AKL64" s="314">
        <v>900</v>
      </c>
      <c r="AKN64" s="603">
        <v>790</v>
      </c>
      <c r="AKO64" s="314">
        <v>900</v>
      </c>
      <c r="AKP64" s="314">
        <v>900</v>
      </c>
      <c r="AKQ64" s="74"/>
      <c r="AKR64" s="314">
        <v>900</v>
      </c>
      <c r="AKS64" s="314">
        <v>900</v>
      </c>
      <c r="AKT64" s="136">
        <v>900</v>
      </c>
      <c r="AKV64" s="136">
        <v>900</v>
      </c>
      <c r="AKW64" s="314">
        <v>900</v>
      </c>
      <c r="AKX64" s="314">
        <v>870</v>
      </c>
      <c r="AKY64" s="314">
        <v>900</v>
      </c>
      <c r="AKZ64" s="314">
        <v>900</v>
      </c>
      <c r="ALA64" s="314">
        <v>900</v>
      </c>
      <c r="ALC64" s="124">
        <v>560</v>
      </c>
      <c r="ALD64" s="603">
        <v>500</v>
      </c>
      <c r="ALE64" s="136">
        <v>800</v>
      </c>
      <c r="ALF64" s="136">
        <v>1000</v>
      </c>
      <c r="ALG64" s="603">
        <v>1400</v>
      </c>
      <c r="ALH64" s="603">
        <v>1400</v>
      </c>
      <c r="ALI64" s="603"/>
      <c r="ALJ64" s="603">
        <v>1400</v>
      </c>
      <c r="ALK64" s="603">
        <v>1400</v>
      </c>
      <c r="ALL64" s="603"/>
      <c r="ALM64" s="603">
        <v>1400</v>
      </c>
      <c r="ALN64" s="603">
        <v>1400</v>
      </c>
      <c r="ALO64" s="603">
        <v>1400</v>
      </c>
      <c r="ALP64" s="603"/>
      <c r="ALQ64" s="603">
        <v>1400</v>
      </c>
      <c r="ALR64" s="603">
        <v>1400</v>
      </c>
      <c r="ALS64" s="603">
        <v>1400</v>
      </c>
      <c r="ALT64" s="74"/>
      <c r="ALU64" s="603">
        <v>1400</v>
      </c>
      <c r="ALV64" s="603">
        <v>1400</v>
      </c>
      <c r="ALW64" s="603">
        <v>1400</v>
      </c>
      <c r="ALX64" s="603"/>
      <c r="ALY64" s="603">
        <v>1400</v>
      </c>
      <c r="ALZ64" s="603">
        <v>1400</v>
      </c>
      <c r="AMA64" s="603">
        <v>1400</v>
      </c>
      <c r="AMB64" s="603">
        <v>1400</v>
      </c>
      <c r="AMC64" s="603">
        <v>1400</v>
      </c>
      <c r="AMD64" s="603">
        <v>1400</v>
      </c>
      <c r="AME64" s="603"/>
      <c r="AMF64" s="603">
        <v>1400</v>
      </c>
      <c r="AMG64" s="603">
        <v>1400</v>
      </c>
      <c r="AMH64" s="603">
        <v>1400</v>
      </c>
      <c r="AMI64" s="603">
        <v>1400</v>
      </c>
      <c r="AMJ64" s="603">
        <v>1400</v>
      </c>
      <c r="AMK64" s="603">
        <v>1400</v>
      </c>
      <c r="AML64" s="603"/>
      <c r="AMM64" s="603">
        <v>1400</v>
      </c>
      <c r="AMN64" s="603">
        <v>1400</v>
      </c>
      <c r="AMO64" s="603">
        <v>1400</v>
      </c>
      <c r="AMP64" s="603">
        <v>1400</v>
      </c>
      <c r="AMQ64" s="603">
        <v>1400</v>
      </c>
      <c r="AMR64" s="603">
        <v>1400</v>
      </c>
      <c r="AMS64" s="603"/>
      <c r="AMT64" s="603"/>
      <c r="AMU64" s="603">
        <v>1400</v>
      </c>
      <c r="AMV64" s="603">
        <v>1400</v>
      </c>
      <c r="AMW64" s="603">
        <v>1400</v>
      </c>
      <c r="AMX64" s="603">
        <v>1400</v>
      </c>
      <c r="AMY64" s="603">
        <v>1400</v>
      </c>
      <c r="AMZ64" s="74"/>
      <c r="ANA64" s="314"/>
      <c r="ANB64" s="603">
        <v>1170</v>
      </c>
      <c r="ANC64" s="603">
        <v>1170</v>
      </c>
      <c r="AND64" s="603">
        <v>1170</v>
      </c>
      <c r="ANE64" s="603">
        <v>1170</v>
      </c>
      <c r="ANF64" s="603">
        <v>1170</v>
      </c>
      <c r="ANG64" s="603">
        <v>1170</v>
      </c>
      <c r="ANH64" s="603">
        <v>1170</v>
      </c>
      <c r="ANI64" s="603">
        <v>1170</v>
      </c>
      <c r="ANJ64" s="603">
        <v>1170</v>
      </c>
      <c r="ANK64" s="604">
        <v>1170</v>
      </c>
      <c r="ANL64" s="314">
        <v>720</v>
      </c>
      <c r="ANM64" s="314">
        <v>720</v>
      </c>
      <c r="ANN64" s="314"/>
      <c r="ANO64" s="314"/>
      <c r="ANP64" s="314">
        <v>720</v>
      </c>
      <c r="ANQ64" s="314">
        <v>720</v>
      </c>
      <c r="ANR64" s="314">
        <v>720</v>
      </c>
      <c r="ANS64" s="314">
        <v>720</v>
      </c>
      <c r="ANT64" s="314">
        <v>720</v>
      </c>
      <c r="ANU64" s="314">
        <v>720</v>
      </c>
      <c r="ANV64" s="314">
        <v>720</v>
      </c>
      <c r="ANW64" s="314">
        <v>720</v>
      </c>
      <c r="ANX64" s="314">
        <v>720</v>
      </c>
      <c r="ANY64" s="314">
        <v>720</v>
      </c>
      <c r="ANZ64" s="314">
        <v>720</v>
      </c>
      <c r="AOA64" s="314">
        <v>720</v>
      </c>
      <c r="AOB64" s="314">
        <v>720</v>
      </c>
      <c r="AOC64" s="314"/>
      <c r="AOD64" s="314">
        <v>720</v>
      </c>
      <c r="AOE64" s="74"/>
      <c r="AOF64" s="142"/>
      <c r="AOG64" s="142"/>
      <c r="AOH64" s="142"/>
      <c r="AOI64" s="142"/>
      <c r="AOJ64" s="142"/>
      <c r="AOK64" s="142"/>
      <c r="AOL64" s="142"/>
      <c r="AOM64" s="142"/>
      <c r="AON64" s="142"/>
      <c r="AOO64" s="314">
        <v>900</v>
      </c>
      <c r="AOP64" s="314">
        <v>900</v>
      </c>
      <c r="AOQ64" s="314">
        <v>900</v>
      </c>
      <c r="AOR64" s="314"/>
      <c r="AOS64" s="314">
        <v>900</v>
      </c>
      <c r="AOT64" s="314">
        <v>900</v>
      </c>
      <c r="AOU64" s="314">
        <v>900</v>
      </c>
      <c r="AOV64" s="314">
        <v>900</v>
      </c>
      <c r="AOW64" s="314">
        <v>900</v>
      </c>
      <c r="AOX64" s="314">
        <v>900</v>
      </c>
      <c r="AOY64" s="314"/>
      <c r="AOZ64" s="314">
        <v>900</v>
      </c>
      <c r="APA64" s="314">
        <v>900</v>
      </c>
      <c r="APB64" s="314">
        <v>900</v>
      </c>
      <c r="APC64" s="314">
        <v>900</v>
      </c>
      <c r="APD64" s="314">
        <v>900</v>
      </c>
      <c r="APE64" s="314">
        <v>900</v>
      </c>
      <c r="APF64" s="314"/>
      <c r="APG64" s="314">
        <v>900</v>
      </c>
      <c r="APH64" s="314">
        <v>900</v>
      </c>
      <c r="API64" s="314">
        <v>900</v>
      </c>
      <c r="APJ64" s="314">
        <v>900</v>
      </c>
      <c r="APK64" s="74"/>
      <c r="APL64" s="314">
        <v>900</v>
      </c>
      <c r="APM64" s="314">
        <v>900</v>
      </c>
      <c r="APN64" s="314">
        <v>650</v>
      </c>
      <c r="APO64" s="314">
        <v>900</v>
      </c>
      <c r="APP64" s="314">
        <v>900</v>
      </c>
      <c r="APQ64" s="314">
        <v>900</v>
      </c>
      <c r="APR64" s="314">
        <v>900</v>
      </c>
      <c r="APS64" s="314">
        <v>900</v>
      </c>
      <c r="APT64" s="314">
        <v>900</v>
      </c>
      <c r="APU64" s="314"/>
      <c r="APV64" s="314">
        <v>900</v>
      </c>
      <c r="APW64" s="314">
        <v>900</v>
      </c>
      <c r="APX64" s="314">
        <v>900</v>
      </c>
      <c r="APY64" s="314">
        <v>900</v>
      </c>
      <c r="APZ64" s="314">
        <v>900</v>
      </c>
      <c r="AQA64" s="314">
        <v>900</v>
      </c>
      <c r="AQB64" s="314"/>
      <c r="AQC64" s="314">
        <v>900</v>
      </c>
      <c r="AQD64" s="314">
        <v>900</v>
      </c>
      <c r="AQE64" s="314">
        <v>900</v>
      </c>
      <c r="AQF64" s="314">
        <v>900</v>
      </c>
      <c r="AQG64" s="314">
        <v>900</v>
      </c>
      <c r="AQH64" s="314">
        <v>900</v>
      </c>
      <c r="AQI64" s="124">
        <v>650</v>
      </c>
      <c r="AQJ64" s="314"/>
      <c r="AQK64" s="314"/>
      <c r="AQL64" s="314"/>
      <c r="AQM64" s="314"/>
      <c r="AQN64" s="314"/>
      <c r="AQP64" s="74"/>
      <c r="AQS64" s="314"/>
      <c r="AQT64" s="314"/>
      <c r="AQU64" s="314"/>
      <c r="AQV64" s="314"/>
      <c r="AQW64" s="314"/>
      <c r="AQX64" s="142"/>
      <c r="AQY64" s="142"/>
      <c r="AQZ64" s="142"/>
      <c r="ARA64" s="142"/>
      <c r="ARB64" s="142"/>
      <c r="ARC64" s="142"/>
      <c r="ARD64" s="142"/>
      <c r="ARE64" s="142"/>
      <c r="ARF64" s="142"/>
      <c r="ARG64" s="314"/>
      <c r="ARH64" s="314"/>
      <c r="ARI64" s="314"/>
      <c r="ARJ64" s="314"/>
      <c r="ARK64" s="314">
        <v>900</v>
      </c>
      <c r="ARL64" s="314"/>
      <c r="ARM64" s="314">
        <v>900</v>
      </c>
      <c r="ARN64" s="314">
        <v>900</v>
      </c>
      <c r="ARO64" s="314">
        <v>900</v>
      </c>
      <c r="ARP64" s="314">
        <v>900</v>
      </c>
      <c r="ARQ64" s="314">
        <v>900</v>
      </c>
      <c r="ARR64" s="314">
        <v>900</v>
      </c>
      <c r="ARS64" s="314"/>
      <c r="ART64" s="314">
        <v>900</v>
      </c>
      <c r="ARU64" s="314">
        <v>900</v>
      </c>
      <c r="ARV64" s="74"/>
      <c r="ARW64" s="314">
        <v>820</v>
      </c>
      <c r="ARX64" s="314">
        <v>820</v>
      </c>
      <c r="ARY64" s="314">
        <v>820</v>
      </c>
      <c r="ARZ64" s="314">
        <v>820</v>
      </c>
      <c r="ASA64" s="314"/>
      <c r="ASB64" s="314">
        <v>820</v>
      </c>
      <c r="ASC64" s="314">
        <v>820</v>
      </c>
      <c r="ASD64" s="314">
        <v>820</v>
      </c>
      <c r="ASE64" s="314">
        <v>820</v>
      </c>
      <c r="ASF64" s="314">
        <v>820</v>
      </c>
      <c r="ASG64" s="314">
        <v>820</v>
      </c>
      <c r="ASH64" s="314"/>
      <c r="ASI64" s="314">
        <v>820</v>
      </c>
      <c r="ASJ64" s="314">
        <v>820</v>
      </c>
      <c r="ASK64" s="314"/>
      <c r="ASL64" s="314">
        <v>820</v>
      </c>
      <c r="ASM64" s="314">
        <v>820</v>
      </c>
      <c r="ASN64" s="314">
        <v>820</v>
      </c>
      <c r="ASO64" s="314"/>
      <c r="ASP64" s="314">
        <v>820</v>
      </c>
      <c r="ASQ64" s="314">
        <v>820</v>
      </c>
      <c r="ASR64" s="314">
        <v>820</v>
      </c>
      <c r="ASS64" s="314">
        <v>820</v>
      </c>
      <c r="AST64" s="314">
        <v>820</v>
      </c>
      <c r="ASU64" s="314">
        <v>820</v>
      </c>
      <c r="ASV64" s="314"/>
      <c r="ASW64" s="314"/>
      <c r="ASX64" s="314"/>
      <c r="ASY64" s="314"/>
      <c r="ASZ64" s="314"/>
      <c r="ATA64" s="314"/>
      <c r="ATB64" s="74"/>
      <c r="ATC64" s="314"/>
      <c r="ATD64" s="314"/>
      <c r="ATE64" s="314"/>
      <c r="ATF64" s="314"/>
      <c r="ATG64" s="314"/>
      <c r="ATH64" s="314"/>
      <c r="ATI64" s="314"/>
      <c r="ATJ64" s="314"/>
      <c r="ATK64" s="314"/>
      <c r="ATL64" s="314"/>
      <c r="ATM64" s="314"/>
      <c r="ATN64" s="314"/>
      <c r="ATO64" s="314"/>
      <c r="ATP64" s="314"/>
      <c r="ATQ64" s="314"/>
      <c r="ATR64" s="314"/>
      <c r="ATS64" s="314"/>
      <c r="ATT64" s="314"/>
      <c r="ATU64" s="314"/>
      <c r="ATV64" s="314"/>
      <c r="ATW64" s="314"/>
      <c r="ATX64" s="314"/>
      <c r="ATY64" s="314"/>
      <c r="ATZ64" s="314"/>
      <c r="AUA64" s="314"/>
      <c r="AUB64" s="314"/>
      <c r="AUC64" s="314"/>
      <c r="AUD64" s="314"/>
      <c r="AUE64" s="314"/>
      <c r="AUF64" s="314"/>
      <c r="AUG64" s="74"/>
      <c r="AUH64" s="314"/>
      <c r="AUI64" s="314"/>
      <c r="AUJ64" s="314"/>
      <c r="AUK64" s="314"/>
      <c r="AUL64" s="314"/>
      <c r="AUM64" s="314"/>
      <c r="AUN64" s="314"/>
      <c r="AUO64" s="314"/>
      <c r="AUP64" s="314"/>
      <c r="AUQ64" s="314"/>
      <c r="AUR64" s="314"/>
      <c r="AUS64" s="314"/>
      <c r="AUT64" s="314"/>
      <c r="AUU64" s="314"/>
      <c r="AUV64" s="314"/>
      <c r="AUW64" s="314"/>
      <c r="AUX64" s="314"/>
      <c r="AUY64" s="314"/>
      <c r="AUZ64" s="314"/>
      <c r="AVA64" s="314">
        <v>820</v>
      </c>
      <c r="AVB64" s="314"/>
      <c r="AVC64" s="314">
        <v>820</v>
      </c>
      <c r="AVD64" s="314">
        <v>820</v>
      </c>
      <c r="AVE64" s="314">
        <v>820</v>
      </c>
      <c r="AVF64" s="314">
        <v>820</v>
      </c>
      <c r="AVG64" s="314">
        <v>820</v>
      </c>
      <c r="AVH64" s="314">
        <v>820</v>
      </c>
      <c r="AVI64" s="314"/>
      <c r="AVJ64" s="314">
        <v>820</v>
      </c>
      <c r="AVK64" s="314">
        <v>820</v>
      </c>
      <c r="AVL64" s="314">
        <v>820</v>
      </c>
      <c r="AVM64" s="74"/>
      <c r="AVN64" s="314">
        <v>820</v>
      </c>
      <c r="AVO64" s="314">
        <v>820</v>
      </c>
      <c r="AVP64" s="314">
        <v>820</v>
      </c>
      <c r="AVQ64" s="314"/>
      <c r="AVR64" s="314">
        <v>820</v>
      </c>
      <c r="AVS64" s="314">
        <v>820</v>
      </c>
      <c r="AVT64" s="314">
        <v>820</v>
      </c>
      <c r="AVU64" s="314">
        <v>820</v>
      </c>
      <c r="AVV64" s="314">
        <v>820</v>
      </c>
      <c r="AVW64" s="314">
        <v>820</v>
      </c>
      <c r="AVX64" s="314"/>
      <c r="AVY64" s="314">
        <v>820</v>
      </c>
      <c r="AVZ64" s="314">
        <v>820</v>
      </c>
      <c r="AWA64" s="314">
        <v>820</v>
      </c>
      <c r="AWB64" s="314">
        <v>820</v>
      </c>
      <c r="AWC64" s="314">
        <v>820</v>
      </c>
      <c r="AWD64" s="314">
        <v>820</v>
      </c>
      <c r="AWE64" s="314"/>
      <c r="AWF64" s="314">
        <v>820</v>
      </c>
      <c r="AWG64" s="314">
        <v>820</v>
      </c>
      <c r="AWH64" s="314">
        <v>820</v>
      </c>
      <c r="AWI64" s="314">
        <v>820</v>
      </c>
      <c r="AWJ64" s="314">
        <v>820</v>
      </c>
      <c r="AWK64" s="314">
        <v>820</v>
      </c>
      <c r="AWL64" s="314"/>
      <c r="AWM64" s="314">
        <v>820</v>
      </c>
      <c r="AWN64" s="314">
        <v>820</v>
      </c>
      <c r="AWO64" s="314">
        <v>820</v>
      </c>
      <c r="AWP64" s="314">
        <v>820</v>
      </c>
      <c r="AWQ64" s="314">
        <v>820</v>
      </c>
      <c r="AWR64" s="74"/>
      <c r="AWS64" s="314"/>
      <c r="AWT64" s="314">
        <v>820</v>
      </c>
      <c r="AWU64" s="314">
        <v>820</v>
      </c>
      <c r="AWV64" s="314">
        <v>820</v>
      </c>
      <c r="AWW64" s="314">
        <v>820</v>
      </c>
      <c r="AWX64" s="314">
        <v>820</v>
      </c>
      <c r="AWY64" s="314">
        <v>820</v>
      </c>
      <c r="AWZ64" s="314">
        <v>820</v>
      </c>
      <c r="AXA64" s="314"/>
      <c r="AXB64" s="314">
        <v>820</v>
      </c>
      <c r="AXC64" s="314">
        <v>820</v>
      </c>
      <c r="AXD64" s="314">
        <v>820</v>
      </c>
      <c r="AXE64" s="314">
        <v>820</v>
      </c>
      <c r="AXF64" s="314">
        <v>820</v>
      </c>
      <c r="AXG64" s="314">
        <v>820</v>
      </c>
      <c r="AXH64" s="314"/>
      <c r="AXI64" s="314">
        <v>820</v>
      </c>
      <c r="AXJ64" s="314">
        <v>820</v>
      </c>
      <c r="AXK64" s="314">
        <v>820</v>
      </c>
      <c r="AXL64" s="314">
        <v>820</v>
      </c>
      <c r="AXM64" s="314">
        <v>820</v>
      </c>
      <c r="AXN64" s="124">
        <v>820</v>
      </c>
      <c r="AXO64" s="314"/>
      <c r="AXP64" s="314"/>
      <c r="AXQ64" s="314"/>
      <c r="AXR64" s="314"/>
      <c r="AXS64" s="314"/>
      <c r="AXT64" s="314"/>
      <c r="AXU64" s="314"/>
      <c r="AXV64" s="314"/>
      <c r="AXW64" s="314"/>
      <c r="AXX64" s="74"/>
    </row>
    <row r="65" spans="1:1583" s="542" customFormat="1" ht="22.8" customHeight="1" thickBot="1" x14ac:dyDescent="0.35">
      <c r="A65" s="712"/>
      <c r="B65" s="7" t="s">
        <v>2398</v>
      </c>
      <c r="C65" s="521" t="s">
        <v>85</v>
      </c>
      <c r="D65" s="522"/>
      <c r="E65" s="522"/>
      <c r="F65" s="522"/>
      <c r="G65" s="522"/>
      <c r="H65" s="522"/>
      <c r="I65" s="522"/>
      <c r="J65" s="522"/>
      <c r="K65" s="522"/>
      <c r="L65" s="522"/>
      <c r="M65" s="522"/>
      <c r="N65" s="522"/>
      <c r="O65" s="522"/>
      <c r="P65" s="523" t="s">
        <v>625</v>
      </c>
      <c r="Q65" s="524"/>
      <c r="R65" s="525"/>
      <c r="S65" s="525"/>
      <c r="T65" s="525"/>
      <c r="U65" s="525"/>
      <c r="V65" s="525"/>
      <c r="W65" s="525"/>
      <c r="X65" s="525"/>
      <c r="Y65" s="525"/>
      <c r="Z65" s="525"/>
      <c r="AA65" s="525"/>
      <c r="AB65" s="525"/>
      <c r="AC65" s="525"/>
      <c r="AD65" s="525"/>
      <c r="AE65" s="525"/>
      <c r="AF65" s="525"/>
      <c r="AG65" s="525"/>
      <c r="AH65" s="526" t="s">
        <v>22</v>
      </c>
      <c r="AI65" s="527" t="s">
        <v>102</v>
      </c>
      <c r="AJ65" s="528"/>
      <c r="AK65" s="523" t="s">
        <v>632</v>
      </c>
      <c r="AL65" s="524"/>
      <c r="AM65" s="525"/>
      <c r="AN65" s="525"/>
      <c r="AO65" s="525"/>
      <c r="AP65" s="525"/>
      <c r="AQ65" s="731"/>
      <c r="AR65" s="732"/>
      <c r="AS65" s="732"/>
      <c r="AT65" s="732"/>
      <c r="AU65" s="732"/>
      <c r="AV65" s="732"/>
      <c r="AW65" s="732"/>
      <c r="AX65" s="732"/>
      <c r="AY65" s="732"/>
      <c r="AZ65" s="733"/>
      <c r="BA65" s="525" t="s">
        <v>632</v>
      </c>
      <c r="BB65" s="525"/>
      <c r="BC65" s="525"/>
      <c r="BD65" s="525"/>
      <c r="BE65" s="525"/>
      <c r="BF65" s="525"/>
      <c r="BG65" s="525"/>
      <c r="BH65" s="525"/>
      <c r="BI65" s="525"/>
      <c r="BJ65" s="525"/>
      <c r="BK65" s="525"/>
      <c r="BL65" s="525"/>
      <c r="BM65" s="525"/>
      <c r="BN65" s="520" t="s">
        <v>22</v>
      </c>
      <c r="BO65" s="529" t="s">
        <v>108</v>
      </c>
      <c r="BP65" s="523" t="s">
        <v>64</v>
      </c>
      <c r="BQ65" s="530"/>
      <c r="BR65" s="531"/>
      <c r="BS65" s="531"/>
      <c r="BT65" s="531"/>
      <c r="BU65" s="523" t="s">
        <v>142</v>
      </c>
      <c r="BV65" s="532"/>
      <c r="BW65" s="531"/>
      <c r="BX65" s="531"/>
      <c r="BY65" s="523" t="s">
        <v>631</v>
      </c>
      <c r="BZ65" s="524"/>
      <c r="CA65" s="525"/>
      <c r="CB65" s="525"/>
      <c r="CC65" s="525"/>
      <c r="CD65" s="525"/>
      <c r="CE65" s="525"/>
      <c r="CF65" s="525"/>
      <c r="CG65" s="525"/>
      <c r="CH65" s="525"/>
      <c r="CI65" s="525"/>
      <c r="CJ65" s="525"/>
      <c r="CK65" s="525"/>
      <c r="CL65" s="525"/>
      <c r="CM65" s="525"/>
      <c r="CN65" s="525"/>
      <c r="CO65" s="525"/>
      <c r="CP65" s="525"/>
      <c r="CQ65" s="525"/>
      <c r="CR65" s="525"/>
      <c r="CS65" s="520" t="s">
        <v>22</v>
      </c>
      <c r="CT65" s="525" t="s">
        <v>607</v>
      </c>
      <c r="CU65" s="525"/>
      <c r="CV65" s="525"/>
      <c r="CW65" s="525"/>
      <c r="CX65" s="525"/>
      <c r="CY65" s="525"/>
      <c r="CZ65" s="525"/>
      <c r="DA65" s="525"/>
      <c r="DB65" s="525"/>
      <c r="DC65" s="525"/>
      <c r="DD65" s="525"/>
      <c r="DE65" s="525"/>
      <c r="DF65" s="525"/>
      <c r="DG65" s="523" t="s">
        <v>264</v>
      </c>
      <c r="DH65" s="532"/>
      <c r="DI65" s="533"/>
      <c r="DJ65" s="533"/>
      <c r="DK65" s="533"/>
      <c r="DL65" s="533"/>
      <c r="DM65" s="523" t="s">
        <v>265</v>
      </c>
      <c r="DN65" s="532"/>
      <c r="DO65" s="534"/>
      <c r="DP65" s="534"/>
      <c r="DQ65" s="523" t="s">
        <v>161</v>
      </c>
      <c r="DR65" s="532"/>
      <c r="DS65" s="535"/>
      <c r="DT65" s="535"/>
      <c r="DU65" s="535"/>
      <c r="DV65" s="535"/>
      <c r="DW65" s="535"/>
      <c r="DX65" s="535"/>
      <c r="DY65" s="520" t="s">
        <v>22</v>
      </c>
      <c r="DZ65" s="536" t="s">
        <v>161</v>
      </c>
      <c r="EA65" s="536"/>
      <c r="EB65" s="376" t="s">
        <v>121</v>
      </c>
      <c r="EC65" s="524"/>
      <c r="ED65" s="455"/>
      <c r="EE65" s="455"/>
      <c r="EF65" s="455"/>
      <c r="EG65" s="455"/>
      <c r="EH65" s="455"/>
      <c r="EI65" s="455"/>
      <c r="EJ65" s="455"/>
      <c r="EK65" s="455"/>
      <c r="EL65" s="455"/>
      <c r="EM65" s="455"/>
      <c r="EN65" s="523" t="s">
        <v>170</v>
      </c>
      <c r="EO65" s="523" t="s">
        <v>167</v>
      </c>
      <c r="EP65" s="523" t="s">
        <v>165</v>
      </c>
      <c r="EQ65" s="523"/>
      <c r="ER65" s="529"/>
      <c r="ES65" s="529"/>
      <c r="ET65" s="529"/>
      <c r="EU65" s="529"/>
      <c r="EV65" s="529"/>
      <c r="EW65" s="529"/>
      <c r="EX65" s="523" t="s">
        <v>167</v>
      </c>
      <c r="EY65" s="532"/>
      <c r="EZ65" s="536"/>
      <c r="FA65" s="536"/>
      <c r="FB65" s="536"/>
      <c r="FC65" s="536"/>
      <c r="FD65" s="520" t="s">
        <v>22</v>
      </c>
      <c r="FE65" s="523" t="s">
        <v>169</v>
      </c>
      <c r="FF65" s="536"/>
      <c r="FG65" s="536"/>
      <c r="FH65" s="536"/>
      <c r="FI65" s="536"/>
      <c r="FJ65" s="536"/>
      <c r="FK65" s="523" t="s">
        <v>281</v>
      </c>
      <c r="FL65" s="523"/>
      <c r="FM65" s="536"/>
      <c r="FN65" s="536"/>
      <c r="FO65" s="536"/>
      <c r="FP65" s="536"/>
      <c r="FQ65" s="536"/>
      <c r="FR65" s="536"/>
      <c r="FS65" s="536"/>
      <c r="FT65" s="536"/>
      <c r="FU65" s="536"/>
      <c r="FV65" s="536"/>
      <c r="FW65" s="523" t="s">
        <v>633</v>
      </c>
      <c r="FX65" s="524"/>
      <c r="FY65" s="525"/>
      <c r="FZ65" s="525"/>
      <c r="GA65" s="525"/>
      <c r="GB65" s="525"/>
      <c r="GC65" s="525"/>
      <c r="GD65" s="525"/>
      <c r="GE65" s="525"/>
      <c r="GF65" s="525"/>
      <c r="GG65" s="525"/>
      <c r="GH65" s="525"/>
      <c r="GI65" s="525"/>
      <c r="GJ65" s="520" t="s">
        <v>22</v>
      </c>
      <c r="GK65" s="523" t="s">
        <v>303</v>
      </c>
      <c r="GL65" s="525"/>
      <c r="GM65" s="525"/>
      <c r="GN65" s="523" t="s">
        <v>302</v>
      </c>
      <c r="GO65" s="524"/>
      <c r="GP65" s="525"/>
      <c r="GQ65" s="525"/>
      <c r="GR65" s="525"/>
      <c r="GS65" s="525"/>
      <c r="GT65" s="525"/>
      <c r="GU65" s="523" t="s">
        <v>303</v>
      </c>
      <c r="GV65" s="524"/>
      <c r="GW65" s="525"/>
      <c r="GX65" s="525"/>
      <c r="GY65" s="523" t="s">
        <v>397</v>
      </c>
      <c r="GZ65" s="523"/>
      <c r="HA65" s="536"/>
      <c r="HB65" s="536"/>
      <c r="HC65" s="536"/>
      <c r="HD65" s="523" t="s">
        <v>399</v>
      </c>
      <c r="HE65" s="523"/>
      <c r="HF65" s="536"/>
      <c r="HG65" s="536"/>
      <c r="HH65" s="536"/>
      <c r="HI65" s="523" t="s">
        <v>304</v>
      </c>
      <c r="HJ65" s="524"/>
      <c r="HK65" s="525"/>
      <c r="HL65" s="525"/>
      <c r="HM65" s="525"/>
      <c r="HN65" s="525"/>
      <c r="HO65" s="525"/>
      <c r="HP65" s="520" t="s">
        <v>22</v>
      </c>
      <c r="HQ65" s="537" t="s">
        <v>304</v>
      </c>
      <c r="HR65" s="525"/>
      <c r="HS65" s="525"/>
      <c r="HT65" s="525"/>
      <c r="HU65" s="523" t="s">
        <v>604</v>
      </c>
      <c r="HV65" s="524"/>
      <c r="HW65" s="525"/>
      <c r="HX65" s="525"/>
      <c r="HY65" s="525"/>
      <c r="HZ65" s="525"/>
      <c r="IA65" s="525"/>
      <c r="IB65" s="525"/>
      <c r="IC65" s="525"/>
      <c r="ID65" s="525"/>
      <c r="IE65" s="525"/>
      <c r="IF65" s="525"/>
      <c r="IG65" s="525"/>
      <c r="IH65" s="525"/>
      <c r="II65" s="525"/>
      <c r="IJ65" s="525"/>
      <c r="IK65" s="525"/>
      <c r="IL65" s="525"/>
      <c r="IM65" s="525"/>
      <c r="IN65" s="525"/>
      <c r="IO65" s="525"/>
      <c r="IP65" s="523" t="s">
        <v>623</v>
      </c>
      <c r="IQ65" s="523"/>
      <c r="IR65" s="525"/>
      <c r="IS65" s="525"/>
      <c r="IT65" s="520" t="s">
        <v>22</v>
      </c>
      <c r="IU65" s="537" t="s">
        <v>623</v>
      </c>
      <c r="IV65" s="525"/>
      <c r="IW65" s="525"/>
      <c r="IX65" s="525"/>
      <c r="IY65" s="525"/>
      <c r="IZ65" s="525"/>
      <c r="JA65" s="525"/>
      <c r="JB65" s="525"/>
      <c r="JC65" s="376" t="s">
        <v>442</v>
      </c>
      <c r="JD65" s="538"/>
      <c r="JE65" s="207"/>
      <c r="JF65" s="376" t="s">
        <v>526</v>
      </c>
      <c r="JG65" s="376"/>
      <c r="JH65" s="207"/>
      <c r="JI65" s="207"/>
      <c r="JJ65" s="207"/>
      <c r="JK65" s="207"/>
      <c r="JL65" s="207"/>
      <c r="JM65" s="207"/>
      <c r="JN65" s="207"/>
      <c r="JO65" s="207"/>
      <c r="JP65" s="207"/>
      <c r="JQ65" s="207"/>
      <c r="JR65" s="207"/>
      <c r="JS65" s="207"/>
      <c r="JT65" s="207"/>
      <c r="JU65" s="207"/>
      <c r="JV65" s="539"/>
      <c r="JW65" s="540"/>
      <c r="JX65" s="540"/>
      <c r="JY65" s="540"/>
      <c r="JZ65" s="520" t="s">
        <v>22</v>
      </c>
      <c r="KA65" s="540"/>
      <c r="KB65" s="540"/>
      <c r="KC65" s="540"/>
      <c r="KD65" s="540"/>
      <c r="KE65" s="540"/>
      <c r="KF65" s="540"/>
      <c r="KG65" s="540"/>
      <c r="KH65" s="540"/>
      <c r="KI65" s="540"/>
      <c r="KJ65" s="540"/>
      <c r="KK65" s="540"/>
      <c r="KL65" s="540"/>
      <c r="KM65" s="540"/>
      <c r="KN65" s="540"/>
      <c r="KO65" s="540"/>
      <c r="KP65" s="540"/>
      <c r="KQ65" s="540"/>
      <c r="KR65" s="540"/>
      <c r="KS65" s="540"/>
      <c r="KT65" s="540"/>
      <c r="KU65" s="540"/>
      <c r="KV65" s="540"/>
      <c r="KW65" s="540"/>
      <c r="KX65" s="540"/>
      <c r="KY65" s="541"/>
      <c r="LE65" s="520" t="s">
        <v>22</v>
      </c>
      <c r="LF65" s="376" t="s">
        <v>712</v>
      </c>
      <c r="LG65" s="376"/>
      <c r="LH65" s="543"/>
      <c r="LI65" s="543"/>
      <c r="LJ65" s="543"/>
      <c r="LK65" s="376" t="s">
        <v>745</v>
      </c>
      <c r="LL65" s="376"/>
      <c r="LM65" s="543"/>
      <c r="LN65" s="543"/>
      <c r="LO65" s="543"/>
      <c r="LP65" s="543"/>
      <c r="LQ65" s="543"/>
      <c r="LR65" s="543"/>
      <c r="LS65" s="543"/>
      <c r="LT65" s="543"/>
      <c r="LU65" s="523" t="s">
        <v>694</v>
      </c>
      <c r="LV65" s="523"/>
      <c r="LW65" s="523" t="s">
        <v>740</v>
      </c>
      <c r="LX65" s="532"/>
      <c r="LY65" s="536"/>
      <c r="LZ65" s="376" t="s">
        <v>713</v>
      </c>
      <c r="MA65" s="376"/>
      <c r="MB65" s="719"/>
      <c r="MC65" s="720"/>
      <c r="MD65" s="720"/>
      <c r="ME65" s="721"/>
      <c r="MF65" s="543" t="s">
        <v>713</v>
      </c>
      <c r="MG65" s="543"/>
      <c r="MH65" s="376" t="s">
        <v>815</v>
      </c>
      <c r="MI65" s="376"/>
      <c r="MJ65" s="543"/>
      <c r="MK65" s="544" t="s">
        <v>22</v>
      </c>
      <c r="ML65" s="543" t="s">
        <v>776</v>
      </c>
      <c r="MM65" s="376" t="s">
        <v>777</v>
      </c>
      <c r="MN65" s="376"/>
      <c r="MO65" s="543"/>
      <c r="MP65" s="543"/>
      <c r="MQ65" s="543"/>
      <c r="MR65" s="543"/>
      <c r="MS65" s="543"/>
      <c r="MT65" s="543"/>
      <c r="MU65" s="543"/>
      <c r="MV65" s="543"/>
      <c r="MW65" s="543"/>
      <c r="MX65" s="545" t="s">
        <v>784</v>
      </c>
      <c r="MY65" s="545"/>
      <c r="MZ65" s="376" t="s">
        <v>952</v>
      </c>
      <c r="NA65" s="376"/>
      <c r="NB65" s="543"/>
      <c r="NC65" s="543"/>
      <c r="ND65" s="543"/>
      <c r="NE65" s="543"/>
      <c r="NF65" s="543"/>
      <c r="NG65" s="543"/>
      <c r="NH65" s="543"/>
      <c r="NI65" s="543"/>
      <c r="NJ65" s="543"/>
      <c r="NK65" s="543"/>
      <c r="NL65" s="376" t="s">
        <v>827</v>
      </c>
      <c r="NM65" s="376"/>
      <c r="NN65" s="543"/>
      <c r="NO65" s="543"/>
      <c r="NP65" s="520" t="s">
        <v>22</v>
      </c>
      <c r="NQ65" s="376" t="s">
        <v>828</v>
      </c>
      <c r="NR65" s="376"/>
      <c r="NS65" s="543"/>
      <c r="NT65" s="543"/>
      <c r="NU65" s="376" t="s">
        <v>730</v>
      </c>
      <c r="NV65" s="376"/>
      <c r="NW65" s="543"/>
      <c r="NX65" s="543"/>
      <c r="NY65" s="543"/>
      <c r="NZ65" s="546" t="s">
        <v>912</v>
      </c>
      <c r="OA65" s="546"/>
      <c r="OB65" s="547"/>
      <c r="OC65" s="547"/>
      <c r="OD65" s="523" t="s">
        <v>959</v>
      </c>
      <c r="OE65" s="523"/>
      <c r="OF65" s="537"/>
      <c r="OG65" s="537"/>
      <c r="OH65" s="537"/>
      <c r="OI65" s="537"/>
      <c r="OJ65" s="537"/>
      <c r="OK65" s="537"/>
      <c r="OL65" s="376" t="s">
        <v>973</v>
      </c>
      <c r="OM65" s="376"/>
      <c r="ON65" s="375"/>
      <c r="OO65" s="375"/>
      <c r="OP65" s="375"/>
      <c r="OQ65" s="375"/>
      <c r="OR65" s="375"/>
      <c r="OS65" s="375"/>
      <c r="OT65" s="726"/>
      <c r="OU65" s="727"/>
      <c r="OV65" s="548" t="s">
        <v>22</v>
      </c>
      <c r="OW65" s="743"/>
      <c r="OX65" s="744"/>
      <c r="OY65" s="744"/>
      <c r="OZ65" s="744"/>
      <c r="PA65" s="744"/>
      <c r="PB65" s="744"/>
      <c r="PC65" s="745"/>
      <c r="PD65" s="375" t="s">
        <v>1067</v>
      </c>
      <c r="PE65" s="375"/>
      <c r="PF65" s="375"/>
      <c r="PG65" s="375"/>
      <c r="PH65" s="375"/>
      <c r="PI65" s="375"/>
      <c r="PJ65" s="375"/>
      <c r="PK65" s="375"/>
      <c r="PL65" s="375"/>
      <c r="PM65" s="375"/>
      <c r="PN65" s="375"/>
      <c r="PO65" s="546" t="s">
        <v>1017</v>
      </c>
      <c r="PP65" s="546"/>
      <c r="PQ65" s="547"/>
      <c r="PR65" s="547"/>
      <c r="PS65" s="547"/>
      <c r="PT65" s="547"/>
      <c r="PU65" s="547"/>
      <c r="PV65" s="547"/>
      <c r="PW65" s="547"/>
      <c r="PX65" s="547"/>
      <c r="PY65" s="546" t="s">
        <v>1074</v>
      </c>
      <c r="PZ65" s="546"/>
      <c r="QA65" s="547"/>
      <c r="QB65" s="520" t="s">
        <v>22</v>
      </c>
      <c r="QC65" s="547" t="s">
        <v>1074</v>
      </c>
      <c r="QD65" s="547"/>
      <c r="QE65" s="547"/>
      <c r="QF65" s="547"/>
      <c r="QG65" s="545" t="s">
        <v>1076</v>
      </c>
      <c r="QH65" s="546"/>
      <c r="QI65" s="547" t="s">
        <v>757</v>
      </c>
      <c r="QJ65" s="536"/>
      <c r="QK65" s="536"/>
      <c r="QL65" s="546" t="s">
        <v>1077</v>
      </c>
      <c r="QM65" s="546"/>
      <c r="QN65" s="547"/>
      <c r="QO65" s="547"/>
      <c r="QP65" s="547"/>
      <c r="QQ65" s="546" t="s">
        <v>1081</v>
      </c>
      <c r="QR65" s="546"/>
      <c r="QS65" s="536"/>
      <c r="QT65" s="546" t="s">
        <v>936</v>
      </c>
      <c r="QU65" s="524"/>
      <c r="QV65" s="545" t="s">
        <v>1286</v>
      </c>
      <c r="QW65" s="545"/>
      <c r="QX65" s="549"/>
      <c r="QY65" s="549"/>
      <c r="QZ65" s="549"/>
      <c r="RA65" s="546" t="s">
        <v>979</v>
      </c>
      <c r="RB65" s="550"/>
      <c r="RC65" s="523" t="s">
        <v>1035</v>
      </c>
      <c r="RD65" s="524"/>
      <c r="RE65" s="525"/>
      <c r="RF65" s="525"/>
      <c r="RG65" s="520" t="s">
        <v>22</v>
      </c>
      <c r="RH65" s="537" t="s">
        <v>1162</v>
      </c>
      <c r="RI65" s="525"/>
      <c r="RJ65" s="525"/>
      <c r="RK65" s="525"/>
      <c r="RL65" s="525"/>
      <c r="RM65" s="525"/>
      <c r="RN65" s="525"/>
      <c r="RO65" s="525"/>
      <c r="RP65" s="525"/>
      <c r="RQ65" s="525"/>
      <c r="RR65" s="525"/>
      <c r="RS65" s="546" t="s">
        <v>1290</v>
      </c>
      <c r="RT65" s="546"/>
      <c r="RU65" s="546" t="s">
        <v>1409</v>
      </c>
      <c r="RV65" s="546"/>
      <c r="RW65" s="376" t="s">
        <v>1297</v>
      </c>
      <c r="RX65" s="524"/>
      <c r="RY65" s="375"/>
      <c r="RZ65" s="376" t="s">
        <v>1421</v>
      </c>
      <c r="SA65" s="524"/>
      <c r="SB65" s="375"/>
      <c r="SC65" s="375"/>
      <c r="SD65" s="375"/>
      <c r="SE65" s="375"/>
      <c r="SF65" s="375"/>
      <c r="SG65" s="375"/>
      <c r="SH65" s="375"/>
      <c r="SI65" s="375"/>
      <c r="SJ65" s="523" t="s">
        <v>1013</v>
      </c>
      <c r="SK65" s="376" t="s">
        <v>1196</v>
      </c>
      <c r="SL65" s="376"/>
      <c r="SM65" s="520" t="s">
        <v>22</v>
      </c>
      <c r="SN65" s="375" t="s">
        <v>1196</v>
      </c>
      <c r="SO65" s="376" t="s">
        <v>1122</v>
      </c>
      <c r="SP65" s="376"/>
      <c r="SQ65" s="543"/>
      <c r="SR65" s="376" t="s">
        <v>1231</v>
      </c>
      <c r="SS65" s="376"/>
      <c r="ST65" s="543"/>
      <c r="SU65" s="543"/>
      <c r="SV65" s="376" t="s">
        <v>1230</v>
      </c>
      <c r="SW65" s="376"/>
      <c r="SX65" s="545" t="s">
        <v>1464</v>
      </c>
      <c r="SY65" s="545"/>
      <c r="SZ65" s="547"/>
      <c r="TA65" s="547"/>
      <c r="TB65" s="547"/>
      <c r="TC65" s="545" t="s">
        <v>1481</v>
      </c>
      <c r="TD65" s="545"/>
      <c r="TE65" s="547"/>
      <c r="TF65" s="547"/>
      <c r="TG65" s="545" t="s">
        <v>1470</v>
      </c>
      <c r="TH65" s="545"/>
      <c r="TI65" s="547"/>
      <c r="TJ65" s="547"/>
      <c r="TK65" s="547"/>
      <c r="TL65" s="547"/>
      <c r="TM65" s="545" t="s">
        <v>1474</v>
      </c>
      <c r="TN65" s="545"/>
      <c r="TO65" s="547"/>
      <c r="TP65" s="547"/>
      <c r="TQ65" s="547"/>
      <c r="TR65" s="520" t="s">
        <v>22</v>
      </c>
      <c r="TS65" s="545" t="s">
        <v>1479</v>
      </c>
      <c r="TT65" s="545"/>
      <c r="TU65" s="547"/>
      <c r="TV65" s="547"/>
      <c r="TW65" s="545" t="s">
        <v>1483</v>
      </c>
      <c r="TX65" s="545"/>
      <c r="TY65" s="547"/>
      <c r="TZ65" s="545" t="s">
        <v>1688</v>
      </c>
      <c r="UA65" s="545"/>
      <c r="UB65" s="547"/>
      <c r="UC65" s="547"/>
      <c r="UD65" s="545" t="s">
        <v>1487</v>
      </c>
      <c r="UE65" s="545"/>
      <c r="UF65" s="545" t="s">
        <v>1488</v>
      </c>
      <c r="UG65" s="545"/>
      <c r="UH65" s="547"/>
      <c r="UI65" s="547"/>
      <c r="UJ65" s="547"/>
      <c r="UK65" s="545" t="s">
        <v>1492</v>
      </c>
      <c r="UL65" s="545"/>
      <c r="UM65" s="547"/>
      <c r="UN65" s="545" t="s">
        <v>1491</v>
      </c>
      <c r="UO65" s="545"/>
      <c r="UP65" s="547"/>
      <c r="UQ65" s="545" t="s">
        <v>1689</v>
      </c>
      <c r="UR65" s="545"/>
      <c r="US65" s="547"/>
      <c r="UT65" s="547"/>
      <c r="UU65" s="376" t="s">
        <v>1372</v>
      </c>
      <c r="UV65" s="376"/>
      <c r="UW65" s="543"/>
      <c r="UX65" s="520" t="s">
        <v>22</v>
      </c>
      <c r="UY65" s="523" t="s">
        <v>1830</v>
      </c>
      <c r="UZ65" s="524"/>
      <c r="VA65" s="523" t="s">
        <v>1609</v>
      </c>
      <c r="VB65" s="524"/>
      <c r="VC65" s="525"/>
      <c r="VD65" s="525"/>
      <c r="VE65" s="523" t="s">
        <v>1608</v>
      </c>
      <c r="VF65" s="545" t="s">
        <v>1771</v>
      </c>
      <c r="VG65" s="545"/>
      <c r="VH65" s="547"/>
      <c r="VI65" s="545" t="s">
        <v>1683</v>
      </c>
      <c r="VJ65" s="545"/>
      <c r="VK65" s="545" t="s">
        <v>1610</v>
      </c>
      <c r="VL65" s="545"/>
      <c r="VM65" s="545" t="s">
        <v>1754</v>
      </c>
      <c r="VN65" s="545"/>
      <c r="VO65" s="547"/>
      <c r="VP65" s="547"/>
      <c r="VQ65" s="545" t="s">
        <v>1755</v>
      </c>
      <c r="VR65" s="545"/>
      <c r="VS65" s="547"/>
      <c r="VT65" s="547"/>
      <c r="VU65" s="547"/>
      <c r="VV65" s="545" t="s">
        <v>1949</v>
      </c>
      <c r="VW65" s="545"/>
      <c r="VX65" s="547"/>
      <c r="VY65" s="545" t="s">
        <v>1885</v>
      </c>
      <c r="VZ65" s="545"/>
      <c r="WA65" s="547"/>
      <c r="WB65" s="545" t="s">
        <v>1886</v>
      </c>
      <c r="WC65" s="545"/>
      <c r="WD65" s="520" t="s">
        <v>22</v>
      </c>
      <c r="WE65" s="547" t="s">
        <v>1886</v>
      </c>
      <c r="WF65" s="545" t="s">
        <v>1887</v>
      </c>
      <c r="WG65" s="545"/>
      <c r="WH65" s="547"/>
      <c r="WI65" s="545" t="s">
        <v>1753</v>
      </c>
      <c r="WJ65" s="545"/>
      <c r="WK65" s="547"/>
      <c r="WL65" s="545" t="s">
        <v>1884</v>
      </c>
      <c r="WM65" s="545"/>
      <c r="WN65" s="547"/>
      <c r="WO65" s="547"/>
      <c r="WP65" s="523" t="s">
        <v>1974</v>
      </c>
      <c r="WQ65" s="523"/>
      <c r="WR65" s="525"/>
      <c r="WS65" s="525"/>
      <c r="WT65" s="525"/>
      <c r="WU65" s="525"/>
      <c r="WV65" s="525"/>
      <c r="WW65" s="525"/>
      <c r="WX65" s="525"/>
      <c r="WY65" s="545" t="s">
        <v>1975</v>
      </c>
      <c r="WZ65" s="545"/>
      <c r="XA65" s="547"/>
      <c r="XB65" s="545" t="s">
        <v>1947</v>
      </c>
      <c r="XC65" s="545"/>
      <c r="XD65" s="547"/>
      <c r="XE65" s="523" t="s">
        <v>1896</v>
      </c>
      <c r="XF65" s="523"/>
      <c r="XG65" s="520" t="s">
        <v>22</v>
      </c>
      <c r="XH65" s="537" t="s">
        <v>1896</v>
      </c>
      <c r="XI65" s="537"/>
      <c r="XJ65" s="537"/>
      <c r="XK65" s="537"/>
      <c r="XL65" s="537"/>
      <c r="XM65" s="537"/>
      <c r="XN65" s="537"/>
      <c r="XO65" s="15" t="s">
        <v>1895</v>
      </c>
      <c r="XP65" s="15"/>
      <c r="XQ65" s="37"/>
      <c r="XR65" s="525"/>
      <c r="XS65" s="525"/>
      <c r="XT65" s="525"/>
      <c r="XU65" s="525"/>
      <c r="XV65" s="15" t="s">
        <v>2055</v>
      </c>
      <c r="XW65" s="15"/>
      <c r="XX65" s="525"/>
      <c r="XY65" s="525"/>
      <c r="XZ65" s="525"/>
      <c r="YA65" s="37"/>
      <c r="YB65" s="37"/>
      <c r="YC65" s="37"/>
      <c r="YD65" s="37"/>
      <c r="YE65" s="37"/>
      <c r="YF65" s="525"/>
      <c r="YG65" s="525"/>
      <c r="YH65" s="525"/>
      <c r="YI65" s="525"/>
      <c r="YJ65" s="525"/>
      <c r="YK65" s="525"/>
      <c r="YL65" s="525"/>
      <c r="YM65" s="520" t="s">
        <v>22</v>
      </c>
      <c r="YN65" s="537" t="s">
        <v>2055</v>
      </c>
      <c r="YO65" s="537"/>
      <c r="YP65" s="525"/>
      <c r="YQ65" s="525"/>
      <c r="YR65" s="525"/>
      <c r="YS65" s="525"/>
      <c r="YT65" s="525"/>
      <c r="YU65" s="525"/>
      <c r="YV65" s="525"/>
      <c r="YW65" s="525"/>
      <c r="YX65" s="525"/>
      <c r="YY65" s="525"/>
      <c r="YZ65" s="525"/>
      <c r="ZA65" s="525"/>
      <c r="ZB65" s="525"/>
      <c r="ZC65" s="525"/>
      <c r="ZD65" s="37"/>
      <c r="ZE65" s="37"/>
      <c r="ZF65" s="376" t="s">
        <v>2099</v>
      </c>
      <c r="ZG65" s="524"/>
      <c r="ZH65" s="375"/>
      <c r="ZI65" s="375"/>
      <c r="ZJ65" s="375"/>
      <c r="ZK65" s="375"/>
      <c r="ZL65" s="375"/>
      <c r="ZM65" s="375"/>
      <c r="ZN65" s="375"/>
      <c r="ZO65" s="375"/>
      <c r="ZP65" s="375"/>
      <c r="ZQ65" s="375"/>
      <c r="ZR65" s="520" t="s">
        <v>22</v>
      </c>
      <c r="ZS65" s="547"/>
      <c r="ZT65" s="584"/>
      <c r="ZU65" s="523" t="s">
        <v>1894</v>
      </c>
      <c r="ZV65" s="523"/>
      <c r="ZW65" s="537"/>
      <c r="ZX65" s="537"/>
      <c r="ZY65" s="537"/>
      <c r="ZZ65" s="537"/>
      <c r="AAA65" s="537"/>
      <c r="AAB65" s="537"/>
      <c r="AAC65" s="537"/>
      <c r="AAD65" s="537"/>
      <c r="AAE65" s="777"/>
      <c r="AAF65" s="705"/>
      <c r="AAG65" s="705"/>
      <c r="AAH65" s="705"/>
      <c r="AAI65" s="778"/>
      <c r="AAJ65" s="537" t="s">
        <v>1894</v>
      </c>
      <c r="AAK65" s="345" t="s">
        <v>2227</v>
      </c>
      <c r="AAL65" s="345"/>
      <c r="AAM65" s="352"/>
      <c r="AAN65" s="552"/>
      <c r="AAO65" s="525"/>
      <c r="AAP65" s="525"/>
      <c r="AAQ65" s="345" t="s">
        <v>2288</v>
      </c>
      <c r="AAR65" s="345"/>
      <c r="AAS65" s="537"/>
      <c r="AAT65" s="537"/>
      <c r="AAU65" s="537"/>
      <c r="AAV65" s="537"/>
      <c r="AAW65" s="537"/>
      <c r="AAX65" s="520" t="s">
        <v>22</v>
      </c>
      <c r="AAY65" s="537" t="s">
        <v>2288</v>
      </c>
      <c r="AAZ65" s="15" t="s">
        <v>2289</v>
      </c>
      <c r="ABA65" s="15"/>
      <c r="ABB65" s="537"/>
      <c r="ABC65" s="537"/>
      <c r="ABD65" s="537"/>
      <c r="ABE65" s="537"/>
      <c r="ABF65" s="537"/>
      <c r="ABG65" s="345" t="s">
        <v>2240</v>
      </c>
      <c r="ABH65" s="345"/>
      <c r="ABI65" s="352"/>
      <c r="ABJ65" s="352"/>
      <c r="ABK65" s="352"/>
      <c r="ABL65" s="352"/>
      <c r="ABM65" s="352"/>
      <c r="ABN65" s="352"/>
      <c r="ABO65" s="352"/>
      <c r="ABP65" s="352"/>
      <c r="ABQ65" s="352"/>
      <c r="ABR65" s="352"/>
      <c r="ABS65" s="352"/>
      <c r="ABT65" s="345" t="s">
        <v>2237</v>
      </c>
      <c r="ABU65" s="345"/>
      <c r="ABV65" s="352"/>
      <c r="ABW65" s="352"/>
      <c r="ABX65" s="352"/>
      <c r="ABY65" s="352"/>
      <c r="ABZ65" s="352"/>
      <c r="ACA65" s="352"/>
      <c r="ACB65" s="352"/>
      <c r="ACC65" s="7" t="s">
        <v>2396</v>
      </c>
      <c r="ACD65" s="537" t="s">
        <v>2237</v>
      </c>
      <c r="ACE65" s="537"/>
      <c r="ACF65" s="537"/>
      <c r="ACG65" s="352"/>
      <c r="ACH65" s="352"/>
      <c r="ACI65" s="352"/>
      <c r="ACJ65" s="352"/>
      <c r="ACK65" s="352"/>
      <c r="ACL65" s="352"/>
      <c r="ACM65" s="352"/>
      <c r="ACN65" s="352"/>
      <c r="ACO65" s="352"/>
      <c r="ACP65" s="352"/>
      <c r="ACQ65" s="352"/>
      <c r="ACR65" s="352"/>
      <c r="ACS65" s="352"/>
      <c r="ACT65" s="352"/>
      <c r="ACU65" s="352"/>
      <c r="ACV65" s="352"/>
      <c r="ACW65" s="785"/>
      <c r="ACX65" s="786"/>
      <c r="ACY65" s="786"/>
      <c r="ACZ65" s="786"/>
      <c r="ADA65" s="786"/>
      <c r="ADB65" s="786"/>
      <c r="ADC65" s="786"/>
      <c r="ADD65" s="786"/>
      <c r="ADE65" s="786"/>
      <c r="ADF65" s="786"/>
      <c r="ADG65" s="787"/>
      <c r="ADH65" s="314"/>
      <c r="ADI65" s="7" t="s">
        <v>2396</v>
      </c>
      <c r="ADJ65" s="352" t="s">
        <v>2237</v>
      </c>
      <c r="ADK65" s="352"/>
      <c r="ADL65" s="352"/>
      <c r="ADM65" s="352"/>
      <c r="ADN65" s="352"/>
      <c r="ADO65" s="352"/>
      <c r="ADP65" s="352"/>
      <c r="ADQ65" s="352"/>
      <c r="ADR65" s="352"/>
      <c r="ADS65" s="352"/>
      <c r="ADT65" s="352"/>
      <c r="ADU65" s="352"/>
      <c r="ADV65" s="352"/>
      <c r="ADW65" s="352"/>
      <c r="ADX65" s="352"/>
      <c r="ADY65" s="352"/>
      <c r="ADZ65" s="352"/>
      <c r="AEA65" s="352"/>
      <c r="AEB65" s="352"/>
      <c r="AEC65" s="352"/>
      <c r="AED65" s="352"/>
      <c r="AEE65" s="352"/>
      <c r="AEF65" s="352"/>
      <c r="AEG65" s="352"/>
      <c r="AEH65" s="352"/>
      <c r="AEI65" s="352"/>
      <c r="AEJ65" s="352"/>
      <c r="AEK65" s="352"/>
      <c r="AEL65" s="352"/>
      <c r="AEM65" s="352"/>
      <c r="AEN65" s="352"/>
      <c r="AEO65" s="7" t="s">
        <v>2398</v>
      </c>
      <c r="AEP65" s="345" t="s">
        <v>2402</v>
      </c>
      <c r="AEQ65" s="345"/>
      <c r="AER65" s="352"/>
      <c r="AES65" s="352"/>
      <c r="AET65" s="352"/>
      <c r="AEU65" s="352"/>
      <c r="AEV65" s="352"/>
      <c r="AEW65" s="352"/>
      <c r="AEX65" s="352"/>
      <c r="AEY65" s="352"/>
      <c r="AEZ65" s="352"/>
      <c r="AFA65" s="345" t="s">
        <v>2456</v>
      </c>
      <c r="AFB65" s="345"/>
      <c r="AFC65" s="352"/>
      <c r="AFD65" s="345" t="s">
        <v>2459</v>
      </c>
      <c r="AFE65" s="345"/>
      <c r="AFF65" s="352"/>
      <c r="AFG65" s="352"/>
      <c r="AFH65" s="352"/>
      <c r="AFI65" s="352"/>
      <c r="AFJ65" s="352"/>
      <c r="AFK65" s="352"/>
      <c r="AFL65" s="352"/>
      <c r="AFM65" s="352"/>
      <c r="AFN65" s="352"/>
      <c r="AFO65" s="352"/>
      <c r="AFP65" s="352"/>
      <c r="AFQ65" s="352"/>
      <c r="AFR65" s="352"/>
      <c r="AFS65" s="352"/>
      <c r="AFT65" s="7" t="s">
        <v>2398</v>
      </c>
      <c r="AFU65" s="352" t="s">
        <v>2459</v>
      </c>
      <c r="AFV65" s="352"/>
      <c r="AFW65" s="352"/>
      <c r="AFX65" s="345" t="s">
        <v>2599</v>
      </c>
      <c r="AFY65" s="345"/>
      <c r="AFZ65" s="352"/>
      <c r="AGA65" s="352"/>
      <c r="AGB65" s="352"/>
      <c r="AGC65" s="352"/>
      <c r="AGD65" s="352"/>
      <c r="AGE65" s="352"/>
      <c r="AGF65" s="352"/>
      <c r="AGG65" s="352"/>
      <c r="AGH65" s="352"/>
      <c r="AGI65" s="352"/>
      <c r="AGJ65" s="345" t="s">
        <v>2234</v>
      </c>
      <c r="AGK65" s="345"/>
      <c r="AGL65" s="345" t="s">
        <v>2459</v>
      </c>
      <c r="AGM65" s="345"/>
      <c r="AGN65" s="352"/>
      <c r="AGO65" s="352"/>
      <c r="AGP65" s="352"/>
      <c r="AGQ65" s="352"/>
      <c r="AGR65" s="352"/>
      <c r="AGS65" s="352"/>
      <c r="AGT65" s="352"/>
      <c r="AGU65" s="345" t="s">
        <v>2601</v>
      </c>
      <c r="AGV65" s="345"/>
      <c r="AGW65" s="352"/>
      <c r="AGX65" s="352"/>
      <c r="AGY65" s="352"/>
      <c r="AGZ65" s="7" t="s">
        <v>2398</v>
      </c>
      <c r="AHA65" s="352" t="s">
        <v>2601</v>
      </c>
      <c r="AHB65" s="352"/>
      <c r="AHC65" s="352"/>
      <c r="AHD65" s="352"/>
      <c r="AHE65" s="352"/>
      <c r="AHF65" s="352"/>
      <c r="AHG65" s="361" t="s">
        <v>2753</v>
      </c>
      <c r="AHH65" s="361"/>
      <c r="AHI65" s="316"/>
      <c r="AHJ65" s="361" t="s">
        <v>2749</v>
      </c>
      <c r="AHK65" s="361"/>
      <c r="AHL65" s="316"/>
      <c r="AHM65" s="316"/>
      <c r="AHN65" s="316"/>
      <c r="AHO65" s="361" t="s">
        <v>2587</v>
      </c>
      <c r="AHP65" s="361"/>
      <c r="AHQ65" s="316"/>
      <c r="AHR65" s="316"/>
      <c r="AHS65" s="316"/>
      <c r="AHV65" s="345" t="s">
        <v>2619</v>
      </c>
      <c r="AHW65" s="345"/>
      <c r="AHX65" s="352"/>
      <c r="AHY65" s="352"/>
      <c r="AHZ65" s="352"/>
      <c r="AIA65" s="352"/>
      <c r="AIB65" s="352"/>
      <c r="AIC65" s="352"/>
      <c r="AID65" s="352"/>
      <c r="AIE65" s="7" t="s">
        <v>2398</v>
      </c>
      <c r="AIF65" s="352" t="s">
        <v>2619</v>
      </c>
      <c r="AIG65" s="352"/>
      <c r="AIH65" s="352"/>
      <c r="AII65" s="352"/>
      <c r="AIJ65" s="352"/>
      <c r="AIK65" s="352"/>
      <c r="AIL65" s="352"/>
      <c r="AIM65" s="352"/>
      <c r="AIN65" s="352"/>
      <c r="AIO65" s="352"/>
      <c r="AIP65" s="352"/>
      <c r="AIQ65" s="352"/>
      <c r="AIR65" s="352"/>
      <c r="AIS65" s="352"/>
      <c r="AIT65" s="352"/>
      <c r="AIU65" s="352"/>
      <c r="AIV65" s="352"/>
      <c r="AIW65" s="352"/>
      <c r="AIX65" s="352"/>
      <c r="AIY65" s="352"/>
      <c r="AIZ65" s="352"/>
      <c r="AJA65" s="352"/>
      <c r="AJB65" s="352"/>
      <c r="AJC65" s="352"/>
      <c r="AJD65" s="352"/>
      <c r="AJE65" s="352"/>
      <c r="AJF65" s="352"/>
      <c r="AJG65" s="352"/>
      <c r="AJH65" s="352"/>
      <c r="AJI65" s="352"/>
      <c r="AJJ65" s="352"/>
      <c r="AJK65" s="7" t="s">
        <v>2398</v>
      </c>
      <c r="AJL65" s="352" t="s">
        <v>2619</v>
      </c>
      <c r="AJM65" s="352"/>
      <c r="AJN65" s="210" t="s">
        <v>2409</v>
      </c>
      <c r="AJO65" s="293"/>
      <c r="AJP65" s="180"/>
      <c r="AJQ65" s="180"/>
      <c r="AJR65" s="180"/>
      <c r="AJS65" s="210" t="s">
        <v>2412</v>
      </c>
      <c r="AJT65" s="210"/>
      <c r="AJU65" s="180"/>
      <c r="AJV65" s="210" t="s">
        <v>2739</v>
      </c>
      <c r="AJW65" s="210"/>
      <c r="AJX65" s="180"/>
      <c r="AJY65" s="180"/>
      <c r="AJZ65" s="210" t="s">
        <v>2423</v>
      </c>
      <c r="AKA65" s="210"/>
      <c r="AKB65" s="180"/>
      <c r="AKC65" s="210" t="s">
        <v>2422</v>
      </c>
      <c r="AKD65" s="210"/>
      <c r="AKE65" s="180"/>
      <c r="AKF65" s="210" t="s">
        <v>2741</v>
      </c>
      <c r="AKG65" s="210"/>
      <c r="AKH65" s="180"/>
      <c r="AKI65" s="180"/>
      <c r="AKJ65" s="180"/>
      <c r="AKK65" s="519" t="s">
        <v>2736</v>
      </c>
      <c r="AKL65" s="210"/>
      <c r="AKM65" s="180"/>
      <c r="AKN65" s="180"/>
      <c r="AKO65" s="180"/>
      <c r="AKP65" s="180"/>
      <c r="AKQ65" s="7" t="s">
        <v>2398</v>
      </c>
      <c r="AKR65" s="210" t="s">
        <v>2425</v>
      </c>
      <c r="AKS65" s="210"/>
      <c r="AKT65" s="180"/>
      <c r="AKU65" s="180"/>
      <c r="AKV65" s="180"/>
      <c r="AKW65" s="210" t="s">
        <v>2428</v>
      </c>
      <c r="AKX65" s="210"/>
      <c r="AKY65" s="180" t="s">
        <v>2428</v>
      </c>
      <c r="AKZ65" s="180"/>
      <c r="ALA65" s="180"/>
      <c r="ALB65" s="345" t="s">
        <v>2846</v>
      </c>
      <c r="ALC65" s="345"/>
      <c r="ALD65" s="352"/>
      <c r="ALE65" s="352"/>
      <c r="ALF65" s="352"/>
      <c r="ALG65" s="352"/>
      <c r="ALH65" s="352"/>
      <c r="ALI65" s="352"/>
      <c r="ALJ65" s="352"/>
      <c r="ALK65" s="352"/>
      <c r="ALL65" s="352"/>
      <c r="ALM65" s="352"/>
      <c r="ALN65" s="352"/>
      <c r="ALO65" s="352"/>
      <c r="ALP65" s="352"/>
      <c r="ALQ65" s="352"/>
      <c r="ALR65" s="352"/>
      <c r="ALS65" s="352"/>
      <c r="ALT65" s="7" t="s">
        <v>2398</v>
      </c>
      <c r="ALU65" s="352" t="s">
        <v>2846</v>
      </c>
      <c r="ALV65" s="352"/>
      <c r="ALW65" s="352"/>
      <c r="ALX65" s="352"/>
      <c r="ALY65" s="352"/>
      <c r="ALZ65" s="352"/>
      <c r="AMA65" s="352"/>
      <c r="AMB65" s="352"/>
      <c r="AMC65" s="352"/>
      <c r="AMD65" s="352"/>
      <c r="AME65" s="352"/>
      <c r="AMF65" s="352"/>
      <c r="AMG65" s="352"/>
      <c r="AMH65" s="352"/>
      <c r="AMI65" s="352"/>
      <c r="AMJ65" s="352"/>
      <c r="AMK65" s="352"/>
      <c r="AML65" s="352"/>
      <c r="AMM65" s="352"/>
      <c r="AMN65" s="352"/>
      <c r="AMO65" s="352"/>
      <c r="AMP65" s="352"/>
      <c r="AMQ65" s="352"/>
      <c r="AMR65" s="352"/>
      <c r="AMS65" s="352"/>
      <c r="AMT65" s="352"/>
      <c r="AMU65" s="352"/>
      <c r="AMV65" s="352"/>
      <c r="AMW65" s="352"/>
      <c r="AMX65" s="352"/>
      <c r="AMY65" s="352"/>
      <c r="AMZ65" s="7" t="s">
        <v>2398</v>
      </c>
      <c r="ANA65" s="352" t="s">
        <v>2846</v>
      </c>
      <c r="ANB65" s="352"/>
      <c r="ANC65" s="352"/>
      <c r="AND65" s="352"/>
      <c r="ANE65" s="352"/>
      <c r="ANF65" s="352"/>
      <c r="ANG65" s="352"/>
      <c r="ANH65" s="352"/>
      <c r="ANI65" s="352"/>
      <c r="ANJ65" s="210" t="s">
        <v>2685</v>
      </c>
      <c r="ANK65" s="210"/>
      <c r="ANL65" s="180"/>
      <c r="ANM65" s="180"/>
      <c r="ANN65" s="180"/>
      <c r="ANO65" s="180"/>
      <c r="ANP65" s="180"/>
      <c r="ANQ65" s="180"/>
      <c r="ANR65" s="180"/>
      <c r="ANS65" s="180"/>
      <c r="ANT65" s="180"/>
      <c r="ANU65" s="180"/>
      <c r="ANV65" s="180"/>
      <c r="ANW65" s="180"/>
      <c r="ANX65" s="180"/>
      <c r="ANY65" s="180"/>
      <c r="ANZ65" s="180"/>
      <c r="AOA65" s="180"/>
      <c r="AOB65" s="180"/>
      <c r="AOC65" s="180"/>
      <c r="AOD65" s="180"/>
      <c r="AOE65" s="7" t="s">
        <v>2398</v>
      </c>
      <c r="AOF65" s="159"/>
      <c r="AOG65" s="159"/>
      <c r="AOH65" s="159"/>
      <c r="AOI65" s="159"/>
      <c r="AOJ65" s="159"/>
      <c r="AOK65" s="159"/>
      <c r="AOL65" s="159"/>
      <c r="AOM65" s="159"/>
      <c r="AON65" s="159"/>
      <c r="AOO65" s="376" t="s">
        <v>2850</v>
      </c>
      <c r="AOP65" s="376"/>
      <c r="AOQ65" s="316"/>
      <c r="AOR65" s="316"/>
      <c r="AOS65" s="316"/>
      <c r="AOT65" s="316"/>
      <c r="AOU65" s="316"/>
      <c r="AOV65" s="316"/>
      <c r="AOW65" s="316"/>
      <c r="AOX65" s="316"/>
      <c r="AOY65" s="316"/>
      <c r="AOZ65" s="316"/>
      <c r="APA65" s="316"/>
      <c r="APB65" s="316"/>
      <c r="APC65" s="316"/>
      <c r="APD65" s="316"/>
      <c r="APE65" s="316"/>
      <c r="APF65" s="316"/>
      <c r="APG65" s="316"/>
      <c r="APH65" s="316"/>
      <c r="API65" s="316"/>
      <c r="APJ65" s="316"/>
      <c r="APK65" s="7" t="s">
        <v>2398</v>
      </c>
      <c r="APL65" s="180" t="s">
        <v>2685</v>
      </c>
      <c r="APM65" s="180"/>
      <c r="APN65" s="180"/>
      <c r="APO65" s="180"/>
      <c r="APP65" s="180"/>
      <c r="APQ65" s="180"/>
      <c r="APR65" s="180"/>
      <c r="APS65" s="180"/>
      <c r="APT65" s="180"/>
      <c r="APU65" s="180"/>
      <c r="APV65" s="180"/>
      <c r="APW65" s="180"/>
      <c r="APX65" s="180"/>
      <c r="APY65" s="180"/>
      <c r="APZ65" s="180"/>
      <c r="AQA65" s="180"/>
      <c r="AQB65" s="180"/>
      <c r="AQC65" s="180"/>
      <c r="AQD65" s="180"/>
      <c r="AQE65" s="180"/>
      <c r="AQF65" s="180"/>
      <c r="AQG65" s="180"/>
      <c r="AQH65" s="180"/>
      <c r="AQI65" s="180"/>
      <c r="AQJ65" s="314"/>
      <c r="AQK65" s="314"/>
      <c r="AQL65" s="314"/>
      <c r="AQM65" s="314"/>
      <c r="AQN65" s="314"/>
      <c r="AQO65" s="314"/>
      <c r="AQP65" s="7" t="s">
        <v>2398</v>
      </c>
      <c r="AQQ65" s="314"/>
      <c r="AQR65" s="314"/>
      <c r="AQS65" s="314"/>
      <c r="AQT65" s="314"/>
      <c r="AQU65" s="314"/>
      <c r="AQV65" s="314"/>
      <c r="AQW65" s="314"/>
      <c r="AQX65" s="159"/>
      <c r="AQY65" s="159"/>
      <c r="AQZ65" s="159"/>
      <c r="ARA65" s="159"/>
      <c r="ARB65" s="159"/>
      <c r="ARC65" s="159"/>
      <c r="ARD65" s="159"/>
      <c r="ARE65" s="159"/>
      <c r="ARF65" s="159"/>
      <c r="ARG65" s="314"/>
      <c r="ARH65" s="314"/>
      <c r="ARI65" s="210" t="s">
        <v>2686</v>
      </c>
      <c r="ARJ65" s="210"/>
      <c r="ARK65" s="180"/>
      <c r="ARL65" s="180"/>
      <c r="ARM65" s="180"/>
      <c r="ARN65" s="180"/>
      <c r="ARO65" s="180"/>
      <c r="ARP65" s="180"/>
      <c r="ARQ65" s="180"/>
      <c r="ARR65" s="180"/>
      <c r="ARS65" s="180"/>
      <c r="ART65" s="180"/>
      <c r="ARU65" s="180"/>
      <c r="ARV65" s="7" t="s">
        <v>2398</v>
      </c>
      <c r="ARW65" s="180" t="s">
        <v>2686</v>
      </c>
      <c r="ARX65" s="180"/>
      <c r="ARY65" s="180"/>
      <c r="ARZ65" s="180"/>
      <c r="ASA65" s="180"/>
      <c r="ASB65" s="180"/>
      <c r="ASC65" s="180"/>
      <c r="ASD65" s="180"/>
      <c r="ASE65" s="180"/>
      <c r="ASF65" s="180"/>
      <c r="ASG65" s="180"/>
      <c r="ASH65" s="180"/>
      <c r="ASI65" s="180"/>
      <c r="ASJ65" s="180"/>
      <c r="ASK65" s="180"/>
      <c r="ASL65" s="180"/>
      <c r="ASM65" s="180"/>
      <c r="ASN65" s="180"/>
      <c r="ASO65" s="180"/>
      <c r="ASP65" s="180"/>
      <c r="ASQ65" s="180"/>
      <c r="ASR65" s="180"/>
      <c r="ASS65" s="180"/>
      <c r="AST65" s="180"/>
      <c r="ASU65" s="180"/>
      <c r="ASV65" s="314"/>
      <c r="ASW65" s="314"/>
      <c r="ASX65" s="314"/>
      <c r="ASY65" s="314"/>
      <c r="ASZ65" s="314"/>
      <c r="ATA65" s="314"/>
      <c r="ATB65" s="7" t="s">
        <v>2398</v>
      </c>
      <c r="ATC65" s="320"/>
      <c r="ATD65" s="320"/>
      <c r="ATE65" s="320"/>
      <c r="ATF65" s="320"/>
      <c r="ATG65" s="320"/>
      <c r="ATH65" s="320"/>
      <c r="ATI65" s="320"/>
      <c r="ATJ65" s="320"/>
      <c r="ATK65" s="320"/>
      <c r="ATL65" s="320"/>
      <c r="ATM65" s="320"/>
      <c r="ATN65" s="320"/>
      <c r="ATO65" s="320"/>
      <c r="ATP65" s="320"/>
      <c r="ATQ65" s="320"/>
      <c r="ATR65" s="320"/>
      <c r="ATS65" s="320"/>
      <c r="ATT65" s="320"/>
      <c r="ATU65" s="320"/>
      <c r="ATV65" s="320"/>
      <c r="ATW65" s="320"/>
      <c r="ATX65" s="320"/>
      <c r="ATY65" s="320"/>
      <c r="ATZ65" s="320"/>
      <c r="AUA65" s="320"/>
      <c r="AUB65" s="320"/>
      <c r="AUC65" s="320"/>
      <c r="AUD65" s="320"/>
      <c r="AUE65" s="320"/>
      <c r="AUF65" s="320"/>
      <c r="AUG65" s="7" t="s">
        <v>2398</v>
      </c>
      <c r="AUH65" s="320"/>
      <c r="AUI65" s="320"/>
      <c r="AUJ65" s="320"/>
      <c r="AUK65" s="320"/>
      <c r="AUL65" s="320"/>
      <c r="AUM65" s="320"/>
      <c r="AUN65" s="320"/>
      <c r="AUO65" s="320"/>
      <c r="AUP65" s="320"/>
      <c r="AUQ65" s="320"/>
      <c r="AUR65" s="320"/>
      <c r="AUS65" s="320"/>
      <c r="AUT65" s="320"/>
      <c r="AUU65" s="320"/>
      <c r="AUV65" s="320"/>
      <c r="AUW65" s="320"/>
      <c r="AUX65" s="320"/>
      <c r="AUY65" s="339" t="s">
        <v>2691</v>
      </c>
      <c r="AUZ65" s="339"/>
      <c r="AVA65" s="180"/>
      <c r="AVB65" s="180"/>
      <c r="AVC65" s="180"/>
      <c r="AVD65" s="180"/>
      <c r="AVE65" s="180"/>
      <c r="AVF65" s="180"/>
      <c r="AVG65" s="180"/>
      <c r="AVH65" s="180"/>
      <c r="AVI65" s="180"/>
      <c r="AVJ65" s="180"/>
      <c r="AVK65" s="180"/>
      <c r="AVL65" s="180"/>
      <c r="AVM65" s="7" t="s">
        <v>2398</v>
      </c>
      <c r="AVN65" s="180" t="s">
        <v>2691</v>
      </c>
      <c r="AVO65" s="180"/>
      <c r="AVP65" s="180"/>
      <c r="AVQ65" s="180"/>
      <c r="AVR65" s="180"/>
      <c r="AVS65" s="180"/>
      <c r="AVT65" s="180"/>
      <c r="AVU65" s="180"/>
      <c r="AVV65" s="180"/>
      <c r="AVW65" s="180"/>
      <c r="AVX65" s="180"/>
      <c r="AVY65" s="180"/>
      <c r="AVZ65" s="180"/>
      <c r="AWA65" s="180"/>
      <c r="AWB65" s="180"/>
      <c r="AWC65" s="180"/>
      <c r="AWD65" s="180"/>
      <c r="AWE65" s="180"/>
      <c r="AWF65" s="180"/>
      <c r="AWG65" s="180"/>
      <c r="AWH65" s="180"/>
      <c r="AWI65" s="180"/>
      <c r="AWJ65" s="180"/>
      <c r="AWK65" s="180"/>
      <c r="AWL65" s="180"/>
      <c r="AWM65" s="180"/>
      <c r="AWN65" s="180"/>
      <c r="AWO65" s="180"/>
      <c r="AWP65" s="180"/>
      <c r="AWQ65" s="180"/>
      <c r="AWR65" s="7" t="s">
        <v>2398</v>
      </c>
      <c r="AWS65" s="180" t="s">
        <v>2691</v>
      </c>
      <c r="AWT65" s="180"/>
      <c r="AWU65" s="180"/>
      <c r="AWV65" s="180"/>
      <c r="AWW65" s="180"/>
      <c r="AWX65" s="180"/>
      <c r="AWY65" s="180"/>
      <c r="AWZ65" s="180"/>
      <c r="AXA65" s="180"/>
      <c r="AXB65" s="180"/>
      <c r="AXC65" s="180"/>
      <c r="AXD65" s="180"/>
      <c r="AXE65" s="180"/>
      <c r="AXF65" s="180"/>
      <c r="AXG65" s="180"/>
      <c r="AXH65" s="180"/>
      <c r="AXI65" s="180"/>
      <c r="AXJ65" s="180"/>
      <c r="AXK65" s="180"/>
      <c r="AXL65" s="180"/>
      <c r="AXM65" s="180"/>
      <c r="AXN65" s="180"/>
      <c r="AXO65" s="314"/>
      <c r="AXP65" s="314"/>
      <c r="AXQ65" s="314"/>
      <c r="AXR65" s="314"/>
      <c r="AXS65" s="314"/>
      <c r="AXT65" s="314"/>
      <c r="AXU65" s="314"/>
      <c r="AXV65" s="314"/>
      <c r="AXW65" s="314"/>
      <c r="AXX65" s="7" t="s">
        <v>2398</v>
      </c>
    </row>
    <row r="66" spans="1:1583" s="184" customFormat="1" ht="22.8" customHeight="1" thickTop="1" x14ac:dyDescent="0.25">
      <c r="A66" s="553"/>
      <c r="B66" s="314"/>
      <c r="C66" s="145"/>
      <c r="P66" s="145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47"/>
      <c r="AI66" s="554"/>
      <c r="AJ66" s="555"/>
      <c r="AK66" s="145"/>
      <c r="AL66" s="144"/>
      <c r="AM66" s="144"/>
      <c r="AN66" s="144"/>
      <c r="AO66" s="144"/>
      <c r="AP66" s="144"/>
      <c r="AQ66" s="731"/>
      <c r="AR66" s="732"/>
      <c r="AS66" s="732"/>
      <c r="AT66" s="732"/>
      <c r="AU66" s="732"/>
      <c r="AV66" s="732"/>
      <c r="AW66" s="732"/>
      <c r="AX66" s="732"/>
      <c r="AY66" s="732"/>
      <c r="AZ66" s="733"/>
      <c r="BA66" s="144"/>
      <c r="BB66" s="144"/>
      <c r="BC66" s="144"/>
      <c r="BD66" s="144"/>
      <c r="BE66" s="144"/>
      <c r="BF66" s="144"/>
      <c r="BG66" s="144"/>
      <c r="BH66" s="144"/>
      <c r="BI66" s="144"/>
      <c r="BJ66" s="144"/>
      <c r="BK66" s="144"/>
      <c r="BL66" s="144"/>
      <c r="BM66" s="144"/>
      <c r="BN66" s="7"/>
      <c r="BO66" s="145"/>
      <c r="BP66" s="145"/>
      <c r="BQ66" s="556"/>
      <c r="BR66" s="556"/>
      <c r="BS66" s="556"/>
      <c r="BT66" s="556"/>
      <c r="BU66" s="145"/>
      <c r="BW66" s="556"/>
      <c r="BX66" s="556"/>
      <c r="BY66" s="145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7"/>
      <c r="CT66" s="144"/>
      <c r="CU66" s="144"/>
      <c r="CV66" s="144"/>
      <c r="CW66" s="144"/>
      <c r="CX66" s="144"/>
      <c r="CY66" s="144"/>
      <c r="CZ66" s="144"/>
      <c r="DA66" s="144"/>
      <c r="DB66" s="144"/>
      <c r="DC66" s="144"/>
      <c r="DD66" s="144"/>
      <c r="DE66" s="144"/>
      <c r="DF66" s="144"/>
      <c r="DG66" s="145"/>
      <c r="DM66" s="145"/>
      <c r="DO66" s="557"/>
      <c r="DP66" s="557"/>
      <c r="DQ66" s="145"/>
      <c r="DY66" s="188"/>
      <c r="DZ66" s="145"/>
      <c r="EA66" s="145"/>
      <c r="EB66" s="181"/>
      <c r="EC66" s="144"/>
      <c r="ED66" s="144"/>
      <c r="EE66" s="144"/>
      <c r="EF66" s="144"/>
      <c r="EG66" s="144"/>
      <c r="EH66" s="144"/>
      <c r="EI66" s="144"/>
      <c r="EJ66" s="144"/>
      <c r="EK66" s="144"/>
      <c r="EL66" s="144"/>
      <c r="EM66" s="144"/>
      <c r="EN66" s="145"/>
      <c r="EO66" s="145"/>
      <c r="EP66" s="145"/>
      <c r="EQ66" s="145"/>
      <c r="ER66" s="145"/>
      <c r="ES66" s="145"/>
      <c r="ET66" s="145"/>
      <c r="EU66" s="145"/>
      <c r="EV66" s="145"/>
      <c r="EW66" s="145"/>
      <c r="EX66" s="145"/>
      <c r="EZ66" s="145"/>
      <c r="FA66" s="145"/>
      <c r="FB66" s="145"/>
      <c r="FC66" s="145"/>
      <c r="FD66" s="188"/>
      <c r="FE66" s="145"/>
      <c r="LE66" s="7"/>
      <c r="MK66" s="5"/>
      <c r="NP66" s="7"/>
      <c r="NQ66" s="181"/>
      <c r="NR66" s="181"/>
      <c r="NS66" s="181"/>
      <c r="NT66" s="181"/>
      <c r="NU66" s="181"/>
      <c r="NV66" s="181"/>
      <c r="NW66" s="181"/>
      <c r="NX66" s="181"/>
      <c r="NY66" s="181"/>
      <c r="NZ66" s="181"/>
      <c r="OA66" s="181"/>
      <c r="OB66" s="181"/>
      <c r="OC66" s="314"/>
      <c r="OD66" s="314"/>
      <c r="OE66" s="314"/>
      <c r="OF66" s="314"/>
      <c r="OG66" s="314"/>
      <c r="OH66" s="314"/>
      <c r="OI66" s="314"/>
      <c r="OJ66" s="314"/>
      <c r="OK66" s="314"/>
      <c r="OL66" s="314"/>
      <c r="OM66" s="314"/>
      <c r="ON66" s="314"/>
      <c r="OO66" s="314"/>
      <c r="OP66" s="314"/>
      <c r="OQ66" s="314"/>
      <c r="OR66" s="314"/>
      <c r="OS66" s="314"/>
      <c r="OT66" s="314"/>
      <c r="OU66" s="314"/>
      <c r="OV66" s="7"/>
      <c r="OW66" s="558"/>
      <c r="OX66" s="558"/>
      <c r="OY66" s="558"/>
      <c r="OZ66" s="558"/>
      <c r="PA66" s="558"/>
      <c r="PB66" s="558"/>
      <c r="PC66" s="558"/>
      <c r="PD66" s="558"/>
      <c r="PE66" s="558"/>
      <c r="PF66" s="558"/>
      <c r="PG66" s="558"/>
      <c r="PH66" s="558"/>
      <c r="PI66" s="558"/>
      <c r="PJ66" s="558"/>
      <c r="PK66" s="558"/>
      <c r="PL66" s="558"/>
      <c r="PM66" s="558"/>
      <c r="PN66" s="558"/>
      <c r="PO66" s="558"/>
      <c r="PP66" s="558"/>
      <c r="PQ66" s="558"/>
      <c r="PR66" s="558"/>
      <c r="PS66" s="558"/>
      <c r="PT66" s="558"/>
      <c r="PU66" s="558"/>
      <c r="PV66" s="558"/>
      <c r="PW66" s="314">
        <v>290</v>
      </c>
      <c r="PX66" s="364"/>
      <c r="PY66" s="364"/>
      <c r="PZ66" s="314">
        <v>150</v>
      </c>
      <c r="QA66" s="314">
        <v>300</v>
      </c>
      <c r="QB66" s="7"/>
      <c r="QC66" s="314">
        <v>450</v>
      </c>
      <c r="QD66" s="314">
        <v>600</v>
      </c>
      <c r="QE66" s="314">
        <v>600</v>
      </c>
      <c r="QF66" s="314"/>
      <c r="QG66" s="365">
        <v>700</v>
      </c>
      <c r="QJ66" s="559"/>
      <c r="QK66" s="559"/>
      <c r="QL66" s="559"/>
      <c r="QM66" s="559"/>
      <c r="QN66" s="559"/>
      <c r="QO66" s="559"/>
      <c r="QP66" s="559"/>
      <c r="QQ66" s="559"/>
      <c r="QR66" s="559"/>
      <c r="QS66" s="559"/>
      <c r="QT66" s="559"/>
      <c r="QU66" s="559"/>
      <c r="QV66" s="559"/>
      <c r="QW66" s="559"/>
      <c r="QX66" s="559"/>
      <c r="QY66" s="559"/>
      <c r="QZ66" s="559"/>
      <c r="RA66" s="559"/>
      <c r="RB66" s="559"/>
      <c r="RC66" s="559"/>
      <c r="RD66" s="559"/>
      <c r="RE66" s="559"/>
      <c r="RF66" s="559"/>
      <c r="RG66" s="7"/>
      <c r="SM66" s="11"/>
      <c r="TR66" s="7"/>
      <c r="UX66" s="7"/>
      <c r="WD66" s="7"/>
      <c r="WF66" s="314">
        <v>100</v>
      </c>
      <c r="WG66" s="314">
        <v>700</v>
      </c>
      <c r="WH66" s="314">
        <v>1020</v>
      </c>
      <c r="WI66" s="314"/>
      <c r="WJ66" s="314">
        <v>1300</v>
      </c>
      <c r="WK66" s="314">
        <v>1500</v>
      </c>
      <c r="WL66" s="314">
        <v>1550</v>
      </c>
      <c r="WM66" s="314">
        <v>1550</v>
      </c>
      <c r="WN66" s="314">
        <v>1550</v>
      </c>
      <c r="WO66" s="314">
        <v>1650</v>
      </c>
      <c r="WP66" s="314">
        <v>1210</v>
      </c>
      <c r="WQ66" s="314">
        <v>1760</v>
      </c>
      <c r="WR66" s="314">
        <v>1402</v>
      </c>
      <c r="WS66" s="365">
        <f>210+1240</f>
        <v>1450</v>
      </c>
      <c r="WT66" s="314">
        <v>1700</v>
      </c>
      <c r="WU66" s="314">
        <v>1760</v>
      </c>
      <c r="WV66" s="314">
        <v>1200</v>
      </c>
      <c r="WW66" s="314"/>
      <c r="WX66" s="314"/>
      <c r="WY66" s="314"/>
      <c r="WZ66" s="314">
        <v>1760</v>
      </c>
      <c r="XA66" s="314">
        <v>1760</v>
      </c>
      <c r="XB66" s="314">
        <v>1760</v>
      </c>
      <c r="XC66" s="314">
        <v>1870</v>
      </c>
      <c r="XE66" s="314">
        <v>1980</v>
      </c>
      <c r="XF66" s="314">
        <v>1500</v>
      </c>
      <c r="XG66" s="314"/>
      <c r="XH66" s="314">
        <v>1800</v>
      </c>
      <c r="XI66" s="314">
        <v>2200</v>
      </c>
      <c r="XJ66" s="314">
        <f>1269+431</f>
        <v>1700</v>
      </c>
      <c r="XK66" s="314">
        <v>1800</v>
      </c>
      <c r="XL66" s="314"/>
      <c r="XM66" s="314">
        <v>1900</v>
      </c>
      <c r="XN66" s="314">
        <v>2030</v>
      </c>
      <c r="XO66" s="314">
        <v>1900</v>
      </c>
      <c r="XP66" s="314">
        <v>1980</v>
      </c>
      <c r="XQ66" s="124">
        <f>1433+217</f>
        <v>1650</v>
      </c>
      <c r="XR66" s="314">
        <v>1870</v>
      </c>
      <c r="XS66" s="173"/>
      <c r="XT66" s="314">
        <v>1830</v>
      </c>
      <c r="XU66" s="314">
        <v>1880</v>
      </c>
      <c r="XV66" s="314">
        <v>1900</v>
      </c>
      <c r="XW66" s="314">
        <v>1900</v>
      </c>
      <c r="XX66" s="314">
        <v>1800</v>
      </c>
      <c r="XY66" s="314">
        <v>1800</v>
      </c>
      <c r="XZ66" s="314">
        <v>1650</v>
      </c>
      <c r="YA66" s="314">
        <v>1680</v>
      </c>
      <c r="YB66" s="314">
        <v>1650</v>
      </c>
      <c r="YC66" s="314">
        <v>1670</v>
      </c>
      <c r="YD66" s="124">
        <f>1341+160</f>
        <v>1501</v>
      </c>
      <c r="YE66" s="314">
        <v>1200</v>
      </c>
      <c r="YF66" s="314">
        <v>1540</v>
      </c>
      <c r="YG66" s="173"/>
      <c r="YH66" s="314">
        <v>1400</v>
      </c>
      <c r="YI66" s="314">
        <v>1500</v>
      </c>
      <c r="YJ66" s="314">
        <v>1500</v>
      </c>
      <c r="YK66" s="314"/>
      <c r="YL66" s="124">
        <v>1500</v>
      </c>
      <c r="YM66" s="314"/>
      <c r="YN66" s="314">
        <v>1550</v>
      </c>
      <c r="YO66" s="314"/>
      <c r="YP66" s="314">
        <f>1222+440</f>
        <v>1662</v>
      </c>
      <c r="YQ66" s="314">
        <v>1700</v>
      </c>
      <c r="YR66" s="314">
        <v>1450</v>
      </c>
      <c r="YS66" s="314">
        <v>1980</v>
      </c>
      <c r="YT66" s="314">
        <v>1900</v>
      </c>
      <c r="YU66" s="314">
        <v>2050</v>
      </c>
      <c r="YV66" s="314"/>
      <c r="YW66" s="314">
        <v>2000</v>
      </c>
      <c r="YX66" s="314">
        <v>2000</v>
      </c>
      <c r="YY66" s="124">
        <f>1074+430</f>
        <v>1504</v>
      </c>
      <c r="YZ66" s="314">
        <v>1550</v>
      </c>
      <c r="ZA66" s="314"/>
      <c r="ZB66" s="314">
        <v>1450</v>
      </c>
      <c r="ZC66" s="314"/>
      <c r="ZD66" s="314">
        <v>1500</v>
      </c>
      <c r="ZE66" s="314">
        <v>1600</v>
      </c>
      <c r="ZF66" s="314">
        <v>1600</v>
      </c>
      <c r="ZG66" s="314">
        <v>1450</v>
      </c>
      <c r="ZH66" s="314">
        <v>1600</v>
      </c>
      <c r="ZI66" s="314">
        <v>1550</v>
      </c>
      <c r="ZJ66" s="314"/>
      <c r="ZK66" s="314">
        <v>1600</v>
      </c>
      <c r="ZL66" s="314">
        <v>1550</v>
      </c>
      <c r="ZM66" s="314">
        <v>1600</v>
      </c>
      <c r="ZN66" s="124">
        <f>732+780</f>
        <v>1512</v>
      </c>
      <c r="ZO66" s="314">
        <v>1700</v>
      </c>
      <c r="ZP66" s="314">
        <v>1600</v>
      </c>
      <c r="ZQ66" s="314"/>
      <c r="ZR66" s="314"/>
      <c r="ZS66" s="314"/>
      <c r="ZT66" s="314">
        <v>1760</v>
      </c>
      <c r="ZU66" s="314">
        <v>1700</v>
      </c>
      <c r="ZV66" s="314">
        <v>1700</v>
      </c>
      <c r="ZW66" s="314">
        <v>1700</v>
      </c>
      <c r="ZX66" s="314">
        <v>1800</v>
      </c>
      <c r="ZY66" s="314"/>
      <c r="ZZ66" s="314">
        <v>1700</v>
      </c>
      <c r="AAA66" s="314">
        <v>1700</v>
      </c>
      <c r="AAB66" s="314">
        <v>1750</v>
      </c>
      <c r="AAC66" s="314">
        <v>1700</v>
      </c>
      <c r="AAD66" s="314">
        <v>1500</v>
      </c>
      <c r="AAE66" s="777"/>
      <c r="AAF66" s="705"/>
      <c r="AAG66" s="705"/>
      <c r="AAH66" s="705"/>
      <c r="AAI66" s="778"/>
      <c r="AAJ66" s="314">
        <v>1900</v>
      </c>
      <c r="AAK66" s="314">
        <v>1800</v>
      </c>
      <c r="AAL66" s="124">
        <f>998+250</f>
        <v>1248</v>
      </c>
      <c r="AAM66" s="314">
        <v>1440</v>
      </c>
      <c r="AAN66" s="314">
        <v>1800</v>
      </c>
      <c r="AAO66" s="314">
        <v>2000</v>
      </c>
      <c r="AAP66" s="314">
        <v>2200</v>
      </c>
      <c r="AAQ66" s="314">
        <v>2000</v>
      </c>
      <c r="AAR66" s="124">
        <f>2071+30</f>
        <v>2101</v>
      </c>
      <c r="AAS66" s="314">
        <v>1910</v>
      </c>
      <c r="AAT66" s="314"/>
      <c r="AAU66" s="314">
        <v>1800</v>
      </c>
      <c r="AAV66" s="314">
        <v>1600</v>
      </c>
      <c r="AAW66" s="314">
        <v>1700</v>
      </c>
      <c r="AAX66" s="314"/>
      <c r="AAY66" s="314">
        <v>2200</v>
      </c>
      <c r="AAZ66" s="314">
        <v>1950</v>
      </c>
      <c r="ABA66" s="314">
        <v>2250</v>
      </c>
      <c r="ABC66" s="314">
        <v>2150</v>
      </c>
      <c r="ABD66" s="314">
        <v>2150</v>
      </c>
      <c r="ABE66" s="314">
        <v>2200</v>
      </c>
      <c r="ABF66" s="314">
        <v>2200</v>
      </c>
      <c r="ABG66" s="599">
        <f>184+1270</f>
        <v>1454</v>
      </c>
      <c r="ABH66" s="213">
        <v>1900</v>
      </c>
      <c r="ABI66" s="213"/>
      <c r="ABJ66" s="213">
        <v>2200</v>
      </c>
      <c r="ABK66" s="213">
        <v>2250</v>
      </c>
      <c r="ABL66" s="213">
        <v>2260</v>
      </c>
      <c r="ABM66" s="213">
        <v>2080</v>
      </c>
      <c r="ABN66" s="213">
        <v>2200</v>
      </c>
      <c r="ABO66" s="213">
        <v>2310</v>
      </c>
      <c r="ABP66" s="314">
        <v>1610</v>
      </c>
      <c r="ABQ66" s="314">
        <v>2250</v>
      </c>
      <c r="ABR66" s="314">
        <v>2210</v>
      </c>
      <c r="ABS66" s="314">
        <v>2250</v>
      </c>
      <c r="ABT66" s="314">
        <v>2310</v>
      </c>
      <c r="ABU66" s="314">
        <v>2200</v>
      </c>
      <c r="ABV66" s="314">
        <v>2310</v>
      </c>
      <c r="ABX66" s="314">
        <v>2310</v>
      </c>
      <c r="ABY66" s="314">
        <v>2350</v>
      </c>
      <c r="ABZ66" s="314">
        <v>2250</v>
      </c>
      <c r="ACA66" s="314">
        <v>2250</v>
      </c>
      <c r="ACB66" s="314">
        <v>2010</v>
      </c>
      <c r="ACC66" s="74"/>
      <c r="ACD66" s="314">
        <v>2150</v>
      </c>
      <c r="ACE66" s="314">
        <v>1900</v>
      </c>
      <c r="ACF66" s="314">
        <v>2350</v>
      </c>
      <c r="ACG66" s="314">
        <v>2370</v>
      </c>
      <c r="ACH66" s="314">
        <v>2400</v>
      </c>
      <c r="ACI66" s="314">
        <v>2350</v>
      </c>
      <c r="ACJ66" s="314">
        <v>2250</v>
      </c>
      <c r="ACK66" s="314">
        <v>2300</v>
      </c>
      <c r="ACM66" s="314">
        <v>2350</v>
      </c>
      <c r="ACN66" s="314">
        <v>2350</v>
      </c>
      <c r="ACO66" s="314">
        <v>2370</v>
      </c>
      <c r="ACP66" s="314">
        <v>2400</v>
      </c>
      <c r="ACQ66" s="314">
        <v>2400</v>
      </c>
      <c r="ACR66" s="314">
        <v>2400</v>
      </c>
      <c r="ACS66" s="314">
        <v>1800</v>
      </c>
      <c r="ACT66" s="314">
        <v>2360</v>
      </c>
      <c r="ACU66" s="314">
        <v>2300</v>
      </c>
      <c r="ACV66" s="314">
        <v>1440</v>
      </c>
      <c r="ACW66" s="785"/>
      <c r="ACX66" s="786"/>
      <c r="ACY66" s="786"/>
      <c r="ACZ66" s="786"/>
      <c r="ADA66" s="786"/>
      <c r="ADB66" s="786"/>
      <c r="ADC66" s="786"/>
      <c r="ADD66" s="786"/>
      <c r="ADE66" s="786"/>
      <c r="ADF66" s="786"/>
      <c r="ADG66" s="787"/>
      <c r="ADH66" s="314"/>
      <c r="ADI66" s="74"/>
      <c r="ADJ66" s="314">
        <v>1450</v>
      </c>
      <c r="ADK66" s="314">
        <v>2010</v>
      </c>
      <c r="ADL66" s="314">
        <v>2100</v>
      </c>
      <c r="ADM66" s="314">
        <v>2420</v>
      </c>
      <c r="ADN66" s="314">
        <v>2430</v>
      </c>
      <c r="ADO66" s="314"/>
      <c r="ADP66" s="314">
        <v>2400</v>
      </c>
      <c r="ADQ66" s="314">
        <v>2450</v>
      </c>
      <c r="ADR66" s="314">
        <v>2450</v>
      </c>
      <c r="ADS66" s="314">
        <v>2400</v>
      </c>
      <c r="ADT66" s="314">
        <v>2400</v>
      </c>
      <c r="ADU66" s="314">
        <v>2420</v>
      </c>
      <c r="ADV66" s="314">
        <v>1800</v>
      </c>
      <c r="ADW66" s="314"/>
      <c r="ADY66" s="314">
        <v>2350</v>
      </c>
      <c r="ADZ66" s="314">
        <v>2400</v>
      </c>
      <c r="AEA66" s="314">
        <v>2420</v>
      </c>
      <c r="AEB66" s="314">
        <v>2400</v>
      </c>
      <c r="AEC66" s="314"/>
      <c r="AED66" s="314">
        <v>2400</v>
      </c>
      <c r="AEE66" s="314">
        <v>2400</v>
      </c>
      <c r="AEF66" s="314">
        <v>2530</v>
      </c>
      <c r="AEG66" s="314">
        <v>2350</v>
      </c>
      <c r="AEH66" s="314">
        <v>2640</v>
      </c>
      <c r="AEI66" s="314">
        <v>2100</v>
      </c>
      <c r="AEJ66" s="314"/>
      <c r="AEK66" s="314">
        <v>2200</v>
      </c>
      <c r="AEL66" s="314">
        <v>2200</v>
      </c>
      <c r="AEM66" s="314">
        <v>2200</v>
      </c>
      <c r="AEN66" s="314">
        <v>1760</v>
      </c>
      <c r="AEO66" s="314"/>
      <c r="AEP66" s="314">
        <v>1660</v>
      </c>
      <c r="AEQ66" s="314">
        <v>1760</v>
      </c>
      <c r="AES66" s="314">
        <v>2050</v>
      </c>
      <c r="AET66" s="314">
        <v>2100</v>
      </c>
      <c r="AEU66" s="314">
        <v>2050</v>
      </c>
      <c r="AEV66" s="314">
        <v>2200</v>
      </c>
      <c r="AEW66" s="314">
        <v>2100</v>
      </c>
      <c r="AEX66" s="314">
        <v>2000</v>
      </c>
      <c r="AEZ66" s="314">
        <v>1800</v>
      </c>
      <c r="AFA66" s="314">
        <v>1850</v>
      </c>
      <c r="AFB66" s="314">
        <v>2000</v>
      </c>
      <c r="AFC66" s="314">
        <v>2000</v>
      </c>
      <c r="AFD66" s="314">
        <v>1800</v>
      </c>
      <c r="AFE66" s="314">
        <v>2130</v>
      </c>
      <c r="AFG66" s="314">
        <v>2200</v>
      </c>
      <c r="AFH66" s="314">
        <v>2000</v>
      </c>
      <c r="AFI66" s="314">
        <v>2220</v>
      </c>
      <c r="AFJ66" s="314">
        <v>2200</v>
      </c>
      <c r="AFK66" s="314">
        <v>1760</v>
      </c>
      <c r="AFL66" s="314">
        <v>1760</v>
      </c>
      <c r="AFN66" s="314">
        <v>1700</v>
      </c>
      <c r="AFO66" s="314">
        <v>1750</v>
      </c>
      <c r="AFP66" s="314">
        <v>1770</v>
      </c>
      <c r="AFQ66" s="314">
        <v>1770</v>
      </c>
      <c r="AFR66" s="314">
        <v>1770</v>
      </c>
      <c r="AFS66" s="314">
        <v>1610</v>
      </c>
      <c r="AFT66" s="314"/>
      <c r="AFV66" s="124">
        <v>2241</v>
      </c>
      <c r="AFW66" s="314">
        <v>1300</v>
      </c>
      <c r="AFX66" s="314">
        <v>1750</v>
      </c>
      <c r="AFY66" s="314">
        <v>1750</v>
      </c>
      <c r="AFZ66" s="314">
        <v>1800</v>
      </c>
      <c r="AGA66" s="314">
        <v>1700</v>
      </c>
      <c r="AGB66" s="314"/>
      <c r="AGC66" s="314">
        <v>1800</v>
      </c>
      <c r="AGD66" s="314">
        <v>1700</v>
      </c>
      <c r="AGE66" s="314">
        <v>1750</v>
      </c>
      <c r="AGF66" s="314">
        <v>1800</v>
      </c>
      <c r="AGG66" s="314">
        <v>1850</v>
      </c>
      <c r="AGH66" s="314">
        <v>2000</v>
      </c>
      <c r="AGI66" s="314"/>
      <c r="AGJ66" s="314">
        <v>2000</v>
      </c>
      <c r="AGK66" s="314">
        <v>1400</v>
      </c>
      <c r="AGL66" s="314">
        <v>900</v>
      </c>
      <c r="AGM66" s="314">
        <v>1700</v>
      </c>
      <c r="AGN66" s="314">
        <v>1960</v>
      </c>
      <c r="AGO66" s="314">
        <f>1307+20</f>
        <v>1327</v>
      </c>
      <c r="AGQ66" s="314">
        <v>1450</v>
      </c>
      <c r="AGR66" s="314">
        <v>1600</v>
      </c>
      <c r="AGS66" s="314">
        <v>1700</v>
      </c>
      <c r="AGT66" s="124">
        <v>1570</v>
      </c>
      <c r="AGU66" s="314">
        <f>876+170</f>
        <v>1046</v>
      </c>
      <c r="AGV66" s="314">
        <v>1200</v>
      </c>
      <c r="AGW66" s="314"/>
      <c r="AGX66" s="314">
        <v>1550</v>
      </c>
      <c r="AGY66" s="314">
        <v>1450</v>
      </c>
      <c r="AGZ66" s="314"/>
      <c r="AHA66" s="603">
        <v>1900</v>
      </c>
      <c r="AHB66" s="603">
        <v>1650</v>
      </c>
      <c r="AHC66" s="314">
        <v>1873</v>
      </c>
      <c r="AHD66" s="314">
        <v>1720</v>
      </c>
      <c r="AHE66" s="314"/>
      <c r="AHF66" s="314">
        <v>1800</v>
      </c>
      <c r="AHG66" s="314">
        <f>1193+210</f>
        <v>1403</v>
      </c>
      <c r="AHH66" s="314">
        <v>1200</v>
      </c>
      <c r="AHI66" s="314">
        <v>1500</v>
      </c>
      <c r="AHJ66" s="314">
        <f>847+503</f>
        <v>1350</v>
      </c>
      <c r="AHK66" s="314">
        <v>1550</v>
      </c>
      <c r="AHM66" s="314">
        <v>1750</v>
      </c>
      <c r="AHN66" s="314">
        <v>1530</v>
      </c>
      <c r="AHO66" s="314">
        <f>391+710</f>
        <v>1101</v>
      </c>
      <c r="AHP66" s="314">
        <v>1080</v>
      </c>
      <c r="AHQ66" s="314">
        <v>1360</v>
      </c>
      <c r="AHR66" s="124">
        <v>1430</v>
      </c>
      <c r="AHS66" s="314"/>
      <c r="AHT66" s="603">
        <v>800</v>
      </c>
      <c r="AHU66" s="603">
        <v>1600</v>
      </c>
      <c r="AHV66" s="603">
        <v>2400</v>
      </c>
      <c r="AHW66" s="603">
        <v>2400</v>
      </c>
      <c r="AHX66" s="603">
        <v>2400</v>
      </c>
      <c r="AHY66" s="603">
        <v>2400</v>
      </c>
      <c r="AIA66" s="603">
        <v>2400</v>
      </c>
      <c r="AIB66" s="603">
        <v>2400</v>
      </c>
      <c r="AIC66" s="603">
        <v>2400</v>
      </c>
      <c r="AID66" s="603">
        <v>2400</v>
      </c>
      <c r="AIE66" s="74"/>
      <c r="AIF66" s="603">
        <v>2400</v>
      </c>
      <c r="AIG66" s="604">
        <v>2400</v>
      </c>
      <c r="AIH66" s="314"/>
      <c r="AII66" s="603">
        <v>1800</v>
      </c>
      <c r="AIJ66" s="603">
        <v>2400</v>
      </c>
      <c r="AIK66" s="603">
        <v>2400</v>
      </c>
      <c r="AIL66" s="603">
        <v>2400</v>
      </c>
      <c r="AIM66" s="603">
        <v>2400</v>
      </c>
      <c r="AIN66" s="603">
        <v>2400</v>
      </c>
      <c r="AIP66" s="604">
        <v>2400</v>
      </c>
      <c r="AIQ66" s="603">
        <v>1800</v>
      </c>
      <c r="AIR66" s="603">
        <v>2400</v>
      </c>
      <c r="AIS66" s="603">
        <v>2400</v>
      </c>
      <c r="AIT66" s="603">
        <v>2400</v>
      </c>
      <c r="AIU66" s="603"/>
      <c r="AIV66" s="603"/>
      <c r="AIW66" s="603">
        <v>2400</v>
      </c>
      <c r="AIX66" s="603">
        <v>2400</v>
      </c>
      <c r="AIY66" s="604">
        <v>2400</v>
      </c>
      <c r="AIZ66" s="603">
        <v>1000</v>
      </c>
      <c r="AJA66" s="603">
        <v>2400</v>
      </c>
      <c r="AJB66" s="603">
        <v>2400</v>
      </c>
      <c r="AJC66" s="603"/>
      <c r="AJD66" s="603">
        <v>2400</v>
      </c>
      <c r="AJE66" s="603">
        <v>2400</v>
      </c>
      <c r="AJF66" s="603">
        <v>2400</v>
      </c>
      <c r="AJG66" s="603">
        <v>2400</v>
      </c>
      <c r="AJH66" s="603">
        <v>2400</v>
      </c>
      <c r="AJI66" s="603">
        <v>2400</v>
      </c>
      <c r="AJK66" s="314"/>
      <c r="AJL66" s="603">
        <v>2400</v>
      </c>
      <c r="AJM66" s="603">
        <v>2400</v>
      </c>
      <c r="AJN66" s="603">
        <v>2400</v>
      </c>
      <c r="AJO66" s="603">
        <v>2400</v>
      </c>
      <c r="AJP66" s="603">
        <v>2400</v>
      </c>
      <c r="AJQ66" s="603">
        <v>2400</v>
      </c>
      <c r="AJS66" s="603">
        <v>2400</v>
      </c>
      <c r="AJT66" s="603">
        <v>2400</v>
      </c>
      <c r="AJU66" s="604">
        <v>2200</v>
      </c>
      <c r="AJV66" s="314">
        <v>1230</v>
      </c>
      <c r="AJW66" s="314">
        <v>1430</v>
      </c>
      <c r="AJX66" s="314">
        <v>1620</v>
      </c>
      <c r="AJZ66" s="314">
        <v>1240</v>
      </c>
      <c r="AKA66" s="314">
        <v>1430</v>
      </c>
      <c r="AKB66" s="314">
        <v>1430</v>
      </c>
      <c r="AKC66" s="314">
        <v>1610</v>
      </c>
      <c r="AKD66" s="314">
        <v>1250</v>
      </c>
      <c r="AKE66" s="136">
        <v>1430</v>
      </c>
      <c r="AKF66" s="136"/>
      <c r="AKG66" s="136">
        <v>1300</v>
      </c>
      <c r="AKH66" s="136">
        <v>1560</v>
      </c>
      <c r="AKI66" s="136">
        <v>1430</v>
      </c>
      <c r="AKJ66" s="124">
        <v>1090</v>
      </c>
      <c r="AKK66" s="136">
        <v>1770</v>
      </c>
      <c r="AKL66" s="136">
        <v>1430</v>
      </c>
      <c r="AKM66" s="136"/>
      <c r="AKN66" s="136">
        <v>1430</v>
      </c>
      <c r="AKO66" s="136">
        <v>1430</v>
      </c>
      <c r="AKP66" s="314">
        <f>570+860</f>
        <v>1430</v>
      </c>
      <c r="AKQ66" s="74"/>
      <c r="AKR66" s="136">
        <v>1430</v>
      </c>
      <c r="AKS66" s="136">
        <v>1430</v>
      </c>
      <c r="AKT66" s="136">
        <v>1430</v>
      </c>
      <c r="AKU66" s="136"/>
      <c r="AKV66" s="124">
        <f>560+870</f>
        <v>1430</v>
      </c>
      <c r="AKW66" s="314">
        <v>1430</v>
      </c>
      <c r="AKX66" s="314">
        <v>1430</v>
      </c>
      <c r="AKY66" s="314">
        <v>1430</v>
      </c>
      <c r="AKZ66" s="314">
        <f>960+470</f>
        <v>1430</v>
      </c>
      <c r="ALA66" s="314">
        <v>1430</v>
      </c>
      <c r="ALC66" s="314">
        <v>1430</v>
      </c>
      <c r="ALD66" s="314">
        <v>1260</v>
      </c>
      <c r="ALE66" s="314">
        <v>1430</v>
      </c>
      <c r="ALF66" s="314">
        <v>1430</v>
      </c>
      <c r="ALG66" s="124">
        <v>810</v>
      </c>
      <c r="ALH66" s="603">
        <v>1000</v>
      </c>
      <c r="ALI66" s="136"/>
      <c r="ALJ66" s="603">
        <v>2000</v>
      </c>
      <c r="ALK66" s="603">
        <v>3000</v>
      </c>
      <c r="ALL66" s="603"/>
      <c r="ALM66" s="603">
        <v>3000</v>
      </c>
      <c r="ALN66" s="603">
        <v>3000</v>
      </c>
      <c r="ALO66" s="603">
        <v>3000</v>
      </c>
      <c r="ALP66" s="603"/>
      <c r="ALQ66" s="603">
        <v>3000</v>
      </c>
      <c r="ALR66" s="603">
        <v>3000</v>
      </c>
      <c r="ALS66" s="603">
        <v>3000</v>
      </c>
      <c r="ALT66" s="74"/>
      <c r="ALU66" s="603">
        <v>3000</v>
      </c>
      <c r="ALV66" s="604">
        <v>2000</v>
      </c>
      <c r="ALW66" s="603">
        <v>1000</v>
      </c>
      <c r="ALY66" s="603">
        <v>2000</v>
      </c>
      <c r="ALZ66" s="603">
        <v>2750</v>
      </c>
      <c r="AMA66" s="604">
        <v>3050</v>
      </c>
      <c r="AMB66" s="603">
        <v>500</v>
      </c>
      <c r="AMC66" s="603">
        <v>1000</v>
      </c>
      <c r="AMD66" s="603">
        <v>1500</v>
      </c>
      <c r="AME66" s="603"/>
      <c r="AMF66" s="603">
        <v>2100</v>
      </c>
      <c r="AMG66" s="603">
        <v>2100</v>
      </c>
      <c r="AMH66" s="603">
        <v>2100</v>
      </c>
      <c r="AMI66" s="603">
        <v>2100</v>
      </c>
      <c r="AMJ66" s="603">
        <v>2100</v>
      </c>
      <c r="AMK66" s="603">
        <v>2100</v>
      </c>
      <c r="AMM66" s="603">
        <v>2100</v>
      </c>
      <c r="AMN66" s="603">
        <v>2100</v>
      </c>
      <c r="AMO66" s="603">
        <v>2100</v>
      </c>
      <c r="AMP66" s="603">
        <v>2100</v>
      </c>
      <c r="AMQ66" s="603">
        <v>2100</v>
      </c>
      <c r="AMR66" s="603">
        <v>2100</v>
      </c>
      <c r="AMS66" s="603"/>
      <c r="AMT66" s="603"/>
      <c r="AMU66" s="603">
        <v>2100</v>
      </c>
      <c r="AMV66" s="603">
        <v>2100</v>
      </c>
      <c r="AMW66" s="603">
        <v>2100</v>
      </c>
      <c r="AMX66" s="603">
        <v>2100</v>
      </c>
      <c r="AMY66" s="603">
        <v>2100</v>
      </c>
      <c r="AMZ66" s="74"/>
      <c r="ANA66" s="314"/>
      <c r="ANB66" s="314">
        <v>1710</v>
      </c>
      <c r="ANC66" s="314">
        <v>1710</v>
      </c>
      <c r="AND66" s="314">
        <v>1710</v>
      </c>
      <c r="ANE66" s="314">
        <v>1710</v>
      </c>
      <c r="ANF66" s="314">
        <v>1710</v>
      </c>
      <c r="ANG66" s="314">
        <v>1710</v>
      </c>
      <c r="ANH66" s="314">
        <v>1520</v>
      </c>
      <c r="ANI66" s="314">
        <v>1710</v>
      </c>
      <c r="ANJ66" s="314">
        <v>1710</v>
      </c>
      <c r="ANK66" s="124">
        <v>1710</v>
      </c>
      <c r="ANL66" s="314">
        <v>500</v>
      </c>
      <c r="ANM66" s="314">
        <v>1000</v>
      </c>
      <c r="ANN66" s="314"/>
      <c r="ANO66" s="314"/>
      <c r="ANP66" s="314">
        <v>1710</v>
      </c>
      <c r="ANQ66" s="314">
        <v>1710</v>
      </c>
      <c r="ANR66" s="314">
        <v>1710</v>
      </c>
      <c r="ANS66" s="314">
        <v>1710</v>
      </c>
      <c r="ANT66" s="314">
        <v>1710</v>
      </c>
      <c r="ANU66" s="314">
        <v>1710</v>
      </c>
      <c r="ANV66" s="314">
        <v>1520</v>
      </c>
      <c r="ANW66" s="314">
        <v>1710</v>
      </c>
      <c r="ANX66" s="314">
        <v>1710</v>
      </c>
      <c r="ANY66" s="314">
        <v>1710</v>
      </c>
      <c r="ANZ66" s="314">
        <v>1710</v>
      </c>
      <c r="AOA66" s="314">
        <v>1710</v>
      </c>
      <c r="AOB66" s="314">
        <v>1710</v>
      </c>
      <c r="AOC66" s="314"/>
      <c r="AOD66" s="314">
        <v>1710</v>
      </c>
      <c r="AOE66" s="74"/>
      <c r="AOF66" s="159"/>
      <c r="AOG66" s="159"/>
      <c r="AOH66" s="159"/>
      <c r="AOI66" s="159"/>
      <c r="AOJ66" s="159"/>
      <c r="AOK66" s="159"/>
      <c r="AOL66" s="159"/>
      <c r="AOM66" s="159"/>
      <c r="AON66" s="159"/>
      <c r="AOO66" s="314">
        <v>2000</v>
      </c>
      <c r="AOP66" s="314">
        <v>2000</v>
      </c>
      <c r="AOQ66" s="314">
        <v>2000</v>
      </c>
      <c r="AOR66" s="314"/>
      <c r="AOS66" s="314">
        <v>2000</v>
      </c>
      <c r="AOT66" s="314">
        <v>2000</v>
      </c>
      <c r="AOU66" s="314">
        <v>2000</v>
      </c>
      <c r="AOV66" s="314">
        <v>2000</v>
      </c>
      <c r="AOW66" s="314">
        <v>2000</v>
      </c>
      <c r="AOX66" s="314">
        <v>2000</v>
      </c>
      <c r="AOY66" s="314"/>
      <c r="AOZ66" s="314">
        <v>2000</v>
      </c>
      <c r="APA66" s="314">
        <v>2000</v>
      </c>
      <c r="APB66" s="314">
        <v>2000</v>
      </c>
      <c r="APC66" s="314">
        <v>2000</v>
      </c>
      <c r="APD66" s="314">
        <v>2000</v>
      </c>
      <c r="APE66" s="314">
        <v>2000</v>
      </c>
      <c r="APF66" s="314"/>
      <c r="APG66" s="314">
        <v>2000</v>
      </c>
      <c r="APH66" s="314">
        <v>2000</v>
      </c>
      <c r="API66" s="314">
        <v>2000</v>
      </c>
      <c r="APJ66" s="314">
        <v>2000</v>
      </c>
      <c r="APK66" s="74"/>
      <c r="APL66" s="314">
        <v>2000</v>
      </c>
      <c r="APM66" s="314">
        <v>2000</v>
      </c>
      <c r="APN66" s="314">
        <v>1440</v>
      </c>
      <c r="APO66" s="314">
        <v>2000</v>
      </c>
      <c r="APP66" s="314">
        <v>2000</v>
      </c>
      <c r="APQ66" s="124">
        <v>2000</v>
      </c>
      <c r="APR66" s="603">
        <v>2000</v>
      </c>
      <c r="APS66" s="603">
        <v>2000</v>
      </c>
      <c r="APT66" s="603">
        <v>2000</v>
      </c>
      <c r="APU66" s="603"/>
      <c r="APV66" s="603">
        <v>2000</v>
      </c>
      <c r="APW66" s="603">
        <v>2000</v>
      </c>
      <c r="APX66" s="603">
        <v>2000</v>
      </c>
      <c r="APY66" s="603">
        <v>2000</v>
      </c>
      <c r="APZ66" s="603">
        <v>2000</v>
      </c>
      <c r="AQA66" s="603">
        <v>2000</v>
      </c>
      <c r="AQB66" s="603"/>
      <c r="AQC66" s="603">
        <v>2000</v>
      </c>
      <c r="AQD66" s="603">
        <v>2000</v>
      </c>
      <c r="AQE66" s="603">
        <v>2000</v>
      </c>
      <c r="AQF66" s="603">
        <v>2000</v>
      </c>
      <c r="AQG66" s="603">
        <v>2000</v>
      </c>
      <c r="AQH66" s="603">
        <v>2000</v>
      </c>
      <c r="AQI66" s="603">
        <v>1680</v>
      </c>
      <c r="AQJ66" s="603">
        <v>2000</v>
      </c>
      <c r="AQK66" s="603">
        <v>2000</v>
      </c>
      <c r="AQL66" s="603">
        <v>2000</v>
      </c>
      <c r="AQM66" s="603">
        <v>2000</v>
      </c>
      <c r="AQN66" s="604">
        <v>2000</v>
      </c>
      <c r="AQO66" s="603">
        <v>2000</v>
      </c>
      <c r="AQP66" s="74"/>
      <c r="AQQ66" s="603"/>
      <c r="AQR66" s="603">
        <v>2000</v>
      </c>
      <c r="AQS66" s="603">
        <v>2000</v>
      </c>
      <c r="AQT66" s="603">
        <v>2000</v>
      </c>
      <c r="AQU66" s="603">
        <v>2000</v>
      </c>
      <c r="AQV66" s="603">
        <v>2000</v>
      </c>
      <c r="AQW66" s="603">
        <v>2000</v>
      </c>
      <c r="AQX66" s="159"/>
      <c r="AQY66" s="159"/>
      <c r="AQZ66" s="159"/>
      <c r="ARA66" s="159"/>
      <c r="ARB66" s="159"/>
      <c r="ARC66" s="159"/>
      <c r="ARD66" s="159"/>
      <c r="ARE66" s="159"/>
      <c r="ARF66" s="159"/>
      <c r="ARG66" s="603">
        <v>2000</v>
      </c>
      <c r="ARH66" s="603">
        <v>2000</v>
      </c>
      <c r="ARI66" s="603">
        <v>2000</v>
      </c>
      <c r="ARJ66" s="603">
        <v>2000</v>
      </c>
      <c r="ARK66" s="603">
        <v>2000</v>
      </c>
      <c r="ARM66" s="603">
        <v>2000</v>
      </c>
      <c r="ARN66" s="603">
        <v>2000</v>
      </c>
      <c r="ARO66" s="603">
        <v>2000</v>
      </c>
      <c r="ARP66" s="603">
        <v>2000</v>
      </c>
      <c r="ARQ66" s="603">
        <v>2000</v>
      </c>
      <c r="ARR66" s="603">
        <v>2000</v>
      </c>
      <c r="ARS66" s="603"/>
      <c r="ART66" s="603">
        <v>2000</v>
      </c>
      <c r="ARU66" s="603">
        <v>2000</v>
      </c>
      <c r="ARV66" s="74"/>
      <c r="ARW66" s="314">
        <v>1850</v>
      </c>
      <c r="ARX66" s="314">
        <v>1850</v>
      </c>
      <c r="ARY66" s="314">
        <v>1850</v>
      </c>
      <c r="ARZ66" s="314">
        <v>1850</v>
      </c>
      <c r="ASA66" s="314"/>
      <c r="ASB66" s="314">
        <v>1850</v>
      </c>
      <c r="ASC66" s="314">
        <v>1850</v>
      </c>
      <c r="ASD66" s="314">
        <v>1850</v>
      </c>
      <c r="ASE66" s="314">
        <v>1850</v>
      </c>
      <c r="ASF66" s="314">
        <v>1850</v>
      </c>
      <c r="ASG66" s="314">
        <v>1850</v>
      </c>
      <c r="ASH66" s="314"/>
      <c r="ASI66" s="314">
        <v>1850</v>
      </c>
      <c r="ASJ66" s="314">
        <v>1850</v>
      </c>
      <c r="ASK66" s="314"/>
      <c r="ASL66" s="314">
        <v>1850</v>
      </c>
      <c r="ASM66" s="314">
        <v>1850</v>
      </c>
      <c r="ASN66" s="314">
        <v>1850</v>
      </c>
      <c r="ASO66" s="314"/>
      <c r="ASP66" s="314">
        <v>1850</v>
      </c>
      <c r="ASQ66" s="314">
        <v>1850</v>
      </c>
      <c r="ASR66" s="314">
        <v>1850</v>
      </c>
      <c r="ASS66" s="314">
        <v>1850</v>
      </c>
      <c r="AST66" s="314">
        <v>1850</v>
      </c>
      <c r="ASU66" s="314">
        <v>1850</v>
      </c>
      <c r="ASV66" s="314"/>
      <c r="ASW66" s="314">
        <v>1850</v>
      </c>
      <c r="ASX66" s="314">
        <v>1850</v>
      </c>
      <c r="ASY66" s="314">
        <v>1850</v>
      </c>
      <c r="ASZ66" s="314">
        <v>1850</v>
      </c>
      <c r="ATA66" s="124">
        <v>1850</v>
      </c>
      <c r="ATB66" s="74"/>
      <c r="ATC66" s="320"/>
      <c r="ATD66" s="320"/>
      <c r="ATE66" s="320"/>
      <c r="ATF66" s="320"/>
      <c r="ATG66" s="320"/>
      <c r="ATH66" s="320"/>
      <c r="ATI66" s="320"/>
      <c r="ATJ66" s="320"/>
      <c r="ATK66" s="320"/>
      <c r="ATL66" s="320"/>
      <c r="ATM66" s="320"/>
      <c r="ATN66" s="320"/>
      <c r="ATO66" s="320"/>
      <c r="ATP66" s="320"/>
      <c r="ATQ66" s="320"/>
      <c r="ATR66" s="320"/>
      <c r="ATS66" s="320"/>
      <c r="ATT66" s="320"/>
      <c r="ATU66" s="320"/>
      <c r="ATV66" s="320"/>
      <c r="ATW66" s="320"/>
      <c r="ATX66" s="320"/>
      <c r="ATY66" s="320"/>
      <c r="ATZ66" s="320"/>
      <c r="AUA66" s="320"/>
      <c r="AUB66" s="320"/>
      <c r="AUC66" s="320"/>
      <c r="AUD66" s="320"/>
      <c r="AUE66" s="320"/>
      <c r="AUF66" s="320"/>
      <c r="AUG66" s="74"/>
      <c r="AUH66" s="603"/>
      <c r="AUI66" s="603"/>
      <c r="AUJ66" s="603"/>
      <c r="AUK66" s="603"/>
      <c r="AUL66" s="603"/>
      <c r="AUM66" s="603"/>
      <c r="AUN66" s="603"/>
      <c r="AUO66" s="603"/>
      <c r="AUP66" s="603"/>
      <c r="AUQ66" s="603"/>
      <c r="AUR66" s="603"/>
      <c r="AUS66" s="603"/>
      <c r="AUT66" s="603"/>
      <c r="AUU66" s="603"/>
      <c r="AUV66" s="603"/>
      <c r="AUW66" s="603"/>
      <c r="AUX66" s="603"/>
      <c r="AUY66" s="603"/>
      <c r="AUZ66" s="603"/>
      <c r="AVA66" s="603"/>
      <c r="AVB66" s="603"/>
      <c r="AVC66" s="603"/>
      <c r="AVD66" s="603"/>
      <c r="AVE66" s="603"/>
      <c r="AVF66" s="603"/>
      <c r="AVG66" s="603"/>
      <c r="AVH66" s="603"/>
      <c r="AVI66" s="603"/>
      <c r="AVJ66" s="603"/>
      <c r="AVK66" s="603"/>
      <c r="AVL66" s="603"/>
      <c r="AVM66" s="74"/>
      <c r="AWR66" s="74"/>
      <c r="AXX66" s="74"/>
    </row>
    <row r="67" spans="1:1583" s="184" customFormat="1" ht="22.8" customHeight="1" x14ac:dyDescent="0.25">
      <c r="A67" s="553"/>
      <c r="B67" s="7" t="s">
        <v>1971</v>
      </c>
      <c r="C67" s="145"/>
      <c r="P67" s="145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47"/>
      <c r="AI67" s="554"/>
      <c r="AJ67" s="555"/>
      <c r="AK67" s="145"/>
      <c r="AL67" s="144"/>
      <c r="AM67" s="144"/>
      <c r="AN67" s="144"/>
      <c r="AO67" s="144"/>
      <c r="AP67" s="144"/>
      <c r="AQ67" s="731"/>
      <c r="AR67" s="732"/>
      <c r="AS67" s="732"/>
      <c r="AT67" s="732"/>
      <c r="AU67" s="732"/>
      <c r="AV67" s="732"/>
      <c r="AW67" s="732"/>
      <c r="AX67" s="732"/>
      <c r="AY67" s="732"/>
      <c r="AZ67" s="733"/>
      <c r="BA67" s="144"/>
      <c r="BB67" s="144"/>
      <c r="BC67" s="144"/>
      <c r="BD67" s="144"/>
      <c r="BE67" s="144"/>
      <c r="BF67" s="144"/>
      <c r="BG67" s="144"/>
      <c r="BH67" s="144"/>
      <c r="BI67" s="144"/>
      <c r="BJ67" s="144"/>
      <c r="BK67" s="144"/>
      <c r="BL67" s="144"/>
      <c r="BM67" s="144"/>
      <c r="BN67" s="7"/>
      <c r="BO67" s="145"/>
      <c r="BP67" s="145"/>
      <c r="BQ67" s="556"/>
      <c r="BR67" s="556"/>
      <c r="BS67" s="556"/>
      <c r="BT67" s="556"/>
      <c r="BU67" s="145"/>
      <c r="BW67" s="556"/>
      <c r="BX67" s="556"/>
      <c r="BY67" s="145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7"/>
      <c r="CT67" s="144"/>
      <c r="CU67" s="144"/>
      <c r="CV67" s="144"/>
      <c r="CW67" s="144"/>
      <c r="CX67" s="144"/>
      <c r="CY67" s="144"/>
      <c r="CZ67" s="144"/>
      <c r="DA67" s="144"/>
      <c r="DB67" s="144"/>
      <c r="DC67" s="144"/>
      <c r="DD67" s="144"/>
      <c r="DE67" s="144"/>
      <c r="DF67" s="144"/>
      <c r="DG67" s="145"/>
      <c r="DM67" s="145"/>
      <c r="DO67" s="557"/>
      <c r="DP67" s="557"/>
      <c r="DQ67" s="145"/>
      <c r="DY67" s="188"/>
      <c r="DZ67" s="145"/>
      <c r="EA67" s="145"/>
      <c r="EB67" s="181"/>
      <c r="EC67" s="144"/>
      <c r="ED67" s="144"/>
      <c r="EE67" s="144"/>
      <c r="EF67" s="144"/>
      <c r="EG67" s="144"/>
      <c r="EH67" s="144"/>
      <c r="EI67" s="144"/>
      <c r="EJ67" s="144"/>
      <c r="EK67" s="144"/>
      <c r="EL67" s="144"/>
      <c r="EM67" s="144"/>
      <c r="EN67" s="145"/>
      <c r="EO67" s="145"/>
      <c r="EP67" s="145"/>
      <c r="EQ67" s="145"/>
      <c r="ER67" s="145"/>
      <c r="ES67" s="145"/>
      <c r="ET67" s="145"/>
      <c r="EU67" s="145"/>
      <c r="EV67" s="145"/>
      <c r="EW67" s="145"/>
      <c r="EX67" s="145"/>
      <c r="EZ67" s="145"/>
      <c r="FA67" s="145"/>
      <c r="FB67" s="145"/>
      <c r="FC67" s="145"/>
      <c r="FD67" s="188"/>
      <c r="FE67" s="145"/>
      <c r="LE67" s="7"/>
      <c r="MK67" s="5"/>
      <c r="NP67" s="188"/>
      <c r="NQ67" s="181"/>
      <c r="NR67" s="181"/>
      <c r="NS67" s="181"/>
      <c r="NT67" s="181"/>
      <c r="NU67" s="181"/>
      <c r="NV67" s="181"/>
      <c r="NW67" s="181"/>
      <c r="NX67" s="181"/>
      <c r="NY67" s="181"/>
      <c r="NZ67" s="181"/>
      <c r="OA67" s="181"/>
      <c r="OB67" s="181"/>
      <c r="OC67" s="314"/>
      <c r="OD67" s="314"/>
      <c r="OE67" s="314"/>
      <c r="OF67" s="314"/>
      <c r="OG67" s="314"/>
      <c r="OH67" s="314"/>
      <c r="OI67" s="314"/>
      <c r="OJ67" s="314"/>
      <c r="OK67" s="314"/>
      <c r="OL67" s="314"/>
      <c r="OM67" s="314"/>
      <c r="ON67" s="314"/>
      <c r="OO67" s="314"/>
      <c r="OP67" s="314"/>
      <c r="OQ67" s="314"/>
      <c r="OR67" s="314"/>
      <c r="OS67" s="314"/>
      <c r="OT67" s="314"/>
      <c r="OU67" s="314"/>
      <c r="OV67" s="7"/>
      <c r="OW67" s="558"/>
      <c r="OX67" s="558"/>
      <c r="OY67" s="558"/>
      <c r="OZ67" s="558"/>
      <c r="PA67" s="558"/>
      <c r="PB67" s="558"/>
      <c r="PC67" s="558"/>
      <c r="PD67" s="558"/>
      <c r="PE67" s="558"/>
      <c r="PF67" s="558"/>
      <c r="PG67" s="558"/>
      <c r="PH67" s="558"/>
      <c r="PI67" s="558"/>
      <c r="PJ67" s="558"/>
      <c r="PK67" s="558"/>
      <c r="PL67" s="558"/>
      <c r="PM67" s="558"/>
      <c r="PN67" s="558"/>
      <c r="PO67" s="558"/>
      <c r="PP67" s="558"/>
      <c r="PQ67" s="558"/>
      <c r="PR67" s="558"/>
      <c r="PS67" s="558"/>
      <c r="PT67" s="558"/>
      <c r="PU67" s="558"/>
      <c r="PV67" s="558"/>
      <c r="PW67" s="314"/>
      <c r="PX67" s="364"/>
      <c r="PY67" s="364"/>
      <c r="PZ67" s="314"/>
      <c r="QA67" s="314"/>
      <c r="QB67" s="7"/>
      <c r="QC67" s="314"/>
      <c r="QD67" s="314"/>
      <c r="QE67" s="314"/>
      <c r="QF67" s="314"/>
      <c r="QG67" s="365"/>
      <c r="QJ67" s="559"/>
      <c r="QK67" s="559"/>
      <c r="QL67" s="559"/>
      <c r="QM67" s="559"/>
      <c r="QN67" s="559"/>
      <c r="QO67" s="559"/>
      <c r="QP67" s="559"/>
      <c r="QQ67" s="559"/>
      <c r="QR67" s="559"/>
      <c r="QS67" s="559"/>
      <c r="QT67" s="559"/>
      <c r="QU67" s="559"/>
      <c r="QV67" s="559"/>
      <c r="QW67" s="559"/>
      <c r="QX67" s="559"/>
      <c r="QY67" s="559"/>
      <c r="QZ67" s="559"/>
      <c r="RA67" s="559"/>
      <c r="RB67" s="559"/>
      <c r="RC67" s="559"/>
      <c r="RD67" s="559"/>
      <c r="RE67" s="559"/>
      <c r="RF67" s="559"/>
      <c r="RG67" s="7"/>
      <c r="SM67" s="11"/>
      <c r="TR67" s="188"/>
      <c r="UX67" s="7"/>
      <c r="WD67" s="12" t="s">
        <v>1971</v>
      </c>
      <c r="WE67" s="345" t="s">
        <v>1897</v>
      </c>
      <c r="WF67" s="345"/>
      <c r="WG67" s="311"/>
      <c r="WH67" s="311"/>
      <c r="WI67" s="311"/>
      <c r="WJ67" s="311"/>
      <c r="WK67" s="311"/>
      <c r="WL67" s="311"/>
      <c r="WM67" s="311"/>
      <c r="WN67" s="311"/>
      <c r="WO67" s="311"/>
      <c r="WP67" s="311"/>
      <c r="WQ67" s="345" t="s">
        <v>1895</v>
      </c>
      <c r="WR67" s="345"/>
      <c r="WS67" s="311"/>
      <c r="WT67" s="311"/>
      <c r="WU67" s="311"/>
      <c r="WV67" s="311"/>
      <c r="WW67" s="311"/>
      <c r="WX67" s="311"/>
      <c r="WY67" s="311"/>
      <c r="WZ67" s="311"/>
      <c r="XA67" s="311"/>
      <c r="XB67" s="311"/>
      <c r="XC67" s="311"/>
      <c r="XD67" s="311"/>
      <c r="XE67" s="311"/>
      <c r="XF67" s="345" t="s">
        <v>1896</v>
      </c>
      <c r="XG67" s="12" t="s">
        <v>1971</v>
      </c>
      <c r="XH67" s="345" t="s">
        <v>1896</v>
      </c>
      <c r="XI67" s="345" t="s">
        <v>1895</v>
      </c>
      <c r="XJ67" s="345"/>
      <c r="XK67" s="311"/>
      <c r="XL67" s="311"/>
      <c r="XM67" s="311"/>
      <c r="XN67" s="311"/>
      <c r="XO67" s="345" t="s">
        <v>1974</v>
      </c>
      <c r="XP67" s="345"/>
      <c r="XQ67" s="311"/>
      <c r="XR67" s="311"/>
      <c r="XS67" s="311"/>
      <c r="XT67" s="311"/>
      <c r="XU67" s="311"/>
      <c r="XV67" s="311"/>
      <c r="XW67" s="311"/>
      <c r="XX67" s="311"/>
      <c r="XY67" s="311"/>
      <c r="XZ67" s="311"/>
      <c r="YA67" s="311"/>
      <c r="YB67" s="345" t="s">
        <v>1976</v>
      </c>
      <c r="YC67" s="345"/>
      <c r="YD67" s="311"/>
      <c r="YE67" s="311"/>
      <c r="YF67" s="311"/>
      <c r="YG67" s="311"/>
      <c r="YH67" s="311"/>
      <c r="YI67" s="311"/>
      <c r="YJ67" s="311"/>
      <c r="YK67" s="345" t="s">
        <v>2070</v>
      </c>
      <c r="YL67" s="345"/>
      <c r="YM67" s="7"/>
      <c r="YN67" s="345" t="s">
        <v>2070</v>
      </c>
      <c r="YO67" s="345"/>
      <c r="YP67" s="311"/>
      <c r="YQ67" s="311"/>
      <c r="YR67" s="311"/>
      <c r="YS67" s="311"/>
      <c r="YT67" s="311"/>
      <c r="YU67" s="311"/>
      <c r="YV67" s="311"/>
      <c r="YW67" s="311"/>
      <c r="YX67" s="345" t="s">
        <v>1976</v>
      </c>
      <c r="YY67" s="345"/>
      <c r="YZ67" s="311"/>
      <c r="ZA67" s="311"/>
      <c r="ZB67" s="311"/>
      <c r="ZC67" s="311"/>
      <c r="ZD67" s="311"/>
      <c r="ZE67" s="311"/>
      <c r="ZF67" s="311"/>
      <c r="ZG67" s="311"/>
      <c r="ZH67" s="311"/>
      <c r="ZI67" s="311"/>
      <c r="ZJ67" s="311"/>
      <c r="ZK67" s="311"/>
      <c r="ZL67" s="345" t="s">
        <v>2070</v>
      </c>
      <c r="ZM67" s="345"/>
      <c r="ZN67" s="311"/>
      <c r="ZO67" s="311"/>
      <c r="ZP67" s="311"/>
      <c r="ZQ67" s="311"/>
      <c r="ZR67" s="7"/>
      <c r="ZS67" s="352" t="s">
        <v>2070</v>
      </c>
      <c r="ZT67" s="352"/>
      <c r="ZU67" s="352"/>
      <c r="ZV67" s="352"/>
      <c r="ZW67" s="352"/>
      <c r="ZX67" s="311"/>
      <c r="ZY67" s="352"/>
      <c r="ZZ67" s="352"/>
      <c r="AAA67" s="352"/>
      <c r="AAB67" s="352"/>
      <c r="AAC67" s="352"/>
      <c r="AAD67" s="352"/>
      <c r="AAE67" s="777"/>
      <c r="AAF67" s="705"/>
      <c r="AAG67" s="705"/>
      <c r="AAH67" s="705"/>
      <c r="AAI67" s="778"/>
      <c r="AAJ67" s="345" t="s">
        <v>1800</v>
      </c>
      <c r="AAK67" s="345"/>
      <c r="AAL67" s="525"/>
      <c r="AAM67" s="352"/>
      <c r="AAN67" s="352"/>
      <c r="AAO67" s="352"/>
      <c r="AAP67" s="15" t="s">
        <v>2290</v>
      </c>
      <c r="AAQ67" s="15"/>
      <c r="AAR67" s="352"/>
      <c r="AAS67" s="352"/>
      <c r="AAT67" s="352"/>
      <c r="AAU67" s="352"/>
      <c r="AAV67" s="352"/>
      <c r="AAW67" s="352"/>
      <c r="AAX67" s="520" t="s">
        <v>1971</v>
      </c>
      <c r="AAY67" s="352" t="s">
        <v>2290</v>
      </c>
      <c r="AAZ67" s="352"/>
      <c r="ABA67" s="352"/>
      <c r="ABB67" s="352"/>
      <c r="ABC67" s="352"/>
      <c r="ABD67" s="352"/>
      <c r="ABE67" s="345" t="s">
        <v>2234</v>
      </c>
      <c r="ABF67" s="345"/>
      <c r="ABG67" s="352"/>
      <c r="ABH67" s="352"/>
      <c r="ABI67" s="352"/>
      <c r="ABJ67" s="352"/>
      <c r="ABK67" s="352"/>
      <c r="ABL67" s="352"/>
      <c r="ABM67" s="352"/>
      <c r="ABN67" s="352"/>
      <c r="ABO67" s="352"/>
      <c r="ABP67" s="352"/>
      <c r="ABQ67" s="352"/>
      <c r="ABR67" s="352"/>
      <c r="ABS67" s="352"/>
      <c r="ABT67" s="352"/>
      <c r="ABU67" s="352"/>
      <c r="ABV67" s="352"/>
      <c r="ABW67" s="352"/>
      <c r="ABX67" s="352"/>
      <c r="ABY67" s="352"/>
      <c r="ABZ67" s="352"/>
      <c r="ACA67" s="352"/>
      <c r="ACB67" s="352"/>
      <c r="ACC67" s="7" t="s">
        <v>2397</v>
      </c>
      <c r="ACD67" s="352" t="s">
        <v>2234</v>
      </c>
      <c r="ACE67" s="352"/>
      <c r="ACF67" s="352"/>
      <c r="ACG67" s="352"/>
      <c r="ACH67" s="352"/>
      <c r="ACI67" s="352"/>
      <c r="ACJ67" s="352"/>
      <c r="ACK67" s="352"/>
      <c r="ACL67" s="352"/>
      <c r="ACM67" s="352"/>
      <c r="ACN67" s="352"/>
      <c r="ACO67" s="352"/>
      <c r="ACP67" s="352"/>
      <c r="ACQ67" s="352"/>
      <c r="ACR67" s="352"/>
      <c r="ACS67" s="352"/>
      <c r="ACT67" s="352"/>
      <c r="ACU67" s="352"/>
      <c r="ACV67" s="352"/>
      <c r="ACW67" s="785"/>
      <c r="ACX67" s="786"/>
      <c r="ACY67" s="786"/>
      <c r="ACZ67" s="786"/>
      <c r="ADA67" s="786"/>
      <c r="ADB67" s="786"/>
      <c r="ADC67" s="786"/>
      <c r="ADD67" s="786"/>
      <c r="ADE67" s="786"/>
      <c r="ADF67" s="786"/>
      <c r="ADG67" s="787"/>
      <c r="ADH67" s="314"/>
      <c r="ADI67" s="7" t="s">
        <v>2397</v>
      </c>
      <c r="ADJ67" s="352" t="s">
        <v>2188</v>
      </c>
      <c r="ADK67" s="352"/>
      <c r="ADL67" s="352"/>
      <c r="ADM67" s="352"/>
      <c r="ADN67" s="352"/>
      <c r="ADO67" s="352"/>
      <c r="ADP67" s="352"/>
      <c r="ADQ67" s="352"/>
      <c r="ADR67" s="352"/>
      <c r="ADS67" s="352"/>
      <c r="ADT67" s="352"/>
      <c r="ADU67" s="352"/>
      <c r="ADV67" s="352"/>
      <c r="ADW67" s="352"/>
      <c r="ADX67" s="352"/>
      <c r="ADY67" s="352"/>
      <c r="ADZ67" s="352"/>
      <c r="AEA67" s="352"/>
      <c r="AEB67" s="352"/>
      <c r="AEC67" s="352"/>
      <c r="AED67" s="352"/>
      <c r="AEE67" s="352"/>
      <c r="AEF67" s="352"/>
      <c r="AEG67" s="352"/>
      <c r="AEH67" s="352"/>
      <c r="AEI67" s="352"/>
      <c r="AEJ67" s="352"/>
      <c r="AEK67" s="352"/>
      <c r="AEL67" s="352"/>
      <c r="AEM67" s="352"/>
      <c r="AEN67" s="352"/>
      <c r="AEO67" s="7" t="s">
        <v>1971</v>
      </c>
      <c r="AEP67" s="352" t="s">
        <v>2188</v>
      </c>
      <c r="AEQ67" s="352"/>
      <c r="AER67" s="352"/>
      <c r="AES67" s="352"/>
      <c r="AET67" s="352"/>
      <c r="AEU67" s="352"/>
      <c r="AEV67" s="352"/>
      <c r="AEW67" s="345" t="s">
        <v>2453</v>
      </c>
      <c r="AEX67" s="345"/>
      <c r="AEY67" s="352"/>
      <c r="AEZ67" s="352"/>
      <c r="AFA67" s="352"/>
      <c r="AFB67" s="352"/>
      <c r="AFC67" s="352"/>
      <c r="AFD67" s="352"/>
      <c r="AFE67" s="352"/>
      <c r="AFF67" s="352"/>
      <c r="AFG67" s="352"/>
      <c r="AFH67" s="352"/>
      <c r="AFI67" s="352"/>
      <c r="AFJ67" s="352"/>
      <c r="AFK67" s="352"/>
      <c r="AFL67" s="352"/>
      <c r="AFM67" s="352"/>
      <c r="AFN67" s="352"/>
      <c r="AFO67" s="352"/>
      <c r="AFP67" s="352"/>
      <c r="AFQ67" s="352"/>
      <c r="AFR67" s="352"/>
      <c r="AFS67" s="352"/>
      <c r="AFT67" s="7" t="s">
        <v>1971</v>
      </c>
      <c r="AFU67" s="345" t="s">
        <v>2598</v>
      </c>
      <c r="AFV67" s="345"/>
      <c r="AFW67" s="352"/>
      <c r="AFX67" s="352"/>
      <c r="AFY67" s="352"/>
      <c r="AFZ67" s="352"/>
      <c r="AGA67" s="352"/>
      <c r="AGB67" s="352"/>
      <c r="AGC67" s="352"/>
      <c r="AGD67" s="352"/>
      <c r="AGE67" s="352"/>
      <c r="AGF67" s="352"/>
      <c r="AGG67" s="352"/>
      <c r="AGH67" s="352"/>
      <c r="AGI67" s="352"/>
      <c r="AGJ67" s="352"/>
      <c r="AGK67" s="352"/>
      <c r="AGL67" s="352"/>
      <c r="AGM67" s="345" t="s">
        <v>2454</v>
      </c>
      <c r="AGN67" s="345"/>
      <c r="AGO67" s="352"/>
      <c r="AGP67" s="352"/>
      <c r="AGQ67" s="352"/>
      <c r="AGR67" s="352"/>
      <c r="AGS67" s="210" t="s">
        <v>2556</v>
      </c>
      <c r="AGT67" s="210"/>
      <c r="AGU67" s="180"/>
      <c r="AGV67" s="180"/>
      <c r="AGW67" s="180"/>
      <c r="AGX67" s="180"/>
      <c r="AGY67" s="180"/>
      <c r="AGZ67" s="7" t="s">
        <v>1971</v>
      </c>
      <c r="AHA67" s="180" t="s">
        <v>2556</v>
      </c>
      <c r="AHB67" s="210" t="s">
        <v>2557</v>
      </c>
      <c r="AHC67" s="210"/>
      <c r="AHD67" s="180"/>
      <c r="AHE67" s="210" t="s">
        <v>2569</v>
      </c>
      <c r="AHF67" s="210"/>
      <c r="AHG67" s="180"/>
      <c r="AHH67" s="210" t="s">
        <v>2570</v>
      </c>
      <c r="AHI67" s="210"/>
      <c r="AHJ67" s="180"/>
      <c r="AHK67" s="180"/>
      <c r="AHL67" s="180"/>
      <c r="AHM67" s="210" t="s">
        <v>2760</v>
      </c>
      <c r="AHN67" s="210"/>
      <c r="AHO67" s="180"/>
      <c r="AHP67" s="180"/>
      <c r="AHQ67" s="345" t="s">
        <v>2618</v>
      </c>
      <c r="AHR67" s="345"/>
      <c r="AHS67" s="352"/>
      <c r="AHT67" s="352"/>
      <c r="AHU67" s="352"/>
      <c r="AHV67" s="352"/>
      <c r="AHW67" s="352"/>
      <c r="AHX67" s="352"/>
      <c r="AHY67" s="352"/>
      <c r="AHZ67" s="352"/>
      <c r="AIA67" s="352"/>
      <c r="AIB67" s="352"/>
      <c r="AIC67" s="352"/>
      <c r="AID67" s="352"/>
      <c r="AIE67" s="7" t="s">
        <v>1971</v>
      </c>
      <c r="AIF67" s="345" t="s">
        <v>2615</v>
      </c>
      <c r="AIG67" s="345"/>
      <c r="AIH67" s="352"/>
      <c r="AII67" s="352"/>
      <c r="AIJ67" s="352"/>
      <c r="AIK67" s="352"/>
      <c r="AIL67" s="352"/>
      <c r="AIM67" s="352"/>
      <c r="AIN67" s="352"/>
      <c r="AIO67" s="345" t="s">
        <v>2617</v>
      </c>
      <c r="AIP67" s="345"/>
      <c r="AIQ67" s="352"/>
      <c r="AIR67" s="352"/>
      <c r="AIS67" s="352"/>
      <c r="AIT67" s="352"/>
      <c r="AIU67" s="352"/>
      <c r="AIV67" s="352"/>
      <c r="AIW67" s="352"/>
      <c r="AIX67" s="345" t="s">
        <v>2507</v>
      </c>
      <c r="AIY67" s="345"/>
      <c r="AIZ67" s="352"/>
      <c r="AJA67" s="352"/>
      <c r="AJB67" s="352"/>
      <c r="AJC67" s="352"/>
      <c r="AJD67" s="352"/>
      <c r="AJE67" s="352"/>
      <c r="AJF67" s="352"/>
      <c r="AJG67" s="352"/>
      <c r="AJH67" s="352"/>
      <c r="AJI67" s="352"/>
      <c r="AJJ67" s="352"/>
      <c r="AJK67" s="7" t="s">
        <v>1971</v>
      </c>
      <c r="AJL67" s="352" t="s">
        <v>2507</v>
      </c>
      <c r="AJM67" s="352"/>
      <c r="AJN67" s="352"/>
      <c r="AJO67" s="352"/>
      <c r="AJP67" s="352"/>
      <c r="AJQ67" s="352"/>
      <c r="AJR67" s="352"/>
      <c r="AJS67" s="352"/>
      <c r="AJT67" s="210" t="s">
        <v>2421</v>
      </c>
      <c r="AJU67" s="210"/>
      <c r="AJV67" s="180"/>
      <c r="AJW67" s="210" t="s">
        <v>2426</v>
      </c>
      <c r="AJX67" s="210"/>
      <c r="AJY67" s="180"/>
      <c r="AJZ67" s="180"/>
      <c r="AKA67" s="180"/>
      <c r="AKB67" s="210" t="s">
        <v>2427</v>
      </c>
      <c r="AKC67" s="210"/>
      <c r="AKD67" s="180"/>
      <c r="AKE67" s="180"/>
      <c r="AKF67" s="210" t="s">
        <v>2424</v>
      </c>
      <c r="AKG67" s="210"/>
      <c r="AKH67" s="180"/>
      <c r="AKI67" s="210" t="s">
        <v>2419</v>
      </c>
      <c r="AKJ67" s="210"/>
      <c r="AKK67" s="180"/>
      <c r="AKL67" s="180"/>
      <c r="AKM67" s="180"/>
      <c r="AKN67" s="210" t="s">
        <v>2738</v>
      </c>
      <c r="AKO67" s="210"/>
      <c r="AKP67" s="180"/>
      <c r="AKQ67" s="7" t="s">
        <v>1971</v>
      </c>
      <c r="AKR67" s="180" t="s">
        <v>2738</v>
      </c>
      <c r="AKS67" s="180"/>
      <c r="AKT67" s="210" t="s">
        <v>2429</v>
      </c>
      <c r="AKU67" s="210"/>
      <c r="AKV67" s="180"/>
      <c r="AKW67" s="180"/>
      <c r="AKX67" s="210" t="s">
        <v>2666</v>
      </c>
      <c r="AKY67" s="210"/>
      <c r="AKZ67" s="180"/>
      <c r="ALA67" s="180"/>
      <c r="ALB67" s="180"/>
      <c r="ALC67" s="210" t="s">
        <v>2667</v>
      </c>
      <c r="ALD67" s="210"/>
      <c r="ALE67" s="180"/>
      <c r="ALF67" s="361" t="s">
        <v>2632</v>
      </c>
      <c r="ALG67" s="361"/>
      <c r="ALH67" s="319"/>
      <c r="ALI67" s="319"/>
      <c r="ALJ67" s="319"/>
      <c r="ALK67" s="319"/>
      <c r="ALL67" s="319"/>
      <c r="ALM67" s="361" t="s">
        <v>2611</v>
      </c>
      <c r="ALN67" s="361"/>
      <c r="ALO67" s="319"/>
      <c r="ALP67" s="319"/>
      <c r="ALQ67" s="319"/>
      <c r="ALR67" s="319"/>
      <c r="ALS67" s="319"/>
      <c r="ALT67" s="7" t="s">
        <v>1971</v>
      </c>
      <c r="ALU67" s="361" t="s">
        <v>2539</v>
      </c>
      <c r="ALV67" s="318"/>
      <c r="ALW67" s="319"/>
      <c r="ALX67" s="319"/>
      <c r="ALY67" s="319"/>
      <c r="ALZ67" s="345" t="s">
        <v>2844</v>
      </c>
      <c r="AMA67" s="345"/>
      <c r="AMB67" s="352"/>
      <c r="AMC67" s="352"/>
      <c r="AMD67" s="352"/>
      <c r="AME67" s="352"/>
      <c r="AMF67" s="352"/>
      <c r="AMG67" s="352"/>
      <c r="AMH67" s="352"/>
      <c r="AMI67" s="352"/>
      <c r="AMJ67" s="352"/>
      <c r="AMK67" s="352"/>
      <c r="AML67" s="352"/>
      <c r="AMM67" s="352"/>
      <c r="AMN67" s="352"/>
      <c r="AMO67" s="352"/>
      <c r="AMP67" s="352"/>
      <c r="AMQ67" s="352"/>
      <c r="AMR67" s="352"/>
      <c r="AMS67" s="352"/>
      <c r="AMT67" s="352"/>
      <c r="AMU67" s="352"/>
      <c r="AMV67" s="352"/>
      <c r="AMW67" s="352"/>
      <c r="AMX67" s="352"/>
      <c r="AMY67" s="352"/>
      <c r="AMZ67" s="7" t="s">
        <v>1971</v>
      </c>
      <c r="ANA67" s="352" t="s">
        <v>2843</v>
      </c>
      <c r="ANB67" s="352"/>
      <c r="ANC67" s="352"/>
      <c r="AND67" s="352"/>
      <c r="ANE67" s="352"/>
      <c r="ANF67" s="352"/>
      <c r="ANG67" s="352"/>
      <c r="ANH67" s="352"/>
      <c r="ANI67" s="352"/>
      <c r="ANJ67" s="345" t="s">
        <v>2845</v>
      </c>
      <c r="ANK67" s="345"/>
      <c r="ANL67" s="352"/>
      <c r="ANM67" s="352"/>
      <c r="ANN67" s="352"/>
      <c r="ANO67" s="352"/>
      <c r="ANP67" s="352"/>
      <c r="ANQ67" s="352"/>
      <c r="ANR67" s="352"/>
      <c r="ANS67" s="352"/>
      <c r="ANT67" s="352"/>
      <c r="ANU67" s="352"/>
      <c r="ANV67" s="352"/>
      <c r="ANW67" s="352"/>
      <c r="ANX67" s="352"/>
      <c r="ANY67" s="352"/>
      <c r="ANZ67" s="352"/>
      <c r="AOA67" s="352"/>
      <c r="AOB67" s="352"/>
      <c r="AOC67" s="352"/>
      <c r="AOD67" s="352"/>
      <c r="AOE67" s="7" t="s">
        <v>1971</v>
      </c>
      <c r="AOF67" s="159"/>
      <c r="AOG67" s="159"/>
      <c r="AOH67" s="159"/>
      <c r="AOI67" s="159"/>
      <c r="AOJ67" s="159"/>
      <c r="AOK67" s="159"/>
      <c r="AOL67" s="159"/>
      <c r="AOM67" s="159"/>
      <c r="AON67" s="159"/>
      <c r="AOO67" s="352" t="s">
        <v>2845</v>
      </c>
      <c r="AOP67" s="352"/>
      <c r="AOQ67" s="352"/>
      <c r="AOR67" s="352"/>
      <c r="AOS67" s="352"/>
      <c r="AOT67" s="352"/>
      <c r="AOU67" s="352"/>
      <c r="AOV67" s="352"/>
      <c r="AOW67" s="352"/>
      <c r="AOX67" s="352"/>
      <c r="AOY67" s="352"/>
      <c r="AOZ67" s="352"/>
      <c r="APA67" s="352"/>
      <c r="APB67" s="352"/>
      <c r="APC67" s="352"/>
      <c r="APD67" s="352"/>
      <c r="APE67" s="352"/>
      <c r="APF67" s="352"/>
      <c r="APG67" s="352"/>
      <c r="APH67" s="352"/>
      <c r="API67" s="352"/>
      <c r="APJ67" s="352"/>
      <c r="APK67" s="7" t="s">
        <v>1971</v>
      </c>
      <c r="APL67" s="352" t="s">
        <v>2845</v>
      </c>
      <c r="APM67" s="352"/>
      <c r="APN67" s="352"/>
      <c r="APO67" s="352"/>
      <c r="APP67" s="345" t="s">
        <v>2867</v>
      </c>
      <c r="APQ67" s="345"/>
      <c r="APR67" s="352"/>
      <c r="APS67" s="352"/>
      <c r="APT67" s="352"/>
      <c r="APU67" s="352"/>
      <c r="APV67" s="352"/>
      <c r="APW67" s="352"/>
      <c r="APX67" s="352"/>
      <c r="APY67" s="352"/>
      <c r="APZ67" s="352"/>
      <c r="AQA67" s="352"/>
      <c r="AQB67" s="352"/>
      <c r="AQC67" s="352"/>
      <c r="AQD67" s="352"/>
      <c r="AQE67" s="352"/>
      <c r="AQF67" s="352"/>
      <c r="AQG67" s="352"/>
      <c r="AQH67" s="352"/>
      <c r="AQI67" s="352"/>
      <c r="AQJ67" s="352"/>
      <c r="AQK67" s="352"/>
      <c r="AQL67" s="352"/>
      <c r="AQM67" s="352"/>
      <c r="AQN67" s="352"/>
      <c r="AQO67" s="352"/>
      <c r="AQP67" s="7" t="s">
        <v>1971</v>
      </c>
      <c r="AQQ67" s="352" t="s">
        <v>2867</v>
      </c>
      <c r="AQR67" s="352"/>
      <c r="AQS67" s="352"/>
      <c r="AQT67" s="352"/>
      <c r="AQU67" s="352"/>
      <c r="AQV67" s="352"/>
      <c r="AQW67" s="352"/>
      <c r="AQX67" s="159"/>
      <c r="AQY67" s="159"/>
      <c r="AQZ67" s="159"/>
      <c r="ARA67" s="159"/>
      <c r="ARB67" s="159"/>
      <c r="ARC67" s="159"/>
      <c r="ARD67" s="159"/>
      <c r="ARE67" s="159"/>
      <c r="ARF67" s="159"/>
      <c r="ARG67" s="352" t="s">
        <v>2867</v>
      </c>
      <c r="ARH67" s="352"/>
      <c r="ARI67" s="352"/>
      <c r="ARJ67" s="352"/>
      <c r="ARK67" s="352"/>
      <c r="ARL67" s="352"/>
      <c r="ARM67" s="352"/>
      <c r="ARN67" s="352"/>
      <c r="ARO67" s="352"/>
      <c r="ARP67" s="352"/>
      <c r="ARQ67" s="352"/>
      <c r="ARR67" s="352"/>
      <c r="ARS67" s="352"/>
      <c r="ART67" s="352"/>
      <c r="ARU67" s="352"/>
      <c r="ARV67" s="7" t="s">
        <v>1971</v>
      </c>
      <c r="ARW67" s="352" t="s">
        <v>2867</v>
      </c>
      <c r="ARX67" s="352"/>
      <c r="ARY67" s="352"/>
      <c r="ARZ67" s="352"/>
      <c r="ASA67" s="352"/>
      <c r="ASB67" s="352"/>
      <c r="ASC67" s="352"/>
      <c r="ASD67" s="352"/>
      <c r="ASE67" s="352"/>
      <c r="ASF67" s="352"/>
      <c r="ASG67" s="352"/>
      <c r="ASH67" s="352"/>
      <c r="ASI67" s="352"/>
      <c r="ASJ67" s="352"/>
      <c r="ASK67" s="352"/>
      <c r="ASL67" s="352"/>
      <c r="ASM67" s="352"/>
      <c r="ASN67" s="352"/>
      <c r="ASO67" s="352"/>
      <c r="ASP67" s="352"/>
      <c r="ASQ67" s="352"/>
      <c r="ASR67" s="352"/>
      <c r="ASS67" s="352"/>
      <c r="AST67" s="352"/>
      <c r="ASU67" s="352"/>
      <c r="ASV67" s="352"/>
      <c r="ASW67" s="352"/>
      <c r="ASX67" s="352"/>
      <c r="ASY67" s="352"/>
      <c r="ASZ67" s="352"/>
      <c r="ATA67" s="352"/>
      <c r="ATB67" s="7" t="s">
        <v>1971</v>
      </c>
      <c r="ATC67" s="320"/>
      <c r="ATD67" s="320"/>
      <c r="ATE67" s="320"/>
      <c r="ATF67" s="320"/>
      <c r="ATG67" s="320"/>
      <c r="ATH67" s="320"/>
      <c r="ATI67" s="320"/>
      <c r="ATJ67" s="320"/>
      <c r="ATK67" s="320"/>
      <c r="ATL67" s="320"/>
      <c r="ATM67" s="320"/>
      <c r="ATN67" s="320"/>
      <c r="ATO67" s="320"/>
      <c r="ATP67" s="320"/>
      <c r="ATQ67" s="320"/>
      <c r="ATR67" s="320"/>
      <c r="ATS67" s="320"/>
      <c r="ATT67" s="320"/>
      <c r="ATU67" s="320"/>
      <c r="ATV67" s="320"/>
      <c r="ATW67" s="320"/>
      <c r="ATX67" s="320"/>
      <c r="ATY67" s="320"/>
      <c r="ATZ67" s="320"/>
      <c r="AUA67" s="320"/>
      <c r="AUB67" s="320"/>
      <c r="AUC67" s="320"/>
      <c r="AUD67" s="320"/>
      <c r="AUE67" s="320"/>
      <c r="AUF67" s="320"/>
      <c r="AUG67" s="7" t="s">
        <v>1971</v>
      </c>
      <c r="AUH67" s="603"/>
      <c r="AUI67" s="603"/>
      <c r="AUJ67" s="603"/>
      <c r="AUK67" s="603"/>
      <c r="AUL67" s="603"/>
      <c r="AUM67" s="603"/>
      <c r="AUN67" s="603"/>
      <c r="AUO67" s="603"/>
      <c r="AUP67" s="603"/>
      <c r="AUQ67" s="603"/>
      <c r="AUR67" s="603"/>
      <c r="AUS67" s="603"/>
      <c r="AUT67" s="603"/>
      <c r="AUU67" s="603"/>
      <c r="AUV67" s="603"/>
      <c r="AUW67" s="603"/>
      <c r="AUX67" s="603"/>
      <c r="AUY67" s="603"/>
      <c r="AUZ67" s="603"/>
      <c r="AVA67" s="603"/>
      <c r="AVB67" s="603"/>
      <c r="AVC67" s="603"/>
      <c r="AVD67" s="603"/>
      <c r="AVE67" s="603"/>
      <c r="AVF67" s="603"/>
      <c r="AVG67" s="603"/>
      <c r="AVH67" s="603"/>
      <c r="AVI67" s="603"/>
      <c r="AVJ67" s="603"/>
      <c r="AVK67" s="603"/>
      <c r="AVL67" s="603"/>
      <c r="AVM67" s="7" t="s">
        <v>1971</v>
      </c>
      <c r="AWR67" s="7" t="s">
        <v>1971</v>
      </c>
      <c r="AXX67" s="7" t="s">
        <v>1971</v>
      </c>
    </row>
    <row r="68" spans="1:1583" s="184" customFormat="1" ht="22.8" customHeight="1" x14ac:dyDescent="0.25">
      <c r="A68" s="553"/>
      <c r="B68" s="7"/>
      <c r="C68" s="145"/>
      <c r="P68" s="145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47"/>
      <c r="AI68" s="554"/>
      <c r="AJ68" s="555"/>
      <c r="AK68" s="145"/>
      <c r="AL68" s="144"/>
      <c r="AM68" s="144"/>
      <c r="AN68" s="144"/>
      <c r="AO68" s="144"/>
      <c r="AP68" s="144"/>
      <c r="AQ68" s="731"/>
      <c r="AR68" s="732"/>
      <c r="AS68" s="732"/>
      <c r="AT68" s="732"/>
      <c r="AU68" s="732"/>
      <c r="AV68" s="732"/>
      <c r="AW68" s="732"/>
      <c r="AX68" s="732"/>
      <c r="AY68" s="732"/>
      <c r="AZ68" s="733"/>
      <c r="BA68" s="144"/>
      <c r="BB68" s="144"/>
      <c r="BC68" s="144"/>
      <c r="BD68" s="144"/>
      <c r="BE68" s="144"/>
      <c r="BF68" s="144"/>
      <c r="BG68" s="144"/>
      <c r="BH68" s="144"/>
      <c r="BI68" s="144"/>
      <c r="BJ68" s="144"/>
      <c r="BK68" s="144"/>
      <c r="BL68" s="144"/>
      <c r="BM68" s="144"/>
      <c r="BN68" s="7"/>
      <c r="BO68" s="145"/>
      <c r="BP68" s="145"/>
      <c r="BQ68" s="556"/>
      <c r="BR68" s="556"/>
      <c r="BS68" s="556"/>
      <c r="BT68" s="556"/>
      <c r="BU68" s="145"/>
      <c r="BW68" s="556"/>
      <c r="BX68" s="556"/>
      <c r="BY68" s="145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7"/>
      <c r="CT68" s="144"/>
      <c r="CU68" s="144"/>
      <c r="CV68" s="144"/>
      <c r="CW68" s="144"/>
      <c r="CX68" s="144"/>
      <c r="CY68" s="144"/>
      <c r="CZ68" s="144"/>
      <c r="DA68" s="144"/>
      <c r="DB68" s="144"/>
      <c r="DC68" s="144"/>
      <c r="DD68" s="144"/>
      <c r="DE68" s="144"/>
      <c r="DF68" s="144"/>
      <c r="DG68" s="145"/>
      <c r="DM68" s="145"/>
      <c r="DO68" s="557"/>
      <c r="DP68" s="557"/>
      <c r="DQ68" s="145"/>
      <c r="DY68" s="188"/>
      <c r="DZ68" s="145"/>
      <c r="EA68" s="145"/>
      <c r="EB68" s="181"/>
      <c r="EC68" s="144"/>
      <c r="ED68" s="144"/>
      <c r="EE68" s="144"/>
      <c r="EF68" s="144"/>
      <c r="EG68" s="144"/>
      <c r="EH68" s="144"/>
      <c r="EI68" s="144"/>
      <c r="EJ68" s="144"/>
      <c r="EK68" s="144"/>
      <c r="EL68" s="144"/>
      <c r="EM68" s="144"/>
      <c r="EN68" s="145"/>
      <c r="EO68" s="145"/>
      <c r="EP68" s="145"/>
      <c r="EQ68" s="145"/>
      <c r="ER68" s="145"/>
      <c r="ES68" s="145"/>
      <c r="ET68" s="145"/>
      <c r="EU68" s="145"/>
      <c r="EV68" s="145"/>
      <c r="EW68" s="145"/>
      <c r="EX68" s="145"/>
      <c r="EZ68" s="145"/>
      <c r="FA68" s="145"/>
      <c r="FB68" s="145"/>
      <c r="FC68" s="145"/>
      <c r="FD68" s="188"/>
      <c r="FE68" s="145"/>
      <c r="LE68" s="7"/>
      <c r="MK68" s="5"/>
      <c r="OV68" s="7"/>
      <c r="OW68" s="558"/>
      <c r="OX68" s="558"/>
      <c r="OY68" s="558"/>
      <c r="OZ68" s="558"/>
      <c r="PA68" s="558"/>
      <c r="PB68" s="558"/>
      <c r="PC68" s="558"/>
      <c r="PD68" s="558"/>
      <c r="PE68" s="558"/>
      <c r="PF68" s="558"/>
      <c r="PG68" s="558"/>
      <c r="PH68" s="558"/>
      <c r="PI68" s="558"/>
      <c r="PJ68" s="558"/>
      <c r="PK68" s="558"/>
      <c r="PL68" s="558"/>
      <c r="PM68" s="558"/>
      <c r="PN68" s="558"/>
      <c r="PO68" s="558"/>
      <c r="PP68" s="558"/>
      <c r="PW68" s="361" t="s">
        <v>947</v>
      </c>
      <c r="PX68" s="361"/>
      <c r="PY68" s="316"/>
      <c r="PZ68" s="316"/>
      <c r="QA68" s="316"/>
      <c r="QB68" s="5"/>
      <c r="QC68" s="316" t="s">
        <v>947</v>
      </c>
      <c r="QD68" s="316"/>
      <c r="QE68" s="316"/>
      <c r="QF68" s="316"/>
      <c r="QG68" s="316"/>
      <c r="QH68" s="316"/>
      <c r="QI68" s="316"/>
      <c r="RG68" s="7"/>
      <c r="SM68" s="11"/>
      <c r="SN68" s="364">
        <v>40</v>
      </c>
      <c r="SO68" s="364">
        <v>27</v>
      </c>
      <c r="SP68" s="184">
        <v>21</v>
      </c>
      <c r="SQ68" s="184">
        <v>40</v>
      </c>
      <c r="SR68" s="184">
        <v>30</v>
      </c>
      <c r="SS68" s="184">
        <v>24</v>
      </c>
      <c r="ST68" s="184">
        <v>400</v>
      </c>
      <c r="SU68" s="184">
        <v>270</v>
      </c>
      <c r="SY68" s="184">
        <v>543</v>
      </c>
      <c r="TA68" s="184">
        <v>352</v>
      </c>
      <c r="TB68" s="184">
        <v>40</v>
      </c>
      <c r="TC68" s="184">
        <v>259</v>
      </c>
      <c r="TD68" s="184">
        <v>264</v>
      </c>
      <c r="TF68" s="184">
        <v>272</v>
      </c>
      <c r="TH68" s="184">
        <v>272</v>
      </c>
      <c r="TK68" s="184">
        <v>230</v>
      </c>
      <c r="TL68" s="184">
        <v>470</v>
      </c>
      <c r="TM68" s="184">
        <v>319</v>
      </c>
      <c r="TO68" s="184">
        <v>130</v>
      </c>
      <c r="TP68" s="184">
        <v>101</v>
      </c>
      <c r="TQ68" s="184">
        <v>18</v>
      </c>
      <c r="TR68" s="314"/>
      <c r="TS68" s="184">
        <v>18</v>
      </c>
      <c r="TT68" s="184">
        <v>24</v>
      </c>
      <c r="TU68" s="184">
        <v>35</v>
      </c>
      <c r="TW68" s="184">
        <v>35</v>
      </c>
      <c r="TX68" s="184">
        <v>72</v>
      </c>
      <c r="TY68" s="184">
        <v>42</v>
      </c>
      <c r="TZ68" s="184">
        <v>30</v>
      </c>
      <c r="UA68" s="184">
        <v>24</v>
      </c>
      <c r="UO68" s="184">
        <v>71</v>
      </c>
      <c r="UP68" s="184">
        <v>25</v>
      </c>
      <c r="UR68" s="184">
        <v>181</v>
      </c>
      <c r="US68" s="184">
        <v>180</v>
      </c>
      <c r="UT68" s="184">
        <v>268</v>
      </c>
      <c r="UU68" s="184">
        <v>180</v>
      </c>
      <c r="UV68" s="184">
        <v>25</v>
      </c>
      <c r="UW68" s="184">
        <v>40</v>
      </c>
      <c r="UX68" s="7"/>
      <c r="UZ68" s="184">
        <v>45</v>
      </c>
      <c r="VA68" s="184">
        <v>282</v>
      </c>
      <c r="VB68" s="184">
        <v>30</v>
      </c>
      <c r="VC68" s="184">
        <v>45</v>
      </c>
      <c r="VD68" s="184">
        <v>223</v>
      </c>
      <c r="VE68" s="184">
        <v>149</v>
      </c>
      <c r="VG68" s="184">
        <v>18</v>
      </c>
      <c r="VH68" s="184">
        <v>50</v>
      </c>
      <c r="VI68" s="184">
        <v>30</v>
      </c>
      <c r="VJ68" s="184">
        <v>9</v>
      </c>
      <c r="VL68" s="184">
        <v>300</v>
      </c>
      <c r="VN68" s="184">
        <v>240</v>
      </c>
      <c r="VO68" s="184">
        <v>271</v>
      </c>
      <c r="VP68" s="184">
        <v>9</v>
      </c>
      <c r="VQ68" s="184">
        <v>274</v>
      </c>
      <c r="VR68" s="184">
        <v>9</v>
      </c>
      <c r="VS68" s="184">
        <v>270</v>
      </c>
      <c r="VU68" s="184">
        <v>90</v>
      </c>
      <c r="VV68" s="184">
        <v>310</v>
      </c>
      <c r="VW68" s="184">
        <v>258</v>
      </c>
      <c r="VX68" s="184">
        <v>300</v>
      </c>
      <c r="VY68" s="184">
        <v>322</v>
      </c>
      <c r="VZ68" s="184">
        <v>50</v>
      </c>
      <c r="WB68" s="184">
        <v>50</v>
      </c>
      <c r="WD68" s="7"/>
      <c r="WE68" s="184">
        <v>350</v>
      </c>
      <c r="XG68" s="7"/>
      <c r="XY68" s="184">
        <v>24</v>
      </c>
      <c r="YB68" s="184">
        <v>41</v>
      </c>
      <c r="YC68" s="184">
        <v>38</v>
      </c>
      <c r="YD68" s="184">
        <v>1</v>
      </c>
      <c r="YE68" s="184">
        <v>20</v>
      </c>
      <c r="YF68" s="184">
        <v>30</v>
      </c>
      <c r="YH68" s="184">
        <v>41</v>
      </c>
      <c r="YI68" s="184">
        <v>41</v>
      </c>
      <c r="YJ68" s="184">
        <v>41</v>
      </c>
      <c r="YM68" s="7"/>
      <c r="YN68" s="184">
        <v>21</v>
      </c>
      <c r="YP68" s="184">
        <v>21</v>
      </c>
      <c r="YQ68" s="184">
        <v>21</v>
      </c>
      <c r="YR68" s="184">
        <v>21</v>
      </c>
      <c r="YS68" s="184">
        <v>23</v>
      </c>
      <c r="YT68" s="184">
        <v>25</v>
      </c>
      <c r="YU68" s="184">
        <v>25</v>
      </c>
      <c r="YW68" s="184">
        <v>24</v>
      </c>
      <c r="YX68" s="184">
        <v>24</v>
      </c>
      <c r="YY68" s="184">
        <v>35</v>
      </c>
      <c r="YZ68" s="184">
        <v>15</v>
      </c>
      <c r="ZB68" s="184">
        <v>40</v>
      </c>
      <c r="ZD68" s="184">
        <v>40</v>
      </c>
      <c r="ZE68" s="184">
        <v>24</v>
      </c>
      <c r="ZF68" s="184">
        <v>15</v>
      </c>
      <c r="ZM68" s="184">
        <v>24</v>
      </c>
      <c r="ZN68" s="184">
        <v>15</v>
      </c>
      <c r="ZO68" s="184">
        <v>24</v>
      </c>
      <c r="ZP68" s="184">
        <v>24</v>
      </c>
      <c r="ZR68" s="7"/>
      <c r="ZS68" s="314"/>
      <c r="ZT68" s="314">
        <v>21</v>
      </c>
      <c r="ZU68" s="314">
        <v>30</v>
      </c>
      <c r="ZV68" s="314">
        <v>27</v>
      </c>
      <c r="ZW68" s="314">
        <v>18</v>
      </c>
      <c r="ZX68" s="314">
        <v>18</v>
      </c>
      <c r="ZY68" s="314"/>
      <c r="ZZ68" s="314">
        <v>18</v>
      </c>
      <c r="AAA68" s="314"/>
      <c r="AAB68" s="314">
        <v>100</v>
      </c>
      <c r="AAC68" s="314">
        <v>180</v>
      </c>
      <c r="AAD68" s="314">
        <v>100</v>
      </c>
      <c r="AAE68" s="777"/>
      <c r="AAF68" s="705"/>
      <c r="AAG68" s="705"/>
      <c r="AAH68" s="705"/>
      <c r="AAI68" s="778"/>
      <c r="AAJ68" s="314">
        <v>206</v>
      </c>
      <c r="AAK68" s="314">
        <f>27+1</f>
        <v>28</v>
      </c>
      <c r="AAL68" s="314"/>
      <c r="AAM68" s="314"/>
      <c r="AAN68" s="314">
        <v>41</v>
      </c>
      <c r="AAO68" s="314">
        <v>350</v>
      </c>
      <c r="AAP68" s="314">
        <v>480</v>
      </c>
      <c r="AAQ68" s="314">
        <v>600</v>
      </c>
      <c r="AAR68" s="314">
        <v>530</v>
      </c>
      <c r="AAS68" s="314">
        <v>500</v>
      </c>
      <c r="AAT68" s="314"/>
      <c r="AAU68" s="314">
        <v>600</v>
      </c>
      <c r="AAV68" s="314">
        <v>300</v>
      </c>
      <c r="AAW68" s="314">
        <f>291+27+27</f>
        <v>345</v>
      </c>
      <c r="AAX68" s="7"/>
      <c r="AAY68" s="314">
        <v>550</v>
      </c>
      <c r="AAZ68" s="124">
        <v>770</v>
      </c>
      <c r="ABA68" s="314">
        <f>84+320</f>
        <v>404</v>
      </c>
      <c r="ABC68" s="314">
        <v>700</v>
      </c>
      <c r="ABD68" s="314">
        <v>850</v>
      </c>
      <c r="ABE68" s="314">
        <v>800</v>
      </c>
      <c r="ABF68" s="314">
        <v>800</v>
      </c>
      <c r="ABG68" s="314">
        <v>700</v>
      </c>
      <c r="ABH68" s="124">
        <v>822</v>
      </c>
      <c r="ABJ68" s="314">
        <f>4+800</f>
        <v>804</v>
      </c>
      <c r="ABK68" s="314">
        <v>1100</v>
      </c>
      <c r="ABL68" s="314">
        <v>1210</v>
      </c>
      <c r="ABM68" s="314">
        <v>900</v>
      </c>
      <c r="ABN68" s="314">
        <v>1000</v>
      </c>
      <c r="ABO68" s="124">
        <v>876</v>
      </c>
      <c r="ABP68" s="314">
        <v>400</v>
      </c>
      <c r="ABQ68" s="314">
        <v>900</v>
      </c>
      <c r="ABR68" s="314">
        <f>700+8</f>
        <v>708</v>
      </c>
      <c r="ABS68" s="314">
        <v>900</v>
      </c>
      <c r="ABT68" s="314">
        <v>900</v>
      </c>
      <c r="ABU68" s="314">
        <v>1210</v>
      </c>
      <c r="ABV68" s="314">
        <v>1210</v>
      </c>
      <c r="ABW68" s="314"/>
      <c r="ABX68" s="314">
        <v>1210</v>
      </c>
      <c r="ABY68" s="314">
        <v>1150</v>
      </c>
      <c r="ABZ68" s="314">
        <v>1150</v>
      </c>
      <c r="ACA68" s="314">
        <v>1050</v>
      </c>
      <c r="ACB68" s="314">
        <v>900</v>
      </c>
      <c r="ACC68" s="7"/>
      <c r="ACD68" s="314">
        <v>1200</v>
      </c>
      <c r="ACE68" s="314">
        <v>900</v>
      </c>
      <c r="ACF68" s="124">
        <v>1283</v>
      </c>
      <c r="ACG68" s="314">
        <v>1000</v>
      </c>
      <c r="ACH68" s="314">
        <v>1320</v>
      </c>
      <c r="ACI68" s="314">
        <v>1210</v>
      </c>
      <c r="ACJ68" s="314">
        <v>1320</v>
      </c>
      <c r="ACK68" s="314">
        <v>1400</v>
      </c>
      <c r="ACM68" s="314">
        <v>1400</v>
      </c>
      <c r="ACN68" s="314">
        <v>1400</v>
      </c>
      <c r="ACO68" s="314">
        <v>1400</v>
      </c>
      <c r="ACP68" s="314">
        <v>1400</v>
      </c>
      <c r="ACQ68" s="314">
        <v>1400</v>
      </c>
      <c r="ACR68" s="314">
        <v>1400</v>
      </c>
      <c r="ACS68" s="314">
        <v>1150</v>
      </c>
      <c r="ACT68" s="314">
        <v>1200</v>
      </c>
      <c r="ACU68" s="314">
        <v>1320</v>
      </c>
      <c r="ACV68" s="314">
        <v>850</v>
      </c>
      <c r="ACW68" s="785"/>
      <c r="ACX68" s="786"/>
      <c r="ACY68" s="786"/>
      <c r="ACZ68" s="786"/>
      <c r="ADA68" s="786"/>
      <c r="ADB68" s="786"/>
      <c r="ADC68" s="786"/>
      <c r="ADD68" s="786"/>
      <c r="ADE68" s="786"/>
      <c r="ADF68" s="786"/>
      <c r="ADG68" s="787"/>
      <c r="ADH68" s="314"/>
      <c r="ADI68" s="7"/>
      <c r="ADJ68" s="314">
        <v>750</v>
      </c>
      <c r="ADK68" s="314">
        <v>1210</v>
      </c>
      <c r="ADL68" s="314">
        <v>1350</v>
      </c>
      <c r="ADM68" s="314">
        <v>1400</v>
      </c>
      <c r="ADN68" s="314">
        <v>1420</v>
      </c>
      <c r="ADP68" s="314">
        <v>1400</v>
      </c>
      <c r="ADQ68" s="314">
        <v>1400</v>
      </c>
      <c r="ADR68" s="314">
        <v>1350</v>
      </c>
      <c r="ADS68" s="314">
        <v>1500</v>
      </c>
      <c r="ADT68" s="314">
        <v>1700</v>
      </c>
      <c r="ADU68" s="314">
        <v>1700</v>
      </c>
      <c r="ADV68" s="314">
        <v>1250</v>
      </c>
      <c r="ADW68" s="314"/>
      <c r="ADY68" s="314">
        <v>1750</v>
      </c>
      <c r="ADZ68" s="314">
        <v>1850</v>
      </c>
      <c r="AEA68" s="314">
        <v>1850</v>
      </c>
      <c r="AEB68" s="314">
        <v>1980</v>
      </c>
      <c r="AED68" s="314">
        <v>1750</v>
      </c>
      <c r="AEE68" s="314">
        <v>1950</v>
      </c>
      <c r="AEF68" s="314">
        <v>1950</v>
      </c>
      <c r="AEG68" s="314">
        <v>1850</v>
      </c>
      <c r="AEH68" s="314">
        <v>1950</v>
      </c>
      <c r="AEI68" s="314">
        <v>1800</v>
      </c>
      <c r="AEK68" s="314">
        <v>2000</v>
      </c>
      <c r="AEL68" s="314">
        <v>2000</v>
      </c>
      <c r="AEM68" s="314">
        <v>2000</v>
      </c>
      <c r="AEN68" s="314">
        <v>1500</v>
      </c>
      <c r="AEO68" s="7"/>
      <c r="AEP68" s="314">
        <v>1680</v>
      </c>
      <c r="AEQ68" s="314">
        <v>1500</v>
      </c>
      <c r="AES68" s="314">
        <v>1850</v>
      </c>
      <c r="AET68" s="314">
        <v>1700</v>
      </c>
      <c r="AEU68" s="314">
        <v>1466</v>
      </c>
      <c r="AEV68" s="314">
        <v>1200</v>
      </c>
      <c r="AEW68" s="314">
        <v>1800</v>
      </c>
      <c r="AEX68" s="124">
        <v>1320</v>
      </c>
      <c r="AEZ68" s="603">
        <v>600</v>
      </c>
      <c r="AFA68" s="603">
        <v>1300</v>
      </c>
      <c r="AFB68" s="603">
        <v>1600</v>
      </c>
      <c r="AFC68" s="603">
        <v>1550</v>
      </c>
      <c r="AFD68" s="603">
        <f>16+1600</f>
        <v>1616</v>
      </c>
      <c r="AFE68" s="603">
        <v>1700</v>
      </c>
      <c r="AFG68" s="603">
        <v>2000</v>
      </c>
      <c r="AFH68" s="603">
        <v>1750</v>
      </c>
      <c r="AFI68" s="603">
        <v>2000</v>
      </c>
      <c r="AFJ68" s="603">
        <v>1850</v>
      </c>
      <c r="AFK68" s="603">
        <v>1500</v>
      </c>
      <c r="AFL68" s="603">
        <v>1500</v>
      </c>
      <c r="AFN68" s="603">
        <v>1500</v>
      </c>
      <c r="AFO68" s="603">
        <v>1500</v>
      </c>
      <c r="AFP68" s="603">
        <f t="shared" ref="AFP68" si="23">190*8</f>
        <v>1520</v>
      </c>
      <c r="AFQ68" s="603">
        <v>1600</v>
      </c>
      <c r="AFR68" s="603">
        <v>1600</v>
      </c>
      <c r="AFS68" s="603">
        <v>1500</v>
      </c>
      <c r="AFT68" s="7"/>
      <c r="AFU68" s="628"/>
      <c r="AFV68" s="603">
        <v>2000</v>
      </c>
      <c r="AFW68" s="603">
        <v>2000</v>
      </c>
      <c r="AFX68" s="603">
        <v>2000</v>
      </c>
      <c r="AFY68" s="604">
        <v>1900</v>
      </c>
      <c r="AFZ68" s="603">
        <v>1900</v>
      </c>
      <c r="AGA68" s="603">
        <v>2000</v>
      </c>
      <c r="AGC68" s="603">
        <v>1750</v>
      </c>
      <c r="AGD68" s="603">
        <v>1700</v>
      </c>
      <c r="AGE68" s="603">
        <v>1750</v>
      </c>
      <c r="AGF68" s="603">
        <v>1703</v>
      </c>
      <c r="AGG68" s="603">
        <v>1850</v>
      </c>
      <c r="AGH68" s="603">
        <v>1800</v>
      </c>
      <c r="AGJ68" s="603">
        <v>1850</v>
      </c>
      <c r="AGK68" s="603">
        <v>2050</v>
      </c>
      <c r="AGL68" s="603">
        <v>2200</v>
      </c>
      <c r="AGM68" s="604">
        <v>1345</v>
      </c>
      <c r="AGN68" s="603">
        <v>850</v>
      </c>
      <c r="AGO68" s="603">
        <v>1440</v>
      </c>
      <c r="AGP68" s="603"/>
      <c r="AGQ68" s="603">
        <v>1290</v>
      </c>
      <c r="AGR68" s="314">
        <v>1600</v>
      </c>
      <c r="AGS68" s="314">
        <v>1600</v>
      </c>
      <c r="AGT68" s="314">
        <v>1950</v>
      </c>
      <c r="AGU68" s="314">
        <v>2000</v>
      </c>
      <c r="AGV68" s="314">
        <v>1900</v>
      </c>
      <c r="AGW68" s="314"/>
      <c r="AGX68" s="314">
        <v>1700</v>
      </c>
      <c r="AGY68" s="314">
        <v>1600</v>
      </c>
      <c r="AGZ68" s="314"/>
      <c r="AHA68" s="314">
        <v>1950</v>
      </c>
      <c r="AHB68" s="314">
        <v>1850</v>
      </c>
      <c r="AHC68" s="314">
        <v>1700</v>
      </c>
      <c r="AHD68" s="314">
        <v>1630</v>
      </c>
      <c r="AHF68" s="314">
        <v>2100</v>
      </c>
      <c r="AHG68" s="124">
        <f>783+0</f>
        <v>783</v>
      </c>
      <c r="AHH68" s="314">
        <v>90</v>
      </c>
      <c r="AHI68" s="314">
        <v>400</v>
      </c>
      <c r="AHJ68" s="314">
        <v>700</v>
      </c>
      <c r="AHK68" s="314">
        <v>1100</v>
      </c>
      <c r="AHL68" s="314"/>
      <c r="AHM68" s="314">
        <v>1650</v>
      </c>
      <c r="AHN68" s="314">
        <v>1660</v>
      </c>
      <c r="AHO68" s="314">
        <v>1920</v>
      </c>
      <c r="AHP68" s="314">
        <v>2100</v>
      </c>
      <c r="AHQ68" s="314">
        <v>2000</v>
      </c>
      <c r="AHR68" s="314">
        <v>2640</v>
      </c>
      <c r="AHS68" s="314"/>
      <c r="AHT68" s="314">
        <v>2640</v>
      </c>
      <c r="AHU68" s="314">
        <v>2640</v>
      </c>
      <c r="AHV68" s="314">
        <v>2640</v>
      </c>
      <c r="AHW68" s="314">
        <v>2640</v>
      </c>
      <c r="AHX68" s="314">
        <v>2640</v>
      </c>
      <c r="AHY68" s="314">
        <v>2640</v>
      </c>
      <c r="AHZ68" s="314"/>
      <c r="AIA68" s="314">
        <v>2640</v>
      </c>
      <c r="AIB68" s="124">
        <v>1240</v>
      </c>
      <c r="AIC68" s="314">
        <v>1000</v>
      </c>
      <c r="AID68" s="314">
        <v>1500</v>
      </c>
      <c r="AIE68" s="606"/>
      <c r="AIF68" s="314">
        <v>2200</v>
      </c>
      <c r="AIG68" s="314">
        <v>2200</v>
      </c>
      <c r="AIH68" s="314"/>
      <c r="AII68" s="314">
        <v>2200</v>
      </c>
      <c r="AIJ68" s="314">
        <v>2200</v>
      </c>
      <c r="AIK68" s="314">
        <v>2200</v>
      </c>
      <c r="AIL68" s="314">
        <v>2200</v>
      </c>
      <c r="AIM68" s="314">
        <v>2200</v>
      </c>
      <c r="AIN68" s="314">
        <v>2200</v>
      </c>
      <c r="AIP68" s="314">
        <v>2200</v>
      </c>
      <c r="AIQ68" s="314">
        <v>2200</v>
      </c>
      <c r="AIR68" s="314">
        <v>2200</v>
      </c>
      <c r="AIS68" s="314">
        <v>2200</v>
      </c>
      <c r="AIT68" s="314">
        <v>2200</v>
      </c>
      <c r="AIW68" s="314">
        <v>2200</v>
      </c>
      <c r="AIX68" s="314">
        <v>2200</v>
      </c>
      <c r="AIY68" s="314">
        <v>2200</v>
      </c>
      <c r="AIZ68" s="314">
        <v>2200</v>
      </c>
      <c r="AJA68" s="314">
        <v>2200</v>
      </c>
      <c r="AJB68" s="124">
        <v>1550</v>
      </c>
      <c r="AJD68" s="314">
        <v>1000</v>
      </c>
      <c r="AJE68" s="314">
        <v>1500</v>
      </c>
      <c r="AJF68" s="314">
        <v>1900</v>
      </c>
      <c r="AJG68" s="314">
        <v>1900</v>
      </c>
      <c r="AJH68" s="314">
        <v>1900</v>
      </c>
      <c r="AJI68" s="314">
        <v>1900</v>
      </c>
      <c r="AJK68" s="7"/>
      <c r="AJL68" s="314">
        <v>1900</v>
      </c>
      <c r="AJM68" s="314">
        <v>1900</v>
      </c>
      <c r="AJN68" s="314">
        <v>1900</v>
      </c>
      <c r="AJO68" s="124">
        <v>1800</v>
      </c>
      <c r="AJP68" s="314">
        <v>1700</v>
      </c>
      <c r="AJQ68" s="314">
        <v>1900</v>
      </c>
      <c r="AJR68" s="314"/>
      <c r="AJS68" s="314">
        <v>1900</v>
      </c>
      <c r="AJT68" s="314">
        <v>1900</v>
      </c>
      <c r="AJU68" s="314">
        <v>1900</v>
      </c>
      <c r="AJV68" s="314">
        <v>1900</v>
      </c>
      <c r="AJW68" s="314">
        <v>1900</v>
      </c>
      <c r="AJX68" s="314">
        <v>1900</v>
      </c>
      <c r="AJY68" s="314"/>
      <c r="AJZ68" s="124">
        <v>1900</v>
      </c>
      <c r="AKA68" s="314">
        <v>600</v>
      </c>
      <c r="AKB68" s="314">
        <v>1200</v>
      </c>
      <c r="AKC68" s="314">
        <v>1800</v>
      </c>
      <c r="AKD68" s="314">
        <v>2400</v>
      </c>
      <c r="AKE68" s="314">
        <v>2400</v>
      </c>
      <c r="AKF68" s="314"/>
      <c r="AKG68" s="124">
        <v>2000</v>
      </c>
      <c r="AKH68" s="314">
        <v>1000</v>
      </c>
      <c r="AKI68" s="314">
        <v>2000</v>
      </c>
      <c r="AKJ68" s="314">
        <v>3000</v>
      </c>
      <c r="AKK68" s="314">
        <v>3000</v>
      </c>
      <c r="AKL68" s="124">
        <v>1700</v>
      </c>
      <c r="AKM68" s="314"/>
      <c r="AKN68" s="136">
        <v>700</v>
      </c>
      <c r="AKO68" s="136">
        <v>1400</v>
      </c>
      <c r="AKP68" s="136">
        <v>2100</v>
      </c>
      <c r="AKQ68" s="7"/>
      <c r="AKR68" s="136">
        <v>2100</v>
      </c>
      <c r="AKS68" s="124">
        <v>1000</v>
      </c>
      <c r="AKT68" s="314">
        <v>500</v>
      </c>
      <c r="AKU68" s="314"/>
      <c r="AKV68" s="314">
        <v>1000</v>
      </c>
      <c r="AKW68" s="314">
        <v>1500</v>
      </c>
      <c r="AKX68" s="314">
        <v>2100</v>
      </c>
      <c r="AKY68" s="314">
        <v>2100</v>
      </c>
      <c r="AKZ68" s="314">
        <v>2100</v>
      </c>
      <c r="ALA68" s="314">
        <v>2100</v>
      </c>
      <c r="ALB68" s="314"/>
      <c r="ALC68" s="314">
        <v>2100</v>
      </c>
      <c r="ALD68" s="314">
        <v>2100</v>
      </c>
      <c r="ALE68" s="314">
        <v>2100</v>
      </c>
      <c r="ALF68" s="314">
        <v>2100</v>
      </c>
      <c r="ALG68" s="314">
        <v>2100</v>
      </c>
      <c r="ALH68" s="314">
        <v>2100</v>
      </c>
      <c r="ALI68" s="314"/>
      <c r="ALJ68" s="314">
        <v>2100</v>
      </c>
      <c r="ALK68" s="314">
        <v>2100</v>
      </c>
      <c r="ALL68" s="314">
        <v>2100</v>
      </c>
      <c r="ALM68" s="314">
        <v>2100</v>
      </c>
      <c r="ALN68" s="314">
        <v>2100</v>
      </c>
      <c r="ALO68" s="314">
        <v>2100</v>
      </c>
      <c r="ALP68" s="314"/>
      <c r="ALQ68" s="314">
        <v>2100</v>
      </c>
      <c r="ALR68" s="314">
        <v>2100</v>
      </c>
      <c r="ALS68" s="314">
        <v>2100</v>
      </c>
      <c r="ALT68" s="7"/>
      <c r="ALU68" s="314">
        <v>2100</v>
      </c>
      <c r="ALV68" s="124">
        <v>2100</v>
      </c>
      <c r="ALW68" s="603">
        <v>1000</v>
      </c>
      <c r="ALY68" s="603">
        <v>1500</v>
      </c>
      <c r="ALZ68" s="603">
        <v>2100</v>
      </c>
      <c r="AMA68" s="603">
        <v>2100</v>
      </c>
      <c r="AMB68" s="603">
        <v>2100</v>
      </c>
      <c r="AMC68" s="603">
        <v>2100</v>
      </c>
      <c r="AMD68" s="603">
        <v>2100</v>
      </c>
      <c r="AME68" s="603"/>
      <c r="AMF68" s="603">
        <v>2100</v>
      </c>
      <c r="AMG68" s="603">
        <v>2100</v>
      </c>
      <c r="AMH68" s="603">
        <v>2100</v>
      </c>
      <c r="AMI68" s="603">
        <v>2100</v>
      </c>
      <c r="AMJ68" s="603">
        <v>2100</v>
      </c>
      <c r="AMK68" s="603">
        <v>2100</v>
      </c>
      <c r="AML68" s="314"/>
      <c r="AMM68" s="314">
        <v>2100</v>
      </c>
      <c r="AMN68" s="314">
        <v>2100</v>
      </c>
      <c r="AMO68" s="314">
        <v>2100</v>
      </c>
      <c r="AMP68" s="314">
        <v>2100</v>
      </c>
      <c r="AMQ68" s="314">
        <v>2100</v>
      </c>
      <c r="AMR68" s="314">
        <v>2100</v>
      </c>
      <c r="AMS68" s="314"/>
      <c r="AMT68" s="314"/>
      <c r="AMU68" s="314">
        <v>2100</v>
      </c>
      <c r="AMV68" s="314">
        <v>2100</v>
      </c>
      <c r="AMW68" s="314">
        <v>2100</v>
      </c>
      <c r="AMX68" s="314">
        <v>2100</v>
      </c>
      <c r="AMY68" s="314">
        <v>2100</v>
      </c>
      <c r="AMZ68" s="7"/>
      <c r="ANB68" s="314">
        <v>1710</v>
      </c>
      <c r="ANC68" s="314">
        <v>1710</v>
      </c>
      <c r="AND68" s="314">
        <v>1710</v>
      </c>
      <c r="ANE68" s="314">
        <v>1710</v>
      </c>
      <c r="ANF68" s="314">
        <v>1710</v>
      </c>
      <c r="ANG68" s="314">
        <v>1710</v>
      </c>
      <c r="ANH68" s="124">
        <v>1520</v>
      </c>
      <c r="ANI68" s="314">
        <v>600</v>
      </c>
      <c r="ANJ68" s="314">
        <v>1200</v>
      </c>
      <c r="ANK68" s="314">
        <v>1800</v>
      </c>
      <c r="ANL68" s="314">
        <v>1800</v>
      </c>
      <c r="ANM68" s="124">
        <v>1800</v>
      </c>
      <c r="ANN68" s="314"/>
      <c r="ANO68" s="314"/>
      <c r="ANP68" s="314">
        <v>1800</v>
      </c>
      <c r="ANQ68" s="314">
        <v>1800</v>
      </c>
      <c r="ANR68" s="314">
        <v>1800</v>
      </c>
      <c r="ANS68" s="314">
        <v>1800</v>
      </c>
      <c r="ANT68" s="314">
        <v>1800</v>
      </c>
      <c r="ANU68" s="314">
        <v>1800</v>
      </c>
      <c r="ANV68" s="314">
        <v>1520</v>
      </c>
      <c r="ANW68" s="314">
        <v>1800</v>
      </c>
      <c r="ANX68" s="314">
        <v>1800</v>
      </c>
      <c r="ANY68" s="314">
        <v>1800</v>
      </c>
      <c r="ANZ68" s="314">
        <v>1800</v>
      </c>
      <c r="AOA68" s="314">
        <v>1800</v>
      </c>
      <c r="AOB68" s="314">
        <v>1800</v>
      </c>
      <c r="AOC68" s="314"/>
      <c r="AOD68" s="314">
        <v>1800</v>
      </c>
      <c r="AOE68" s="7"/>
      <c r="AOF68" s="159"/>
      <c r="AOG68" s="159"/>
      <c r="AOH68" s="159"/>
      <c r="AOI68" s="159"/>
      <c r="AOJ68" s="159"/>
      <c r="AOK68" s="159"/>
      <c r="AOL68" s="159"/>
      <c r="AOM68" s="159"/>
      <c r="AON68" s="159"/>
      <c r="AOO68" s="603">
        <v>2300</v>
      </c>
      <c r="AOP68" s="603">
        <v>2300</v>
      </c>
      <c r="AOQ68" s="603">
        <v>2300</v>
      </c>
      <c r="AOS68" s="603">
        <v>2300</v>
      </c>
      <c r="AOT68" s="603">
        <v>2300</v>
      </c>
      <c r="AOU68" s="603">
        <v>2300</v>
      </c>
      <c r="AOV68" s="603">
        <v>2300</v>
      </c>
      <c r="AOW68" s="603">
        <v>2300</v>
      </c>
      <c r="AOX68" s="603">
        <v>2300</v>
      </c>
      <c r="AOZ68" s="603">
        <v>2300</v>
      </c>
      <c r="APA68" s="603">
        <v>2300</v>
      </c>
      <c r="APB68" s="603">
        <v>2300</v>
      </c>
      <c r="APC68" s="604">
        <v>2300</v>
      </c>
      <c r="APD68" s="603">
        <v>2300</v>
      </c>
      <c r="APE68" s="603">
        <v>2300</v>
      </c>
      <c r="APG68" s="603">
        <v>2300</v>
      </c>
      <c r="APH68" s="603">
        <v>2300</v>
      </c>
      <c r="API68" s="603">
        <v>2300</v>
      </c>
      <c r="APJ68" s="604">
        <v>2300</v>
      </c>
      <c r="APK68" s="7"/>
      <c r="APL68" s="603">
        <v>2000</v>
      </c>
      <c r="APM68" s="603">
        <v>2000</v>
      </c>
      <c r="APN68" s="603">
        <v>1440</v>
      </c>
      <c r="APO68" s="603">
        <v>2000</v>
      </c>
      <c r="APP68" s="603">
        <v>2000</v>
      </c>
      <c r="APQ68" s="603">
        <v>2000</v>
      </c>
      <c r="APR68" s="603">
        <v>2000</v>
      </c>
      <c r="APS68" s="604">
        <v>2000</v>
      </c>
      <c r="APT68" s="603">
        <v>2000</v>
      </c>
      <c r="APU68" s="603"/>
      <c r="APV68" s="603">
        <v>2000</v>
      </c>
      <c r="APW68" s="603">
        <v>2000</v>
      </c>
      <c r="APX68" s="603">
        <v>2000</v>
      </c>
      <c r="APY68" s="603">
        <v>2000</v>
      </c>
      <c r="APZ68" s="603">
        <v>2000</v>
      </c>
      <c r="AQA68" s="603">
        <v>2000</v>
      </c>
      <c r="AQB68" s="603"/>
      <c r="AQC68" s="603">
        <v>2000</v>
      </c>
      <c r="AQD68" s="603">
        <v>2000</v>
      </c>
      <c r="AQE68" s="603">
        <v>2000</v>
      </c>
      <c r="AQF68" s="603">
        <v>2000</v>
      </c>
      <c r="AQG68" s="603">
        <v>2000</v>
      </c>
      <c r="AQH68" s="603">
        <v>2000</v>
      </c>
      <c r="AQI68" s="603">
        <v>1600</v>
      </c>
      <c r="AQJ68" s="603">
        <v>2000</v>
      </c>
      <c r="AQK68" s="603">
        <v>2000</v>
      </c>
      <c r="AQL68" s="603">
        <v>2000</v>
      </c>
      <c r="AQM68" s="604">
        <v>2000</v>
      </c>
      <c r="AQN68" s="603">
        <v>2000</v>
      </c>
      <c r="AQO68" s="603">
        <v>2000</v>
      </c>
      <c r="AQP68" s="7"/>
      <c r="AQQ68" s="314"/>
      <c r="AQR68" s="603">
        <v>2000</v>
      </c>
      <c r="AQS68" s="603">
        <v>2000</v>
      </c>
      <c r="AQT68" s="603">
        <v>2000</v>
      </c>
      <c r="AQU68" s="603">
        <v>2000</v>
      </c>
      <c r="AQV68" s="603">
        <v>2000</v>
      </c>
      <c r="AQW68" s="603">
        <v>2000</v>
      </c>
      <c r="AQX68" s="159"/>
      <c r="AQY68" s="159"/>
      <c r="AQZ68" s="159"/>
      <c r="ARA68" s="159"/>
      <c r="ARB68" s="159"/>
      <c r="ARC68" s="159"/>
      <c r="ARD68" s="159"/>
      <c r="ARE68" s="159"/>
      <c r="ARF68" s="159"/>
      <c r="ARG68" s="603">
        <v>2000</v>
      </c>
      <c r="ARH68" s="603">
        <v>2000</v>
      </c>
      <c r="ARI68" s="603">
        <v>2000</v>
      </c>
      <c r="ARJ68" s="603">
        <v>2000</v>
      </c>
      <c r="ARK68" s="603">
        <v>2000</v>
      </c>
      <c r="ARM68" s="603">
        <v>2000</v>
      </c>
      <c r="ARN68" s="603">
        <v>2000</v>
      </c>
      <c r="ARO68" s="603">
        <v>2000</v>
      </c>
      <c r="ARP68" s="603">
        <v>2000</v>
      </c>
      <c r="ARQ68" s="603">
        <v>2000</v>
      </c>
      <c r="ARR68" s="603">
        <v>2000</v>
      </c>
      <c r="ARS68" s="603"/>
      <c r="ART68" s="603">
        <v>2000</v>
      </c>
      <c r="ARU68" s="603">
        <v>2000</v>
      </c>
      <c r="ARV68" s="7"/>
      <c r="ARW68" s="314">
        <v>1850</v>
      </c>
      <c r="ARX68" s="314">
        <v>1850</v>
      </c>
      <c r="ARY68" s="314">
        <v>1850</v>
      </c>
      <c r="ARZ68" s="314">
        <v>1850</v>
      </c>
      <c r="ASA68" s="314"/>
      <c r="ASB68" s="314">
        <v>1850</v>
      </c>
      <c r="ASC68" s="314">
        <v>1850</v>
      </c>
      <c r="ASD68" s="314">
        <v>1850</v>
      </c>
      <c r="ASE68" s="314">
        <v>1850</v>
      </c>
      <c r="ASF68" s="314">
        <v>1850</v>
      </c>
      <c r="ASG68" s="314">
        <v>1850</v>
      </c>
      <c r="ASH68" s="314"/>
      <c r="ASI68" s="314">
        <v>1850</v>
      </c>
      <c r="ASJ68" s="314">
        <v>1850</v>
      </c>
      <c r="ASK68" s="314"/>
      <c r="ASL68" s="314">
        <v>1850</v>
      </c>
      <c r="ASM68" s="314">
        <v>1850</v>
      </c>
      <c r="ASN68" s="314">
        <v>1850</v>
      </c>
      <c r="ASO68" s="314"/>
      <c r="ASP68" s="314">
        <v>1850</v>
      </c>
      <c r="ASQ68" s="314">
        <v>1850</v>
      </c>
      <c r="ASR68" s="314">
        <v>1850</v>
      </c>
      <c r="ASS68" s="314">
        <v>1850</v>
      </c>
      <c r="AST68" s="314">
        <v>1850</v>
      </c>
      <c r="ASU68" s="314">
        <v>1850</v>
      </c>
      <c r="ASV68" s="314"/>
      <c r="ASW68" s="314">
        <v>1850</v>
      </c>
      <c r="ASX68" s="314">
        <v>1850</v>
      </c>
      <c r="ASY68" s="314">
        <v>1850</v>
      </c>
      <c r="ASZ68" s="314">
        <v>1850</v>
      </c>
      <c r="ATA68" s="124">
        <v>1850</v>
      </c>
      <c r="ATB68" s="7"/>
      <c r="ATC68" s="603">
        <v>1900</v>
      </c>
      <c r="ATD68" s="603"/>
      <c r="ATE68" s="603">
        <v>1900</v>
      </c>
      <c r="ATF68" s="603">
        <v>1900</v>
      </c>
      <c r="ATG68" s="603">
        <v>1900</v>
      </c>
      <c r="ATH68" s="603">
        <v>1900</v>
      </c>
      <c r="ATI68" s="603">
        <v>1900</v>
      </c>
      <c r="ATJ68" s="603">
        <v>1900</v>
      </c>
      <c r="ATK68" s="603"/>
      <c r="ATL68" s="603">
        <v>1900</v>
      </c>
      <c r="ATM68" s="603">
        <v>1900</v>
      </c>
      <c r="ATN68" s="603">
        <v>1900</v>
      </c>
      <c r="ATO68" s="603">
        <v>1900</v>
      </c>
      <c r="ATP68" s="603">
        <v>1900</v>
      </c>
      <c r="ATQ68" s="603">
        <v>1900</v>
      </c>
      <c r="ATR68" s="603"/>
      <c r="ATS68" s="603">
        <v>1900</v>
      </c>
      <c r="ATT68" s="603">
        <v>1900</v>
      </c>
      <c r="ATU68" s="603">
        <v>1900</v>
      </c>
      <c r="ATV68" s="603">
        <v>1900</v>
      </c>
      <c r="ATW68" s="603">
        <v>1900</v>
      </c>
      <c r="ATX68" s="603">
        <v>1900</v>
      </c>
      <c r="ATY68" s="603"/>
      <c r="ATZ68" s="603">
        <v>1900</v>
      </c>
      <c r="AUA68" s="603">
        <v>1900</v>
      </c>
      <c r="AUB68" s="603">
        <v>1900</v>
      </c>
      <c r="AUC68" s="603">
        <v>1900</v>
      </c>
      <c r="AUD68" s="603">
        <v>1900</v>
      </c>
      <c r="AUE68" s="603">
        <v>1900</v>
      </c>
      <c r="AUF68" s="603"/>
      <c r="AUG68" s="7"/>
      <c r="AUH68" s="603">
        <v>1900</v>
      </c>
      <c r="AUI68" s="603">
        <v>1900</v>
      </c>
      <c r="AUJ68" s="603">
        <v>1900</v>
      </c>
      <c r="AUK68" s="603">
        <v>1900</v>
      </c>
      <c r="AUL68" s="310"/>
      <c r="AUM68" s="603">
        <v>1900</v>
      </c>
      <c r="AUN68" s="603"/>
      <c r="AUO68" s="603">
        <v>1900</v>
      </c>
      <c r="AUP68" s="603">
        <v>1900</v>
      </c>
      <c r="AUQ68" s="603">
        <v>1900</v>
      </c>
      <c r="AUR68" s="603">
        <v>1900</v>
      </c>
      <c r="AUS68" s="603">
        <v>1900</v>
      </c>
      <c r="AUT68" s="603">
        <v>1900</v>
      </c>
      <c r="AUU68" s="603"/>
      <c r="AUV68" s="603">
        <v>1900</v>
      </c>
      <c r="AUW68" s="603">
        <v>1900</v>
      </c>
      <c r="AUX68" s="603">
        <v>1900</v>
      </c>
      <c r="AUY68" s="603">
        <v>1900</v>
      </c>
      <c r="AUZ68" s="603">
        <v>1900</v>
      </c>
      <c r="AVA68" s="603">
        <v>1900</v>
      </c>
      <c r="AVB68" s="603"/>
      <c r="AVC68" s="603">
        <v>1900</v>
      </c>
      <c r="AVD68" s="603">
        <v>1900</v>
      </c>
      <c r="AVE68" s="603">
        <v>1900</v>
      </c>
      <c r="AVF68" s="603">
        <v>1900</v>
      </c>
      <c r="AVG68" s="603">
        <v>1900</v>
      </c>
      <c r="AVH68" s="603">
        <v>1900</v>
      </c>
      <c r="AVI68" s="603"/>
      <c r="AVJ68" s="603">
        <v>1900</v>
      </c>
      <c r="AVK68" s="603">
        <v>1900</v>
      </c>
      <c r="AVL68" s="603">
        <v>1900</v>
      </c>
      <c r="AVM68" s="7"/>
      <c r="AVN68" s="603">
        <v>1900</v>
      </c>
      <c r="AVO68" s="603">
        <v>1900</v>
      </c>
      <c r="AVP68" s="603">
        <v>1900</v>
      </c>
      <c r="AVQ68" s="603"/>
      <c r="AVR68" s="603">
        <v>1900</v>
      </c>
      <c r="AVS68" s="603">
        <v>1900</v>
      </c>
      <c r="AVT68" s="603">
        <v>1900</v>
      </c>
      <c r="AVU68" s="603">
        <v>1900</v>
      </c>
      <c r="AVV68" s="603">
        <v>1900</v>
      </c>
      <c r="AVW68" s="603">
        <v>1900</v>
      </c>
      <c r="AVX68" s="603"/>
      <c r="AVY68" s="603">
        <v>1900</v>
      </c>
      <c r="AVZ68" s="603">
        <v>1900</v>
      </c>
      <c r="AWA68" s="603">
        <v>1900</v>
      </c>
      <c r="AWB68" s="603">
        <v>1900</v>
      </c>
      <c r="AWC68" s="603">
        <v>1900</v>
      </c>
      <c r="AWD68" s="603">
        <v>1900</v>
      </c>
      <c r="AWE68" s="603"/>
      <c r="AWF68" s="603">
        <v>1900</v>
      </c>
      <c r="AWG68" s="603">
        <v>1900</v>
      </c>
      <c r="AWH68" s="603">
        <v>1900</v>
      </c>
      <c r="AWI68" s="603">
        <v>1900</v>
      </c>
      <c r="AWJ68" s="603">
        <v>1900</v>
      </c>
      <c r="AWK68" s="603">
        <v>1900</v>
      </c>
      <c r="AWL68" s="603"/>
      <c r="AWM68" s="603">
        <v>1900</v>
      </c>
      <c r="AWN68" s="603">
        <v>1900</v>
      </c>
      <c r="AWO68" s="603">
        <v>1900</v>
      </c>
      <c r="AWP68" s="603">
        <v>1900</v>
      </c>
      <c r="AWQ68" s="603">
        <v>1900</v>
      </c>
      <c r="AWR68" s="7"/>
      <c r="AWS68" s="603">
        <v>1900</v>
      </c>
      <c r="AWT68" s="603"/>
      <c r="AWU68" s="603">
        <v>1900</v>
      </c>
      <c r="AWV68" s="603">
        <v>1900</v>
      </c>
      <c r="AWW68" s="603">
        <v>1900</v>
      </c>
      <c r="AWX68" s="604">
        <v>1900</v>
      </c>
      <c r="AWY68" s="603">
        <v>1900</v>
      </c>
      <c r="AWZ68" s="603">
        <v>1900</v>
      </c>
      <c r="AXA68" s="603"/>
      <c r="AXB68" s="603">
        <v>1900</v>
      </c>
      <c r="AXC68" s="603">
        <v>1900</v>
      </c>
      <c r="AXD68" s="603">
        <v>1900</v>
      </c>
      <c r="AXE68" s="603">
        <v>1900</v>
      </c>
      <c r="AXF68" s="603">
        <v>1900</v>
      </c>
      <c r="AXG68" s="603">
        <v>1900</v>
      </c>
      <c r="AXH68" s="603"/>
      <c r="AXI68" s="603">
        <v>1900</v>
      </c>
      <c r="AXJ68" s="603">
        <v>1900</v>
      </c>
      <c r="AXK68" s="603">
        <v>1900</v>
      </c>
      <c r="AXL68" s="603">
        <v>1900</v>
      </c>
      <c r="AXM68" s="603">
        <v>1900</v>
      </c>
      <c r="AXN68" s="603">
        <v>1900</v>
      </c>
      <c r="AXO68" s="603"/>
      <c r="AXP68" s="603">
        <v>1900</v>
      </c>
      <c r="AXQ68" s="603">
        <v>1900</v>
      </c>
      <c r="AXR68" s="603">
        <v>1900</v>
      </c>
      <c r="AXS68" s="603">
        <v>1900</v>
      </c>
      <c r="AXT68" s="603">
        <v>1900</v>
      </c>
      <c r="AXU68" s="603">
        <v>1900</v>
      </c>
      <c r="AXV68" s="603"/>
      <c r="AXW68" s="603">
        <v>1900</v>
      </c>
      <c r="AXX68" s="7"/>
    </row>
    <row r="69" spans="1:1583" s="184" customFormat="1" ht="22.8" customHeight="1" thickBot="1" x14ac:dyDescent="0.3">
      <c r="A69" s="553"/>
      <c r="B69" s="7" t="s">
        <v>2542</v>
      </c>
      <c r="C69" s="145"/>
      <c r="P69" s="145"/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47"/>
      <c r="AI69" s="554"/>
      <c r="AJ69" s="555"/>
      <c r="AK69" s="145"/>
      <c r="AL69" s="144"/>
      <c r="AM69" s="144"/>
      <c r="AN69" s="144"/>
      <c r="AO69" s="144"/>
      <c r="AP69" s="144"/>
      <c r="AQ69" s="731"/>
      <c r="AR69" s="732"/>
      <c r="AS69" s="732"/>
      <c r="AT69" s="732"/>
      <c r="AU69" s="732"/>
      <c r="AV69" s="732"/>
      <c r="AW69" s="732"/>
      <c r="AX69" s="732"/>
      <c r="AY69" s="732"/>
      <c r="AZ69" s="733"/>
      <c r="BA69" s="144"/>
      <c r="BB69" s="144"/>
      <c r="BC69" s="144"/>
      <c r="BD69" s="144"/>
      <c r="BE69" s="144"/>
      <c r="BF69" s="144"/>
      <c r="BG69" s="144"/>
      <c r="BH69" s="144"/>
      <c r="BI69" s="144"/>
      <c r="BJ69" s="144"/>
      <c r="BK69" s="144"/>
      <c r="BL69" s="144"/>
      <c r="BM69" s="144"/>
      <c r="BN69" s="7"/>
      <c r="BO69" s="145"/>
      <c r="BP69" s="145"/>
      <c r="BQ69" s="556"/>
      <c r="BR69" s="556"/>
      <c r="BS69" s="556"/>
      <c r="BT69" s="556"/>
      <c r="BU69" s="145"/>
      <c r="BW69" s="556"/>
      <c r="BX69" s="556"/>
      <c r="BY69" s="145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7"/>
      <c r="CT69" s="144"/>
      <c r="CU69" s="144"/>
      <c r="CV69" s="144"/>
      <c r="CW69" s="144"/>
      <c r="CX69" s="144"/>
      <c r="CY69" s="144"/>
      <c r="CZ69" s="144"/>
      <c r="DA69" s="144"/>
      <c r="DB69" s="144"/>
      <c r="DC69" s="144"/>
      <c r="DD69" s="144"/>
      <c r="DE69" s="144"/>
      <c r="DF69" s="144"/>
      <c r="DG69" s="145"/>
      <c r="DM69" s="145"/>
      <c r="DO69" s="557"/>
      <c r="DP69" s="557"/>
      <c r="DQ69" s="145"/>
      <c r="DY69" s="188"/>
      <c r="DZ69" s="145"/>
      <c r="EA69" s="145"/>
      <c r="EB69" s="181"/>
      <c r="EC69" s="144"/>
      <c r="ED69" s="144"/>
      <c r="EE69" s="144"/>
      <c r="EF69" s="144"/>
      <c r="EG69" s="144"/>
      <c r="EH69" s="144"/>
      <c r="EI69" s="144"/>
      <c r="EJ69" s="144"/>
      <c r="EK69" s="144"/>
      <c r="EL69" s="144"/>
      <c r="EM69" s="144"/>
      <c r="EN69" s="145"/>
      <c r="EO69" s="145"/>
      <c r="EP69" s="145"/>
      <c r="EQ69" s="145"/>
      <c r="ER69" s="145"/>
      <c r="ES69" s="145"/>
      <c r="ET69" s="145"/>
      <c r="EU69" s="145"/>
      <c r="EV69" s="145"/>
      <c r="EW69" s="145"/>
      <c r="EX69" s="145"/>
      <c r="EZ69" s="145"/>
      <c r="FA69" s="145"/>
      <c r="FB69" s="145"/>
      <c r="FC69" s="145"/>
      <c r="FD69" s="188"/>
      <c r="FE69" s="145"/>
      <c r="LE69" s="7"/>
      <c r="MK69" s="5"/>
      <c r="MQ69" s="364"/>
      <c r="OD69" s="184" t="s">
        <v>1012</v>
      </c>
      <c r="OV69" s="7"/>
      <c r="OW69" s="558"/>
      <c r="OX69" s="558"/>
      <c r="PU69" s="364"/>
      <c r="PV69" s="364"/>
      <c r="PW69" s="314">
        <f>27+20+290</f>
        <v>337</v>
      </c>
      <c r="PX69" s="314"/>
      <c r="PY69" s="314"/>
      <c r="PZ69" s="314">
        <v>120</v>
      </c>
      <c r="QA69" s="314">
        <v>370</v>
      </c>
      <c r="QB69" s="5"/>
      <c r="QC69" s="314">
        <v>450</v>
      </c>
      <c r="QD69" s="314">
        <v>360</v>
      </c>
      <c r="QE69" s="314">
        <v>350</v>
      </c>
      <c r="QF69" s="314"/>
      <c r="QG69" s="314">
        <v>500</v>
      </c>
      <c r="QH69" s="314">
        <v>550</v>
      </c>
      <c r="QI69" s="314">
        <v>107</v>
      </c>
      <c r="RG69" s="7"/>
      <c r="SM69" s="11"/>
      <c r="SN69" s="462" t="s">
        <v>1134</v>
      </c>
      <c r="SO69" s="462" t="s">
        <v>1135</v>
      </c>
      <c r="SP69" s="466" t="s">
        <v>1621</v>
      </c>
      <c r="SQ69" s="463" t="s">
        <v>1618</v>
      </c>
      <c r="SR69" s="462" t="s">
        <v>1616</v>
      </c>
      <c r="SS69" s="462" t="s">
        <v>1096</v>
      </c>
      <c r="ST69" s="462" t="s">
        <v>1240</v>
      </c>
      <c r="SU69" s="462" t="s">
        <v>1240</v>
      </c>
      <c r="SV69" s="438"/>
      <c r="SW69" s="438"/>
      <c r="SX69" s="438"/>
      <c r="SY69" s="462" t="s">
        <v>1614</v>
      </c>
      <c r="SZ69" s="663"/>
      <c r="TA69" s="462" t="s">
        <v>1614</v>
      </c>
      <c r="TB69" s="462" t="s">
        <v>1625</v>
      </c>
      <c r="TC69" s="462" t="s">
        <v>1627</v>
      </c>
      <c r="TD69" s="463" t="s">
        <v>1631</v>
      </c>
      <c r="TE69" s="438"/>
      <c r="TF69" s="463" t="s">
        <v>1181</v>
      </c>
      <c r="TG69" s="438"/>
      <c r="TH69" s="463" t="s">
        <v>1188</v>
      </c>
      <c r="TI69" s="438"/>
      <c r="TJ69" s="438"/>
      <c r="TK69" s="462" t="s">
        <v>1392</v>
      </c>
      <c r="TL69" s="462"/>
      <c r="TM69" s="462"/>
      <c r="TN69" s="438"/>
      <c r="TO69" s="664" t="s">
        <v>1735</v>
      </c>
      <c r="TP69" s="664" t="s">
        <v>1735</v>
      </c>
      <c r="TQ69" s="463" t="s">
        <v>1736</v>
      </c>
      <c r="TR69" s="7">
        <v>6</v>
      </c>
      <c r="TS69" s="466" t="s">
        <v>1737</v>
      </c>
      <c r="TT69" s="462" t="s">
        <v>1262</v>
      </c>
      <c r="TU69" s="462" t="s">
        <v>1739</v>
      </c>
      <c r="TW69" s="462" t="s">
        <v>1742</v>
      </c>
      <c r="TX69" s="665" t="s">
        <v>1747</v>
      </c>
      <c r="TY69" s="462" t="s">
        <v>1096</v>
      </c>
      <c r="TZ69" s="466" t="s">
        <v>1751</v>
      </c>
      <c r="UA69" s="466" t="s">
        <v>1238</v>
      </c>
      <c r="UB69" s="438"/>
      <c r="UC69" s="438"/>
      <c r="UD69" s="438"/>
      <c r="UE69" s="438"/>
      <c r="UF69" s="438"/>
      <c r="UG69" s="438"/>
      <c r="UH69" s="438"/>
      <c r="UI69" s="438"/>
      <c r="UJ69" s="438"/>
      <c r="UK69" s="438"/>
      <c r="UL69" s="438"/>
      <c r="UM69" s="438"/>
      <c r="UN69" s="438"/>
      <c r="UO69" s="466" t="s">
        <v>1619</v>
      </c>
      <c r="UP69" s="466" t="s">
        <v>1177</v>
      </c>
      <c r="UQ69" s="438"/>
      <c r="UR69" s="462" t="s">
        <v>1817</v>
      </c>
      <c r="US69" s="462" t="s">
        <v>1818</v>
      </c>
      <c r="UT69" s="466" t="s">
        <v>1816</v>
      </c>
      <c r="UU69" s="462" t="s">
        <v>1802</v>
      </c>
      <c r="UV69" s="462" t="s">
        <v>1824</v>
      </c>
      <c r="UW69" s="462" t="s">
        <v>1826</v>
      </c>
      <c r="UX69" s="7"/>
      <c r="UZ69" s="311" t="s">
        <v>1829</v>
      </c>
      <c r="VA69" s="165" t="s">
        <v>1831</v>
      </c>
      <c r="VB69" s="462" t="s">
        <v>1826</v>
      </c>
      <c r="VC69" s="466" t="s">
        <v>1751</v>
      </c>
      <c r="VD69" s="311" t="s">
        <v>1829</v>
      </c>
      <c r="VE69" s="311" t="s">
        <v>1829</v>
      </c>
      <c r="VF69" s="438"/>
      <c r="VG69" s="664" t="s">
        <v>1876</v>
      </c>
      <c r="VH69" s="462" t="s">
        <v>1912</v>
      </c>
      <c r="VI69" s="462" t="s">
        <v>1908</v>
      </c>
      <c r="VJ69" s="664" t="s">
        <v>1913</v>
      </c>
      <c r="VK69" s="438"/>
      <c r="VL69" s="664" t="s">
        <v>1876</v>
      </c>
      <c r="VM69" s="438"/>
      <c r="VN69" s="664" t="s">
        <v>1876</v>
      </c>
      <c r="VO69" s="664" t="s">
        <v>1876</v>
      </c>
      <c r="VP69" s="664" t="s">
        <v>1913</v>
      </c>
      <c r="VQ69" s="664" t="s">
        <v>1913</v>
      </c>
      <c r="VR69" s="664" t="s">
        <v>1877</v>
      </c>
      <c r="VS69" s="311" t="s">
        <v>1923</v>
      </c>
      <c r="VT69" s="438"/>
      <c r="VU69" s="664" t="s">
        <v>1877</v>
      </c>
      <c r="VV69" s="664" t="s">
        <v>1877</v>
      </c>
      <c r="VW69" s="664" t="s">
        <v>1877</v>
      </c>
      <c r="VX69" s="664" t="s">
        <v>1877</v>
      </c>
      <c r="VY69" s="664" t="s">
        <v>1877</v>
      </c>
      <c r="VZ69" s="462" t="s">
        <v>2007</v>
      </c>
      <c r="WA69" s="438"/>
      <c r="WB69" s="462" t="s">
        <v>2009</v>
      </c>
      <c r="WC69" s="438"/>
      <c r="WD69" s="7"/>
      <c r="WE69" s="180" t="s">
        <v>1572</v>
      </c>
      <c r="WF69" s="438"/>
      <c r="WG69" s="438"/>
      <c r="WH69" s="438"/>
      <c r="WI69" s="438"/>
      <c r="WJ69" s="438"/>
      <c r="WK69" s="438"/>
      <c r="WL69" s="438"/>
      <c r="WM69" s="438"/>
      <c r="WN69" s="438"/>
      <c r="WO69" s="438"/>
      <c r="WP69" s="438"/>
      <c r="WQ69" s="438"/>
      <c r="WR69" s="438"/>
      <c r="WS69" s="438"/>
      <c r="WT69" s="438"/>
      <c r="WU69" s="438"/>
      <c r="WV69" s="438"/>
      <c r="WW69" s="438"/>
      <c r="WX69" s="438"/>
      <c r="WY69" s="438"/>
      <c r="WZ69" s="438"/>
      <c r="XA69" s="438"/>
      <c r="XB69" s="438"/>
      <c r="XC69" s="438"/>
      <c r="XD69" s="438"/>
      <c r="XE69" s="438"/>
      <c r="XF69" s="438"/>
      <c r="XG69" s="7"/>
      <c r="XY69" s="462" t="s">
        <v>2111</v>
      </c>
      <c r="YB69" s="462" t="s">
        <v>2114</v>
      </c>
      <c r="YC69" s="462" t="s">
        <v>2115</v>
      </c>
      <c r="YD69" s="462" t="s">
        <v>2117</v>
      </c>
      <c r="YE69" s="462" t="s">
        <v>2121</v>
      </c>
      <c r="YF69" s="311" t="s">
        <v>2150</v>
      </c>
      <c r="YH69" s="462" t="s">
        <v>2152</v>
      </c>
      <c r="YI69" s="462" t="s">
        <v>2153</v>
      </c>
      <c r="YJ69" s="462" t="s">
        <v>2154</v>
      </c>
      <c r="YM69" s="7"/>
      <c r="YN69" s="319" t="s">
        <v>2165</v>
      </c>
      <c r="YO69" s="364"/>
      <c r="YP69" s="319" t="s">
        <v>2165</v>
      </c>
      <c r="YQ69" s="319" t="s">
        <v>2190</v>
      </c>
      <c r="YR69" s="319" t="s">
        <v>2190</v>
      </c>
      <c r="YS69" s="462" t="s">
        <v>2194</v>
      </c>
      <c r="YT69" s="319" t="s">
        <v>2195</v>
      </c>
      <c r="YU69" s="319" t="s">
        <v>2196</v>
      </c>
      <c r="YW69" s="666" t="s">
        <v>2197</v>
      </c>
      <c r="YX69" s="666" t="s">
        <v>2199</v>
      </c>
      <c r="YY69" s="666" t="s">
        <v>2200</v>
      </c>
      <c r="YZ69" s="462" t="s">
        <v>2009</v>
      </c>
      <c r="ZB69" s="462" t="s">
        <v>2204</v>
      </c>
      <c r="ZD69" s="462" t="s">
        <v>2205</v>
      </c>
      <c r="ZE69" s="666" t="s">
        <v>1837</v>
      </c>
      <c r="ZF69" s="462" t="s">
        <v>2009</v>
      </c>
      <c r="ZM69" s="666" t="s">
        <v>2214</v>
      </c>
      <c r="ZN69" s="666" t="s">
        <v>2215</v>
      </c>
      <c r="ZO69" s="666" t="s">
        <v>2217</v>
      </c>
      <c r="ZP69" s="666" t="s">
        <v>2218</v>
      </c>
      <c r="ZR69" s="7"/>
      <c r="ZS69" s="320"/>
      <c r="ZT69" s="666" t="s">
        <v>2222</v>
      </c>
      <c r="ZU69" s="462" t="s">
        <v>1928</v>
      </c>
      <c r="ZV69" s="462" t="s">
        <v>1929</v>
      </c>
      <c r="ZW69" s="666" t="s">
        <v>2243</v>
      </c>
      <c r="ZX69" s="666" t="s">
        <v>2246</v>
      </c>
      <c r="ZY69" s="320"/>
      <c r="ZZ69" s="666" t="s">
        <v>2247</v>
      </c>
      <c r="AAA69" s="438"/>
      <c r="AAB69" s="462" t="s">
        <v>1928</v>
      </c>
      <c r="AAC69" s="462" t="s">
        <v>2259</v>
      </c>
      <c r="AAD69" s="462" t="s">
        <v>1929</v>
      </c>
      <c r="AAE69" s="779"/>
      <c r="AAF69" s="780"/>
      <c r="AAG69" s="780"/>
      <c r="AAH69" s="780"/>
      <c r="AAI69" s="781"/>
      <c r="AAJ69" s="462" t="s">
        <v>1929</v>
      </c>
      <c r="AAK69" s="462" t="s">
        <v>1927</v>
      </c>
      <c r="AAL69" s="438"/>
      <c r="AAM69" s="438"/>
      <c r="AAN69" s="319" t="s">
        <v>2262</v>
      </c>
      <c r="AAO69" s="352" t="s">
        <v>2291</v>
      </c>
      <c r="AAP69" s="352"/>
      <c r="AAQ69" s="352"/>
      <c r="AAR69" s="352"/>
      <c r="AAS69" s="352"/>
      <c r="AAT69" s="352"/>
      <c r="AAU69" s="352"/>
      <c r="AAV69" s="551" t="s">
        <v>2289</v>
      </c>
      <c r="AAW69" s="551"/>
      <c r="AAX69" s="12" t="s">
        <v>2228</v>
      </c>
      <c r="AAY69" s="361" t="s">
        <v>2267</v>
      </c>
      <c r="AAZ69" s="361"/>
      <c r="ABA69" s="316"/>
      <c r="ABB69" s="316"/>
      <c r="ABC69" s="316"/>
      <c r="ABD69" s="316"/>
      <c r="ABE69" s="316"/>
      <c r="ABF69" s="316"/>
      <c r="ABG69" s="345" t="s">
        <v>2232</v>
      </c>
      <c r="ABH69" s="345"/>
      <c r="ABI69" s="352"/>
      <c r="ABJ69" s="352"/>
      <c r="ABK69" s="352"/>
      <c r="ABL69" s="352"/>
      <c r="ABM69" s="352"/>
      <c r="ABN69" s="345" t="s">
        <v>2233</v>
      </c>
      <c r="ABO69" s="345"/>
      <c r="ABP69" s="352"/>
      <c r="ABQ69" s="352"/>
      <c r="ABR69" s="352"/>
      <c r="ABS69" s="352"/>
      <c r="ABT69" s="352"/>
      <c r="ABU69" s="352"/>
      <c r="ABV69" s="352"/>
      <c r="ABW69" s="352"/>
      <c r="ABX69" s="352"/>
      <c r="ABY69" s="352"/>
      <c r="ABZ69" s="352"/>
      <c r="ACA69" s="352"/>
      <c r="ACB69" s="352"/>
      <c r="ACC69" s="7" t="s">
        <v>2398</v>
      </c>
      <c r="ACD69" s="352" t="s">
        <v>2233</v>
      </c>
      <c r="ACE69" s="345" t="s">
        <v>2240</v>
      </c>
      <c r="ACF69" s="345"/>
      <c r="ACG69" s="352"/>
      <c r="ACH69" s="352"/>
      <c r="ACI69" s="352"/>
      <c r="ACJ69" s="352"/>
      <c r="ACK69" s="352"/>
      <c r="ACL69" s="352"/>
      <c r="ACM69" s="352"/>
      <c r="ACN69" s="352"/>
      <c r="ACO69" s="352"/>
      <c r="ACP69" s="352"/>
      <c r="ACQ69" s="352"/>
      <c r="ACR69" s="352"/>
      <c r="ACS69" s="352"/>
      <c r="ACT69" s="352"/>
      <c r="ACU69" s="352"/>
      <c r="ACV69" s="352"/>
      <c r="ACW69" s="785"/>
      <c r="ACX69" s="786"/>
      <c r="ACY69" s="786"/>
      <c r="ACZ69" s="786"/>
      <c r="ADA69" s="786"/>
      <c r="ADB69" s="786"/>
      <c r="ADC69" s="786"/>
      <c r="ADD69" s="786"/>
      <c r="ADE69" s="786"/>
      <c r="ADF69" s="786"/>
      <c r="ADG69" s="787"/>
      <c r="ADH69" s="314"/>
      <c r="ADI69" s="7" t="s">
        <v>2398</v>
      </c>
      <c r="ADJ69" s="352" t="s">
        <v>2240</v>
      </c>
      <c r="ADK69" s="352"/>
      <c r="ADL69" s="352"/>
      <c r="ADM69" s="352"/>
      <c r="ADN69" s="352"/>
      <c r="ADO69" s="352"/>
      <c r="ADP69" s="352"/>
      <c r="ADQ69" s="352"/>
      <c r="ADR69" s="352"/>
      <c r="ADS69" s="352"/>
      <c r="ADT69" s="352"/>
      <c r="ADU69" s="352"/>
      <c r="ADV69" s="352"/>
      <c r="ADW69" s="352"/>
      <c r="ADX69" s="352"/>
      <c r="ADY69" s="352"/>
      <c r="ADZ69" s="352"/>
      <c r="AEA69" s="352"/>
      <c r="AEB69" s="352"/>
      <c r="AEC69" s="352"/>
      <c r="AED69" s="352"/>
      <c r="AEE69" s="352"/>
      <c r="AEF69" s="352"/>
      <c r="AEG69" s="352"/>
      <c r="AEH69" s="352"/>
      <c r="AEI69" s="352"/>
      <c r="AEJ69" s="352"/>
      <c r="AEK69" s="352"/>
      <c r="AEL69" s="352"/>
      <c r="AEM69" s="352"/>
      <c r="AEN69" s="352"/>
      <c r="AEO69" s="7" t="s">
        <v>2542</v>
      </c>
      <c r="AEP69" s="352" t="s">
        <v>2240</v>
      </c>
      <c r="AEQ69" s="352"/>
      <c r="AER69" s="352"/>
      <c r="AES69" s="352"/>
      <c r="AET69" s="345" t="s">
        <v>2453</v>
      </c>
      <c r="AEU69" s="345"/>
      <c r="AEV69" s="352"/>
      <c r="AEW69" s="361" t="s">
        <v>2517</v>
      </c>
      <c r="AEX69" s="318"/>
      <c r="AEY69" s="319"/>
      <c r="AEZ69" s="319"/>
      <c r="AFA69" s="319"/>
      <c r="AFB69" s="319"/>
      <c r="AFC69" s="319"/>
      <c r="AFD69" s="319"/>
      <c r="AFE69" s="319"/>
      <c r="AFF69" s="319"/>
      <c r="AFG69" s="319"/>
      <c r="AFH69" s="319"/>
      <c r="AFI69" s="319"/>
      <c r="AFJ69" s="319"/>
      <c r="AFK69" s="319"/>
      <c r="AFL69" s="319"/>
      <c r="AFM69" s="319"/>
      <c r="AFN69" s="319"/>
      <c r="AFO69" s="319"/>
      <c r="AFP69" s="319"/>
      <c r="AFQ69" s="319"/>
      <c r="AFR69" s="319"/>
      <c r="AFS69" s="319"/>
      <c r="AFT69" s="7" t="s">
        <v>2542</v>
      </c>
      <c r="AFU69" s="319" t="s">
        <v>2517</v>
      </c>
      <c r="AFV69" s="319"/>
      <c r="AFW69" s="319"/>
      <c r="AFX69" s="361" t="s">
        <v>2466</v>
      </c>
      <c r="AFY69" s="361"/>
      <c r="AFZ69" s="319"/>
      <c r="AGA69" s="319"/>
      <c r="AGB69" s="319"/>
      <c r="AGC69" s="319"/>
      <c r="AGD69" s="319"/>
      <c r="AGE69" s="319"/>
      <c r="AGF69" s="319"/>
      <c r="AGG69" s="319"/>
      <c r="AGH69" s="319"/>
      <c r="AGI69" s="319"/>
      <c r="AGJ69" s="319"/>
      <c r="AGK69" s="319"/>
      <c r="AGL69" s="345" t="s">
        <v>2454</v>
      </c>
      <c r="AGM69" s="345"/>
      <c r="AGN69" s="352"/>
      <c r="AGO69" s="352"/>
      <c r="AGP69" s="352"/>
      <c r="AGQ69" s="352"/>
      <c r="AGR69" s="352"/>
      <c r="AGS69" s="352"/>
      <c r="AGT69" s="352"/>
      <c r="AGU69" s="352"/>
      <c r="AGV69" s="352"/>
      <c r="AGW69" s="352"/>
      <c r="AGX69" s="352"/>
      <c r="AGY69" s="352"/>
      <c r="AGZ69" s="7" t="s">
        <v>2542</v>
      </c>
      <c r="AHA69" s="352" t="s">
        <v>2454</v>
      </c>
      <c r="AHB69" s="352"/>
      <c r="AHC69" s="352"/>
      <c r="AHD69" s="352"/>
      <c r="AHE69" s="352"/>
      <c r="AHF69" s="376" t="s">
        <v>2451</v>
      </c>
      <c r="AHG69" s="524"/>
      <c r="AHH69" s="375"/>
      <c r="AHI69" s="375"/>
      <c r="AHJ69" s="375"/>
      <c r="AHK69" s="375"/>
      <c r="AHL69" s="375"/>
      <c r="AHM69" s="375"/>
      <c r="AHN69" s="375"/>
      <c r="AHO69" s="375"/>
      <c r="AHP69" s="375"/>
      <c r="AHQ69" s="375"/>
      <c r="AHR69" s="375"/>
      <c r="AHS69" s="375"/>
      <c r="AHT69" s="375"/>
      <c r="AHU69" s="375"/>
      <c r="AHV69" s="375"/>
      <c r="AHW69" s="375"/>
      <c r="AHX69" s="375"/>
      <c r="AHY69" s="375"/>
      <c r="AHZ69" s="375"/>
      <c r="AIA69" s="345" t="s">
        <v>2791</v>
      </c>
      <c r="AIB69" s="345"/>
      <c r="AIC69" s="352"/>
      <c r="AID69" s="352"/>
      <c r="AIE69" s="7" t="s">
        <v>2542</v>
      </c>
      <c r="AIF69" s="352" t="s">
        <v>2791</v>
      </c>
      <c r="AIG69" s="352"/>
      <c r="AIH69" s="352"/>
      <c r="AII69" s="352"/>
      <c r="AIJ69" s="352"/>
      <c r="AIK69" s="352"/>
      <c r="AIL69" s="352"/>
      <c r="AIM69" s="352"/>
      <c r="AIN69" s="352"/>
      <c r="AIO69" s="352"/>
      <c r="AIP69" s="352"/>
      <c r="AIQ69" s="352"/>
      <c r="AIR69" s="352"/>
      <c r="AIS69" s="352"/>
      <c r="AIT69" s="352"/>
      <c r="AIU69" s="352"/>
      <c r="AIV69" s="352"/>
      <c r="AIW69" s="352"/>
      <c r="AIX69" s="352"/>
      <c r="AIY69" s="352"/>
      <c r="AIZ69" s="352"/>
      <c r="AJA69" s="345" t="s">
        <v>2627</v>
      </c>
      <c r="AJB69" s="345"/>
      <c r="AJC69" s="352"/>
      <c r="AJD69" s="352"/>
      <c r="AJE69" s="352"/>
      <c r="AJF69" s="352"/>
      <c r="AJG69" s="352"/>
      <c r="AJH69" s="352"/>
      <c r="AJI69" s="352"/>
      <c r="AJJ69" s="352"/>
      <c r="AJK69" s="7" t="s">
        <v>2542</v>
      </c>
      <c r="AJL69" s="352" t="s">
        <v>2627</v>
      </c>
      <c r="AJM69" s="352"/>
      <c r="AJN69" s="345" t="s">
        <v>2626</v>
      </c>
      <c r="AJO69" s="345"/>
      <c r="AJP69" s="352"/>
      <c r="AJQ69" s="352"/>
      <c r="AJR69" s="352"/>
      <c r="AJS69" s="352"/>
      <c r="AJT69" s="352"/>
      <c r="AJU69" s="352"/>
      <c r="AJV69" s="352"/>
      <c r="AJW69" s="352"/>
      <c r="AJX69" s="352"/>
      <c r="AJY69" s="361" t="s">
        <v>2792</v>
      </c>
      <c r="AJZ69" s="318"/>
      <c r="AKA69" s="319"/>
      <c r="AKB69" s="319"/>
      <c r="AKC69" s="319"/>
      <c r="AKD69" s="319"/>
      <c r="AKE69" s="319"/>
      <c r="AKF69" s="361" t="s">
        <v>2794</v>
      </c>
      <c r="AKG69" s="361"/>
      <c r="AKH69" s="319"/>
      <c r="AKI69" s="319"/>
      <c r="AKJ69" s="319"/>
      <c r="AKK69" s="361" t="s">
        <v>2795</v>
      </c>
      <c r="AKL69" s="361"/>
      <c r="AKM69" s="319" t="s">
        <v>2795</v>
      </c>
      <c r="AKN69" s="319"/>
      <c r="AKO69" s="319"/>
      <c r="AKP69" s="319"/>
      <c r="AKQ69" s="7" t="s">
        <v>2542</v>
      </c>
      <c r="AKR69" s="345" t="s">
        <v>2846</v>
      </c>
      <c r="AKS69" s="345"/>
      <c r="AKT69" s="352"/>
      <c r="AKU69" s="352"/>
      <c r="AKV69" s="352"/>
      <c r="AKW69" s="352"/>
      <c r="AKX69" s="352"/>
      <c r="AKY69" s="352"/>
      <c r="AKZ69" s="352"/>
      <c r="ALA69" s="352"/>
      <c r="ALB69" s="352"/>
      <c r="ALC69" s="352"/>
      <c r="ALD69" s="352"/>
      <c r="ALE69" s="352"/>
      <c r="ALF69" s="352"/>
      <c r="ALG69" s="352"/>
      <c r="ALH69" s="352"/>
      <c r="ALI69" s="352"/>
      <c r="ALJ69" s="352"/>
      <c r="ALK69" s="352"/>
      <c r="ALL69" s="352"/>
      <c r="ALM69" s="352"/>
      <c r="ALN69" s="352"/>
      <c r="ALO69" s="352"/>
      <c r="ALP69" s="352"/>
      <c r="ALQ69" s="352"/>
      <c r="ALR69" s="352"/>
      <c r="ALS69" s="352"/>
      <c r="ALT69" s="7" t="s">
        <v>2542</v>
      </c>
      <c r="ALU69" s="345" t="s">
        <v>2844</v>
      </c>
      <c r="ALV69" s="345"/>
      <c r="ALW69" s="352"/>
      <c r="ALX69" s="352"/>
      <c r="ALY69" s="352"/>
      <c r="ALZ69" s="352"/>
      <c r="AMA69" s="352"/>
      <c r="AMB69" s="352"/>
      <c r="AMC69" s="352"/>
      <c r="AMD69" s="352"/>
      <c r="AME69" s="352"/>
      <c r="AMF69" s="352"/>
      <c r="AMG69" s="352"/>
      <c r="AMH69" s="352"/>
      <c r="AMI69" s="352"/>
      <c r="AMJ69" s="352"/>
      <c r="AMK69" s="352"/>
      <c r="AML69" s="352"/>
      <c r="AMM69" s="352"/>
      <c r="AMN69" s="352"/>
      <c r="AMO69" s="352"/>
      <c r="AMP69" s="352"/>
      <c r="AMQ69" s="352"/>
      <c r="AMR69" s="352"/>
      <c r="AMS69" s="352"/>
      <c r="AMT69" s="352"/>
      <c r="AMU69" s="352"/>
      <c r="AMV69" s="352"/>
      <c r="AMW69" s="352"/>
      <c r="AMX69" s="352"/>
      <c r="AMY69" s="352"/>
      <c r="AMZ69" s="7" t="s">
        <v>2542</v>
      </c>
      <c r="ANA69" s="352" t="s">
        <v>2843</v>
      </c>
      <c r="ANB69" s="352"/>
      <c r="ANC69" s="352"/>
      <c r="AND69" s="352"/>
      <c r="ANE69" s="352"/>
      <c r="ANF69" s="352"/>
      <c r="ANG69" s="345" t="s">
        <v>2846</v>
      </c>
      <c r="ANH69" s="345"/>
      <c r="ANI69" s="352"/>
      <c r="ANJ69" s="352"/>
      <c r="ANK69" s="352"/>
      <c r="ANL69" s="352"/>
      <c r="ANM69" s="352"/>
      <c r="ANN69" s="352"/>
      <c r="ANO69" s="352"/>
      <c r="ANP69" s="352"/>
      <c r="ANQ69" s="352"/>
      <c r="ANR69" s="352"/>
      <c r="ANS69" s="352"/>
      <c r="ANT69" s="352"/>
      <c r="ANU69" s="352"/>
      <c r="ANV69" s="352"/>
      <c r="ANW69" s="352"/>
      <c r="ANX69" s="352"/>
      <c r="ANY69" s="352"/>
      <c r="ANZ69" s="352"/>
      <c r="AOA69" s="352"/>
      <c r="AOB69" s="352"/>
      <c r="AOC69" s="352"/>
      <c r="AOD69" s="352"/>
      <c r="AOE69" s="7" t="s">
        <v>2542</v>
      </c>
      <c r="AOF69" s="159"/>
      <c r="AOG69" s="159"/>
      <c r="AOH69" s="159"/>
      <c r="AOI69" s="159"/>
      <c r="AOJ69" s="159"/>
      <c r="AOK69" s="159"/>
      <c r="AOL69" s="159"/>
      <c r="AOM69" s="159"/>
      <c r="AON69" s="159"/>
      <c r="AOO69" s="352" t="s">
        <v>2636</v>
      </c>
      <c r="AOP69" s="352"/>
      <c r="AOQ69" s="352"/>
      <c r="AOR69" s="352"/>
      <c r="AOS69" s="352"/>
      <c r="AOT69" s="352"/>
      <c r="AOU69" s="352"/>
      <c r="AOV69" s="352"/>
      <c r="AOW69" s="352"/>
      <c r="AOX69" s="352"/>
      <c r="AOY69" s="352"/>
      <c r="AOZ69" s="352"/>
      <c r="APA69" s="352"/>
      <c r="APB69" s="345" t="s">
        <v>2643</v>
      </c>
      <c r="APC69" s="345"/>
      <c r="APD69" s="352"/>
      <c r="APE69" s="352"/>
      <c r="APF69" s="352"/>
      <c r="APG69" s="352"/>
      <c r="APH69" s="352"/>
      <c r="API69" s="352"/>
      <c r="APJ69" s="352"/>
      <c r="APK69" s="7" t="s">
        <v>2542</v>
      </c>
      <c r="APL69" s="345" t="s">
        <v>2867</v>
      </c>
      <c r="APM69" s="345"/>
      <c r="APN69" s="352"/>
      <c r="APO69" s="352"/>
      <c r="APP69" s="352"/>
      <c r="APQ69" s="352"/>
      <c r="APR69" s="352"/>
      <c r="APS69" s="352"/>
      <c r="APT69" s="352"/>
      <c r="APU69" s="352"/>
      <c r="APV69" s="352"/>
      <c r="APW69" s="352"/>
      <c r="APX69" s="352"/>
      <c r="APY69" s="352"/>
      <c r="APZ69" s="352"/>
      <c r="AQA69" s="352"/>
      <c r="AQB69" s="352"/>
      <c r="AQC69" s="352"/>
      <c r="AQD69" s="352"/>
      <c r="AQE69" s="352"/>
      <c r="AQF69" s="352"/>
      <c r="AQG69" s="352"/>
      <c r="AQH69" s="352"/>
      <c r="AQI69" s="352"/>
      <c r="AQJ69" s="352"/>
      <c r="AQK69" s="352"/>
      <c r="AQL69" s="352"/>
      <c r="AQM69" s="352"/>
      <c r="AQN69" s="352"/>
      <c r="AQO69" s="352"/>
      <c r="AQP69" s="7" t="s">
        <v>2542</v>
      </c>
      <c r="AQQ69" s="352" t="s">
        <v>2867</v>
      </c>
      <c r="AQR69" s="352"/>
      <c r="AQS69" s="352"/>
      <c r="AQT69" s="352"/>
      <c r="AQU69" s="352"/>
      <c r="AQV69" s="352"/>
      <c r="AQW69" s="352"/>
      <c r="AQX69" s="159"/>
      <c r="AQY69" s="159"/>
      <c r="AQZ69" s="159"/>
      <c r="ARA69" s="159"/>
      <c r="ARB69" s="159"/>
      <c r="ARC69" s="159"/>
      <c r="ARD69" s="159"/>
      <c r="ARE69" s="159"/>
      <c r="ARF69" s="159"/>
      <c r="ARG69" s="352" t="s">
        <v>2867</v>
      </c>
      <c r="ARH69" s="352"/>
      <c r="ARI69" s="352"/>
      <c r="ARJ69" s="352"/>
      <c r="ARK69" s="352"/>
      <c r="ARL69" s="352"/>
      <c r="ARM69" s="352"/>
      <c r="ARN69" s="352"/>
      <c r="ARO69" s="352"/>
      <c r="ARP69" s="352"/>
      <c r="ARQ69" s="352"/>
      <c r="ARR69" s="352"/>
      <c r="ARS69" s="352"/>
      <c r="ART69" s="352"/>
      <c r="ARU69" s="352"/>
      <c r="ARV69" s="7" t="s">
        <v>2542</v>
      </c>
      <c r="ARW69" s="352" t="s">
        <v>2867</v>
      </c>
      <c r="ARX69" s="352"/>
      <c r="ARY69" s="352"/>
      <c r="ARZ69" s="352"/>
      <c r="ASA69" s="352"/>
      <c r="ASB69" s="352"/>
      <c r="ASC69" s="352"/>
      <c r="ASD69" s="352"/>
      <c r="ASE69" s="352"/>
      <c r="ASF69" s="352"/>
      <c r="ASG69" s="352"/>
      <c r="ASH69" s="352"/>
      <c r="ASI69" s="352"/>
      <c r="ASJ69" s="352"/>
      <c r="ASK69" s="352"/>
      <c r="ASL69" s="352"/>
      <c r="ASM69" s="352"/>
      <c r="ASN69" s="352"/>
      <c r="ASO69" s="352"/>
      <c r="ASP69" s="352"/>
      <c r="ASQ69" s="352"/>
      <c r="ASR69" s="352"/>
      <c r="ASS69" s="352"/>
      <c r="AST69" s="352"/>
      <c r="ASU69" s="352"/>
      <c r="ASV69" s="352"/>
      <c r="ASW69" s="352"/>
      <c r="ASX69" s="352"/>
      <c r="ASY69" s="352"/>
      <c r="ASZ69" s="345" t="s">
        <v>2695</v>
      </c>
      <c r="ATA69" s="345"/>
      <c r="ATB69" s="7" t="s">
        <v>2542</v>
      </c>
      <c r="ATC69" s="352" t="s">
        <v>2695</v>
      </c>
      <c r="ATD69" s="352"/>
      <c r="ATE69" s="352"/>
      <c r="ATF69" s="352"/>
      <c r="ATG69" s="352"/>
      <c r="ATH69" s="352"/>
      <c r="ATI69" s="352"/>
      <c r="ATJ69" s="352"/>
      <c r="ATK69" s="352"/>
      <c r="ATL69" s="352"/>
      <c r="ATM69" s="352"/>
      <c r="ATN69" s="352"/>
      <c r="ATO69" s="352"/>
      <c r="ATP69" s="352"/>
      <c r="ATQ69" s="352"/>
      <c r="ATR69" s="352"/>
      <c r="ATS69" s="352"/>
      <c r="ATT69" s="352"/>
      <c r="ATU69" s="352"/>
      <c r="ATV69" s="352"/>
      <c r="ATW69" s="352"/>
      <c r="ATX69" s="352"/>
      <c r="ATY69" s="352"/>
      <c r="ATZ69" s="352"/>
      <c r="AUA69" s="352"/>
      <c r="AUB69" s="352"/>
      <c r="AUC69" s="352"/>
      <c r="AUD69" s="352"/>
      <c r="AUE69" s="352"/>
      <c r="AUF69" s="352"/>
      <c r="AUG69" s="7" t="s">
        <v>2542</v>
      </c>
      <c r="AUH69" s="352" t="s">
        <v>2695</v>
      </c>
      <c r="AUI69" s="352"/>
      <c r="AUJ69" s="352"/>
      <c r="AUK69" s="352"/>
      <c r="AUL69" s="352"/>
      <c r="AUM69" s="352"/>
      <c r="AUN69" s="352"/>
      <c r="AUO69" s="352"/>
      <c r="AUP69" s="352"/>
      <c r="AUQ69" s="352"/>
      <c r="AUR69" s="352"/>
      <c r="AUS69" s="352"/>
      <c r="AUT69" s="352"/>
      <c r="AUU69" s="352"/>
      <c r="AUV69" s="352"/>
      <c r="AUW69" s="352"/>
      <c r="AUX69" s="352"/>
      <c r="AUY69" s="352"/>
      <c r="AUZ69" s="352"/>
      <c r="AVA69" s="352"/>
      <c r="AVB69" s="352"/>
      <c r="AVC69" s="352"/>
      <c r="AVD69" s="352"/>
      <c r="AVE69" s="352"/>
      <c r="AVF69" s="352"/>
      <c r="AVG69" s="352"/>
      <c r="AVH69" s="352"/>
      <c r="AVI69" s="352"/>
      <c r="AVJ69" s="352"/>
      <c r="AVK69" s="352"/>
      <c r="AVL69" s="352"/>
      <c r="AVM69" s="7" t="s">
        <v>2542</v>
      </c>
      <c r="AVN69" s="352" t="s">
        <v>2695</v>
      </c>
      <c r="AVO69" s="352"/>
      <c r="AVP69" s="352"/>
      <c r="AVQ69" s="352"/>
      <c r="AVR69" s="352"/>
      <c r="AVS69" s="352"/>
      <c r="AVT69" s="352"/>
      <c r="AVU69" s="352"/>
      <c r="AVV69" s="352"/>
      <c r="AVW69" s="352"/>
      <c r="AVX69" s="352"/>
      <c r="AVY69" s="352"/>
      <c r="AVZ69" s="352"/>
      <c r="AWA69" s="352"/>
      <c r="AWB69" s="352"/>
      <c r="AWC69" s="352"/>
      <c r="AWD69" s="352"/>
      <c r="AWE69" s="352"/>
      <c r="AWF69" s="352"/>
      <c r="AWG69" s="352"/>
      <c r="AWH69" s="352"/>
      <c r="AWI69" s="352"/>
      <c r="AWJ69" s="352"/>
      <c r="AWK69" s="352"/>
      <c r="AWL69" s="352"/>
      <c r="AWM69" s="352"/>
      <c r="AWN69" s="352"/>
      <c r="AWO69" s="352"/>
      <c r="AWP69" s="352"/>
      <c r="AWQ69" s="352"/>
      <c r="AWR69" s="7" t="s">
        <v>2542</v>
      </c>
      <c r="AWS69" s="352" t="s">
        <v>2695</v>
      </c>
      <c r="AWT69" s="352"/>
      <c r="AWU69" s="352"/>
      <c r="AWV69" s="352"/>
      <c r="AWW69" s="345" t="s">
        <v>2699</v>
      </c>
      <c r="AWX69" s="345"/>
      <c r="AWY69" s="352"/>
      <c r="AWZ69" s="352"/>
      <c r="AXA69" s="352"/>
      <c r="AXB69" s="352"/>
      <c r="AXC69" s="352"/>
      <c r="AXD69" s="352"/>
      <c r="AXE69" s="352"/>
      <c r="AXF69" s="352"/>
      <c r="AXG69" s="352"/>
      <c r="AXH69" s="352"/>
      <c r="AXI69" s="352"/>
      <c r="AXJ69" s="352"/>
      <c r="AXK69" s="352"/>
      <c r="AXL69" s="352"/>
      <c r="AXM69" s="352"/>
      <c r="AXN69" s="352"/>
      <c r="AXO69" s="352"/>
      <c r="AXP69" s="352"/>
      <c r="AXQ69" s="352"/>
      <c r="AXR69" s="352"/>
      <c r="AXS69" s="352"/>
      <c r="AXT69" s="352"/>
      <c r="AXU69" s="352"/>
      <c r="AXV69" s="352"/>
      <c r="AXW69" s="352"/>
      <c r="AXX69" s="7" t="s">
        <v>2542</v>
      </c>
    </row>
    <row r="70" spans="1:1583" s="31" customFormat="1" ht="22.8" customHeight="1" thickTop="1" x14ac:dyDescent="0.25">
      <c r="B70" s="92"/>
      <c r="C70" s="43">
        <v>1000</v>
      </c>
      <c r="D70" s="43">
        <v>1000</v>
      </c>
      <c r="E70" s="43">
        <v>1000</v>
      </c>
      <c r="F70" s="43">
        <v>1000</v>
      </c>
      <c r="G70" s="43"/>
      <c r="H70" s="43">
        <v>1000</v>
      </c>
      <c r="I70" s="43">
        <v>1000</v>
      </c>
      <c r="J70" s="43">
        <v>1000</v>
      </c>
      <c r="K70" s="43">
        <v>1000</v>
      </c>
      <c r="L70" s="30">
        <v>1000</v>
      </c>
      <c r="M70" s="30">
        <v>1000</v>
      </c>
      <c r="N70" s="30"/>
      <c r="O70" s="30">
        <v>1000</v>
      </c>
      <c r="P70" s="30">
        <v>1000</v>
      </c>
      <c r="Q70" s="30">
        <v>1000</v>
      </c>
      <c r="R70" s="30">
        <v>1000</v>
      </c>
      <c r="S70" s="30">
        <v>1000</v>
      </c>
      <c r="T70" s="30">
        <v>1000</v>
      </c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93"/>
      <c r="AI70" s="43">
        <v>1776</v>
      </c>
      <c r="AJ70" s="43"/>
      <c r="AK70" s="43"/>
      <c r="AP70" s="31">
        <v>5000</v>
      </c>
      <c r="AQ70" s="731"/>
      <c r="AR70" s="732"/>
      <c r="AS70" s="732"/>
      <c r="AT70" s="732"/>
      <c r="AU70" s="732"/>
      <c r="AV70" s="732"/>
      <c r="AW70" s="732"/>
      <c r="AX70" s="732"/>
      <c r="AY70" s="732"/>
      <c r="AZ70" s="73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>
        <v>5000</v>
      </c>
      <c r="BM70" s="43"/>
      <c r="BN70" s="92"/>
      <c r="CS70" s="92"/>
      <c r="CT70" s="43"/>
      <c r="CU70" s="43"/>
      <c r="CV70" s="43"/>
      <c r="CW70" s="43"/>
      <c r="CX70" s="43"/>
      <c r="DP70" s="30"/>
      <c r="DQ70" s="43"/>
      <c r="DS70" s="43"/>
      <c r="DT70" s="43"/>
      <c r="DU70" s="43"/>
      <c r="DV70" s="43"/>
      <c r="DW70" s="43"/>
      <c r="DX70" s="43"/>
      <c r="DY70" s="43"/>
      <c r="ED70" s="30"/>
      <c r="EE70" s="30"/>
      <c r="EF70" s="30"/>
      <c r="EG70" s="30"/>
      <c r="EH70" s="30"/>
      <c r="EI70" s="30"/>
      <c r="EJ70" s="30"/>
      <c r="EK70" s="30"/>
      <c r="EL70" s="30"/>
      <c r="EM70" s="30"/>
      <c r="EN70" s="30"/>
      <c r="EO70" s="30"/>
      <c r="EP70" s="30"/>
      <c r="EQ70" s="30"/>
      <c r="ER70" s="30"/>
      <c r="ES70" s="30"/>
      <c r="ET70" s="30"/>
      <c r="EU70" s="30"/>
      <c r="EV70" s="30"/>
      <c r="EW70" s="30"/>
      <c r="EX70" s="43"/>
      <c r="EY70" s="43"/>
      <c r="EZ70" s="43"/>
      <c r="FA70" s="43"/>
      <c r="FB70" s="43"/>
      <c r="FC70" s="30"/>
      <c r="FE70" s="30"/>
      <c r="FH70" s="30"/>
      <c r="FI70" s="30"/>
      <c r="FJ70" s="30"/>
      <c r="FK70" s="30"/>
      <c r="FL70" s="30"/>
      <c r="FM70" s="30"/>
      <c r="FN70" s="30"/>
      <c r="FO70" s="30"/>
      <c r="FP70" s="30"/>
      <c r="FQ70" s="30"/>
      <c r="FR70" s="30"/>
      <c r="FS70" s="30"/>
      <c r="FT70" s="30"/>
      <c r="FU70" s="30"/>
      <c r="FV70" s="30"/>
      <c r="FW70" s="30"/>
      <c r="FX70" s="30"/>
      <c r="FY70" s="30"/>
      <c r="FZ70" s="30"/>
      <c r="GA70" s="30"/>
      <c r="GB70" s="30"/>
      <c r="GC70" s="30"/>
      <c r="GD70" s="30"/>
      <c r="GE70" s="78"/>
      <c r="GF70" s="78"/>
      <c r="GG70" s="78"/>
      <c r="GH70" s="78"/>
      <c r="GI70" s="78"/>
      <c r="GJ70" s="78"/>
      <c r="GK70" s="79"/>
      <c r="GL70" s="79"/>
      <c r="GM70" s="79"/>
      <c r="GN70" s="30"/>
      <c r="HC70" s="78"/>
      <c r="HD70" s="78"/>
      <c r="HE70" s="78"/>
      <c r="HF70" s="78"/>
      <c r="HG70" s="78"/>
      <c r="HH70" s="78"/>
      <c r="HI70" s="78"/>
      <c r="HJ70" s="78"/>
      <c r="HK70" s="78"/>
      <c r="HL70" s="78"/>
      <c r="HM70" s="78"/>
      <c r="HN70" s="78"/>
      <c r="HP70" s="92"/>
      <c r="IT70" s="92"/>
      <c r="JZ70" s="92"/>
      <c r="LE70" s="92"/>
      <c r="MG70" s="310"/>
      <c r="MK70" s="92"/>
      <c r="MQ70" s="310"/>
      <c r="MV70" s="310"/>
      <c r="NA70" s="310"/>
      <c r="NB70" s="310"/>
      <c r="NC70" s="310"/>
      <c r="ND70" s="310">
        <f>5501-3626</f>
        <v>1875</v>
      </c>
      <c r="NG70" s="31">
        <v>10</v>
      </c>
      <c r="NH70" s="371" t="s">
        <v>948</v>
      </c>
      <c r="NI70" s="31" t="s">
        <v>949</v>
      </c>
      <c r="NL70" s="298"/>
      <c r="NM70" s="298"/>
      <c r="NN70" s="298"/>
      <c r="NP70" s="92"/>
      <c r="NQ70" s="310"/>
      <c r="NR70" s="310"/>
      <c r="NS70" s="310"/>
      <c r="NT70" s="310"/>
      <c r="NU70" s="310"/>
      <c r="NV70" s="310"/>
      <c r="NW70" s="310"/>
      <c r="NX70" s="310"/>
      <c r="NY70" s="310"/>
      <c r="NZ70" s="310"/>
      <c r="OA70" s="310"/>
      <c r="OD70" s="31" t="s">
        <v>486</v>
      </c>
      <c r="OG70" s="310"/>
      <c r="OH70" s="310"/>
      <c r="OI70" s="310"/>
      <c r="OJ70" s="310"/>
      <c r="OK70" s="310"/>
      <c r="OL70" s="298"/>
      <c r="OM70" s="298"/>
      <c r="ON70" s="298"/>
      <c r="OO70" s="298"/>
      <c r="OP70" s="298"/>
      <c r="OQ70" s="298"/>
      <c r="OR70" s="298"/>
      <c r="OS70" s="310"/>
      <c r="OT70" s="310"/>
      <c r="OU70" s="310"/>
      <c r="OV70" s="92"/>
      <c r="PD70" s="310"/>
      <c r="PE70" s="310"/>
      <c r="PF70" s="310"/>
      <c r="PG70" s="310"/>
      <c r="PH70" s="310"/>
      <c r="PI70" s="310"/>
      <c r="PP70" s="310"/>
      <c r="PQ70" s="310"/>
      <c r="QB70" s="213"/>
      <c r="QL70" s="310"/>
      <c r="QM70" s="310"/>
      <c r="QN70" s="310"/>
      <c r="QO70" s="310"/>
      <c r="QP70" s="310"/>
      <c r="QQ70" s="310"/>
      <c r="RG70" s="92"/>
      <c r="RJ70" s="298"/>
      <c r="RK70" s="298"/>
      <c r="RL70" s="298"/>
      <c r="RM70" s="298"/>
      <c r="RO70" s="310"/>
      <c r="RP70" s="310"/>
      <c r="RQ70" s="310"/>
      <c r="SA70" s="310"/>
      <c r="SB70" s="310"/>
      <c r="SC70" s="310"/>
      <c r="SD70" s="310"/>
      <c r="SE70" s="310"/>
      <c r="SF70" s="310"/>
      <c r="SG70" s="310"/>
      <c r="SH70" s="310"/>
      <c r="SI70" s="310"/>
      <c r="SJ70" s="310"/>
      <c r="SK70" s="310"/>
      <c r="SL70" s="310"/>
      <c r="SM70" s="518"/>
      <c r="SN70" s="298">
        <v>40</v>
      </c>
      <c r="SO70" s="31">
        <v>27</v>
      </c>
      <c r="SP70" s="298">
        <v>20</v>
      </c>
      <c r="SQ70" s="31">
        <v>30</v>
      </c>
      <c r="SR70" s="31">
        <v>18</v>
      </c>
      <c r="SS70" s="298"/>
      <c r="ST70" s="298"/>
      <c r="SU70" s="298">
        <v>24</v>
      </c>
      <c r="SV70" s="298"/>
      <c r="SW70" s="298"/>
      <c r="SX70" s="298"/>
      <c r="SY70" s="298"/>
      <c r="SZ70" s="298"/>
      <c r="TA70" s="298"/>
      <c r="TB70" s="298">
        <v>4</v>
      </c>
      <c r="TC70" s="298">
        <f>18+24</f>
        <v>42</v>
      </c>
      <c r="TD70" s="298"/>
      <c r="TE70" s="298"/>
      <c r="TF70" s="298"/>
      <c r="TG70" s="298"/>
      <c r="TH70" s="298"/>
      <c r="TI70" s="298"/>
      <c r="TJ70" s="298"/>
      <c r="TK70" s="298"/>
      <c r="TL70" s="298"/>
      <c r="TM70" s="298">
        <v>24</v>
      </c>
      <c r="TN70" s="298"/>
      <c r="TQ70" s="310"/>
      <c r="TR70" s="92"/>
      <c r="TS70" s="310">
        <v>24</v>
      </c>
      <c r="TT70" s="31">
        <v>21</v>
      </c>
      <c r="TU70" s="31">
        <v>35</v>
      </c>
      <c r="TV70" s="310"/>
      <c r="TW70" s="31">
        <v>35</v>
      </c>
      <c r="TX70" s="31">
        <v>21</v>
      </c>
      <c r="TY70" s="31">
        <v>24</v>
      </c>
      <c r="TZ70" s="31">
        <v>21</v>
      </c>
      <c r="UA70" s="310"/>
      <c r="UB70" s="310"/>
      <c r="UC70" s="310"/>
      <c r="UD70" s="310"/>
      <c r="UE70" s="310"/>
      <c r="UF70" s="310"/>
      <c r="UG70" s="310"/>
      <c r="UH70" s="310"/>
      <c r="UI70" s="310"/>
      <c r="UJ70" s="310"/>
      <c r="UK70" s="310"/>
      <c r="UL70" s="310"/>
      <c r="UM70" s="310"/>
      <c r="UN70" s="310"/>
      <c r="UO70" s="310">
        <v>35</v>
      </c>
      <c r="UP70" s="310">
        <v>35</v>
      </c>
      <c r="UU70" s="31">
        <v>40</v>
      </c>
      <c r="UV70" s="31">
        <v>25</v>
      </c>
      <c r="UW70" s="31">
        <v>50</v>
      </c>
      <c r="UX70" s="92"/>
      <c r="UZ70" s="31">
        <v>2</v>
      </c>
      <c r="VA70" s="310">
        <v>25</v>
      </c>
      <c r="VB70" s="310"/>
      <c r="VC70" s="310">
        <v>14</v>
      </c>
      <c r="VD70" s="310">
        <v>15</v>
      </c>
      <c r="VE70" s="310">
        <v>9</v>
      </c>
      <c r="VF70" s="310"/>
      <c r="VG70" s="310">
        <v>9</v>
      </c>
      <c r="VH70" s="310">
        <v>45</v>
      </c>
      <c r="VI70" s="310">
        <v>30</v>
      </c>
      <c r="VJ70" s="310"/>
      <c r="VK70" s="310"/>
      <c r="VL70" s="310"/>
      <c r="VM70" s="310"/>
      <c r="VN70" s="310"/>
      <c r="VO70" s="310"/>
      <c r="VP70" s="310"/>
      <c r="VQ70" s="310"/>
      <c r="VR70" s="310"/>
      <c r="VS70" s="310">
        <v>18</v>
      </c>
      <c r="VT70" s="310"/>
      <c r="VU70" s="310"/>
      <c r="VV70" s="310"/>
      <c r="VW70" s="310"/>
      <c r="VX70" s="310"/>
      <c r="VY70" s="310"/>
      <c r="VZ70" s="310">
        <v>24</v>
      </c>
      <c r="WA70" s="310"/>
      <c r="WB70" s="310">
        <v>50</v>
      </c>
      <c r="WC70" s="310"/>
      <c r="WD70" s="92"/>
      <c r="WE70" s="310"/>
      <c r="WF70" s="310"/>
      <c r="WG70" s="310"/>
      <c r="WH70" s="310"/>
      <c r="WI70" s="310"/>
      <c r="WJ70" s="310"/>
      <c r="WK70" s="310"/>
      <c r="WL70" s="310"/>
      <c r="WM70" s="310"/>
      <c r="WN70" s="310"/>
      <c r="WO70" s="310"/>
      <c r="WP70" s="310"/>
      <c r="WT70" s="310"/>
      <c r="WU70" s="310"/>
      <c r="WV70" s="310"/>
      <c r="WW70" s="310"/>
      <c r="WX70" s="310"/>
      <c r="WY70" s="310"/>
      <c r="WZ70" s="310"/>
      <c r="XA70" s="310"/>
      <c r="XB70" s="310"/>
      <c r="XC70" s="310"/>
      <c r="XD70" s="310"/>
      <c r="XE70" s="310"/>
      <c r="XF70" s="310"/>
      <c r="XG70" s="92"/>
      <c r="XH70" s="298"/>
      <c r="XI70" s="298"/>
      <c r="XJ70" s="298"/>
      <c r="XK70" s="298"/>
      <c r="XL70" s="298"/>
      <c r="XM70" s="298"/>
      <c r="XN70" s="298"/>
      <c r="XO70" s="298"/>
      <c r="XP70" s="298"/>
      <c r="XQ70" s="298"/>
      <c r="XR70" s="298"/>
      <c r="XS70" s="298"/>
      <c r="XT70" s="298"/>
      <c r="XU70" s="298"/>
      <c r="XV70" s="298"/>
      <c r="XW70" s="298"/>
      <c r="XX70" s="298"/>
      <c r="XY70" s="298"/>
      <c r="XZ70" s="298"/>
      <c r="YA70" s="298"/>
      <c r="YB70" s="298"/>
      <c r="YC70" s="31">
        <v>21</v>
      </c>
      <c r="YD70" s="298"/>
      <c r="YE70" s="31">
        <v>20</v>
      </c>
      <c r="YF70" s="298">
        <v>24</v>
      </c>
      <c r="YG70" s="298"/>
      <c r="YH70" s="298"/>
      <c r="YK70" s="310"/>
      <c r="YL70" s="310"/>
      <c r="YM70" s="92"/>
      <c r="YZ70" s="31">
        <v>40</v>
      </c>
      <c r="ZD70" s="31">
        <v>12</v>
      </c>
      <c r="ZG70" s="310"/>
      <c r="ZH70" s="310"/>
      <c r="ZI70" s="310"/>
      <c r="ZJ70" s="310"/>
      <c r="ZK70" s="310"/>
      <c r="ZL70" s="310"/>
      <c r="ZM70" s="310"/>
      <c r="ZN70" s="31">
        <v>66</v>
      </c>
      <c r="ZO70" s="31">
        <v>1</v>
      </c>
      <c r="ZP70" s="31">
        <v>215</v>
      </c>
      <c r="ZQ70" s="298"/>
      <c r="ZR70" s="92"/>
      <c r="ZT70" s="310"/>
      <c r="ZU70" s="310"/>
      <c r="ZV70" s="310"/>
      <c r="ZW70" s="310"/>
      <c r="AAD70" s="310"/>
      <c r="AAE70" s="310"/>
      <c r="AAF70" s="310"/>
      <c r="AAG70" s="310"/>
      <c r="AAH70" s="310"/>
      <c r="AAI70" s="310"/>
      <c r="AAJ70" s="310"/>
      <c r="AAK70" s="310"/>
      <c r="AAP70" s="310"/>
      <c r="AAQ70" s="310"/>
      <c r="AAR70" s="310"/>
      <c r="AAS70" s="310"/>
      <c r="AAT70" s="310"/>
      <c r="AAU70" s="310"/>
      <c r="AAV70" s="310"/>
      <c r="AAW70" s="310"/>
      <c r="AAX70" s="92"/>
      <c r="AAY70" s="310">
        <v>27</v>
      </c>
      <c r="AAZ70" s="310"/>
      <c r="ABA70" s="310"/>
      <c r="ABB70" s="310"/>
      <c r="ABC70" s="310"/>
      <c r="ABD70" s="310"/>
      <c r="ABE70" s="310"/>
      <c r="ABF70" s="310"/>
      <c r="ABG70" s="310"/>
      <c r="ABH70" s="310"/>
      <c r="ABI70" s="310"/>
      <c r="ABJ70" s="310"/>
      <c r="ABK70" s="310"/>
      <c r="ABL70" s="310"/>
      <c r="ABM70" s="310"/>
      <c r="ABN70" s="310"/>
      <c r="ABO70" s="310"/>
      <c r="ABP70" s="310"/>
      <c r="ABQ70" s="310"/>
      <c r="ABR70" s="310"/>
      <c r="ABS70" s="310"/>
      <c r="ABT70" s="310"/>
      <c r="ABU70" s="310"/>
      <c r="ABV70" s="310"/>
      <c r="ABW70" s="310"/>
      <c r="ABX70" s="310"/>
      <c r="ABY70" s="310"/>
      <c r="ABZ70" s="310"/>
      <c r="ACA70" s="310"/>
      <c r="ACB70" s="310"/>
      <c r="ACC70" s="92"/>
      <c r="ACD70" s="213"/>
      <c r="ACE70" s="213"/>
      <c r="ACF70" s="213"/>
      <c r="ACG70" s="213"/>
      <c r="ACH70" s="213"/>
      <c r="ACI70" s="213"/>
      <c r="ACJ70" s="213"/>
      <c r="ACK70" s="213"/>
      <c r="ACL70" s="213"/>
      <c r="ACM70" s="213"/>
      <c r="ACN70" s="213"/>
      <c r="ACO70" s="213"/>
      <c r="ACP70" s="213"/>
      <c r="ACQ70" s="213"/>
      <c r="ACR70" s="213"/>
      <c r="ACS70" s="213"/>
      <c r="ACT70" s="213"/>
      <c r="ACU70" s="213"/>
      <c r="ACV70" s="213"/>
      <c r="ACW70" s="785"/>
      <c r="ACX70" s="786"/>
      <c r="ACY70" s="786"/>
      <c r="ACZ70" s="786"/>
      <c r="ADA70" s="786"/>
      <c r="ADB70" s="786"/>
      <c r="ADC70" s="786"/>
      <c r="ADD70" s="786"/>
      <c r="ADE70" s="786"/>
      <c r="ADF70" s="786"/>
      <c r="ADG70" s="787"/>
      <c r="ADH70" s="191"/>
      <c r="ADI70" s="93"/>
      <c r="ADJ70" s="213"/>
      <c r="ADK70" s="213"/>
      <c r="ADL70" s="213"/>
      <c r="ADM70" s="213"/>
      <c r="ADN70" s="213"/>
      <c r="ADO70" s="213"/>
      <c r="ADP70" s="213">
        <v>16</v>
      </c>
      <c r="ADQ70" s="213"/>
      <c r="ADR70" s="213"/>
      <c r="ADS70" s="213"/>
      <c r="ADT70" s="213"/>
      <c r="ADU70" s="213"/>
      <c r="ADV70" s="213"/>
      <c r="ADW70" s="213"/>
      <c r="ADX70" s="213"/>
      <c r="ADY70" s="213"/>
      <c r="ADZ70" s="213"/>
      <c r="AEA70" s="213">
        <f>5+5</f>
        <v>10</v>
      </c>
      <c r="AEB70" s="213"/>
      <c r="AEC70" s="213"/>
      <c r="AED70" s="213"/>
      <c r="AEE70" s="213">
        <v>190</v>
      </c>
      <c r="AEF70" s="213">
        <v>21</v>
      </c>
      <c r="AEG70" s="213">
        <v>155</v>
      </c>
      <c r="AEH70" s="213"/>
      <c r="AEI70" s="213">
        <v>152</v>
      </c>
      <c r="AEJ70" s="213"/>
      <c r="AEK70" s="213">
        <f>1+24+5+5</f>
        <v>35</v>
      </c>
      <c r="AEL70" s="213">
        <v>5</v>
      </c>
      <c r="AEM70" s="213">
        <v>65</v>
      </c>
      <c r="AEN70" s="213">
        <v>21</v>
      </c>
      <c r="AEO70" s="92"/>
      <c r="AEP70" s="213">
        <v>80</v>
      </c>
      <c r="AEQ70" s="213">
        <v>20</v>
      </c>
      <c r="AER70" s="213"/>
      <c r="AES70" s="213">
        <v>146</v>
      </c>
      <c r="AET70" s="213"/>
      <c r="AEU70" s="213">
        <v>200</v>
      </c>
      <c r="AEV70" s="213">
        <v>296</v>
      </c>
      <c r="AEW70" s="213"/>
      <c r="AEX70" s="213">
        <v>384</v>
      </c>
      <c r="AEY70" s="213"/>
      <c r="AEZ70" s="213">
        <v>303</v>
      </c>
      <c r="AFA70" s="213">
        <v>306</v>
      </c>
      <c r="AFB70" s="213">
        <v>152</v>
      </c>
      <c r="AFC70" s="213">
        <v>237</v>
      </c>
      <c r="AFD70" s="213">
        <v>152</v>
      </c>
      <c r="AFE70" s="213">
        <v>152</v>
      </c>
      <c r="AFF70" s="213"/>
      <c r="AFG70" s="213">
        <f>3+152</f>
        <v>155</v>
      </c>
      <c r="AFH70" s="213">
        <v>80</v>
      </c>
      <c r="AFI70" s="213">
        <v>520</v>
      </c>
      <c r="AFJ70" s="213">
        <v>700</v>
      </c>
      <c r="AFK70" s="213">
        <v>178</v>
      </c>
      <c r="AFL70" s="213"/>
      <c r="AFM70" s="213"/>
      <c r="AFN70" s="213">
        <v>400</v>
      </c>
      <c r="AFO70" s="213">
        <v>700</v>
      </c>
      <c r="AFP70" s="213">
        <v>624</v>
      </c>
      <c r="AFQ70" s="213">
        <v>50</v>
      </c>
      <c r="AFR70" s="213">
        <v>18</v>
      </c>
      <c r="AFS70" s="213"/>
      <c r="AFT70" s="92"/>
      <c r="AFU70" s="364"/>
      <c r="AFV70" s="314">
        <v>99</v>
      </c>
      <c r="AFW70" s="314">
        <v>342</v>
      </c>
      <c r="AFX70" s="603">
        <v>20</v>
      </c>
      <c r="AFY70" s="603">
        <v>325</v>
      </c>
      <c r="AFZ70" s="603">
        <v>359</v>
      </c>
      <c r="AGA70" s="364"/>
      <c r="AGB70" s="364"/>
      <c r="AGC70" s="314">
        <f>3+60</f>
        <v>63</v>
      </c>
      <c r="AGD70" s="314">
        <v>275</v>
      </c>
      <c r="AGE70" s="314">
        <v>370</v>
      </c>
      <c r="AGF70" s="314">
        <v>800</v>
      </c>
      <c r="AGG70" s="314">
        <v>510</v>
      </c>
      <c r="AGH70" s="314">
        <v>24</v>
      </c>
      <c r="AGI70" s="314"/>
      <c r="AGJ70" s="314">
        <v>200</v>
      </c>
      <c r="AGK70" s="314">
        <v>352</v>
      </c>
      <c r="AGL70" s="314">
        <v>36</v>
      </c>
      <c r="AGM70" s="314">
        <v>34</v>
      </c>
      <c r="AGN70" s="314">
        <v>300</v>
      </c>
      <c r="AGO70" s="314">
        <v>20</v>
      </c>
      <c r="AGP70" s="314"/>
      <c r="AGQ70" s="314">
        <v>42</v>
      </c>
      <c r="AGR70" s="314">
        <v>304</v>
      </c>
      <c r="AGS70" s="314">
        <v>21</v>
      </c>
      <c r="AGT70" s="314">
        <v>170</v>
      </c>
      <c r="AGU70" s="314">
        <v>14</v>
      </c>
      <c r="AGV70" s="314">
        <v>251</v>
      </c>
      <c r="AGW70" s="314"/>
      <c r="AGX70" s="314">
        <v>150</v>
      </c>
      <c r="AGY70" s="314">
        <v>27</v>
      </c>
      <c r="AGZ70" s="92"/>
      <c r="AHA70" s="314">
        <v>43</v>
      </c>
      <c r="AHB70" s="314">
        <v>27</v>
      </c>
      <c r="AHC70" s="314">
        <v>40</v>
      </c>
      <c r="AHD70" s="314">
        <v>154</v>
      </c>
      <c r="AHE70" s="314"/>
      <c r="AHF70" s="314">
        <v>196</v>
      </c>
      <c r="AHG70" s="314">
        <v>191</v>
      </c>
      <c r="AHH70" s="314">
        <v>37</v>
      </c>
      <c r="AHI70" s="314">
        <v>306</v>
      </c>
      <c r="AHJ70" s="314">
        <v>2</v>
      </c>
      <c r="AHK70" s="314">
        <v>35</v>
      </c>
      <c r="AHL70" s="314"/>
      <c r="AHM70" s="314">
        <v>74</v>
      </c>
      <c r="AHN70" s="314">
        <v>187</v>
      </c>
      <c r="AHO70" s="314">
        <v>180</v>
      </c>
      <c r="AHP70" s="314"/>
      <c r="AHQ70" s="314">
        <v>307</v>
      </c>
      <c r="AHR70" s="314"/>
      <c r="AHS70" s="314"/>
      <c r="AHT70" s="314"/>
      <c r="AHU70" s="314"/>
      <c r="AHV70" s="314"/>
      <c r="AHW70" s="314"/>
      <c r="AHX70" s="314"/>
      <c r="AHY70" s="310"/>
      <c r="AHZ70" s="310"/>
      <c r="AIA70" s="310"/>
      <c r="AIB70" s="310"/>
      <c r="AIC70" s="310"/>
      <c r="AID70" s="310"/>
      <c r="AIE70" s="5"/>
      <c r="AIF70" s="314"/>
      <c r="AIG70" s="314"/>
      <c r="AIH70" s="314"/>
      <c r="AII70" s="314"/>
      <c r="AIJ70" s="314"/>
      <c r="AIK70" s="314"/>
      <c r="AIL70" s="314"/>
      <c r="AIM70" s="314"/>
      <c r="AIN70" s="314"/>
      <c r="AIO70" s="314"/>
      <c r="AIP70" s="314"/>
      <c r="AIQ70" s="314"/>
      <c r="AIR70" s="314"/>
      <c r="AIS70" s="314"/>
      <c r="AIT70" s="314"/>
      <c r="AIU70" s="314"/>
      <c r="AIV70" s="314"/>
      <c r="AIW70" s="314"/>
      <c r="AIX70" s="314"/>
      <c r="AIY70" s="314"/>
      <c r="AIZ70" s="314"/>
      <c r="AJA70" s="314"/>
      <c r="AJB70" s="314"/>
      <c r="AJC70" s="314"/>
      <c r="AJD70" s="314"/>
      <c r="AJE70" s="314"/>
      <c r="AJF70" s="314"/>
      <c r="AJG70" s="314"/>
      <c r="AJH70" s="314"/>
      <c r="AJI70" s="314"/>
      <c r="AJJ70" s="314"/>
      <c r="AJK70" s="92"/>
      <c r="AJL70" s="213">
        <v>1800</v>
      </c>
      <c r="AJM70" s="213">
        <v>1800</v>
      </c>
      <c r="AJN70" s="213">
        <v>1800</v>
      </c>
      <c r="AJO70" s="213">
        <v>1800</v>
      </c>
      <c r="AJP70" s="213">
        <v>1800</v>
      </c>
      <c r="AJQ70" s="213">
        <v>1800</v>
      </c>
      <c r="AJR70" s="213"/>
      <c r="AJS70" s="213">
        <v>1800</v>
      </c>
      <c r="AJT70" s="213">
        <v>1800</v>
      </c>
      <c r="AJU70" s="213">
        <v>1800</v>
      </c>
      <c r="AJV70" s="213">
        <v>1800</v>
      </c>
      <c r="AJW70" s="213">
        <v>1800</v>
      </c>
      <c r="AJX70" s="213">
        <v>1800</v>
      </c>
      <c r="AJY70" s="213"/>
      <c r="AJZ70" s="213">
        <v>1800</v>
      </c>
      <c r="AKA70" s="213">
        <v>1800</v>
      </c>
      <c r="AKB70" s="213">
        <v>1800</v>
      </c>
      <c r="AKC70" s="213">
        <v>1800</v>
      </c>
      <c r="AKD70" s="213">
        <v>1800</v>
      </c>
      <c r="AKE70" s="213">
        <v>1800</v>
      </c>
      <c r="AKF70" s="213"/>
      <c r="AKG70" s="213">
        <v>1800</v>
      </c>
      <c r="AKH70" s="213">
        <v>1800</v>
      </c>
      <c r="AKI70" s="213">
        <v>1800</v>
      </c>
      <c r="AKJ70" s="213">
        <v>1800</v>
      </c>
      <c r="AKK70" s="213">
        <v>1800</v>
      </c>
      <c r="AKL70" s="213">
        <v>1800</v>
      </c>
      <c r="AKM70" s="213"/>
      <c r="AKN70" s="698">
        <v>1800</v>
      </c>
      <c r="AKO70" s="213">
        <v>500</v>
      </c>
      <c r="AKP70" s="213">
        <v>1000</v>
      </c>
      <c r="AKQ70" s="92"/>
      <c r="AKR70" s="659">
        <v>1500</v>
      </c>
      <c r="AKS70" s="659">
        <v>1980</v>
      </c>
      <c r="AKT70" s="659">
        <v>1980</v>
      </c>
      <c r="AKU70" s="659"/>
      <c r="AKV70" s="659">
        <v>1980</v>
      </c>
      <c r="AKW70" s="659">
        <v>1980</v>
      </c>
      <c r="AKX70" s="659">
        <v>1980</v>
      </c>
      <c r="AKY70" s="659">
        <v>1980</v>
      </c>
      <c r="AKZ70" s="659">
        <v>1980</v>
      </c>
      <c r="ALA70" s="659">
        <v>1980</v>
      </c>
      <c r="ALB70" s="659"/>
      <c r="ALC70" s="659">
        <v>1980</v>
      </c>
      <c r="ALD70" s="659">
        <v>1980</v>
      </c>
      <c r="ALE70" s="659">
        <v>1980</v>
      </c>
      <c r="ALF70" s="659">
        <v>1980</v>
      </c>
      <c r="ALG70" s="659">
        <v>1980</v>
      </c>
      <c r="ALH70" s="659">
        <v>1980</v>
      </c>
      <c r="ALI70" s="659"/>
      <c r="ALJ70" s="659">
        <v>1980</v>
      </c>
      <c r="ALK70" s="659">
        <v>1980</v>
      </c>
      <c r="ALL70" s="659"/>
      <c r="ALM70" s="659">
        <v>1980</v>
      </c>
      <c r="ALN70" s="659">
        <v>1980</v>
      </c>
      <c r="ALO70" s="659">
        <v>1980</v>
      </c>
      <c r="ALP70" s="659"/>
      <c r="ALQ70" s="659">
        <v>1980</v>
      </c>
      <c r="ALR70" s="659">
        <v>1980</v>
      </c>
      <c r="ALS70" s="659">
        <v>1980</v>
      </c>
      <c r="ALT70" s="92"/>
      <c r="ALU70" s="659">
        <v>1980</v>
      </c>
      <c r="ALV70" s="659">
        <v>1980</v>
      </c>
      <c r="ALW70" s="659">
        <v>1980</v>
      </c>
      <c r="ALX70" s="661"/>
      <c r="ALY70" s="659">
        <v>1980</v>
      </c>
      <c r="ALZ70" s="659">
        <v>1980</v>
      </c>
      <c r="AMA70" s="659">
        <v>1980</v>
      </c>
      <c r="AMB70" s="659">
        <v>1980</v>
      </c>
      <c r="AMC70" s="659">
        <v>1980</v>
      </c>
      <c r="AMD70" s="659">
        <v>1980</v>
      </c>
      <c r="AME70" s="659"/>
      <c r="AMF70" s="659">
        <v>1980</v>
      </c>
      <c r="AMG70" s="660">
        <v>1980</v>
      </c>
      <c r="AMH70" s="603">
        <v>350</v>
      </c>
      <c r="AMI70" s="603">
        <v>700</v>
      </c>
      <c r="AMJ70" s="603">
        <v>1000</v>
      </c>
      <c r="AMK70" s="603">
        <v>1350</v>
      </c>
      <c r="AML70" s="603"/>
      <c r="AMM70" s="603">
        <v>1760</v>
      </c>
      <c r="AMN70" s="603">
        <v>1760</v>
      </c>
      <c r="AMO70" s="603">
        <v>1760</v>
      </c>
      <c r="AMP70" s="603">
        <v>1760</v>
      </c>
      <c r="AMQ70" s="603">
        <v>1760</v>
      </c>
      <c r="AMR70" s="603">
        <v>1760</v>
      </c>
      <c r="AMS70" s="603"/>
      <c r="AMT70" s="603"/>
      <c r="AMU70" s="603">
        <v>1760</v>
      </c>
      <c r="AMV70" s="603">
        <v>1760</v>
      </c>
      <c r="AMW70" s="603">
        <v>1760</v>
      </c>
      <c r="AMX70" s="604">
        <v>1600</v>
      </c>
      <c r="AMY70" s="659">
        <v>600</v>
      </c>
      <c r="AMZ70" s="92"/>
      <c r="ANA70" s="191"/>
      <c r="ANB70" s="659">
        <v>1200</v>
      </c>
      <c r="ANC70" s="659">
        <v>1800</v>
      </c>
      <c r="AND70" s="659">
        <v>1900</v>
      </c>
      <c r="ANE70" s="659">
        <v>1900</v>
      </c>
      <c r="ANF70" s="659">
        <v>1900</v>
      </c>
      <c r="ANG70" s="659">
        <v>1900</v>
      </c>
      <c r="ANH70" s="659">
        <v>1900</v>
      </c>
      <c r="ANI70" s="659">
        <v>1900</v>
      </c>
      <c r="ANJ70" s="659">
        <v>1900</v>
      </c>
      <c r="ANK70" s="659">
        <v>1900</v>
      </c>
      <c r="ANL70" s="659">
        <v>1900</v>
      </c>
      <c r="ANM70" s="659">
        <v>1900</v>
      </c>
      <c r="ANN70" s="191"/>
      <c r="ANO70" s="191"/>
      <c r="ANP70" s="659">
        <v>1900</v>
      </c>
      <c r="ANQ70" s="659">
        <v>1900</v>
      </c>
      <c r="ANR70" s="659">
        <v>1900</v>
      </c>
      <c r="ANS70" s="659">
        <v>1900</v>
      </c>
      <c r="ANT70" s="659">
        <v>1900</v>
      </c>
      <c r="ANU70" s="659">
        <v>1900</v>
      </c>
      <c r="ANV70" s="659">
        <v>1900</v>
      </c>
      <c r="ANW70" s="660">
        <v>1900</v>
      </c>
      <c r="ANY70" s="310"/>
      <c r="ANZ70" s="310"/>
      <c r="AOA70" s="310"/>
      <c r="AOB70" s="310"/>
      <c r="AOC70" s="310"/>
      <c r="AOD70" s="310"/>
      <c r="AOE70" s="92"/>
      <c r="AOF70" s="662"/>
      <c r="AOG70" s="662"/>
      <c r="AOH70" s="662"/>
      <c r="AOI70" s="662"/>
      <c r="AOJ70" s="662"/>
      <c r="AOK70" s="662"/>
      <c r="AOL70" s="662"/>
      <c r="AOM70" s="662"/>
      <c r="AON70" s="662"/>
      <c r="AOO70" s="659"/>
      <c r="AOP70" s="659"/>
      <c r="AOQ70" s="659"/>
      <c r="AOR70" s="659"/>
      <c r="AOS70" s="659"/>
      <c r="AOT70" s="659"/>
      <c r="AOU70" s="659"/>
      <c r="AOV70" s="659"/>
      <c r="AOW70" s="659"/>
      <c r="AOX70" s="659"/>
      <c r="AOY70" s="659"/>
      <c r="AOZ70" s="659"/>
      <c r="APA70" s="659"/>
      <c r="APB70" s="659"/>
      <c r="APC70" s="659"/>
      <c r="APD70" s="659"/>
      <c r="APE70" s="659"/>
      <c r="APF70" s="659"/>
      <c r="APG70" s="659"/>
      <c r="APH70" s="659"/>
      <c r="API70" s="659"/>
      <c r="APJ70" s="659"/>
      <c r="APK70" s="579"/>
      <c r="APL70" s="659"/>
      <c r="APM70" s="659"/>
      <c r="APN70" s="659"/>
      <c r="APO70" s="659"/>
      <c r="APP70" s="659"/>
      <c r="APQ70" s="659"/>
      <c r="APR70" s="659"/>
      <c r="APS70" s="659"/>
      <c r="APT70" s="659"/>
      <c r="APU70" s="659"/>
      <c r="APV70" s="659"/>
      <c r="APW70" s="659"/>
      <c r="APX70" s="659"/>
      <c r="APY70" s="659"/>
      <c r="APZ70" s="659"/>
      <c r="AQA70" s="659"/>
      <c r="AQB70" s="659"/>
      <c r="AQC70" s="659"/>
      <c r="AQD70" s="659"/>
      <c r="AQE70" s="659"/>
      <c r="AQF70" s="659"/>
      <c r="AQG70" s="659"/>
      <c r="AQH70" s="659"/>
      <c r="AQI70" s="659"/>
      <c r="AQJ70" s="659"/>
      <c r="AQK70" s="659"/>
      <c r="AQL70" s="659"/>
      <c r="AQM70" s="659"/>
      <c r="AQN70" s="659"/>
      <c r="AQO70" s="659"/>
      <c r="AQP70" s="579"/>
      <c r="AQQ70" s="659"/>
      <c r="AQR70" s="659"/>
      <c r="AQS70" s="659"/>
      <c r="AQT70" s="659"/>
      <c r="AQU70" s="659"/>
      <c r="AQV70" s="659"/>
      <c r="AQW70" s="659"/>
      <c r="AQX70" s="41"/>
      <c r="AQY70" s="41"/>
      <c r="AQZ70" s="41"/>
      <c r="ARA70" s="41"/>
      <c r="ARB70" s="41"/>
      <c r="ARC70" s="41"/>
      <c r="ARD70" s="41"/>
      <c r="ARE70" s="41"/>
      <c r="ARF70" s="41"/>
      <c r="ARG70" s="659"/>
      <c r="ARH70" s="659"/>
      <c r="ARI70" s="659"/>
      <c r="ARJ70" s="659"/>
      <c r="ARK70" s="659"/>
      <c r="ARL70" s="659"/>
      <c r="ARM70" s="659"/>
      <c r="ARN70" s="659"/>
      <c r="ARO70" s="659"/>
      <c r="ARP70" s="659"/>
      <c r="ARQ70" s="659"/>
      <c r="ARR70" s="659"/>
      <c r="ARS70" s="659"/>
      <c r="ART70" s="659"/>
      <c r="ARU70" s="659"/>
      <c r="ARV70" s="579"/>
      <c r="ARW70" s="659"/>
      <c r="ARX70" s="659"/>
      <c r="ARY70" s="659"/>
      <c r="ARZ70" s="659"/>
      <c r="ASA70" s="659"/>
      <c r="ASB70" s="659"/>
      <c r="ASC70" s="659"/>
      <c r="ASD70" s="659"/>
      <c r="ASE70" s="659"/>
      <c r="ASF70" s="659"/>
      <c r="ASG70" s="659"/>
      <c r="ASH70" s="659"/>
      <c r="ASI70" s="659"/>
      <c r="ASJ70" s="659"/>
      <c r="ASK70" s="659"/>
      <c r="ASL70" s="659"/>
      <c r="ASM70" s="659"/>
      <c r="ASN70" s="659"/>
      <c r="ASO70" s="659"/>
      <c r="ASP70" s="659"/>
      <c r="ASQ70" s="659"/>
      <c r="ASR70" s="659"/>
      <c r="ASS70" s="659"/>
      <c r="AST70" s="659"/>
      <c r="ASU70" s="659"/>
      <c r="ASV70" s="659"/>
      <c r="ASW70" s="659"/>
      <c r="ASX70" s="659"/>
      <c r="ASY70" s="659"/>
      <c r="ASZ70" s="659"/>
      <c r="ATA70" s="659"/>
      <c r="ATB70" s="579"/>
      <c r="ATC70" s="659"/>
      <c r="ATD70" s="659"/>
      <c r="ATE70" s="659"/>
      <c r="ATF70" s="659"/>
      <c r="ATG70" s="659"/>
      <c r="ATH70" s="659"/>
      <c r="ATI70" s="659"/>
      <c r="ATJ70" s="659"/>
      <c r="ATK70" s="659"/>
      <c r="ATL70" s="659"/>
      <c r="ATM70" s="659"/>
      <c r="ATN70" s="659"/>
      <c r="ATO70" s="659"/>
      <c r="ATP70" s="659"/>
      <c r="ATQ70" s="659"/>
      <c r="ATR70" s="659"/>
      <c r="ATS70" s="659"/>
      <c r="ATT70" s="659"/>
      <c r="ATU70" s="659"/>
      <c r="ATV70" s="659"/>
      <c r="ATW70" s="659"/>
      <c r="ATX70" s="659"/>
      <c r="ATY70" s="659"/>
      <c r="ATZ70" s="659"/>
      <c r="AUA70" s="659"/>
      <c r="AUB70" s="659"/>
      <c r="AUC70" s="659"/>
      <c r="AUD70" s="659"/>
      <c r="AUE70" s="659"/>
      <c r="AUF70" s="659"/>
      <c r="AUG70" s="579"/>
      <c r="AUH70" s="310"/>
      <c r="AUI70" s="310"/>
      <c r="AUJ70" s="310"/>
      <c r="AUK70" s="310"/>
      <c r="AUM70" s="310"/>
      <c r="AUN70" s="310"/>
      <c r="AUO70" s="310"/>
      <c r="AUP70" s="310"/>
      <c r="AUQ70" s="310"/>
      <c r="AUR70" s="310"/>
      <c r="AUS70" s="310"/>
      <c r="AUT70" s="310"/>
      <c r="AUU70" s="310"/>
      <c r="AUV70" s="310"/>
      <c r="AUW70" s="310"/>
      <c r="AUX70" s="310"/>
      <c r="AUY70" s="310"/>
      <c r="AUZ70" s="310"/>
      <c r="AVA70" s="310"/>
      <c r="AVB70" s="310"/>
      <c r="AVC70" s="310"/>
      <c r="AVD70" s="310"/>
      <c r="AVE70" s="310"/>
      <c r="AVF70" s="310"/>
      <c r="AVG70" s="310"/>
      <c r="AVH70" s="310"/>
      <c r="AVI70" s="310"/>
      <c r="AVJ70" s="310"/>
      <c r="AVK70" s="310"/>
      <c r="AVL70" s="310"/>
      <c r="AVM70" s="579"/>
      <c r="AVN70" s="659"/>
      <c r="AVO70" s="659"/>
      <c r="AVP70" s="659"/>
      <c r="AVQ70" s="659"/>
      <c r="AVR70" s="659"/>
      <c r="AVS70" s="659"/>
      <c r="AVT70" s="659"/>
      <c r="AVU70" s="659"/>
      <c r="AVV70" s="659"/>
      <c r="AVW70" s="659"/>
      <c r="AVX70" s="659"/>
      <c r="AVY70" s="659"/>
      <c r="AVZ70" s="659"/>
      <c r="AWA70" s="659"/>
      <c r="AWB70" s="659"/>
      <c r="AWC70" s="659"/>
      <c r="AWD70" s="659"/>
      <c r="AWE70" s="659"/>
      <c r="AWF70" s="659"/>
      <c r="AWG70" s="659"/>
      <c r="AWH70" s="659"/>
      <c r="AWI70" s="659"/>
      <c r="AWJ70" s="659"/>
      <c r="AWK70" s="659"/>
      <c r="AWL70" s="659"/>
      <c r="AWM70" s="659"/>
      <c r="AWN70" s="659"/>
      <c r="AWO70" s="659"/>
      <c r="AWP70" s="659"/>
      <c r="AWQ70" s="659"/>
      <c r="AWR70" s="579"/>
      <c r="AWS70" s="659"/>
      <c r="AWT70" s="659"/>
      <c r="AWU70" s="659"/>
      <c r="AWV70" s="659"/>
      <c r="AWW70" s="659"/>
      <c r="AWX70" s="659"/>
      <c r="AWY70" s="659"/>
      <c r="AWZ70" s="659"/>
      <c r="AXA70" s="659"/>
      <c r="AXB70" s="659"/>
      <c r="AXC70" s="659"/>
      <c r="AXD70" s="659"/>
      <c r="AXE70" s="659"/>
      <c r="AXF70" s="659"/>
      <c r="AXG70" s="659"/>
      <c r="AXH70" s="659"/>
      <c r="AXI70" s="659"/>
      <c r="AXJ70" s="659"/>
      <c r="AXK70" s="659"/>
      <c r="AXL70" s="659"/>
      <c r="AXM70" s="659"/>
      <c r="AXN70" s="659"/>
      <c r="AXO70" s="659"/>
      <c r="AXP70" s="659"/>
      <c r="AXQ70" s="659"/>
      <c r="AXR70" s="659"/>
      <c r="AXS70" s="659"/>
      <c r="AXT70" s="659"/>
      <c r="AXU70" s="659"/>
      <c r="AXV70" s="659"/>
      <c r="AXW70" s="659"/>
      <c r="AXX70" s="579"/>
      <c r="AXY70" s="191"/>
      <c r="AXZ70" s="191"/>
      <c r="AYA70" s="191"/>
      <c r="AYB70" s="191"/>
      <c r="AYC70" s="191"/>
      <c r="AYD70" s="191"/>
      <c r="AYE70" s="191"/>
      <c r="AYF70" s="191"/>
      <c r="AYG70" s="191"/>
      <c r="AYH70" s="191"/>
      <c r="AYI70" s="191"/>
      <c r="AYJ70" s="191"/>
      <c r="AYK70" s="191"/>
      <c r="AYL70" s="191"/>
      <c r="AYM70" s="191"/>
      <c r="AYN70" s="191"/>
      <c r="AYO70" s="191"/>
      <c r="AYP70" s="191"/>
      <c r="AYQ70" s="191"/>
      <c r="AYR70" s="191"/>
      <c r="AYS70" s="191"/>
      <c r="AYT70" s="191"/>
      <c r="AYU70" s="191"/>
      <c r="AYV70" s="191"/>
      <c r="AYW70" s="191"/>
      <c r="AYX70" s="191"/>
      <c r="AYY70" s="191"/>
      <c r="AYZ70" s="191"/>
      <c r="AZA70" s="191"/>
      <c r="AZB70" s="191"/>
      <c r="AZC70" s="191"/>
      <c r="AZD70" s="191"/>
      <c r="AZE70" s="191"/>
      <c r="AZF70" s="191"/>
      <c r="AZG70" s="191"/>
      <c r="AZH70" s="191"/>
      <c r="AZI70" s="191"/>
      <c r="AZJ70" s="191"/>
      <c r="AZK70" s="191"/>
      <c r="AZL70" s="191"/>
      <c r="AZM70" s="191"/>
      <c r="AZN70" s="191"/>
      <c r="AZO70" s="191"/>
      <c r="AZP70" s="191"/>
      <c r="AZQ70" s="191"/>
      <c r="AZR70" s="191"/>
      <c r="AZS70" s="191"/>
      <c r="AZT70" s="191"/>
      <c r="AZU70" s="191"/>
      <c r="AZV70" s="191"/>
      <c r="AZW70" s="191"/>
      <c r="AZX70" s="191"/>
      <c r="AZY70" s="191"/>
      <c r="AZZ70" s="191"/>
      <c r="BAA70" s="191"/>
      <c r="BAB70" s="191"/>
      <c r="BAC70" s="191"/>
      <c r="BAD70" s="191"/>
      <c r="BAE70" s="191"/>
      <c r="BAF70" s="191"/>
      <c r="BAG70" s="191"/>
      <c r="BAH70" s="191"/>
      <c r="BAI70" s="191"/>
      <c r="BAJ70" s="191"/>
      <c r="BAK70" s="191"/>
      <c r="BAL70" s="191"/>
      <c r="BAM70" s="191"/>
      <c r="BAN70" s="191"/>
      <c r="BAO70" s="191"/>
      <c r="BAP70" s="191"/>
      <c r="BAQ70" s="191"/>
      <c r="BAR70" s="191"/>
      <c r="BAS70" s="191"/>
      <c r="BAT70" s="191"/>
      <c r="BAU70" s="191"/>
      <c r="BAV70" s="191"/>
      <c r="BAW70" s="191"/>
      <c r="BAX70" s="191"/>
      <c r="BAY70" s="191"/>
      <c r="BAZ70" s="191"/>
      <c r="BBA70" s="191"/>
      <c r="BBB70" s="191"/>
      <c r="BBC70" s="191"/>
      <c r="BBD70" s="191"/>
      <c r="BBE70" s="191"/>
      <c r="BBF70" s="191"/>
      <c r="BBG70" s="191"/>
      <c r="BBH70" s="191"/>
      <c r="BBI70" s="191"/>
      <c r="BBJ70" s="191"/>
      <c r="BBK70" s="191"/>
      <c r="BBL70" s="191"/>
      <c r="BBM70" s="191"/>
      <c r="BBN70" s="191"/>
      <c r="BBO70" s="191"/>
      <c r="BBP70" s="191"/>
      <c r="BBQ70" s="191"/>
      <c r="BBR70" s="191"/>
      <c r="BBS70" s="191"/>
      <c r="BBT70" s="191"/>
      <c r="BBU70" s="191"/>
      <c r="BBV70" s="191"/>
      <c r="BBW70" s="191"/>
      <c r="BBX70" s="191"/>
      <c r="BBY70" s="191"/>
      <c r="BBZ70" s="191"/>
      <c r="BCA70" s="191"/>
      <c r="BCB70" s="191"/>
      <c r="BCC70" s="191"/>
      <c r="BCD70" s="191"/>
      <c r="BCE70" s="191"/>
      <c r="BCF70" s="191"/>
      <c r="BCG70" s="191"/>
      <c r="BCH70" s="191"/>
      <c r="BCI70" s="191"/>
      <c r="BCJ70" s="191"/>
      <c r="BCK70" s="191"/>
      <c r="BCL70" s="191"/>
      <c r="BCM70" s="191"/>
      <c r="BCN70" s="191"/>
      <c r="BCO70" s="191"/>
      <c r="BCP70" s="191"/>
      <c r="BCQ70" s="191"/>
      <c r="BCR70" s="191"/>
      <c r="BCS70" s="191"/>
      <c r="BCT70" s="191"/>
      <c r="BCU70" s="191"/>
      <c r="BCV70" s="191"/>
      <c r="BCW70" s="191"/>
      <c r="BCX70" s="191"/>
      <c r="BCY70" s="191"/>
      <c r="BCZ70" s="191"/>
      <c r="BDA70" s="191"/>
      <c r="BDB70" s="191"/>
      <c r="BDC70" s="191"/>
      <c r="BDD70" s="191"/>
      <c r="BDE70" s="191"/>
      <c r="BDF70" s="191"/>
      <c r="BDG70" s="191"/>
      <c r="BDH70" s="191"/>
      <c r="BDI70" s="191"/>
      <c r="BDJ70" s="191"/>
      <c r="BDK70" s="191"/>
      <c r="BDL70" s="191"/>
      <c r="BDM70" s="191"/>
      <c r="BDN70" s="191"/>
      <c r="BDO70" s="191"/>
      <c r="BDP70" s="191"/>
      <c r="BDQ70" s="191"/>
      <c r="BDR70" s="191"/>
      <c r="BDS70" s="191"/>
      <c r="BDT70" s="191"/>
      <c r="BDU70" s="191"/>
      <c r="BDV70" s="191"/>
      <c r="BDW70" s="191"/>
      <c r="BDX70" s="191"/>
      <c r="BDY70" s="191"/>
      <c r="BDZ70" s="191"/>
      <c r="BEA70" s="191"/>
      <c r="BEB70" s="191"/>
      <c r="BEC70" s="191"/>
      <c r="BED70" s="191"/>
      <c r="BEE70" s="191"/>
      <c r="BEF70" s="191"/>
      <c r="BEG70" s="191"/>
      <c r="BEH70" s="191"/>
      <c r="BEI70" s="191"/>
      <c r="BEJ70" s="191"/>
      <c r="BEK70" s="191"/>
      <c r="BEL70" s="191"/>
      <c r="BEM70" s="191"/>
      <c r="BEN70" s="191"/>
      <c r="BEO70" s="191"/>
      <c r="BEP70" s="191"/>
      <c r="BEQ70" s="191"/>
      <c r="BER70" s="191"/>
      <c r="BES70" s="191"/>
      <c r="BET70" s="191"/>
      <c r="BEU70" s="191"/>
      <c r="BEV70" s="191"/>
      <c r="BEW70" s="191"/>
      <c r="BEX70" s="191"/>
      <c r="BEY70" s="191"/>
      <c r="BEZ70" s="191"/>
      <c r="BFA70" s="191"/>
      <c r="BFB70" s="191"/>
      <c r="BFC70" s="191"/>
      <c r="BFD70" s="191"/>
      <c r="BFE70" s="191"/>
      <c r="BFF70" s="191"/>
      <c r="BFG70" s="191"/>
      <c r="BFH70" s="191"/>
      <c r="BFI70" s="191"/>
      <c r="BFJ70" s="191"/>
      <c r="BFK70" s="191"/>
      <c r="BFL70" s="191"/>
      <c r="BFM70" s="191"/>
      <c r="BFN70" s="191"/>
      <c r="BFO70" s="191"/>
      <c r="BFP70" s="191"/>
      <c r="BFQ70" s="191"/>
      <c r="BFR70" s="191"/>
      <c r="BFS70" s="191"/>
      <c r="BFT70" s="191"/>
      <c r="BFU70" s="191"/>
      <c r="BFV70" s="191"/>
      <c r="BFW70" s="191"/>
      <c r="BFX70" s="191"/>
      <c r="BFY70" s="191"/>
      <c r="BFZ70" s="191"/>
      <c r="BGA70" s="191"/>
      <c r="BGB70" s="191"/>
      <c r="BGC70" s="191"/>
      <c r="BGD70" s="191"/>
      <c r="BGE70" s="191"/>
      <c r="BGF70" s="191"/>
      <c r="BGG70" s="191"/>
      <c r="BGH70" s="191"/>
      <c r="BGI70" s="191"/>
      <c r="BGJ70" s="191"/>
      <c r="BGK70" s="191"/>
      <c r="BGL70" s="191"/>
      <c r="BGM70" s="191"/>
      <c r="BGN70" s="191"/>
      <c r="BGO70" s="191"/>
      <c r="BGP70" s="191"/>
      <c r="BGQ70" s="191"/>
      <c r="BGR70" s="191"/>
      <c r="BGS70" s="191"/>
      <c r="BGT70" s="191"/>
      <c r="BGU70" s="191"/>
      <c r="BGV70" s="191"/>
      <c r="BGW70" s="191"/>
      <c r="BGX70" s="191"/>
      <c r="BGY70" s="191"/>
      <c r="BGZ70" s="191"/>
      <c r="BHA70" s="191"/>
      <c r="BHB70" s="191"/>
      <c r="BHC70" s="191"/>
      <c r="BHD70" s="191"/>
      <c r="BHE70" s="191"/>
      <c r="BHF70" s="191"/>
      <c r="BHG70" s="191"/>
      <c r="BHH70" s="191"/>
      <c r="BHI70" s="191"/>
      <c r="BHJ70" s="191"/>
      <c r="BHK70" s="191"/>
      <c r="BHL70" s="191"/>
      <c r="BHM70" s="191"/>
      <c r="BHN70" s="191"/>
      <c r="BHO70" s="191"/>
      <c r="BHP70" s="191"/>
      <c r="BHQ70" s="191"/>
      <c r="BHR70" s="191"/>
      <c r="BHS70" s="191"/>
      <c r="BHT70" s="191"/>
      <c r="BHU70" s="191"/>
      <c r="BHV70" s="191"/>
      <c r="BHW70" s="191"/>
    </row>
    <row r="71" spans="1:1583" s="31" customFormat="1" ht="22.8" customHeight="1" thickBot="1" x14ac:dyDescent="0.3">
      <c r="B71" s="7" t="s">
        <v>2543</v>
      </c>
      <c r="C71" s="43"/>
      <c r="D71" s="43"/>
      <c r="E71" s="43"/>
      <c r="F71" s="43"/>
      <c r="G71" s="43"/>
      <c r="H71" s="43"/>
      <c r="I71" s="43"/>
      <c r="J71" s="43"/>
      <c r="K71" s="43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93"/>
      <c r="AI71" s="43"/>
      <c r="AJ71" s="43"/>
      <c r="AK71" s="43"/>
      <c r="AQ71" s="731"/>
      <c r="AR71" s="732"/>
      <c r="AS71" s="732"/>
      <c r="AT71" s="732"/>
      <c r="AU71" s="732"/>
      <c r="AV71" s="732"/>
      <c r="AW71" s="732"/>
      <c r="AX71" s="732"/>
      <c r="AY71" s="732"/>
      <c r="AZ71" s="73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92"/>
      <c r="CS71" s="92"/>
      <c r="CT71" s="43"/>
      <c r="CU71" s="43"/>
      <c r="CV71" s="43"/>
      <c r="CW71" s="43"/>
      <c r="CX71" s="43"/>
      <c r="DP71" s="30"/>
      <c r="DQ71" s="43"/>
      <c r="DS71" s="43"/>
      <c r="DT71" s="43"/>
      <c r="DU71" s="43"/>
      <c r="DV71" s="43"/>
      <c r="DW71" s="43"/>
      <c r="DX71" s="43"/>
      <c r="DY71" s="43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43"/>
      <c r="EY71" s="43"/>
      <c r="EZ71" s="43"/>
      <c r="FA71" s="43"/>
      <c r="FB71" s="43"/>
      <c r="FC71" s="30"/>
      <c r="FE71" s="30"/>
      <c r="FH71" s="30"/>
      <c r="FI71" s="30"/>
      <c r="FJ71" s="30"/>
      <c r="FK71" s="30"/>
      <c r="FL71" s="30"/>
      <c r="FM71" s="30"/>
      <c r="FN71" s="30"/>
      <c r="FO71" s="30"/>
      <c r="FP71" s="30"/>
      <c r="FQ71" s="30"/>
      <c r="FR71" s="30"/>
      <c r="FS71" s="30"/>
      <c r="FT71" s="30"/>
      <c r="FU71" s="30"/>
      <c r="FV71" s="30"/>
      <c r="FW71" s="30"/>
      <c r="FX71" s="30"/>
      <c r="FY71" s="30"/>
      <c r="FZ71" s="30"/>
      <c r="GA71" s="30"/>
      <c r="GB71" s="30"/>
      <c r="GC71" s="30"/>
      <c r="GD71" s="30"/>
      <c r="GE71" s="78"/>
      <c r="GF71" s="78"/>
      <c r="GG71" s="78"/>
      <c r="GH71" s="78"/>
      <c r="GI71" s="78"/>
      <c r="GJ71" s="78"/>
      <c r="GK71" s="79"/>
      <c r="GL71" s="79"/>
      <c r="GM71" s="79"/>
      <c r="GN71" s="30"/>
      <c r="HC71" s="78"/>
      <c r="HD71" s="78"/>
      <c r="HE71" s="78"/>
      <c r="HF71" s="78"/>
      <c r="HG71" s="78"/>
      <c r="HH71" s="78"/>
      <c r="HI71" s="78"/>
      <c r="HJ71" s="78"/>
      <c r="HK71" s="78"/>
      <c r="HL71" s="78"/>
      <c r="HM71" s="78"/>
      <c r="HN71" s="78"/>
      <c r="HP71" s="92"/>
      <c r="IT71" s="92"/>
      <c r="JZ71" s="92"/>
      <c r="LE71" s="92"/>
      <c r="MK71" s="92"/>
      <c r="MQ71" s="310"/>
      <c r="ND71" s="31">
        <f>9050-6611</f>
        <v>2439</v>
      </c>
      <c r="NE71" s="310"/>
      <c r="NG71" s="31">
        <v>11</v>
      </c>
      <c r="NH71" s="31">
        <v>590</v>
      </c>
      <c r="NI71" s="310"/>
      <c r="NO71" s="310"/>
      <c r="NP71" s="92"/>
      <c r="NQ71" s="310"/>
      <c r="NR71" s="310"/>
      <c r="NS71" s="310"/>
      <c r="NT71" s="310"/>
      <c r="NU71" s="310"/>
      <c r="NV71" s="310"/>
      <c r="NW71" s="310"/>
      <c r="NX71" s="310"/>
      <c r="NY71" s="310"/>
      <c r="NZ71" s="310"/>
      <c r="OA71" s="310"/>
      <c r="OB71" s="310"/>
      <c r="OD71" s="31" t="s">
        <v>485</v>
      </c>
      <c r="OL71" s="298"/>
      <c r="OM71" s="298"/>
      <c r="ON71" s="298"/>
      <c r="OO71" s="298"/>
      <c r="OP71" s="298"/>
      <c r="OQ71" s="298"/>
      <c r="OR71" s="298"/>
      <c r="OS71" s="310"/>
      <c r="OT71" s="310"/>
      <c r="OU71" s="310"/>
      <c r="OV71" s="92"/>
      <c r="PK71" s="310"/>
      <c r="PP71" s="310"/>
      <c r="PQ71" s="310"/>
      <c r="PR71" s="310"/>
      <c r="PS71" s="310"/>
      <c r="PT71" s="310"/>
      <c r="QE71" s="310"/>
      <c r="QF71" s="310"/>
      <c r="QG71" s="310"/>
      <c r="QH71" s="310"/>
      <c r="QI71" s="310"/>
      <c r="QJ71" s="310"/>
      <c r="QK71" s="310"/>
      <c r="QP71" s="310"/>
      <c r="QY71" s="310"/>
      <c r="QZ71" s="310"/>
      <c r="RA71" s="310"/>
      <c r="RB71" s="310"/>
      <c r="RC71" s="310"/>
      <c r="RD71" s="310"/>
      <c r="RE71" s="310"/>
      <c r="RG71" s="92"/>
      <c r="RI71" s="310"/>
      <c r="RJ71" s="310"/>
      <c r="RK71" s="310"/>
      <c r="RL71" s="310"/>
      <c r="RM71" s="310"/>
      <c r="RO71" s="310"/>
      <c r="RP71" s="310"/>
      <c r="RQ71" s="310"/>
      <c r="RR71" s="310"/>
      <c r="RS71" s="310"/>
      <c r="RT71" s="310"/>
      <c r="RU71" s="310"/>
      <c r="RV71" s="310"/>
      <c r="SD71" s="310"/>
      <c r="SE71" s="310"/>
      <c r="SF71" s="310"/>
      <c r="SG71" s="310"/>
      <c r="SH71" s="310"/>
      <c r="SJ71" s="310"/>
      <c r="SM71" s="11"/>
      <c r="SN71" s="462" t="s">
        <v>1622</v>
      </c>
      <c r="SO71" s="462" t="s">
        <v>1136</v>
      </c>
      <c r="SP71" s="462" t="s">
        <v>1614</v>
      </c>
      <c r="SQ71" s="463" t="s">
        <v>1619</v>
      </c>
      <c r="SR71" s="462" t="s">
        <v>1617</v>
      </c>
      <c r="SS71" s="464"/>
      <c r="ST71" s="464"/>
      <c r="SU71" s="463" t="s">
        <v>1615</v>
      </c>
      <c r="SV71" s="464"/>
      <c r="SW71" s="464"/>
      <c r="SX71" s="464"/>
      <c r="SY71" s="464"/>
      <c r="SZ71" s="464"/>
      <c r="TA71" s="464"/>
      <c r="TB71" s="462" t="s">
        <v>1626</v>
      </c>
      <c r="TC71" s="463" t="s">
        <v>1628</v>
      </c>
      <c r="TD71" s="464"/>
      <c r="TE71" s="465"/>
      <c r="TF71" s="465"/>
      <c r="TG71" s="465"/>
      <c r="TH71" s="465"/>
      <c r="TI71" s="465"/>
      <c r="TJ71" s="465"/>
      <c r="TK71" s="465"/>
      <c r="TL71" s="465"/>
      <c r="TM71" s="463" t="s">
        <v>1734</v>
      </c>
      <c r="TN71" s="465"/>
      <c r="TO71" s="465"/>
      <c r="TP71" s="465"/>
      <c r="TQ71" s="465"/>
      <c r="TR71" s="92">
        <v>7</v>
      </c>
      <c r="TS71" s="462" t="s">
        <v>1260</v>
      </c>
      <c r="TT71" s="462" t="s">
        <v>1310</v>
      </c>
      <c r="TU71" s="462" t="s">
        <v>1740</v>
      </c>
      <c r="TW71" s="462" t="s">
        <v>1743</v>
      </c>
      <c r="TX71" s="462" t="s">
        <v>1310</v>
      </c>
      <c r="TY71" s="462" t="s">
        <v>1262</v>
      </c>
      <c r="TZ71" s="466" t="s">
        <v>1750</v>
      </c>
      <c r="UA71" s="465"/>
      <c r="UB71" s="465"/>
      <c r="UC71" s="465"/>
      <c r="UD71" s="465"/>
      <c r="UE71" s="465"/>
      <c r="UF71" s="465"/>
      <c r="UG71" s="465"/>
      <c r="UH71" s="465"/>
      <c r="UI71" s="465"/>
      <c r="UJ71" s="465"/>
      <c r="UK71" s="465"/>
      <c r="UL71" s="465"/>
      <c r="UM71" s="465"/>
      <c r="UN71" s="465"/>
      <c r="UO71" s="462" t="s">
        <v>1802</v>
      </c>
      <c r="UP71" s="466" t="s">
        <v>1815</v>
      </c>
      <c r="UQ71" s="465"/>
      <c r="UR71" s="465"/>
      <c r="US71" s="465"/>
      <c r="UT71" s="465"/>
      <c r="UU71" s="462" t="s">
        <v>1823</v>
      </c>
      <c r="UV71" s="462" t="s">
        <v>1825</v>
      </c>
      <c r="UW71" s="462" t="s">
        <v>1827</v>
      </c>
      <c r="UX71" s="92"/>
      <c r="UZ71" s="466" t="s">
        <v>1816</v>
      </c>
      <c r="VA71" s="462" t="s">
        <v>1832</v>
      </c>
      <c r="VB71" s="465"/>
      <c r="VC71" s="466" t="s">
        <v>1863</v>
      </c>
      <c r="VD71" s="462" t="s">
        <v>1825</v>
      </c>
      <c r="VE71" s="481" t="s">
        <v>1876</v>
      </c>
      <c r="VF71" s="465"/>
      <c r="VG71" s="481" t="s">
        <v>1877</v>
      </c>
      <c r="VH71" s="462" t="s">
        <v>1911</v>
      </c>
      <c r="VI71" s="462" t="s">
        <v>1909</v>
      </c>
      <c r="VJ71" s="465"/>
      <c r="VK71" s="465"/>
      <c r="VL71" s="465"/>
      <c r="VM71" s="465"/>
      <c r="VN71" s="465"/>
      <c r="VO71" s="465"/>
      <c r="VP71" s="465"/>
      <c r="VQ71" s="465"/>
      <c r="VR71" s="465"/>
      <c r="VS71" s="481" t="s">
        <v>1924</v>
      </c>
      <c r="VT71" s="465"/>
      <c r="VU71" s="465"/>
      <c r="VV71" s="465"/>
      <c r="VW71" s="465"/>
      <c r="VX71" s="465"/>
      <c r="VY71" s="465"/>
      <c r="VZ71" s="466" t="s">
        <v>1570</v>
      </c>
      <c r="WA71" s="465"/>
      <c r="WB71" s="462" t="s">
        <v>1910</v>
      </c>
      <c r="WC71" s="465"/>
      <c r="WD71" s="92"/>
      <c r="WE71" s="465"/>
      <c r="WF71" s="465"/>
      <c r="WG71" s="465"/>
      <c r="WH71" s="465"/>
      <c r="WI71" s="465"/>
      <c r="WJ71" s="465"/>
      <c r="WK71" s="465"/>
      <c r="WL71" s="465"/>
      <c r="WM71" s="465"/>
      <c r="WN71" s="465"/>
      <c r="WO71" s="465"/>
      <c r="WP71" s="465"/>
      <c r="WQ71" s="465"/>
      <c r="WR71" s="465"/>
      <c r="WS71" s="465"/>
      <c r="WT71" s="465"/>
      <c r="WU71" s="465"/>
      <c r="WV71" s="465"/>
      <c r="WW71" s="465"/>
      <c r="WX71" s="465"/>
      <c r="WY71" s="465"/>
      <c r="WZ71" s="465"/>
      <c r="XA71" s="465"/>
      <c r="XB71" s="465"/>
      <c r="XC71" s="465"/>
      <c r="XD71" s="465"/>
      <c r="XE71" s="465"/>
      <c r="XF71" s="465"/>
      <c r="XG71" s="92"/>
      <c r="XH71" s="298"/>
      <c r="XI71" s="298"/>
      <c r="XJ71" s="298"/>
      <c r="XK71" s="298"/>
      <c r="XL71" s="298"/>
      <c r="XM71" s="298"/>
      <c r="XN71" s="298"/>
      <c r="XO71" s="298"/>
      <c r="XP71" s="298"/>
      <c r="XQ71" s="298"/>
      <c r="XR71" s="298"/>
      <c r="XS71" s="298"/>
      <c r="XT71" s="298"/>
      <c r="XU71" s="298"/>
      <c r="XV71" s="298"/>
      <c r="XW71" s="298"/>
      <c r="XX71" s="298"/>
      <c r="XY71" s="298"/>
      <c r="XZ71" s="298"/>
      <c r="YA71" s="298"/>
      <c r="YB71" s="298"/>
      <c r="YC71" s="462" t="s">
        <v>2116</v>
      </c>
      <c r="YD71" s="298"/>
      <c r="YE71" s="462" t="s">
        <v>2122</v>
      </c>
      <c r="YF71" s="180" t="s">
        <v>2151</v>
      </c>
      <c r="YG71" s="298"/>
      <c r="YH71" s="298"/>
      <c r="YI71" s="298"/>
      <c r="YJ71" s="298"/>
      <c r="YM71" s="92"/>
      <c r="YZ71" s="462" t="s">
        <v>2203</v>
      </c>
      <c r="ZD71" s="462" t="s">
        <v>2206</v>
      </c>
      <c r="ZN71" s="580" t="s">
        <v>1734</v>
      </c>
      <c r="ZO71" s="580" t="s">
        <v>1734</v>
      </c>
      <c r="ZP71" s="580" t="s">
        <v>1188</v>
      </c>
      <c r="ZR71" s="92"/>
      <c r="ZT71" s="310"/>
      <c r="ZU71" s="310"/>
      <c r="ZV71" s="310"/>
      <c r="ZW71" s="310"/>
      <c r="AAQ71" s="310"/>
      <c r="AAR71" s="310"/>
      <c r="AAS71" s="310"/>
      <c r="AAT71" s="310"/>
      <c r="AAU71" s="310"/>
      <c r="AAV71" s="310"/>
      <c r="AAW71" s="310"/>
      <c r="AAX71" s="520" t="s">
        <v>2315</v>
      </c>
      <c r="AAY71" s="310"/>
      <c r="AAZ71" s="310"/>
      <c r="ABA71" s="310"/>
      <c r="ABB71" s="310"/>
      <c r="ABC71" s="310"/>
      <c r="ABD71" s="310"/>
      <c r="ABE71" s="310"/>
      <c r="ABF71" s="310"/>
      <c r="ABG71" s="310"/>
      <c r="ABH71" s="310"/>
      <c r="ABI71" s="310"/>
      <c r="ABJ71" s="310"/>
      <c r="ABK71" s="310"/>
      <c r="ABL71" s="310"/>
      <c r="ABM71" s="310"/>
      <c r="ABN71" s="310"/>
      <c r="ABO71" s="310"/>
      <c r="ABP71" s="310"/>
      <c r="ABQ71" s="310"/>
      <c r="ABR71" s="310"/>
      <c r="ABS71" s="310"/>
      <c r="ABT71" s="310"/>
      <c r="ABU71" s="310"/>
      <c r="ABV71" s="310"/>
      <c r="ABW71" s="310"/>
      <c r="ABX71" s="310"/>
      <c r="ABY71" s="310"/>
      <c r="ABZ71" s="310"/>
      <c r="ACA71" s="310"/>
      <c r="ACB71" s="310"/>
      <c r="ACC71" s="195" t="s">
        <v>2315</v>
      </c>
      <c r="ACF71" s="310"/>
      <c r="ACG71" s="310"/>
      <c r="ACH71" s="310"/>
      <c r="ACI71" s="310"/>
      <c r="ACJ71" s="310"/>
      <c r="ACK71" s="310"/>
      <c r="ACL71" s="310"/>
      <c r="ACM71" s="310"/>
      <c r="ACN71" s="310"/>
      <c r="ACO71" s="310"/>
      <c r="ACP71" s="310"/>
      <c r="ACQ71" s="310"/>
      <c r="ACR71" s="310"/>
      <c r="ACS71" s="310"/>
      <c r="ACT71" s="310"/>
      <c r="ACU71" s="310"/>
      <c r="ACV71" s="310"/>
      <c r="ACW71" s="788"/>
      <c r="ACX71" s="789"/>
      <c r="ACY71" s="789"/>
      <c r="ACZ71" s="789"/>
      <c r="ADA71" s="789"/>
      <c r="ADB71" s="789"/>
      <c r="ADC71" s="789"/>
      <c r="ADD71" s="789"/>
      <c r="ADE71" s="789"/>
      <c r="ADF71" s="789"/>
      <c r="ADG71" s="790"/>
      <c r="ADH71" s="583"/>
      <c r="ADI71" s="47" t="s">
        <v>2315</v>
      </c>
      <c r="ADJ71" s="314"/>
      <c r="ADK71" s="314"/>
      <c r="ADL71" s="314"/>
      <c r="ADM71" s="314"/>
      <c r="ADN71" s="314"/>
      <c r="ADO71" s="314"/>
      <c r="ADP71" s="633" t="s">
        <v>2199</v>
      </c>
      <c r="ADQ71" s="314"/>
      <c r="ADR71" s="314"/>
      <c r="ADS71" s="314"/>
      <c r="ADT71" s="314"/>
      <c r="ADU71" s="314"/>
      <c r="ADV71" s="314"/>
      <c r="ADW71" s="314"/>
      <c r="ADX71" s="314"/>
      <c r="ADY71" s="314"/>
      <c r="ADZ71" s="314"/>
      <c r="AEA71" s="314"/>
      <c r="AEB71" s="314"/>
      <c r="AEC71" s="314"/>
      <c r="AED71" s="314"/>
      <c r="AEE71" s="316" t="s">
        <v>2469</v>
      </c>
      <c r="AEF71" s="180" t="s">
        <v>2489</v>
      </c>
      <c r="AEG71" s="316" t="s">
        <v>1910</v>
      </c>
      <c r="AEH71" s="314"/>
      <c r="AEI71" s="316" t="s">
        <v>2009</v>
      </c>
      <c r="AEJ71" s="314"/>
      <c r="AEK71" s="316" t="s">
        <v>2494</v>
      </c>
      <c r="AEL71" s="180" t="s">
        <v>1750</v>
      </c>
      <c r="AEM71" s="180" t="s">
        <v>2509</v>
      </c>
      <c r="AEN71" s="180" t="s">
        <v>2510</v>
      </c>
      <c r="AEO71" s="7" t="s">
        <v>2315</v>
      </c>
      <c r="AEP71" s="180" t="s">
        <v>1570</v>
      </c>
      <c r="AEQ71" s="316" t="s">
        <v>2513</v>
      </c>
      <c r="AER71" s="314"/>
      <c r="AES71" s="180" t="s">
        <v>2515</v>
      </c>
      <c r="AET71" s="314"/>
      <c r="AEU71" s="316" t="s">
        <v>2494</v>
      </c>
      <c r="AEV71" s="316" t="s">
        <v>2494</v>
      </c>
      <c r="AEX71" s="352" t="s">
        <v>2457</v>
      </c>
      <c r="AEY71" s="314"/>
      <c r="AEZ71" s="352" t="s">
        <v>2454</v>
      </c>
      <c r="AFA71" s="352" t="s">
        <v>2459</v>
      </c>
      <c r="AFB71" s="639" t="s">
        <v>2547</v>
      </c>
      <c r="AFC71" s="352" t="s">
        <v>2457</v>
      </c>
      <c r="AFD71" s="316" t="s">
        <v>2548</v>
      </c>
      <c r="AFE71" s="316" t="s">
        <v>2111</v>
      </c>
      <c r="AFF71" s="314"/>
      <c r="AFG71" s="316" t="s">
        <v>2550</v>
      </c>
      <c r="AFH71" s="352" t="s">
        <v>2018</v>
      </c>
      <c r="AFI71" s="352" t="s">
        <v>2553</v>
      </c>
      <c r="AFJ71" s="352" t="s">
        <v>2554</v>
      </c>
      <c r="AFK71" s="352" t="s">
        <v>2580</v>
      </c>
      <c r="AFL71" s="314"/>
      <c r="AFM71" s="314"/>
      <c r="AFN71" s="352" t="s">
        <v>2456</v>
      </c>
      <c r="AFO71" s="352" t="s">
        <v>2456</v>
      </c>
      <c r="AFP71" s="352" t="s">
        <v>2456</v>
      </c>
      <c r="AFQ71" s="352" t="s">
        <v>2021</v>
      </c>
      <c r="AFR71" s="319" t="s">
        <v>933</v>
      </c>
      <c r="AFS71" s="314"/>
      <c r="AFT71" s="7" t="s">
        <v>2315</v>
      </c>
      <c r="AFU71" s="364"/>
      <c r="AFV71" s="180" t="s">
        <v>1750</v>
      </c>
      <c r="AFW71" s="352" t="s">
        <v>2457</v>
      </c>
      <c r="AFX71" s="319" t="s">
        <v>2656</v>
      </c>
      <c r="AFY71" s="319" t="s">
        <v>2656</v>
      </c>
      <c r="AFZ71" s="319" t="s">
        <v>2656</v>
      </c>
      <c r="AGA71" s="364"/>
      <c r="AGB71" s="364"/>
      <c r="AGC71" s="352" t="s">
        <v>2020</v>
      </c>
      <c r="AGD71" s="352" t="s">
        <v>2020</v>
      </c>
      <c r="AGE71" s="352" t="s">
        <v>2677</v>
      </c>
      <c r="AGF71" s="352" t="s">
        <v>2677</v>
      </c>
      <c r="AGG71" s="352" t="s">
        <v>2677</v>
      </c>
      <c r="AGH71" s="180" t="s">
        <v>2715</v>
      </c>
      <c r="AGI71" s="364"/>
      <c r="AGJ71" s="319" t="s">
        <v>930</v>
      </c>
      <c r="AGK71" s="319" t="s">
        <v>930</v>
      </c>
      <c r="AGL71" s="319" t="s">
        <v>930</v>
      </c>
      <c r="AGM71" s="180" t="s">
        <v>2718</v>
      </c>
      <c r="AGN71" s="316" t="s">
        <v>2714</v>
      </c>
      <c r="AGO71" s="180" t="s">
        <v>2721</v>
      </c>
      <c r="AGP71" s="364"/>
      <c r="AGQ71" s="319" t="s">
        <v>2722</v>
      </c>
      <c r="AGR71" s="316" t="s">
        <v>2717</v>
      </c>
      <c r="AGS71" s="666" t="s">
        <v>1751</v>
      </c>
      <c r="AGT71" s="666" t="s">
        <v>2218</v>
      </c>
      <c r="AGU71" s="180" t="s">
        <v>2787</v>
      </c>
      <c r="AGV71" s="180" t="s">
        <v>2720</v>
      </c>
      <c r="AGW71" s="364"/>
      <c r="AGX71" s="316" t="s">
        <v>2116</v>
      </c>
      <c r="AGY71" s="316" t="s">
        <v>2797</v>
      </c>
      <c r="AGZ71" s="7" t="s">
        <v>2315</v>
      </c>
      <c r="AHA71" s="316" t="s">
        <v>2805</v>
      </c>
      <c r="AHB71" s="316" t="s">
        <v>2811</v>
      </c>
      <c r="AHC71" s="180" t="s">
        <v>1630</v>
      </c>
      <c r="AHD71" s="316" t="s">
        <v>2816</v>
      </c>
      <c r="AHE71" s="364"/>
      <c r="AHF71" s="316" t="s">
        <v>2797</v>
      </c>
      <c r="AHG71" s="316" t="s">
        <v>2805</v>
      </c>
      <c r="AHH71" s="316" t="s">
        <v>2828</v>
      </c>
      <c r="AHI71" s="666" t="s">
        <v>2815</v>
      </c>
      <c r="AHJ71" s="666" t="s">
        <v>2851</v>
      </c>
      <c r="AHK71" s="666" t="s">
        <v>2855</v>
      </c>
      <c r="AHL71" s="364"/>
      <c r="AHM71" s="666" t="s">
        <v>2788</v>
      </c>
      <c r="AHN71" s="316" t="s">
        <v>2831</v>
      </c>
      <c r="AHO71" s="316" t="s">
        <v>2855</v>
      </c>
      <c r="AHP71" s="364"/>
      <c r="AHQ71" s="316" t="s">
        <v>2854</v>
      </c>
      <c r="AHR71" s="364"/>
      <c r="AHS71" s="364"/>
      <c r="AHT71" s="364"/>
      <c r="AHU71" s="364"/>
      <c r="AHV71" s="364"/>
      <c r="AHW71" s="364"/>
      <c r="AHX71" s="364"/>
      <c r="AHY71" s="364"/>
      <c r="AHZ71" s="364"/>
      <c r="AIA71" s="364"/>
      <c r="AIB71" s="364"/>
      <c r="AIC71" s="364"/>
      <c r="AID71" s="364"/>
      <c r="AIE71" s="7" t="s">
        <v>2315</v>
      </c>
      <c r="AIF71" s="310"/>
      <c r="AIG71" s="310"/>
      <c r="AIH71" s="310"/>
      <c r="AII71" s="310"/>
      <c r="AIJ71" s="310"/>
      <c r="AIK71" s="310"/>
      <c r="AIL71" s="310"/>
      <c r="AIM71" s="310"/>
      <c r="AIN71" s="310"/>
      <c r="AIO71" s="310"/>
      <c r="AIP71" s="310"/>
      <c r="AIQ71" s="310"/>
      <c r="AIR71" s="310"/>
      <c r="AIS71" s="310"/>
      <c r="AIT71" s="310"/>
      <c r="AIU71" s="310"/>
      <c r="AIV71" s="310"/>
      <c r="AIW71" s="310"/>
      <c r="AIX71" s="310"/>
      <c r="AIY71" s="310"/>
      <c r="AIZ71" s="310"/>
      <c r="AJA71" s="310"/>
      <c r="AJB71" s="310"/>
      <c r="AJC71" s="310"/>
      <c r="AJD71" s="310"/>
      <c r="AJE71" s="310"/>
      <c r="AJF71" s="310"/>
      <c r="AJG71" s="310"/>
      <c r="AJH71" s="310"/>
      <c r="AJI71" s="310"/>
      <c r="AJJ71" s="310"/>
      <c r="AJK71" s="7" t="s">
        <v>2315</v>
      </c>
      <c r="AJL71" s="345" t="s">
        <v>2628</v>
      </c>
      <c r="AJM71" s="345"/>
      <c r="AJN71" s="352"/>
      <c r="AJO71" s="352"/>
      <c r="AJP71" s="352"/>
      <c r="AJQ71" s="352"/>
      <c r="AJR71" s="352"/>
      <c r="AJS71" s="352"/>
      <c r="AJT71" s="352"/>
      <c r="AJU71" s="352"/>
      <c r="AJV71" s="352"/>
      <c r="AJW71" s="352"/>
      <c r="AJX71" s="352"/>
      <c r="AJY71" s="352"/>
      <c r="AJZ71" s="352"/>
      <c r="AKA71" s="352"/>
      <c r="AKB71" s="352"/>
      <c r="AKC71" s="352"/>
      <c r="AKD71" s="352"/>
      <c r="AKE71" s="352"/>
      <c r="AKF71" s="352"/>
      <c r="AKG71" s="352"/>
      <c r="AKH71" s="352"/>
      <c r="AKI71" s="352"/>
      <c r="AKJ71" s="352"/>
      <c r="AKK71" s="352"/>
      <c r="AKL71" s="352"/>
      <c r="AKM71" s="345" t="s">
        <v>2846</v>
      </c>
      <c r="AKN71" s="345"/>
      <c r="AKO71" s="352"/>
      <c r="AKP71" s="352"/>
      <c r="AKQ71" s="7" t="s">
        <v>2543</v>
      </c>
      <c r="AKR71" s="352" t="s">
        <v>2846</v>
      </c>
      <c r="AKS71" s="352"/>
      <c r="AKT71" s="352"/>
      <c r="AKU71" s="352"/>
      <c r="AKV71" s="352"/>
      <c r="AKW71" s="352"/>
      <c r="AKX71" s="352"/>
      <c r="AKY71" s="352"/>
      <c r="AKZ71" s="352"/>
      <c r="ALA71" s="352"/>
      <c r="ALB71" s="352"/>
      <c r="ALC71" s="352"/>
      <c r="ALD71" s="352"/>
      <c r="ALE71" s="352"/>
      <c r="ALF71" s="352"/>
      <c r="ALG71" s="352"/>
      <c r="ALH71" s="352"/>
      <c r="ALI71" s="352"/>
      <c r="ALJ71" s="352"/>
      <c r="ALK71" s="352"/>
      <c r="ALL71" s="352"/>
      <c r="ALM71" s="352"/>
      <c r="ALN71" s="352"/>
      <c r="ALO71" s="352"/>
      <c r="ALP71" s="352"/>
      <c r="ALQ71" s="352"/>
      <c r="ALR71" s="352"/>
      <c r="ALS71" s="352"/>
      <c r="ALT71" s="7" t="s">
        <v>2543</v>
      </c>
      <c r="ALU71" s="352" t="s">
        <v>2846</v>
      </c>
      <c r="ALV71" s="352"/>
      <c r="ALW71" s="352"/>
      <c r="ALX71" s="352"/>
      <c r="ALY71" s="352"/>
      <c r="ALZ71" s="352"/>
      <c r="AMA71" s="352"/>
      <c r="AMB71" s="352"/>
      <c r="AMC71" s="352"/>
      <c r="AMD71" s="352"/>
      <c r="AME71" s="352"/>
      <c r="AMF71" s="361" t="s">
        <v>2849</v>
      </c>
      <c r="AMG71" s="361"/>
      <c r="AMH71" s="319"/>
      <c r="AMI71" s="319"/>
      <c r="AMJ71" s="319"/>
      <c r="AMK71" s="319"/>
      <c r="AML71" s="319"/>
      <c r="AMM71" s="319"/>
      <c r="AMN71" s="319"/>
      <c r="AMO71" s="319"/>
      <c r="AMP71" s="319"/>
      <c r="AMQ71" s="319"/>
      <c r="AMR71" s="319"/>
      <c r="AMS71" s="319"/>
      <c r="AMT71" s="319"/>
      <c r="AMU71" s="319"/>
      <c r="AMV71" s="319"/>
      <c r="AMW71" s="361" t="s">
        <v>2847</v>
      </c>
      <c r="AMX71" s="318"/>
      <c r="AMY71" s="319"/>
      <c r="AMZ71" s="7" t="s">
        <v>2543</v>
      </c>
      <c r="ANA71" s="319" t="s">
        <v>2847</v>
      </c>
      <c r="ANB71" s="319"/>
      <c r="ANC71" s="319"/>
      <c r="AND71" s="319"/>
      <c r="ANE71" s="319"/>
      <c r="ANF71" s="319"/>
      <c r="ANG71" s="319"/>
      <c r="ANH71" s="319"/>
      <c r="ANI71" s="319"/>
      <c r="ANJ71" s="319"/>
      <c r="ANK71" s="319"/>
      <c r="ANL71" s="319"/>
      <c r="ANM71" s="319"/>
      <c r="ANN71" s="319"/>
      <c r="ANO71" s="319"/>
      <c r="ANP71" s="319"/>
      <c r="ANQ71" s="319"/>
      <c r="ANR71" s="319"/>
      <c r="ANS71" s="319"/>
      <c r="ANT71" s="319"/>
      <c r="ANU71" s="319"/>
      <c r="ANV71" s="319"/>
      <c r="ANW71" s="319"/>
      <c r="ANX71" s="310"/>
      <c r="ANY71" s="310"/>
      <c r="ANZ71" s="310"/>
      <c r="AOA71" s="310"/>
      <c r="AOB71" s="310"/>
      <c r="AOC71" s="310"/>
      <c r="AOD71" s="310"/>
      <c r="AOE71" s="7" t="s">
        <v>2543</v>
      </c>
      <c r="AOF71" s="159"/>
      <c r="AOG71" s="159"/>
      <c r="AOH71" s="159"/>
      <c r="AOI71" s="159"/>
      <c r="AOJ71" s="159"/>
      <c r="AOK71" s="159"/>
      <c r="AOL71" s="159"/>
      <c r="AOM71" s="159"/>
      <c r="AON71" s="159"/>
      <c r="AOO71" s="659"/>
      <c r="AOP71" s="659"/>
      <c r="AOQ71" s="659"/>
      <c r="AOR71" s="659"/>
      <c r="AOS71" s="659"/>
      <c r="AOT71" s="659"/>
      <c r="AOU71" s="659"/>
      <c r="AOV71" s="659"/>
      <c r="AOW71" s="659"/>
      <c r="AOX71" s="659"/>
      <c r="AOY71" s="659"/>
      <c r="AOZ71" s="659"/>
      <c r="APA71" s="659"/>
      <c r="APB71" s="659"/>
      <c r="APC71" s="659"/>
      <c r="APD71" s="659"/>
      <c r="APE71" s="659"/>
      <c r="APF71" s="659"/>
      <c r="APG71" s="659"/>
      <c r="APH71" s="659"/>
      <c r="API71" s="659"/>
      <c r="APJ71" s="659"/>
      <c r="APK71" s="7" t="s">
        <v>2543</v>
      </c>
      <c r="APL71" s="659"/>
      <c r="APM71" s="659"/>
      <c r="APN71" s="659"/>
      <c r="APO71" s="659"/>
      <c r="APP71" s="659"/>
      <c r="APQ71" s="659"/>
      <c r="APR71" s="659"/>
      <c r="APS71" s="659"/>
      <c r="APT71" s="659"/>
      <c r="APU71" s="659"/>
      <c r="APV71" s="659"/>
      <c r="APW71" s="659"/>
      <c r="APX71" s="659"/>
      <c r="APY71" s="659"/>
      <c r="APZ71" s="659"/>
      <c r="AQA71" s="659"/>
      <c r="AQB71" s="659"/>
      <c r="AQC71" s="659"/>
      <c r="AQD71" s="659"/>
      <c r="AQE71" s="659"/>
      <c r="AQF71" s="659"/>
      <c r="AQG71" s="659"/>
      <c r="AQH71" s="659"/>
      <c r="AQI71" s="659"/>
      <c r="AQJ71" s="659"/>
      <c r="AQK71" s="659"/>
      <c r="AQL71" s="659"/>
      <c r="AQM71" s="659"/>
      <c r="AQN71" s="659"/>
      <c r="AQO71" s="659"/>
      <c r="AQP71" s="7" t="s">
        <v>2543</v>
      </c>
      <c r="AQQ71" s="659"/>
      <c r="AQR71" s="659"/>
      <c r="AQS71" s="659"/>
      <c r="AQT71" s="659"/>
      <c r="AQU71" s="659"/>
      <c r="AQV71" s="659"/>
      <c r="AQW71" s="659"/>
      <c r="AQX71" s="637"/>
      <c r="AQY71" s="637"/>
      <c r="AQZ71" s="637"/>
      <c r="ARA71" s="637"/>
      <c r="ARB71" s="637"/>
      <c r="ARC71" s="637"/>
      <c r="ARD71" s="637"/>
      <c r="ARE71" s="637"/>
      <c r="ARF71" s="637"/>
      <c r="ARG71" s="659"/>
      <c r="ARH71" s="659"/>
      <c r="ARI71" s="659"/>
      <c r="ARJ71" s="659"/>
      <c r="ARK71" s="659"/>
      <c r="ARL71" s="659"/>
      <c r="ARM71" s="659"/>
      <c r="ARN71" s="659"/>
      <c r="ARO71" s="659"/>
      <c r="ARP71" s="659"/>
      <c r="ARQ71" s="659"/>
      <c r="ARR71" s="659"/>
      <c r="ARS71" s="659"/>
      <c r="ART71" s="659"/>
      <c r="ARU71" s="659"/>
      <c r="ARV71" s="7" t="s">
        <v>2543</v>
      </c>
      <c r="ARW71" s="659"/>
      <c r="ARX71" s="659"/>
      <c r="ARY71" s="659"/>
      <c r="ARZ71" s="659"/>
      <c r="ASA71" s="659"/>
      <c r="ASB71" s="659"/>
      <c r="ASC71" s="659"/>
      <c r="ASD71" s="659"/>
      <c r="ASE71" s="659"/>
      <c r="ASF71" s="659"/>
      <c r="ASG71" s="659"/>
      <c r="ASH71" s="659"/>
      <c r="ASI71" s="659"/>
      <c r="ASJ71" s="659"/>
      <c r="ASK71" s="659"/>
      <c r="ASL71" s="659"/>
      <c r="ASM71" s="659"/>
      <c r="ASN71" s="659"/>
      <c r="ASO71" s="659"/>
      <c r="ASP71" s="659"/>
      <c r="ASQ71" s="659"/>
      <c r="ASR71" s="659"/>
      <c r="ASS71" s="659"/>
      <c r="AST71" s="659"/>
      <c r="ASU71" s="659"/>
      <c r="ASV71" s="659"/>
      <c r="ASW71" s="659"/>
      <c r="ASX71" s="659"/>
      <c r="ASY71" s="659"/>
      <c r="ASZ71" s="659"/>
      <c r="ATA71" s="659"/>
      <c r="ATB71" s="7" t="s">
        <v>2543</v>
      </c>
      <c r="ATC71" s="659"/>
      <c r="ATD71" s="659"/>
      <c r="ATE71" s="659"/>
      <c r="ATF71" s="659"/>
      <c r="ATG71" s="659"/>
      <c r="ATH71" s="659"/>
      <c r="ATI71" s="659"/>
      <c r="ATJ71" s="659"/>
      <c r="ATK71" s="659"/>
      <c r="ATL71" s="659"/>
      <c r="ATM71" s="659"/>
      <c r="ATN71" s="659"/>
      <c r="ATO71" s="659"/>
      <c r="ATP71" s="659"/>
      <c r="ATQ71" s="659"/>
      <c r="ATR71" s="659"/>
      <c r="ATS71" s="659"/>
      <c r="ATT71" s="659"/>
      <c r="ATU71" s="659"/>
      <c r="ATV71" s="659"/>
      <c r="ATW71" s="659"/>
      <c r="ATX71" s="659"/>
      <c r="ATY71" s="659"/>
      <c r="ATZ71" s="659"/>
      <c r="AUA71" s="659"/>
      <c r="AUB71" s="659"/>
      <c r="AUC71" s="659"/>
      <c r="AUD71" s="659"/>
      <c r="AUE71" s="659"/>
      <c r="AUF71" s="659"/>
      <c r="AUG71" s="7" t="s">
        <v>2543</v>
      </c>
      <c r="AUH71" s="310"/>
      <c r="AUI71" s="310"/>
      <c r="AUJ71" s="310"/>
      <c r="AUK71" s="310"/>
      <c r="AUL71" s="310"/>
      <c r="AUM71" s="310"/>
      <c r="AUN71" s="310"/>
      <c r="AUO71" s="310"/>
      <c r="AUP71" s="310"/>
      <c r="AUQ71" s="310"/>
      <c r="AUR71" s="310"/>
      <c r="AUS71" s="310"/>
      <c r="AUT71" s="310"/>
      <c r="AUU71" s="310"/>
      <c r="AUV71" s="310"/>
      <c r="AUW71" s="310"/>
      <c r="AUX71" s="310"/>
      <c r="AUY71" s="310"/>
      <c r="AUZ71" s="310"/>
      <c r="AVA71" s="310"/>
      <c r="AVB71" s="310"/>
      <c r="AVC71" s="310"/>
      <c r="AVD71" s="310"/>
      <c r="AVE71" s="310"/>
      <c r="AVF71" s="310"/>
      <c r="AVG71" s="310"/>
      <c r="AVH71" s="310"/>
      <c r="AVI71" s="310"/>
      <c r="AVJ71" s="310"/>
      <c r="AVK71" s="310"/>
      <c r="AVL71" s="310"/>
      <c r="AVM71" s="7" t="s">
        <v>2543</v>
      </c>
      <c r="AVN71" s="659"/>
      <c r="AVO71" s="659"/>
      <c r="AVP71" s="659"/>
      <c r="AVQ71" s="659"/>
      <c r="AVR71" s="659"/>
      <c r="AVS71" s="659"/>
      <c r="AVT71" s="659"/>
      <c r="AVU71" s="659"/>
      <c r="AVV71" s="659"/>
      <c r="AVW71" s="659"/>
      <c r="AVX71" s="659"/>
      <c r="AVY71" s="659"/>
      <c r="AVZ71" s="659"/>
      <c r="AWA71" s="659"/>
      <c r="AWB71" s="659"/>
      <c r="AWC71" s="659"/>
      <c r="AWD71" s="659"/>
      <c r="AWE71" s="659"/>
      <c r="AWF71" s="659"/>
      <c r="AWG71" s="659"/>
      <c r="AWH71" s="659"/>
      <c r="AWI71" s="659"/>
      <c r="AWJ71" s="659"/>
      <c r="AWK71" s="659"/>
      <c r="AWL71" s="659"/>
      <c r="AWM71" s="659"/>
      <c r="AWN71" s="659"/>
      <c r="AWO71" s="659"/>
      <c r="AWP71" s="659"/>
      <c r="AWQ71" s="659"/>
      <c r="AWR71" s="7" t="s">
        <v>2543</v>
      </c>
      <c r="AWW71" s="659"/>
      <c r="AWX71" s="659"/>
      <c r="AWY71" s="659"/>
      <c r="AWZ71" s="659"/>
      <c r="AXA71" s="659"/>
      <c r="AXB71" s="659"/>
      <c r="AXC71" s="659"/>
      <c r="AXD71" s="659"/>
      <c r="AXE71" s="659"/>
      <c r="AXF71" s="659"/>
      <c r="AXG71" s="659"/>
      <c r="AXH71" s="659"/>
      <c r="AXI71" s="659"/>
      <c r="AXJ71" s="659"/>
      <c r="AXK71" s="659"/>
      <c r="AXL71" s="659"/>
      <c r="AXM71" s="659"/>
      <c r="AXN71" s="659"/>
      <c r="AXO71" s="659"/>
      <c r="AXP71" s="659"/>
      <c r="AXQ71" s="659"/>
      <c r="AXR71" s="659"/>
      <c r="AXS71" s="659"/>
      <c r="AXT71" s="659"/>
      <c r="AXU71" s="659"/>
      <c r="AXV71" s="659"/>
      <c r="AXW71" s="659"/>
      <c r="AXX71" s="7" t="s">
        <v>2543</v>
      </c>
      <c r="AXY71" s="191"/>
      <c r="AXZ71" s="191"/>
      <c r="AYA71" s="191"/>
      <c r="AYB71" s="191"/>
      <c r="AYC71" s="191"/>
      <c r="AYD71" s="191"/>
      <c r="AYE71" s="191"/>
      <c r="AYF71" s="191"/>
      <c r="AYG71" s="191"/>
      <c r="AYH71" s="191"/>
      <c r="AYI71" s="191"/>
      <c r="AYJ71" s="191"/>
      <c r="AYK71" s="191"/>
      <c r="AYL71" s="191"/>
      <c r="AYM71" s="191"/>
      <c r="AYN71" s="191"/>
      <c r="AYO71" s="191"/>
      <c r="AYP71" s="191"/>
      <c r="AYQ71" s="191"/>
      <c r="AYR71" s="191"/>
      <c r="AYS71" s="191"/>
      <c r="AYT71" s="191"/>
      <c r="AYU71" s="191"/>
      <c r="AYV71" s="191"/>
      <c r="AYW71" s="191"/>
      <c r="AYX71" s="191"/>
      <c r="AYY71" s="191"/>
      <c r="AYZ71" s="191"/>
      <c r="AZA71" s="191"/>
      <c r="AZB71" s="191"/>
      <c r="AZC71" s="191"/>
      <c r="AZD71" s="191"/>
      <c r="AZE71" s="191"/>
      <c r="AZF71" s="191"/>
      <c r="AZG71" s="191"/>
      <c r="AZH71" s="191"/>
      <c r="AZI71" s="191"/>
      <c r="AZJ71" s="191"/>
      <c r="AZK71" s="191"/>
      <c r="AZL71" s="191"/>
      <c r="AZM71" s="191"/>
      <c r="AZN71" s="191"/>
      <c r="AZO71" s="191"/>
      <c r="AZP71" s="191"/>
      <c r="AZQ71" s="191"/>
      <c r="AZR71" s="191"/>
      <c r="AZS71" s="191"/>
      <c r="AZT71" s="191"/>
      <c r="AZU71" s="191"/>
      <c r="AZV71" s="191"/>
      <c r="AZW71" s="191"/>
      <c r="AZX71" s="191"/>
      <c r="AZY71" s="191"/>
      <c r="AZZ71" s="191"/>
      <c r="BAA71" s="191"/>
      <c r="BAB71" s="191"/>
      <c r="BAC71" s="191"/>
      <c r="BAD71" s="191"/>
      <c r="BAE71" s="191"/>
      <c r="BAF71" s="191"/>
      <c r="BAG71" s="191"/>
      <c r="BAH71" s="191"/>
      <c r="BAI71" s="191"/>
      <c r="BAJ71" s="191"/>
      <c r="BAK71" s="191"/>
      <c r="BAL71" s="191"/>
      <c r="BAM71" s="191"/>
      <c r="BAN71" s="191"/>
      <c r="BAO71" s="191"/>
      <c r="BAP71" s="191"/>
      <c r="BAQ71" s="191"/>
      <c r="BAR71" s="191"/>
      <c r="BAS71" s="191"/>
      <c r="BAT71" s="191"/>
      <c r="BAU71" s="191"/>
      <c r="BAV71" s="191"/>
      <c r="BAW71" s="191"/>
      <c r="BAX71" s="191"/>
      <c r="BAY71" s="191"/>
      <c r="BAZ71" s="191"/>
      <c r="BBA71" s="191"/>
      <c r="BBB71" s="191"/>
      <c r="BBC71" s="191"/>
      <c r="BBD71" s="191"/>
      <c r="BBE71" s="191"/>
      <c r="BBF71" s="191"/>
      <c r="BBG71" s="191"/>
      <c r="BBH71" s="191"/>
      <c r="BBI71" s="191"/>
      <c r="BBJ71" s="191"/>
      <c r="BBK71" s="191"/>
      <c r="BBL71" s="191"/>
      <c r="BBM71" s="191"/>
      <c r="BBN71" s="191"/>
      <c r="BBO71" s="191"/>
      <c r="BBP71" s="191"/>
      <c r="BBQ71" s="191"/>
      <c r="BBR71" s="191"/>
      <c r="BBS71" s="191"/>
      <c r="BBT71" s="191"/>
      <c r="BBU71" s="191"/>
      <c r="BBV71" s="191"/>
      <c r="BBW71" s="191"/>
      <c r="BBX71" s="191"/>
      <c r="BBY71" s="191"/>
      <c r="BBZ71" s="191"/>
      <c r="BCA71" s="191"/>
      <c r="BCB71" s="191"/>
      <c r="BCC71" s="191"/>
      <c r="BCD71" s="191"/>
      <c r="BCE71" s="191"/>
      <c r="BCF71" s="191"/>
      <c r="BCG71" s="191"/>
      <c r="BCH71" s="191"/>
      <c r="BCI71" s="191"/>
      <c r="BCJ71" s="191"/>
      <c r="BCK71" s="191"/>
      <c r="BCL71" s="191"/>
      <c r="BCM71" s="191"/>
      <c r="BCN71" s="191"/>
      <c r="BCO71" s="191"/>
      <c r="BCP71" s="191"/>
      <c r="BCQ71" s="191"/>
      <c r="BCR71" s="191"/>
      <c r="BCS71" s="191"/>
      <c r="BCT71" s="191"/>
      <c r="BCU71" s="191"/>
      <c r="BCV71" s="191"/>
      <c r="BCW71" s="191"/>
      <c r="BCX71" s="191"/>
      <c r="BCY71" s="191"/>
      <c r="BCZ71" s="191"/>
      <c r="BDA71" s="191"/>
      <c r="BDB71" s="191"/>
      <c r="BDC71" s="191"/>
      <c r="BDD71" s="191"/>
      <c r="BDE71" s="191"/>
      <c r="BDF71" s="191"/>
      <c r="BDG71" s="191"/>
      <c r="BDH71" s="191"/>
      <c r="BDI71" s="191"/>
      <c r="BDJ71" s="191"/>
      <c r="BDK71" s="191"/>
      <c r="BDL71" s="191"/>
      <c r="BDM71" s="191"/>
      <c r="BDN71" s="191"/>
      <c r="BDO71" s="191"/>
      <c r="BDP71" s="191"/>
      <c r="BDQ71" s="191"/>
      <c r="BDR71" s="191"/>
      <c r="BDS71" s="191"/>
      <c r="BDT71" s="191"/>
      <c r="BDU71" s="191"/>
      <c r="BDV71" s="191"/>
      <c r="BDW71" s="191"/>
      <c r="BDX71" s="191"/>
      <c r="BDY71" s="191"/>
      <c r="BDZ71" s="191"/>
      <c r="BEA71" s="191"/>
      <c r="BEB71" s="191"/>
      <c r="BEC71" s="191"/>
      <c r="BED71" s="191"/>
      <c r="BEE71" s="191"/>
      <c r="BEF71" s="191"/>
      <c r="BEG71" s="191"/>
      <c r="BEH71" s="191"/>
      <c r="BEI71" s="191"/>
      <c r="BEJ71" s="191"/>
      <c r="BEK71" s="191"/>
      <c r="BEL71" s="191"/>
      <c r="BEM71" s="191"/>
      <c r="BEN71" s="191"/>
      <c r="BEO71" s="191"/>
      <c r="BEP71" s="191"/>
      <c r="BEQ71" s="191"/>
      <c r="BER71" s="191"/>
      <c r="BES71" s="191"/>
      <c r="BET71" s="191"/>
      <c r="BEU71" s="191"/>
      <c r="BEV71" s="191"/>
      <c r="BEW71" s="191"/>
      <c r="BEX71" s="191"/>
      <c r="BEY71" s="191"/>
      <c r="BEZ71" s="191"/>
      <c r="BFA71" s="191"/>
      <c r="BFB71" s="191"/>
      <c r="BFC71" s="191"/>
      <c r="BFD71" s="191"/>
      <c r="BFE71" s="191"/>
      <c r="BFF71" s="191"/>
      <c r="BFG71" s="191"/>
      <c r="BFH71" s="191"/>
      <c r="BFI71" s="191"/>
      <c r="BFJ71" s="191"/>
      <c r="BFK71" s="191"/>
      <c r="BFL71" s="191"/>
      <c r="BFM71" s="191"/>
      <c r="BFN71" s="191"/>
      <c r="BFO71" s="191"/>
      <c r="BFP71" s="191"/>
      <c r="BFQ71" s="191"/>
      <c r="BFR71" s="191"/>
      <c r="BFS71" s="191"/>
      <c r="BFT71" s="191"/>
      <c r="BFU71" s="191"/>
      <c r="BFV71" s="191"/>
      <c r="BFW71" s="191"/>
      <c r="BFX71" s="191"/>
      <c r="BFY71" s="191"/>
      <c r="BFZ71" s="191"/>
      <c r="BGA71" s="191"/>
      <c r="BGB71" s="191"/>
      <c r="BGC71" s="191"/>
      <c r="BGD71" s="191"/>
      <c r="BGE71" s="191"/>
      <c r="BGF71" s="191"/>
      <c r="BGG71" s="191"/>
      <c r="BGH71" s="191"/>
      <c r="BGI71" s="191"/>
      <c r="BGJ71" s="191"/>
      <c r="BGK71" s="191"/>
      <c r="BGL71" s="191"/>
      <c r="BGM71" s="191"/>
      <c r="BGN71" s="191"/>
      <c r="BGO71" s="191"/>
      <c r="BGP71" s="191"/>
      <c r="BGQ71" s="191"/>
      <c r="BGR71" s="191"/>
      <c r="BGS71" s="191"/>
      <c r="BGT71" s="191"/>
      <c r="BGU71" s="191"/>
      <c r="BGV71" s="191"/>
      <c r="BGW71" s="191"/>
      <c r="BGX71" s="191"/>
      <c r="BGY71" s="191"/>
      <c r="BGZ71" s="191"/>
      <c r="BHA71" s="191"/>
      <c r="BHB71" s="191"/>
      <c r="BHC71" s="191"/>
      <c r="BHD71" s="191"/>
      <c r="BHE71" s="191"/>
      <c r="BHF71" s="191"/>
      <c r="BHG71" s="191"/>
      <c r="BHH71" s="191"/>
      <c r="BHI71" s="191"/>
      <c r="BHJ71" s="191"/>
      <c r="BHK71" s="191"/>
      <c r="BHL71" s="191"/>
      <c r="BHM71" s="191"/>
      <c r="BHN71" s="191"/>
      <c r="BHO71" s="191"/>
      <c r="BHP71" s="191"/>
      <c r="BHQ71" s="191"/>
      <c r="BHR71" s="191"/>
      <c r="BHS71" s="191"/>
      <c r="BHT71" s="191"/>
      <c r="BHU71" s="191"/>
      <c r="BHV71" s="191"/>
      <c r="BHW71" s="191"/>
    </row>
    <row r="72" spans="1:1583" s="31" customFormat="1" ht="22.8" customHeight="1" x14ac:dyDescent="0.25">
      <c r="B72" s="9"/>
      <c r="C72" s="43"/>
      <c r="D72" s="43"/>
      <c r="E72" s="43"/>
      <c r="F72" s="43"/>
      <c r="G72" s="43"/>
      <c r="H72" s="43"/>
      <c r="I72" s="43"/>
      <c r="J72" s="43"/>
      <c r="K72" s="43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93"/>
      <c r="AI72" s="43"/>
      <c r="AJ72" s="43"/>
      <c r="AK72" s="43"/>
      <c r="AQ72" s="731"/>
      <c r="AR72" s="732"/>
      <c r="AS72" s="732"/>
      <c r="AT72" s="732"/>
      <c r="AU72" s="732"/>
      <c r="AV72" s="732"/>
      <c r="AW72" s="732"/>
      <c r="AX72" s="732"/>
      <c r="AY72" s="732"/>
      <c r="AZ72" s="73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92"/>
      <c r="CS72" s="92"/>
      <c r="CT72" s="43"/>
      <c r="CU72" s="43"/>
      <c r="CV72" s="43"/>
      <c r="CW72" s="43"/>
      <c r="CX72" s="43"/>
      <c r="DP72" s="30"/>
      <c r="DQ72" s="43"/>
      <c r="DS72" s="43"/>
      <c r="DT72" s="43"/>
      <c r="DU72" s="43"/>
      <c r="DV72" s="43"/>
      <c r="DW72" s="43"/>
      <c r="DX72" s="43"/>
      <c r="DY72" s="43"/>
      <c r="ED72" s="30"/>
      <c r="EE72" s="30"/>
      <c r="EF72" s="30"/>
      <c r="EG72" s="30"/>
      <c r="EH72" s="30"/>
      <c r="EI72" s="30"/>
      <c r="EJ72" s="30"/>
      <c r="EK72" s="30"/>
      <c r="EL72" s="30"/>
      <c r="EM72" s="30"/>
      <c r="EN72" s="30"/>
      <c r="EO72" s="30"/>
      <c r="EP72" s="30"/>
      <c r="EQ72" s="30"/>
      <c r="ER72" s="30"/>
      <c r="ES72" s="30"/>
      <c r="ET72" s="30"/>
      <c r="EU72" s="30"/>
      <c r="EV72" s="30"/>
      <c r="EW72" s="30"/>
      <c r="EX72" s="43"/>
      <c r="EY72" s="43"/>
      <c r="EZ72" s="43"/>
      <c r="FA72" s="43"/>
      <c r="FB72" s="43"/>
      <c r="FC72" s="30"/>
      <c r="FE72" s="30"/>
      <c r="FH72" s="30"/>
      <c r="FI72" s="30"/>
      <c r="FJ72" s="30"/>
      <c r="FK72" s="30"/>
      <c r="FL72" s="30"/>
      <c r="FM72" s="30"/>
      <c r="FN72" s="30"/>
      <c r="FO72" s="30"/>
      <c r="FP72" s="30"/>
      <c r="FQ72" s="30"/>
      <c r="FR72" s="30"/>
      <c r="FS72" s="30"/>
      <c r="FT72" s="30"/>
      <c r="FU72" s="30"/>
      <c r="FV72" s="30"/>
      <c r="FW72" s="30"/>
      <c r="FX72" s="30"/>
      <c r="FY72" s="30"/>
      <c r="FZ72" s="30"/>
      <c r="GA72" s="30"/>
      <c r="GB72" s="30"/>
      <c r="GC72" s="30"/>
      <c r="GD72" s="30"/>
      <c r="GE72" s="78"/>
      <c r="GF72" s="78"/>
      <c r="GG72" s="78"/>
      <c r="GH72" s="78"/>
      <c r="GI72" s="78"/>
      <c r="GJ72" s="78"/>
      <c r="GK72" s="79"/>
      <c r="GL72" s="79"/>
      <c r="GM72" s="79"/>
      <c r="GN72" s="30"/>
      <c r="HC72" s="78"/>
      <c r="HD72" s="78"/>
      <c r="HE72" s="78"/>
      <c r="HF72" s="78"/>
      <c r="HG72" s="78"/>
      <c r="HH72" s="78"/>
      <c r="HI72" s="78"/>
      <c r="HJ72" s="78"/>
      <c r="HK72" s="78"/>
      <c r="HL72" s="78"/>
      <c r="HM72" s="78"/>
      <c r="HN72" s="78"/>
      <c r="HP72" s="92"/>
      <c r="IT72" s="92"/>
      <c r="JZ72" s="92"/>
      <c r="LE72" s="92"/>
      <c r="MK72" s="92"/>
      <c r="NA72" s="366">
        <v>23894</v>
      </c>
      <c r="NI72" s="310"/>
      <c r="NJ72" s="310"/>
      <c r="NK72" s="310"/>
      <c r="NL72" s="310"/>
      <c r="NM72" s="310"/>
      <c r="NN72" s="310"/>
      <c r="NO72" s="310"/>
      <c r="NP72" s="92"/>
      <c r="NQ72" s="310"/>
      <c r="NR72" s="310"/>
      <c r="NS72" s="310"/>
      <c r="NT72" s="310"/>
      <c r="NU72" s="310"/>
      <c r="NV72" s="310"/>
      <c r="NW72" s="310"/>
      <c r="OA72" s="310"/>
      <c r="OB72" s="310"/>
      <c r="OL72" s="298"/>
      <c r="OM72" s="298"/>
      <c r="ON72" s="298"/>
      <c r="OO72" s="298"/>
      <c r="OP72" s="298"/>
      <c r="OQ72" s="298"/>
      <c r="OR72" s="298"/>
      <c r="OS72" s="310"/>
      <c r="OV72" s="92"/>
      <c r="PA72" s="310"/>
      <c r="PB72" s="310"/>
      <c r="PC72" s="310"/>
      <c r="PK72" s="310"/>
      <c r="PL72" s="310"/>
      <c r="PM72" s="310"/>
      <c r="PN72" s="310"/>
      <c r="PO72" s="310"/>
      <c r="PP72" s="310"/>
      <c r="PT72" s="310"/>
      <c r="PU72" s="310"/>
      <c r="PV72" s="310"/>
      <c r="QI72" s="298"/>
      <c r="QJ72" s="310"/>
      <c r="QK72" s="310"/>
      <c r="QL72" s="310"/>
      <c r="QM72" s="310"/>
      <c r="QR72" s="298"/>
      <c r="QW72" s="310"/>
      <c r="QX72" s="310"/>
      <c r="QY72" s="310"/>
      <c r="RG72" s="92"/>
      <c r="RQ72" s="310"/>
      <c r="RR72" s="310"/>
      <c r="RS72" s="310"/>
      <c r="RT72" s="310"/>
      <c r="RU72" s="310"/>
      <c r="RV72" s="310"/>
      <c r="RX72" s="310"/>
      <c r="RY72" s="310"/>
      <c r="RZ72" s="310"/>
      <c r="SA72" s="310"/>
      <c r="SB72" s="310"/>
      <c r="SC72" s="310"/>
      <c r="SD72" s="310"/>
      <c r="SE72" s="310"/>
      <c r="SF72" s="310"/>
      <c r="SG72" s="310"/>
      <c r="SH72" s="310"/>
      <c r="SI72" s="310"/>
      <c r="SJ72" s="310"/>
      <c r="SK72" s="310"/>
      <c r="SL72" s="310"/>
      <c r="SM72" s="11"/>
      <c r="SN72" s="31">
        <v>45</v>
      </c>
      <c r="SQ72" s="31">
        <v>30</v>
      </c>
      <c r="SR72" s="31">
        <v>24</v>
      </c>
      <c r="SU72" s="310"/>
      <c r="SV72" s="310"/>
      <c r="SW72" s="310"/>
      <c r="SX72" s="310"/>
      <c r="SY72" s="310"/>
      <c r="TB72" s="310"/>
      <c r="TC72" s="310">
        <v>24</v>
      </c>
      <c r="TD72" s="310"/>
      <c r="TE72" s="310"/>
      <c r="TF72" s="310"/>
      <c r="TG72" s="310"/>
      <c r="TH72" s="310"/>
      <c r="TI72" s="310"/>
      <c r="TJ72" s="310"/>
      <c r="TK72" s="310"/>
      <c r="TL72" s="310"/>
      <c r="TM72" s="310"/>
      <c r="TN72" s="310"/>
      <c r="TO72" s="310"/>
      <c r="TP72" s="310"/>
      <c r="TQ72" s="310"/>
      <c r="TR72" s="92"/>
      <c r="TS72" s="31">
        <v>24</v>
      </c>
      <c r="TU72" s="31">
        <v>35</v>
      </c>
      <c r="TW72" s="310"/>
      <c r="TX72" s="310"/>
      <c r="TY72" s="310"/>
      <c r="UC72" s="310"/>
      <c r="UD72" s="310"/>
      <c r="UE72" s="310"/>
      <c r="UF72" s="310"/>
      <c r="UG72" s="310"/>
      <c r="UH72" s="310"/>
      <c r="UI72" s="310"/>
      <c r="UJ72" s="310"/>
      <c r="UK72" s="310"/>
      <c r="UL72" s="310"/>
      <c r="UM72" s="310"/>
      <c r="UN72" s="310"/>
      <c r="UO72" s="310"/>
      <c r="UP72" s="310">
        <v>18</v>
      </c>
      <c r="UQ72" s="310"/>
      <c r="UR72" s="310"/>
      <c r="US72" s="310"/>
      <c r="UT72" s="310"/>
      <c r="UU72" s="310"/>
      <c r="UV72" s="310"/>
      <c r="UW72" s="310">
        <v>180</v>
      </c>
      <c r="UX72" s="92"/>
      <c r="VA72" s="310"/>
      <c r="VB72" s="310"/>
      <c r="VC72" s="310"/>
      <c r="VD72" s="310">
        <v>30</v>
      </c>
      <c r="VE72" s="310"/>
      <c r="VF72" s="310"/>
      <c r="VG72" s="310"/>
      <c r="VH72" s="310"/>
      <c r="VI72" s="310">
        <v>40</v>
      </c>
      <c r="VJ72" s="310"/>
      <c r="VK72" s="310"/>
      <c r="VL72" s="310"/>
      <c r="VM72" s="310"/>
      <c r="VN72" s="310"/>
      <c r="VO72" s="310"/>
      <c r="VP72" s="310"/>
      <c r="VQ72" s="310"/>
      <c r="VR72" s="310"/>
      <c r="VS72" s="310"/>
      <c r="VT72" s="310"/>
      <c r="VU72" s="310"/>
      <c r="VV72" s="310"/>
      <c r="VW72" s="310"/>
      <c r="VX72" s="310"/>
      <c r="VY72" s="310"/>
      <c r="VZ72" s="310">
        <v>21</v>
      </c>
      <c r="WA72" s="310"/>
      <c r="WB72" s="310"/>
      <c r="WC72" s="310"/>
      <c r="WD72" s="92"/>
      <c r="WE72" s="310"/>
      <c r="WF72" s="310"/>
      <c r="WG72" s="310"/>
      <c r="WH72" s="310"/>
      <c r="WI72" s="310"/>
      <c r="WJ72" s="310"/>
      <c r="WK72" s="310"/>
      <c r="WL72" s="310"/>
      <c r="WM72" s="310"/>
      <c r="WN72" s="310"/>
      <c r="WO72" s="310"/>
      <c r="WP72" s="310"/>
      <c r="WQ72" s="310"/>
      <c r="WR72" s="310"/>
      <c r="WS72" s="310"/>
      <c r="WT72" s="310"/>
      <c r="WU72" s="310"/>
      <c r="WV72" s="310"/>
      <c r="WW72" s="310"/>
      <c r="WX72" s="310"/>
      <c r="WY72" s="310"/>
      <c r="WZ72" s="310"/>
      <c r="XA72" s="310"/>
      <c r="XB72" s="310"/>
      <c r="XC72" s="310"/>
      <c r="XD72" s="310"/>
      <c r="XE72" s="310"/>
      <c r="XF72" s="310"/>
      <c r="XG72" s="92"/>
      <c r="XH72" s="298"/>
      <c r="XI72" s="298"/>
      <c r="XJ72" s="298"/>
      <c r="XK72" s="298"/>
      <c r="XL72" s="298"/>
      <c r="XM72" s="298"/>
      <c r="XN72" s="298"/>
      <c r="XO72" s="298"/>
      <c r="XP72" s="298"/>
      <c r="XQ72" s="298"/>
      <c r="XR72" s="298"/>
      <c r="XS72" s="298"/>
      <c r="XT72" s="298"/>
      <c r="XU72" s="298"/>
      <c r="XV72" s="298"/>
      <c r="XW72" s="298"/>
      <c r="XX72" s="298"/>
      <c r="XY72" s="298"/>
      <c r="XZ72" s="298"/>
      <c r="YA72" s="298"/>
      <c r="YB72" s="298"/>
      <c r="YC72" s="298"/>
      <c r="YD72" s="298"/>
      <c r="YE72" s="298"/>
      <c r="YF72" s="31">
        <v>12</v>
      </c>
      <c r="YG72" s="298"/>
      <c r="YH72" s="298"/>
      <c r="YI72" s="298"/>
      <c r="YJ72" s="298"/>
      <c r="YK72" s="298"/>
      <c r="YL72" s="298"/>
      <c r="YM72" s="92"/>
      <c r="ZR72" s="92"/>
      <c r="AAQ72" s="310"/>
      <c r="AAR72" s="310"/>
      <c r="AAS72" s="310"/>
      <c r="AAT72" s="310"/>
      <c r="AAU72" s="310"/>
      <c r="AAV72" s="310"/>
      <c r="AAW72" s="310"/>
      <c r="AAX72" s="92"/>
      <c r="AAY72" s="310"/>
      <c r="AAZ72" s="310"/>
      <c r="ABA72" s="310"/>
      <c r="ABB72" s="310"/>
      <c r="ABW72" s="310"/>
      <c r="ABX72" s="310"/>
      <c r="ACC72" s="92"/>
      <c r="ACF72" s="310"/>
      <c r="ACG72" s="310"/>
      <c r="ACH72" s="310"/>
      <c r="ACI72" s="310"/>
      <c r="ACJ72" s="310"/>
      <c r="ACK72" s="310"/>
      <c r="ACL72" s="310"/>
      <c r="ACM72" s="310"/>
      <c r="ACN72" s="310"/>
      <c r="ACO72" s="310"/>
      <c r="ACP72" s="310"/>
      <c r="ACQ72" s="310"/>
      <c r="ACR72" s="310"/>
      <c r="ACS72" s="310"/>
      <c r="ACT72" s="310"/>
      <c r="ACU72" s="310"/>
      <c r="ACV72" s="310"/>
      <c r="ACW72" s="310"/>
      <c r="ACX72" s="310"/>
      <c r="ACY72" s="310"/>
      <c r="ACZ72" s="310"/>
      <c r="ADA72" s="310"/>
      <c r="ADB72" s="310"/>
      <c r="ADC72" s="310"/>
      <c r="ADD72" s="310"/>
      <c r="ADE72" s="310"/>
      <c r="ADF72" s="310"/>
      <c r="ADG72" s="310"/>
      <c r="ADI72" s="632"/>
      <c r="ADJ72" s="364"/>
      <c r="ADK72" s="364"/>
      <c r="ADL72" s="364"/>
      <c r="ADM72" s="364"/>
      <c r="ADN72" s="364"/>
      <c r="ADO72" s="364"/>
      <c r="ADP72" s="364"/>
      <c r="ADQ72" s="364"/>
      <c r="ADR72" s="364"/>
      <c r="ADS72" s="364"/>
      <c r="ADT72" s="364"/>
      <c r="ADU72" s="364"/>
      <c r="ADV72" s="364"/>
      <c r="ADW72" s="364"/>
      <c r="ADX72" s="364"/>
      <c r="ADY72" s="364"/>
      <c r="ADZ72" s="364"/>
      <c r="AEA72" s="364"/>
      <c r="AEB72" s="364"/>
      <c r="AEC72" s="364"/>
      <c r="AED72" s="364"/>
      <c r="AEE72" s="364"/>
      <c r="AEF72" s="364"/>
      <c r="AEG72" s="364"/>
      <c r="AEH72" s="364"/>
      <c r="AEI72" s="364"/>
      <c r="AEJ72" s="364"/>
      <c r="AEK72" s="364"/>
      <c r="AEL72" s="364"/>
      <c r="AEM72" s="364"/>
      <c r="AEN72" s="314">
        <v>21</v>
      </c>
      <c r="AEO72" s="364"/>
      <c r="AEP72" s="364"/>
      <c r="AEQ72" s="364"/>
      <c r="AER72" s="364"/>
      <c r="AES72" s="364"/>
      <c r="AET72" s="364"/>
      <c r="AEU72" s="364"/>
      <c r="AEX72" s="310"/>
      <c r="AEY72" s="310"/>
      <c r="AEZ72" s="310"/>
      <c r="AFA72" s="310"/>
      <c r="AFB72" s="310"/>
      <c r="AFC72" s="310"/>
      <c r="AFD72" s="310"/>
      <c r="AFE72" s="314">
        <v>80</v>
      </c>
      <c r="AFF72" s="364"/>
      <c r="AFG72" s="314">
        <v>72</v>
      </c>
      <c r="AFH72" s="314">
        <v>152</v>
      </c>
      <c r="AFI72" s="314"/>
      <c r="AFJ72" s="314"/>
      <c r="AFK72" s="314">
        <v>580</v>
      </c>
      <c r="AFL72" s="314">
        <v>1117</v>
      </c>
      <c r="AFM72" s="314"/>
      <c r="AFN72" s="314"/>
      <c r="AFO72" s="314"/>
      <c r="AFP72" s="314"/>
      <c r="AFQ72" s="314"/>
      <c r="AFR72" s="314">
        <v>100</v>
      </c>
      <c r="AFS72" s="314">
        <v>489</v>
      </c>
      <c r="AFT72" s="72"/>
      <c r="AFU72" s="314"/>
      <c r="AFV72" s="314"/>
      <c r="AFW72" s="314"/>
      <c r="AFX72" s="314"/>
      <c r="AFY72" s="314"/>
      <c r="AFZ72" s="314"/>
      <c r="AGA72" s="314"/>
      <c r="AGB72" s="314"/>
      <c r="AGC72" s="314">
        <v>42</v>
      </c>
      <c r="AGD72" s="314"/>
      <c r="AGE72" s="314"/>
      <c r="AGF72" s="314"/>
      <c r="AGG72" s="314">
        <v>27</v>
      </c>
      <c r="AGH72" s="314">
        <v>6</v>
      </c>
      <c r="AGI72" s="314"/>
      <c r="AGJ72" s="314"/>
      <c r="AGK72" s="314"/>
      <c r="AGL72" s="314">
        <v>21</v>
      </c>
      <c r="AGM72" s="314"/>
      <c r="AGN72" s="314">
        <v>27</v>
      </c>
      <c r="AGO72" s="314"/>
      <c r="AGP72" s="314"/>
      <c r="AGQ72" s="314"/>
      <c r="AGR72" s="314">
        <v>106</v>
      </c>
      <c r="AGS72" s="314">
        <v>20</v>
      </c>
      <c r="AGT72" s="314"/>
      <c r="AGU72" s="314">
        <v>69</v>
      </c>
      <c r="AGV72" s="314">
        <v>176</v>
      </c>
      <c r="AGW72" s="314"/>
      <c r="AGX72" s="314"/>
      <c r="AGY72" s="314">
        <v>24</v>
      </c>
      <c r="AGZ72" s="5"/>
      <c r="AHA72" s="314">
        <v>43</v>
      </c>
      <c r="AHB72" s="314">
        <v>18</v>
      </c>
      <c r="AHC72" s="314">
        <v>24</v>
      </c>
      <c r="AHD72" s="314"/>
      <c r="AHE72" s="314"/>
      <c r="AHF72" s="314">
        <v>186</v>
      </c>
      <c r="AHG72" s="314">
        <v>190</v>
      </c>
      <c r="AHH72" s="314">
        <v>37</v>
      </c>
      <c r="AHI72" s="364"/>
      <c r="AHJ72" s="314">
        <v>24</v>
      </c>
      <c r="AHK72" s="314">
        <v>35</v>
      </c>
      <c r="AHL72" s="314"/>
      <c r="AHM72" s="314">
        <v>190</v>
      </c>
      <c r="AHN72" s="314">
        <v>186</v>
      </c>
      <c r="AHO72" s="314">
        <v>181</v>
      </c>
      <c r="AHP72" s="314"/>
      <c r="AHQ72" s="314"/>
      <c r="AHR72" s="314"/>
      <c r="AHS72" s="314"/>
      <c r="AHT72" s="314"/>
      <c r="AHU72" s="314"/>
      <c r="AHV72" s="314"/>
      <c r="AHW72" s="314"/>
      <c r="AHX72" s="314"/>
      <c r="AHY72" s="314"/>
      <c r="AHZ72" s="314"/>
      <c r="AIA72" s="364"/>
      <c r="AIB72" s="364"/>
      <c r="AIC72" s="364"/>
      <c r="AID72" s="364"/>
      <c r="AIE72" s="5"/>
      <c r="AIF72" s="364"/>
      <c r="AIG72" s="364"/>
      <c r="AIH72" s="364"/>
      <c r="AII72" s="364"/>
      <c r="AIJ72" s="364"/>
      <c r="AIK72" s="364"/>
      <c r="AIL72" s="364"/>
      <c r="AIM72" s="210" t="s">
        <v>2871</v>
      </c>
      <c r="AIN72" s="210"/>
      <c r="AIO72" s="180"/>
      <c r="AIP72" s="364"/>
      <c r="AIQ72" s="364"/>
      <c r="AIR72" s="364"/>
      <c r="AIS72" s="364"/>
      <c r="AIT72" s="364"/>
      <c r="AIU72" s="364"/>
      <c r="AIV72" s="364"/>
      <c r="AIW72" s="364"/>
      <c r="AIX72" s="364"/>
      <c r="AIY72" s="364"/>
      <c r="AIZ72" s="364"/>
      <c r="AJA72" s="364"/>
      <c r="AJB72" s="364"/>
      <c r="AJC72" s="364"/>
      <c r="AJD72" s="364"/>
      <c r="AJE72" s="364"/>
      <c r="AJF72" s="364"/>
      <c r="AJG72" s="364"/>
      <c r="AJH72" s="364"/>
      <c r="AJI72" s="364"/>
      <c r="AJJ72" s="364"/>
      <c r="AJK72" s="5"/>
      <c r="AJL72" s="364"/>
      <c r="AJM72" s="364"/>
      <c r="AJN72" s="364"/>
      <c r="AJO72" s="364"/>
      <c r="AJP72" s="364"/>
      <c r="AJQ72" s="364"/>
      <c r="AJR72" s="364"/>
      <c r="AJS72" s="364"/>
      <c r="AJT72" s="364"/>
      <c r="AJU72" s="364"/>
      <c r="AJV72" s="364"/>
      <c r="AJW72" s="364"/>
      <c r="AJX72" s="364"/>
      <c r="AJY72" s="364"/>
      <c r="AJZ72" s="364"/>
      <c r="AKA72" s="364"/>
      <c r="AKD72" s="310"/>
      <c r="AKE72" s="310"/>
      <c r="AKF72" s="314"/>
      <c r="AKG72" s="314"/>
      <c r="AKH72" s="314"/>
      <c r="AKL72" s="136"/>
      <c r="AKO72" s="314"/>
      <c r="AKP72" s="314"/>
      <c r="AKQ72" s="9"/>
      <c r="AKR72" s="603">
        <v>300</v>
      </c>
      <c r="AKS72" s="603">
        <v>600</v>
      </c>
      <c r="AKT72" s="603">
        <v>900</v>
      </c>
      <c r="AKU72" s="603"/>
      <c r="AKV72" s="603">
        <v>1200</v>
      </c>
      <c r="AKW72" s="603">
        <v>1500</v>
      </c>
      <c r="AKX72" s="603">
        <v>1800</v>
      </c>
      <c r="AKY72" s="603">
        <v>1800</v>
      </c>
      <c r="AKZ72" s="603">
        <v>1800</v>
      </c>
      <c r="ALA72" s="603">
        <v>1800</v>
      </c>
      <c r="ALB72" s="603"/>
      <c r="ALC72" s="603">
        <v>1800</v>
      </c>
      <c r="ALD72" s="603">
        <v>1800</v>
      </c>
      <c r="ALE72" s="603">
        <v>1800</v>
      </c>
      <c r="ALF72" s="603">
        <v>1800</v>
      </c>
      <c r="ALG72" s="603">
        <v>1800</v>
      </c>
      <c r="ALH72" s="603">
        <v>1800</v>
      </c>
      <c r="ALI72" s="603"/>
      <c r="ALJ72" s="603">
        <v>1800</v>
      </c>
      <c r="ALK72" s="603">
        <v>1800</v>
      </c>
      <c r="ALL72" s="603"/>
      <c r="ALM72" s="603">
        <v>1800</v>
      </c>
      <c r="ALN72" s="603">
        <v>1800</v>
      </c>
      <c r="ALO72" s="603">
        <v>1800</v>
      </c>
      <c r="ALP72" s="603"/>
      <c r="ALQ72" s="603">
        <v>1800</v>
      </c>
      <c r="ALR72" s="603">
        <v>1800</v>
      </c>
      <c r="ALS72" s="603">
        <v>1800</v>
      </c>
      <c r="ALT72" s="9"/>
      <c r="ALU72" s="603">
        <v>1800</v>
      </c>
      <c r="ALV72" s="603">
        <v>1800</v>
      </c>
      <c r="ALW72" s="603">
        <v>1800</v>
      </c>
      <c r="ALX72" s="184"/>
      <c r="ALY72" s="603">
        <v>1800</v>
      </c>
      <c r="ALZ72" s="603">
        <v>1800</v>
      </c>
      <c r="AMA72" s="603">
        <v>1800</v>
      </c>
      <c r="AMB72" s="603">
        <v>1800</v>
      </c>
      <c r="AMC72" s="603">
        <v>1800</v>
      </c>
      <c r="AMD72" s="603">
        <v>1800</v>
      </c>
      <c r="AME72" s="603"/>
      <c r="AMF72" s="603">
        <v>1800</v>
      </c>
      <c r="AMG72" s="603">
        <v>1800</v>
      </c>
      <c r="AMH72" s="603">
        <v>1800</v>
      </c>
      <c r="AMI72" s="603">
        <v>1800</v>
      </c>
      <c r="AMJ72" s="603">
        <v>1800</v>
      </c>
      <c r="AMK72" s="603">
        <v>1800</v>
      </c>
      <c r="AML72" s="603"/>
      <c r="AMM72" s="603">
        <v>1800</v>
      </c>
      <c r="AMN72" s="603">
        <v>1800</v>
      </c>
      <c r="AMO72" s="603">
        <v>1800</v>
      </c>
      <c r="AMP72" s="603">
        <v>1800</v>
      </c>
      <c r="AMQ72" s="603">
        <v>1800</v>
      </c>
      <c r="AMR72" s="603">
        <v>1800</v>
      </c>
      <c r="AMS72" s="603"/>
      <c r="AMT72" s="603"/>
      <c r="AMU72" s="603">
        <v>1800</v>
      </c>
      <c r="AMV72" s="603">
        <v>1800</v>
      </c>
      <c r="AMW72" s="603">
        <v>1800</v>
      </c>
      <c r="AMX72" s="603">
        <v>1800</v>
      </c>
      <c r="AMY72" s="603">
        <v>1800</v>
      </c>
      <c r="AMZ72" s="9"/>
      <c r="ANA72" s="364"/>
      <c r="ANB72" s="603">
        <v>1700</v>
      </c>
      <c r="ANC72" s="603">
        <v>1700</v>
      </c>
      <c r="AND72" s="603">
        <v>1700</v>
      </c>
      <c r="ANE72" s="603">
        <v>1700</v>
      </c>
      <c r="ANF72" s="603">
        <v>1700</v>
      </c>
      <c r="ANG72" s="603">
        <v>1700</v>
      </c>
      <c r="ANH72" s="603">
        <v>1700</v>
      </c>
      <c r="ANI72" s="603">
        <v>1700</v>
      </c>
      <c r="ANJ72" s="603">
        <v>1700</v>
      </c>
      <c r="ANK72" s="603">
        <v>1700</v>
      </c>
      <c r="ANL72" s="603">
        <v>1700</v>
      </c>
      <c r="ANM72" s="604">
        <v>1700</v>
      </c>
      <c r="ANN72" s="364"/>
      <c r="ANO72" s="364"/>
      <c r="ANP72" s="603">
        <v>1700</v>
      </c>
      <c r="ANQ72" s="603">
        <v>1700</v>
      </c>
      <c r="ANR72" s="603">
        <v>1700</v>
      </c>
      <c r="ANS72" s="603">
        <v>1700</v>
      </c>
      <c r="ANT72" s="603">
        <v>1700</v>
      </c>
      <c r="ANU72" s="603">
        <v>1700</v>
      </c>
      <c r="ANV72" s="603">
        <v>1700</v>
      </c>
      <c r="ANW72" s="603">
        <v>1700</v>
      </c>
      <c r="ANX72" s="603">
        <v>1700</v>
      </c>
      <c r="ANY72" s="603">
        <v>1700</v>
      </c>
      <c r="ANZ72" s="603">
        <v>1700</v>
      </c>
      <c r="AOA72" s="603">
        <v>1700</v>
      </c>
      <c r="AOB72" s="603">
        <v>1700</v>
      </c>
      <c r="AOD72" s="603">
        <v>1700</v>
      </c>
      <c r="AOE72" s="9"/>
      <c r="AOF72" s="159"/>
      <c r="AOG72" s="159"/>
      <c r="AOH72" s="159"/>
      <c r="AOI72" s="159"/>
      <c r="AOJ72" s="159"/>
      <c r="AOK72" s="159"/>
      <c r="AOL72" s="159"/>
      <c r="AOM72" s="159"/>
      <c r="AON72" s="159"/>
      <c r="AOO72" s="603">
        <v>2100</v>
      </c>
      <c r="AOP72" s="603">
        <v>2100</v>
      </c>
      <c r="AOQ72" s="603">
        <v>2100</v>
      </c>
      <c r="AOR72" s="603"/>
      <c r="AOS72" s="603">
        <v>2100</v>
      </c>
      <c r="AOT72" s="603">
        <v>2100</v>
      </c>
      <c r="AOU72" s="603">
        <v>2100</v>
      </c>
      <c r="AOV72" s="603">
        <v>2100</v>
      </c>
      <c r="AOW72" s="603">
        <v>2100</v>
      </c>
      <c r="AOX72" s="603">
        <v>2100</v>
      </c>
      <c r="AOY72" s="603"/>
      <c r="AOZ72" s="603">
        <v>2100</v>
      </c>
      <c r="APA72" s="603">
        <v>2100</v>
      </c>
      <c r="APB72" s="603">
        <v>2100</v>
      </c>
      <c r="APC72" s="604">
        <v>2100</v>
      </c>
      <c r="APD72" s="603">
        <v>2100</v>
      </c>
      <c r="APE72" s="603">
        <v>2100</v>
      </c>
      <c r="APF72" s="603"/>
      <c r="APG72" s="603">
        <v>2100</v>
      </c>
      <c r="APH72" s="603">
        <v>2100</v>
      </c>
      <c r="API72" s="603">
        <v>2100</v>
      </c>
      <c r="APJ72" s="603">
        <v>2100</v>
      </c>
      <c r="APK72" s="9"/>
      <c r="APL72" s="314">
        <v>2300</v>
      </c>
      <c r="APM72" s="314">
        <v>2300</v>
      </c>
      <c r="APN72" s="314">
        <v>1680</v>
      </c>
      <c r="APO72" s="314">
        <v>2300</v>
      </c>
      <c r="APP72" s="314">
        <v>2300</v>
      </c>
      <c r="APQ72" s="314">
        <v>2300</v>
      </c>
      <c r="APR72" s="314">
        <v>2300</v>
      </c>
      <c r="APS72" s="314">
        <v>2300</v>
      </c>
      <c r="APT72" s="314">
        <v>2300</v>
      </c>
      <c r="APU72" s="314"/>
      <c r="APV72" s="314">
        <v>2300</v>
      </c>
      <c r="APW72" s="314">
        <v>2300</v>
      </c>
      <c r="APX72" s="314">
        <v>2300</v>
      </c>
      <c r="APY72" s="314">
        <v>2300</v>
      </c>
      <c r="APZ72" s="314">
        <v>2300</v>
      </c>
      <c r="AQA72" s="314">
        <v>2300</v>
      </c>
      <c r="AQB72" s="314"/>
      <c r="AQC72" s="314">
        <v>2300</v>
      </c>
      <c r="AQD72" s="314">
        <v>2300</v>
      </c>
      <c r="AQE72" s="314">
        <v>2300</v>
      </c>
      <c r="AQF72" s="314">
        <v>2300</v>
      </c>
      <c r="AQG72" s="314">
        <v>2300</v>
      </c>
      <c r="AQH72" s="314">
        <v>2300</v>
      </c>
      <c r="AQI72" s="314">
        <v>1680</v>
      </c>
      <c r="AQJ72" s="314">
        <v>2300</v>
      </c>
      <c r="AQK72" s="314">
        <v>2300</v>
      </c>
      <c r="AQL72" s="314">
        <v>2300</v>
      </c>
      <c r="AQM72" s="314">
        <v>2300</v>
      </c>
      <c r="AQN72" s="124">
        <v>2300</v>
      </c>
      <c r="AQO72" s="314">
        <v>2300</v>
      </c>
      <c r="AQP72" s="9"/>
      <c r="AQQ72" s="603"/>
      <c r="AQR72" s="603">
        <v>2300</v>
      </c>
      <c r="AQS72" s="603">
        <v>2300</v>
      </c>
      <c r="AQT72" s="603">
        <v>2300</v>
      </c>
      <c r="AQU72" s="603">
        <v>2300</v>
      </c>
      <c r="AQV72" s="603">
        <v>2300</v>
      </c>
      <c r="AQW72" s="603">
        <v>2300</v>
      </c>
      <c r="AQX72" s="637"/>
      <c r="AQY72" s="637"/>
      <c r="AQZ72" s="637"/>
      <c r="ARA72" s="637"/>
      <c r="ARB72" s="637"/>
      <c r="ARC72" s="637"/>
      <c r="ARD72" s="637"/>
      <c r="ARE72" s="637"/>
      <c r="ARF72" s="637"/>
      <c r="ARG72" s="603">
        <v>2300</v>
      </c>
      <c r="ARH72" s="603">
        <v>2300</v>
      </c>
      <c r="ARI72" s="603">
        <v>2300</v>
      </c>
      <c r="ARJ72" s="603">
        <v>2300</v>
      </c>
      <c r="ARK72" s="603">
        <v>2300</v>
      </c>
      <c r="ARM72" s="603">
        <v>2300</v>
      </c>
      <c r="ARN72" s="603">
        <v>2300</v>
      </c>
      <c r="ARO72" s="603">
        <v>2300</v>
      </c>
      <c r="ARP72" s="603">
        <v>2300</v>
      </c>
      <c r="ARQ72" s="603">
        <v>2300</v>
      </c>
      <c r="ARR72" s="603">
        <v>2300</v>
      </c>
      <c r="ARS72" s="603"/>
      <c r="ART72" s="603">
        <v>2300</v>
      </c>
      <c r="ARU72" s="603">
        <v>2300</v>
      </c>
      <c r="ARV72" s="9"/>
      <c r="ARW72" s="603">
        <v>2100</v>
      </c>
      <c r="ARX72" s="603">
        <v>2100</v>
      </c>
      <c r="ARY72" s="603">
        <v>2100</v>
      </c>
      <c r="ARZ72" s="603">
        <v>2100</v>
      </c>
      <c r="ASA72" s="603"/>
      <c r="ASB72" s="603">
        <v>2100</v>
      </c>
      <c r="ASC72" s="603">
        <v>2100</v>
      </c>
      <c r="ASD72" s="603">
        <v>2100</v>
      </c>
      <c r="ASE72" s="603">
        <v>2100</v>
      </c>
      <c r="ASF72" s="603">
        <v>2100</v>
      </c>
      <c r="ASG72" s="603">
        <v>2100</v>
      </c>
      <c r="ASH72" s="603"/>
      <c r="ASI72" s="603">
        <v>2100</v>
      </c>
      <c r="ASJ72" s="603">
        <v>2100</v>
      </c>
      <c r="ASL72" s="603">
        <v>2100</v>
      </c>
      <c r="ASM72" s="603">
        <v>2100</v>
      </c>
      <c r="ASN72" s="603">
        <v>2100</v>
      </c>
      <c r="ASO72" s="603"/>
      <c r="ASP72" s="603">
        <v>2100</v>
      </c>
      <c r="ASQ72" s="603">
        <v>2100</v>
      </c>
      <c r="ASR72" s="603">
        <v>2100</v>
      </c>
      <c r="ASS72" s="603">
        <v>2100</v>
      </c>
      <c r="AST72" s="603">
        <v>2100</v>
      </c>
      <c r="ASU72" s="603">
        <v>2100</v>
      </c>
      <c r="ASV72" s="603"/>
      <c r="ASW72" s="603">
        <v>2100</v>
      </c>
      <c r="ASX72" s="603">
        <v>2100</v>
      </c>
      <c r="ASY72" s="603">
        <v>2100</v>
      </c>
      <c r="ASZ72" s="603">
        <v>2100</v>
      </c>
      <c r="ATA72" s="604">
        <v>2100</v>
      </c>
      <c r="ATB72" s="9"/>
      <c r="ATC72" s="603">
        <v>2100</v>
      </c>
      <c r="ATD72" s="603"/>
      <c r="ATE72" s="603">
        <v>2100</v>
      </c>
      <c r="ATF72" s="603">
        <v>2100</v>
      </c>
      <c r="ATG72" s="603">
        <v>2100</v>
      </c>
      <c r="ATH72" s="603">
        <v>2100</v>
      </c>
      <c r="ATI72" s="603">
        <v>2100</v>
      </c>
      <c r="ATJ72" s="604">
        <v>2100</v>
      </c>
      <c r="ATK72" s="603"/>
      <c r="ATL72" s="603">
        <v>0</v>
      </c>
      <c r="ATM72" s="603">
        <v>0</v>
      </c>
      <c r="ATN72" s="603">
        <v>0</v>
      </c>
      <c r="ATO72" s="603">
        <v>0</v>
      </c>
      <c r="ATP72" s="603">
        <v>0</v>
      </c>
      <c r="ATQ72" s="603">
        <v>0</v>
      </c>
      <c r="ATR72" s="603"/>
      <c r="ATS72" s="603">
        <v>0</v>
      </c>
      <c r="ATT72" s="603">
        <v>0</v>
      </c>
      <c r="ATU72" s="603">
        <v>0</v>
      </c>
      <c r="ATV72" s="603">
        <v>0</v>
      </c>
      <c r="ATW72" s="603">
        <v>0</v>
      </c>
      <c r="ATX72" s="603">
        <v>0</v>
      </c>
      <c r="ATY72" s="603"/>
      <c r="ATZ72" s="603">
        <v>0</v>
      </c>
      <c r="AUA72" s="603">
        <v>0</v>
      </c>
      <c r="AUB72" s="603">
        <v>0</v>
      </c>
      <c r="AUC72" s="603">
        <v>0</v>
      </c>
      <c r="AUD72" s="603">
        <v>0</v>
      </c>
      <c r="AUE72" s="603">
        <v>0</v>
      </c>
      <c r="AUF72" s="603"/>
      <c r="AUG72" s="9"/>
      <c r="AUH72" s="603">
        <v>0</v>
      </c>
      <c r="AUI72" s="603">
        <v>0</v>
      </c>
      <c r="AUJ72" s="603">
        <v>0</v>
      </c>
      <c r="AUK72" s="603">
        <v>0</v>
      </c>
      <c r="AUL72" s="603"/>
      <c r="AUM72" s="603">
        <v>0</v>
      </c>
      <c r="AUN72" s="603"/>
      <c r="AUO72" s="603">
        <v>0</v>
      </c>
      <c r="AUP72" s="603">
        <v>0</v>
      </c>
      <c r="AUQ72" s="603">
        <v>0</v>
      </c>
      <c r="AUR72" s="603">
        <v>0</v>
      </c>
      <c r="AUS72" s="603">
        <v>0</v>
      </c>
      <c r="AUT72" s="604">
        <v>0</v>
      </c>
      <c r="AUU72" s="603"/>
      <c r="AUV72" s="603"/>
      <c r="AUW72" s="603"/>
      <c r="AUX72" s="603"/>
      <c r="AUY72" s="603"/>
      <c r="AUZ72" s="603"/>
      <c r="AVA72" s="603"/>
      <c r="AVB72" s="603"/>
      <c r="AVC72" s="603"/>
      <c r="AVD72" s="603"/>
      <c r="AVE72" s="603"/>
      <c r="AVF72" s="603"/>
      <c r="AVG72" s="603"/>
      <c r="AVH72" s="603"/>
      <c r="AVI72" s="603"/>
      <c r="AVJ72" s="603"/>
      <c r="AVK72" s="603"/>
      <c r="AVL72" s="603"/>
      <c r="AVM72" s="9"/>
      <c r="AVN72" s="603"/>
      <c r="AVO72" s="603"/>
      <c r="AVP72" s="603"/>
      <c r="AVQ72" s="603"/>
      <c r="AVR72" s="603"/>
      <c r="AVS72" s="603"/>
      <c r="AVT72" s="603"/>
      <c r="AVU72" s="603"/>
      <c r="AVV72" s="603"/>
      <c r="AVW72" s="603"/>
      <c r="AVX72" s="603"/>
      <c r="AVY72" s="603"/>
      <c r="AVZ72" s="603"/>
      <c r="AWA72" s="603"/>
      <c r="AWB72" s="603"/>
      <c r="AWC72" s="603"/>
      <c r="AWD72" s="603"/>
      <c r="AWE72" s="603"/>
      <c r="AWF72" s="603"/>
      <c r="AWG72" s="603"/>
      <c r="AWH72" s="603"/>
      <c r="AWI72" s="603"/>
      <c r="AWJ72" s="603"/>
      <c r="AWK72" s="603"/>
      <c r="AWL72" s="603"/>
      <c r="AWM72" s="603"/>
      <c r="AWN72" s="603"/>
      <c r="AWO72" s="603"/>
      <c r="AWP72" s="603"/>
      <c r="AWQ72" s="603"/>
      <c r="AWR72" s="9"/>
      <c r="AWS72" s="603"/>
      <c r="AWT72" s="603"/>
      <c r="AWU72" s="603"/>
      <c r="AWV72" s="603"/>
      <c r="AWW72" s="603"/>
      <c r="AWX72" s="603"/>
      <c r="AWY72" s="603"/>
      <c r="AWZ72" s="603"/>
      <c r="AXA72" s="603"/>
      <c r="AXB72" s="603"/>
      <c r="AXC72" s="603"/>
      <c r="AXD72" s="603"/>
      <c r="AXE72" s="603"/>
      <c r="AXF72" s="603"/>
      <c r="AXG72" s="603"/>
      <c r="AXH72" s="603"/>
      <c r="AXI72" s="603"/>
      <c r="AXJ72" s="603"/>
      <c r="AXK72" s="603"/>
      <c r="AXL72" s="603"/>
      <c r="AXM72" s="603"/>
      <c r="AXN72" s="603"/>
      <c r="AXO72" s="603"/>
      <c r="AXP72" s="603"/>
      <c r="AXQ72" s="603"/>
      <c r="AXR72" s="603"/>
      <c r="AXS72" s="603"/>
      <c r="AXT72" s="603"/>
      <c r="AXU72" s="603"/>
      <c r="AXV72" s="603"/>
      <c r="AXW72" s="603"/>
      <c r="AXX72" s="9"/>
      <c r="AXY72" s="364"/>
      <c r="AXZ72" s="364"/>
      <c r="AYA72" s="364"/>
      <c r="AYB72" s="364"/>
      <c r="AYC72" s="364"/>
      <c r="AYD72" s="364"/>
      <c r="AYE72" s="364"/>
      <c r="AYF72" s="364"/>
      <c r="AYG72" s="364"/>
      <c r="AYH72" s="364"/>
      <c r="AYI72" s="364"/>
      <c r="AYJ72" s="364"/>
      <c r="AYK72" s="364"/>
      <c r="AYL72" s="364"/>
      <c r="AYM72" s="364"/>
      <c r="AYN72" s="364"/>
      <c r="AYO72" s="364"/>
      <c r="AYP72" s="364"/>
      <c r="AYQ72" s="364"/>
      <c r="AYR72" s="364"/>
      <c r="AYS72" s="364"/>
      <c r="AYT72" s="364"/>
      <c r="AYU72" s="364"/>
      <c r="AYV72" s="364"/>
      <c r="AYW72" s="364"/>
      <c r="AYX72" s="364"/>
      <c r="AYY72" s="364"/>
      <c r="AYZ72" s="364"/>
      <c r="AZA72" s="364"/>
      <c r="AZB72" s="364"/>
      <c r="AZC72" s="364"/>
      <c r="AZD72" s="364"/>
      <c r="AZE72" s="364"/>
      <c r="AZF72" s="364"/>
      <c r="AZG72" s="364"/>
      <c r="AZH72" s="364"/>
      <c r="AZI72" s="364"/>
      <c r="AZJ72" s="364"/>
      <c r="AZK72" s="364"/>
      <c r="AZL72" s="364"/>
      <c r="AZM72" s="364"/>
      <c r="AZN72" s="364"/>
      <c r="AZO72" s="364"/>
      <c r="AZP72" s="364"/>
      <c r="AZQ72" s="364"/>
      <c r="AZR72" s="364"/>
      <c r="AZS72" s="364"/>
      <c r="AZT72" s="364"/>
      <c r="AZU72" s="364"/>
      <c r="AZV72" s="364"/>
      <c r="AZW72" s="364"/>
      <c r="AZX72" s="364"/>
      <c r="AZY72" s="364"/>
      <c r="AZZ72" s="364"/>
      <c r="BAA72" s="364"/>
      <c r="BAB72" s="364"/>
      <c r="BAC72" s="364"/>
      <c r="BAD72" s="364"/>
      <c r="BAE72" s="364"/>
      <c r="BAF72" s="364"/>
      <c r="BAG72" s="364"/>
      <c r="BAH72" s="364"/>
      <c r="BAI72" s="364"/>
      <c r="BAJ72" s="364"/>
      <c r="BAK72" s="364"/>
      <c r="BAL72" s="364"/>
      <c r="BAM72" s="364"/>
      <c r="BAN72" s="364"/>
      <c r="BAO72" s="364"/>
      <c r="BAP72" s="364"/>
      <c r="BAQ72" s="364"/>
      <c r="BAR72" s="364"/>
      <c r="BAS72" s="364"/>
      <c r="BAT72" s="364"/>
      <c r="BAU72" s="364"/>
      <c r="BAV72" s="364"/>
      <c r="BAW72" s="364"/>
      <c r="BAX72" s="364"/>
      <c r="BAY72" s="364"/>
      <c r="BAZ72" s="364"/>
      <c r="BBA72" s="364"/>
      <c r="BBB72" s="364"/>
      <c r="BBC72" s="364"/>
      <c r="BBD72" s="364"/>
      <c r="BBE72" s="364"/>
      <c r="BBF72" s="364"/>
      <c r="BBG72" s="364"/>
      <c r="BBH72" s="364"/>
      <c r="BBI72" s="364"/>
      <c r="BBJ72" s="364"/>
      <c r="BBK72" s="364"/>
      <c r="BBL72" s="364"/>
      <c r="BBM72" s="364"/>
      <c r="BBN72" s="364"/>
      <c r="BBO72" s="364"/>
      <c r="BBP72" s="364"/>
      <c r="BBQ72" s="364"/>
      <c r="BBR72" s="364"/>
      <c r="BBS72" s="364"/>
      <c r="BBT72" s="364"/>
      <c r="BBU72" s="364"/>
      <c r="BBV72" s="364"/>
      <c r="BBW72" s="364"/>
      <c r="BBX72" s="364"/>
      <c r="BBY72" s="364"/>
      <c r="BBZ72" s="364"/>
      <c r="BCA72" s="364"/>
      <c r="BCB72" s="364"/>
      <c r="BCC72" s="364"/>
      <c r="BCD72" s="364"/>
      <c r="BCE72" s="364"/>
      <c r="BCF72" s="364"/>
      <c r="BCG72" s="364"/>
      <c r="BCH72" s="364"/>
      <c r="BCI72" s="364"/>
      <c r="BCJ72" s="364"/>
      <c r="BCK72" s="364"/>
      <c r="BCL72" s="364"/>
      <c r="BCM72" s="364"/>
      <c r="BCN72" s="364"/>
      <c r="BCO72" s="364"/>
      <c r="BCP72" s="364"/>
      <c r="BCQ72" s="364"/>
      <c r="BCR72" s="364"/>
      <c r="BCS72" s="364"/>
      <c r="BCT72" s="364"/>
      <c r="BCU72" s="364"/>
      <c r="BCV72" s="364"/>
      <c r="BCW72" s="364"/>
      <c r="BCX72" s="364"/>
      <c r="BCY72" s="364"/>
      <c r="BCZ72" s="364"/>
      <c r="BDA72" s="364"/>
      <c r="BDB72" s="364"/>
      <c r="BDC72" s="364"/>
      <c r="BDD72" s="364"/>
      <c r="BDE72" s="364"/>
      <c r="BDF72" s="364"/>
      <c r="BDG72" s="364"/>
      <c r="BDH72" s="364"/>
      <c r="BDI72" s="364"/>
      <c r="BDJ72" s="364"/>
      <c r="BDK72" s="364"/>
      <c r="BDL72" s="364"/>
      <c r="BDM72" s="364"/>
      <c r="BDN72" s="364"/>
      <c r="BDO72" s="364"/>
      <c r="BDP72" s="364"/>
      <c r="BDQ72" s="364"/>
      <c r="BDR72" s="364"/>
      <c r="BDS72" s="364"/>
      <c r="BDT72" s="364"/>
      <c r="BDU72" s="364"/>
      <c r="BDV72" s="364"/>
      <c r="BDW72" s="364"/>
      <c r="BDX72" s="364"/>
      <c r="BDY72" s="364"/>
      <c r="BDZ72" s="364"/>
      <c r="BEA72" s="364"/>
      <c r="BEB72" s="364"/>
      <c r="BEC72" s="364"/>
      <c r="BED72" s="364"/>
      <c r="BEE72" s="364"/>
      <c r="BEF72" s="364"/>
      <c r="BEG72" s="364"/>
      <c r="BEH72" s="364"/>
      <c r="BEI72" s="364"/>
      <c r="BEJ72" s="364"/>
      <c r="BEK72" s="364"/>
      <c r="BEL72" s="364"/>
      <c r="BEM72" s="364"/>
      <c r="BEN72" s="364"/>
      <c r="BEO72" s="364"/>
      <c r="BEP72" s="364"/>
      <c r="BEQ72" s="364"/>
      <c r="BER72" s="364"/>
      <c r="BES72" s="364"/>
      <c r="BET72" s="364"/>
      <c r="BEU72" s="364"/>
      <c r="BEV72" s="364"/>
      <c r="BEW72" s="364"/>
      <c r="BEX72" s="364"/>
      <c r="BEY72" s="364"/>
      <c r="BEZ72" s="364"/>
      <c r="BFA72" s="364"/>
      <c r="BFB72" s="364"/>
      <c r="BFC72" s="364"/>
      <c r="BFD72" s="364"/>
      <c r="BFE72" s="364"/>
      <c r="BFF72" s="364"/>
      <c r="BFG72" s="364"/>
      <c r="BFH72" s="364"/>
      <c r="BFI72" s="364"/>
      <c r="BFJ72" s="364"/>
      <c r="BFK72" s="364"/>
      <c r="BFL72" s="364"/>
      <c r="BFM72" s="364"/>
      <c r="BFN72" s="364"/>
      <c r="BFO72" s="364"/>
      <c r="BFP72" s="364"/>
      <c r="BFQ72" s="364"/>
      <c r="BFR72" s="364"/>
      <c r="BFS72" s="364"/>
      <c r="BFT72" s="364"/>
      <c r="BFU72" s="364"/>
      <c r="BFV72" s="364"/>
      <c r="BFW72" s="364"/>
      <c r="BFX72" s="364"/>
      <c r="BFY72" s="364"/>
      <c r="BFZ72" s="364"/>
      <c r="BGA72" s="364"/>
      <c r="BGB72" s="364"/>
      <c r="BGC72" s="364"/>
      <c r="BGD72" s="364"/>
      <c r="BGE72" s="364"/>
      <c r="BGF72" s="364"/>
      <c r="BGG72" s="364"/>
      <c r="BGH72" s="364"/>
      <c r="BGI72" s="364"/>
      <c r="BGJ72" s="364"/>
      <c r="BGK72" s="364"/>
      <c r="BGL72" s="364"/>
      <c r="BGM72" s="364"/>
      <c r="BGN72" s="364"/>
      <c r="BGO72" s="364"/>
      <c r="BGP72" s="364"/>
      <c r="BGQ72" s="364"/>
      <c r="BGR72" s="364"/>
      <c r="BGS72" s="364"/>
      <c r="BGT72" s="364"/>
      <c r="BGU72" s="364"/>
      <c r="BGV72" s="364"/>
      <c r="BGW72" s="364"/>
      <c r="BGX72" s="364"/>
      <c r="BGY72" s="364"/>
      <c r="BGZ72" s="364"/>
      <c r="BHA72" s="364"/>
      <c r="BHB72" s="364"/>
      <c r="BHC72" s="364"/>
      <c r="BHD72" s="364"/>
      <c r="BHE72" s="364"/>
      <c r="BHF72" s="364"/>
      <c r="BHG72" s="364"/>
      <c r="BHH72" s="364"/>
      <c r="BHI72" s="364"/>
      <c r="BHJ72" s="364"/>
      <c r="BHK72" s="364"/>
      <c r="BHL72" s="364"/>
      <c r="BHM72" s="364"/>
      <c r="BHN72" s="364"/>
      <c r="BHO72" s="364"/>
      <c r="BHP72" s="364"/>
      <c r="BHQ72" s="364"/>
      <c r="BHR72" s="364"/>
      <c r="BHS72" s="364"/>
      <c r="BHT72" s="364"/>
      <c r="BHU72" s="364"/>
      <c r="BHV72" s="364"/>
      <c r="BHW72" s="364"/>
    </row>
    <row r="73" spans="1:1583" s="31" customFormat="1" ht="22.8" customHeight="1" x14ac:dyDescent="0.25">
      <c r="B73" s="7" t="s">
        <v>2544</v>
      </c>
      <c r="C73" s="43"/>
      <c r="D73" s="43"/>
      <c r="E73" s="43"/>
      <c r="F73" s="43"/>
      <c r="G73" s="43"/>
      <c r="H73" s="43"/>
      <c r="I73" s="43"/>
      <c r="J73" s="43"/>
      <c r="K73" s="43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93"/>
      <c r="AI73" s="43"/>
      <c r="AJ73" s="43"/>
      <c r="AK73" s="43"/>
      <c r="AQ73" s="731"/>
      <c r="AR73" s="732"/>
      <c r="AS73" s="732"/>
      <c r="AT73" s="732"/>
      <c r="AU73" s="732"/>
      <c r="AV73" s="732"/>
      <c r="AW73" s="732"/>
      <c r="AX73" s="732"/>
      <c r="AY73" s="732"/>
      <c r="AZ73" s="73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92"/>
      <c r="CS73" s="92"/>
      <c r="CT73" s="43"/>
      <c r="CU73" s="43"/>
      <c r="CV73" s="43"/>
      <c r="CW73" s="43"/>
      <c r="CX73" s="43"/>
      <c r="DP73" s="30"/>
      <c r="DQ73" s="43"/>
      <c r="DS73" s="43"/>
      <c r="DT73" s="43"/>
      <c r="DU73" s="43"/>
      <c r="DV73" s="43"/>
      <c r="DW73" s="43"/>
      <c r="DX73" s="43"/>
      <c r="DY73" s="43"/>
      <c r="ED73" s="30"/>
      <c r="EE73" s="30"/>
      <c r="EF73" s="30"/>
      <c r="EG73" s="30"/>
      <c r="EH73" s="30"/>
      <c r="EI73" s="30"/>
      <c r="EJ73" s="30"/>
      <c r="EK73" s="30"/>
      <c r="EL73" s="30"/>
      <c r="EM73" s="30"/>
      <c r="EN73" s="30"/>
      <c r="EO73" s="30"/>
      <c r="EP73" s="30"/>
      <c r="EQ73" s="30"/>
      <c r="ER73" s="30"/>
      <c r="ES73" s="30"/>
      <c r="ET73" s="30"/>
      <c r="EU73" s="30"/>
      <c r="EV73" s="30"/>
      <c r="EW73" s="30"/>
      <c r="EX73" s="43"/>
      <c r="EY73" s="43"/>
      <c r="EZ73" s="43"/>
      <c r="FA73" s="43"/>
      <c r="FB73" s="43"/>
      <c r="FC73" s="30"/>
      <c r="FE73" s="30"/>
      <c r="FH73" s="30"/>
      <c r="FI73" s="30"/>
      <c r="FJ73" s="30"/>
      <c r="FK73" s="30"/>
      <c r="FL73" s="30"/>
      <c r="FM73" s="30"/>
      <c r="FN73" s="30"/>
      <c r="FO73" s="30"/>
      <c r="FP73" s="30"/>
      <c r="FQ73" s="30"/>
      <c r="FR73" s="30"/>
      <c r="FS73" s="30"/>
      <c r="FT73" s="30"/>
      <c r="FU73" s="30"/>
      <c r="FV73" s="30"/>
      <c r="FW73" s="30"/>
      <c r="FX73" s="30"/>
      <c r="FY73" s="30"/>
      <c r="FZ73" s="30"/>
      <c r="GA73" s="30"/>
      <c r="GB73" s="30"/>
      <c r="GC73" s="30"/>
      <c r="GD73" s="30"/>
      <c r="GE73" s="78"/>
      <c r="GF73" s="78"/>
      <c r="GG73" s="78"/>
      <c r="GH73" s="78"/>
      <c r="GI73" s="78"/>
      <c r="GJ73" s="78"/>
      <c r="GK73" s="79"/>
      <c r="GL73" s="79"/>
      <c r="GM73" s="79"/>
      <c r="GN73" s="30"/>
      <c r="HC73" s="78"/>
      <c r="HD73" s="78"/>
      <c r="HE73" s="78"/>
      <c r="HF73" s="78"/>
      <c r="HG73" s="78"/>
      <c r="HH73" s="78"/>
      <c r="HI73" s="78"/>
      <c r="HJ73" s="78"/>
      <c r="HK73" s="78"/>
      <c r="HL73" s="78"/>
      <c r="HM73" s="78"/>
      <c r="HN73" s="78"/>
      <c r="HP73" s="92"/>
      <c r="IT73" s="92"/>
      <c r="JZ73" s="92"/>
      <c r="LE73" s="92"/>
      <c r="MK73" s="92">
        <v>7</v>
      </c>
      <c r="NA73" s="366">
        <v>25020</v>
      </c>
      <c r="NC73" s="310"/>
      <c r="ND73" s="310"/>
      <c r="NE73" s="310"/>
      <c r="NF73" s="310"/>
      <c r="NG73" s="310"/>
      <c r="NH73" s="310"/>
      <c r="NI73" s="310"/>
      <c r="NJ73" s="310"/>
      <c r="NM73" s="310"/>
      <c r="NN73" s="310"/>
      <c r="NP73" s="92"/>
      <c r="OC73" s="310"/>
      <c r="OD73" s="310"/>
      <c r="OE73" s="310"/>
      <c r="OF73" s="310"/>
      <c r="OG73" s="310"/>
      <c r="OH73" s="310"/>
      <c r="OL73" s="298"/>
      <c r="OM73" s="298"/>
      <c r="ON73" s="298"/>
      <c r="OO73" s="298"/>
      <c r="OP73" s="298"/>
      <c r="OQ73" s="298"/>
      <c r="OR73" s="298"/>
      <c r="OS73" s="310"/>
      <c r="OV73" s="92"/>
      <c r="PD73" s="310">
        <f>14604*1.04</f>
        <v>15188.16</v>
      </c>
      <c r="PE73" s="310">
        <f>27298*1.04</f>
        <v>28389.920000000002</v>
      </c>
      <c r="PF73" s="310">
        <f>19992*1.04</f>
        <v>20791.68</v>
      </c>
      <c r="PG73" s="310">
        <f>30024*1.04</f>
        <v>31224.960000000003</v>
      </c>
      <c r="PH73" s="310"/>
      <c r="PM73" s="310"/>
      <c r="PN73" s="310"/>
      <c r="PO73" s="310"/>
      <c r="PP73" s="310"/>
      <c r="PT73" s="310"/>
      <c r="PU73" s="310"/>
      <c r="PV73" s="310"/>
      <c r="QB73" s="310"/>
      <c r="QC73" s="310"/>
      <c r="QD73" s="310"/>
      <c r="QE73" s="310"/>
      <c r="QF73" s="310"/>
      <c r="QG73" s="310"/>
      <c r="QH73" s="310"/>
      <c r="QI73" s="310"/>
      <c r="QJ73" s="310"/>
      <c r="QK73" s="310"/>
      <c r="QL73" s="310"/>
      <c r="QM73" s="310"/>
      <c r="QN73" s="310"/>
      <c r="QO73" s="310"/>
      <c r="QP73" s="310"/>
      <c r="QQ73" s="310"/>
      <c r="QR73" s="310"/>
      <c r="QS73" s="310"/>
      <c r="QT73" s="310"/>
      <c r="QU73" s="310"/>
      <c r="QV73" s="310"/>
      <c r="RB73" s="310"/>
      <c r="RC73" s="310"/>
      <c r="RD73" s="310"/>
      <c r="RE73" s="310"/>
      <c r="RF73" s="310"/>
      <c r="RG73" s="92"/>
      <c r="RH73" s="310"/>
      <c r="RN73" s="310"/>
      <c r="RO73" s="310"/>
      <c r="SD73" s="310"/>
      <c r="SE73" s="310"/>
      <c r="SF73" s="310"/>
      <c r="SG73" s="310"/>
      <c r="SH73" s="310"/>
      <c r="SI73" s="310"/>
      <c r="SJ73" s="310"/>
      <c r="SM73" s="11"/>
      <c r="SN73" s="462" t="s">
        <v>1623</v>
      </c>
      <c r="SO73" s="464"/>
      <c r="SP73" s="464"/>
      <c r="SQ73" s="462" t="s">
        <v>1620</v>
      </c>
      <c r="SR73" s="462" t="s">
        <v>1096</v>
      </c>
      <c r="SS73" s="464"/>
      <c r="ST73" s="464"/>
      <c r="SU73" s="464"/>
      <c r="SV73" s="464"/>
      <c r="SW73" s="464"/>
      <c r="SX73" s="464"/>
      <c r="SY73" s="464"/>
      <c r="SZ73" s="464"/>
      <c r="TA73" s="464"/>
      <c r="TB73" s="464"/>
      <c r="TC73" s="463" t="s">
        <v>1629</v>
      </c>
      <c r="TD73" s="464"/>
      <c r="TE73" s="464"/>
      <c r="TF73" s="464"/>
      <c r="TG73" s="464"/>
      <c r="TH73" s="464"/>
      <c r="TI73" s="464"/>
      <c r="TJ73" s="464"/>
      <c r="TK73" s="464"/>
      <c r="TL73" s="464"/>
      <c r="TM73" s="464"/>
      <c r="TN73" s="464"/>
      <c r="TO73" s="464"/>
      <c r="TP73" s="464"/>
      <c r="TQ73" s="464"/>
      <c r="TR73" s="92"/>
      <c r="TS73" s="462" t="s">
        <v>1259</v>
      </c>
      <c r="TT73" s="465"/>
      <c r="TU73" s="462" t="s">
        <v>1741</v>
      </c>
      <c r="TV73" s="465"/>
      <c r="TW73" s="465"/>
      <c r="TX73" s="465"/>
      <c r="TY73" s="465"/>
      <c r="TZ73" s="465"/>
      <c r="UA73" s="465"/>
      <c r="UB73" s="465"/>
      <c r="UC73" s="465"/>
      <c r="UD73" s="465"/>
      <c r="UE73" s="465"/>
      <c r="UF73" s="465"/>
      <c r="UG73" s="465"/>
      <c r="UH73" s="465"/>
      <c r="UI73" s="465"/>
      <c r="UJ73" s="465"/>
      <c r="UK73" s="465"/>
      <c r="UL73" s="465"/>
      <c r="UM73" s="465"/>
      <c r="UN73" s="465"/>
      <c r="UO73" s="465"/>
      <c r="UP73" s="466" t="s">
        <v>1816</v>
      </c>
      <c r="UQ73" s="465"/>
      <c r="UR73" s="465"/>
      <c r="US73" s="465"/>
      <c r="UT73" s="465"/>
      <c r="UU73" s="465"/>
      <c r="UV73" s="465"/>
      <c r="UW73" s="462" t="s">
        <v>1828</v>
      </c>
      <c r="UX73" s="92"/>
      <c r="UZ73" s="465"/>
      <c r="VA73" s="465"/>
      <c r="VB73" s="465"/>
      <c r="VC73" s="465"/>
      <c r="VD73" s="462" t="s">
        <v>1827</v>
      </c>
      <c r="VE73" s="465"/>
      <c r="VF73" s="465"/>
      <c r="VG73" s="465"/>
      <c r="VH73" s="465"/>
      <c r="VI73" s="462" t="s">
        <v>1910</v>
      </c>
      <c r="VJ73" s="465"/>
      <c r="VK73" s="465"/>
      <c r="VL73" s="465"/>
      <c r="VM73" s="465"/>
      <c r="VN73" s="465"/>
      <c r="VO73" s="465"/>
      <c r="VP73" s="465"/>
      <c r="VQ73" s="465"/>
      <c r="VR73" s="465"/>
      <c r="VS73" s="465"/>
      <c r="VT73" s="465"/>
      <c r="VU73" s="465"/>
      <c r="VV73" s="465"/>
      <c r="VW73" s="465"/>
      <c r="VX73" s="465"/>
      <c r="VY73" s="465"/>
      <c r="VZ73" s="466" t="s">
        <v>2008</v>
      </c>
      <c r="WA73" s="465"/>
      <c r="WB73" s="465"/>
      <c r="WC73" s="465"/>
      <c r="WD73" s="92"/>
      <c r="WE73" s="465"/>
      <c r="WF73" s="465"/>
      <c r="WG73" s="465"/>
      <c r="WH73" s="465"/>
      <c r="WI73" s="465"/>
      <c r="WJ73" s="465"/>
      <c r="WK73" s="465"/>
      <c r="WL73" s="465"/>
      <c r="WM73" s="465"/>
      <c r="WN73" s="465"/>
      <c r="WO73" s="465"/>
      <c r="WP73" s="465"/>
      <c r="WQ73" s="465"/>
      <c r="WR73" s="465"/>
      <c r="WS73" s="465"/>
      <c r="WT73" s="465"/>
      <c r="WU73" s="465"/>
      <c r="WV73" s="465"/>
      <c r="WW73" s="465"/>
      <c r="WX73" s="465"/>
      <c r="WY73" s="465"/>
      <c r="WZ73" s="465"/>
      <c r="XA73" s="465"/>
      <c r="XB73" s="465"/>
      <c r="XC73" s="465"/>
      <c r="XD73" s="465"/>
      <c r="XE73" s="465"/>
      <c r="XF73" s="465"/>
      <c r="XG73" s="92"/>
      <c r="XH73" s="298"/>
      <c r="XI73" s="298"/>
      <c r="XJ73" s="298"/>
      <c r="XK73" s="298"/>
      <c r="XL73" s="298"/>
      <c r="XM73" s="298"/>
      <c r="XN73" s="298"/>
      <c r="XO73" s="298"/>
      <c r="XP73" s="298"/>
      <c r="XQ73" s="298"/>
      <c r="XR73" s="298"/>
      <c r="XS73" s="298"/>
      <c r="XT73" s="298"/>
      <c r="XU73" s="298"/>
      <c r="XV73" s="298"/>
      <c r="XW73" s="298"/>
      <c r="XX73" s="298"/>
      <c r="XY73" s="298"/>
      <c r="XZ73" s="298"/>
      <c r="YA73" s="298"/>
      <c r="YB73" s="298"/>
      <c r="YC73" s="298"/>
      <c r="YD73" s="298"/>
      <c r="YE73" s="298"/>
      <c r="YF73" s="180" t="s">
        <v>2008</v>
      </c>
      <c r="YG73" s="298"/>
      <c r="YH73" s="298"/>
      <c r="YI73" s="298"/>
      <c r="YJ73" s="298"/>
      <c r="YK73" s="298"/>
      <c r="YL73" s="298"/>
      <c r="YM73" s="92"/>
      <c r="YZ73" s="310"/>
      <c r="ZA73" s="310"/>
      <c r="ZB73" s="310"/>
      <c r="ZR73" s="92"/>
      <c r="AAQ73" s="310"/>
      <c r="AAR73" s="310"/>
      <c r="AAS73" s="310"/>
      <c r="AAT73" s="310"/>
      <c r="AAU73" s="310"/>
      <c r="AAV73" s="310"/>
      <c r="AAW73" s="310"/>
      <c r="AAX73" s="92"/>
      <c r="AAY73" s="310"/>
      <c r="AAZ73" s="310"/>
      <c r="ABA73" s="310"/>
      <c r="ABB73" s="310"/>
      <c r="ABW73" s="310"/>
      <c r="ABX73" s="310"/>
      <c r="ACC73" s="92"/>
      <c r="ACD73" s="310"/>
      <c r="ACE73" s="310"/>
      <c r="ADI73" s="632"/>
      <c r="ADJ73" s="364"/>
      <c r="ADK73" s="364"/>
      <c r="ADL73" s="364"/>
      <c r="ADM73" s="364"/>
      <c r="ADN73" s="364"/>
      <c r="ADO73" s="364"/>
      <c r="ADP73" s="364"/>
      <c r="ADQ73" s="364"/>
      <c r="ADR73" s="364"/>
      <c r="ADS73" s="364"/>
      <c r="ADT73" s="364"/>
      <c r="ADU73" s="364"/>
      <c r="ADV73" s="364"/>
      <c r="ADW73" s="364"/>
      <c r="ADX73" s="364"/>
      <c r="ADY73" s="364"/>
      <c r="ADZ73" s="364"/>
      <c r="AEA73" s="364"/>
      <c r="AEB73" s="364"/>
      <c r="AEC73" s="364"/>
      <c r="AED73" s="364"/>
      <c r="AEE73" s="364"/>
      <c r="AEF73" s="364"/>
      <c r="AEG73" s="364"/>
      <c r="AEH73" s="364"/>
      <c r="AEI73" s="364"/>
      <c r="AEJ73" s="364"/>
      <c r="AEK73" s="364"/>
      <c r="AEL73" s="364"/>
      <c r="AEM73" s="364"/>
      <c r="AEN73" s="180" t="s">
        <v>2511</v>
      </c>
      <c r="AEO73" s="364"/>
      <c r="AEX73" s="310"/>
      <c r="AEY73" s="310"/>
      <c r="AEZ73" s="310"/>
      <c r="AFA73" s="310"/>
      <c r="AFB73" s="310"/>
      <c r="AFC73" s="310"/>
      <c r="AFD73" s="310"/>
      <c r="AFE73" s="316" t="s">
        <v>2549</v>
      </c>
      <c r="AFF73" s="364"/>
      <c r="AFG73" s="316" t="s">
        <v>2549</v>
      </c>
      <c r="AFH73" s="316" t="s">
        <v>2552</v>
      </c>
      <c r="AFI73" s="364"/>
      <c r="AFK73" s="352" t="s">
        <v>2581</v>
      </c>
      <c r="AFL73" s="352" t="s">
        <v>2590</v>
      </c>
      <c r="AFM73" s="310"/>
      <c r="AFN73" s="310"/>
      <c r="AFO73" s="310"/>
      <c r="AFP73" s="310"/>
      <c r="AFQ73" s="310"/>
      <c r="AFR73" s="319" t="s">
        <v>2637</v>
      </c>
      <c r="AFS73" s="319" t="s">
        <v>2637</v>
      </c>
      <c r="AFT73" s="7" t="s">
        <v>2315</v>
      </c>
      <c r="AFU73" s="364"/>
      <c r="AFV73" s="364"/>
      <c r="AFW73" s="364"/>
      <c r="AFX73" s="364"/>
      <c r="AFY73" s="364"/>
      <c r="AFZ73" s="364"/>
      <c r="AGA73" s="364"/>
      <c r="AGB73" s="364"/>
      <c r="AGC73" s="319" t="s">
        <v>2672</v>
      </c>
      <c r="AGD73" s="364"/>
      <c r="AGE73" s="364"/>
      <c r="AGF73" s="364"/>
      <c r="AGG73" s="316" t="s">
        <v>2714</v>
      </c>
      <c r="AGH73" s="319" t="s">
        <v>2716</v>
      </c>
      <c r="AGI73" s="364"/>
      <c r="AGJ73" s="364"/>
      <c r="AGK73" s="364"/>
      <c r="AGL73" s="316" t="s">
        <v>2717</v>
      </c>
      <c r="AGM73" s="364"/>
      <c r="AGN73" s="316" t="s">
        <v>2719</v>
      </c>
      <c r="AGO73" s="364"/>
      <c r="AGP73" s="314"/>
      <c r="AGR73" s="319" t="s">
        <v>2637</v>
      </c>
      <c r="AGS73" s="666" t="s">
        <v>2200</v>
      </c>
      <c r="AGT73" s="314"/>
      <c r="AGU73" s="180" t="s">
        <v>2218</v>
      </c>
      <c r="AGV73" s="180" t="s">
        <v>2721</v>
      </c>
      <c r="AGW73" s="314"/>
      <c r="AGX73" s="314"/>
      <c r="AGY73" s="180" t="s">
        <v>2798</v>
      </c>
      <c r="AGZ73" s="5"/>
      <c r="AHA73" s="316" t="s">
        <v>2806</v>
      </c>
      <c r="AHB73" s="180" t="s">
        <v>2812</v>
      </c>
      <c r="AHC73" s="180" t="s">
        <v>2815</v>
      </c>
      <c r="AHF73" s="316" t="s">
        <v>2806</v>
      </c>
      <c r="AHG73" s="316" t="s">
        <v>2807</v>
      </c>
      <c r="AHH73" s="316" t="s">
        <v>2829</v>
      </c>
      <c r="AHI73" s="364"/>
      <c r="AHJ73" s="666" t="s">
        <v>2852</v>
      </c>
      <c r="AHK73" s="666" t="s">
        <v>2856</v>
      </c>
      <c r="AHM73" s="316" t="s">
        <v>2829</v>
      </c>
      <c r="AHN73" s="316" t="s">
        <v>2830</v>
      </c>
      <c r="AHO73" s="316" t="s">
        <v>2856</v>
      </c>
      <c r="AHZ73" s="310"/>
      <c r="AIA73" s="310"/>
      <c r="AIB73" s="310"/>
      <c r="AIC73" s="310"/>
      <c r="AID73" s="310"/>
      <c r="AIE73" s="5"/>
      <c r="AIF73" s="310"/>
      <c r="AIG73" s="310"/>
      <c r="AIH73" s="310"/>
      <c r="AII73" s="310"/>
      <c r="AIJ73" s="310"/>
      <c r="AIK73" s="310"/>
      <c r="AIL73" s="310"/>
      <c r="AIM73" s="310"/>
      <c r="AIN73" s="310"/>
      <c r="AIO73" s="310"/>
      <c r="AIP73" s="310"/>
      <c r="AIQ73" s="310"/>
      <c r="AIR73" s="310"/>
      <c r="AIS73" s="310"/>
      <c r="AIT73" s="310"/>
      <c r="AIU73" s="310"/>
      <c r="AIV73" s="310"/>
      <c r="AIW73" s="310"/>
      <c r="AIX73" s="310"/>
      <c r="AIY73" s="310"/>
      <c r="AIZ73" s="310"/>
      <c r="AJA73" s="310"/>
      <c r="AJB73" s="310"/>
      <c r="AJC73" s="310"/>
      <c r="AJD73" s="310"/>
      <c r="AJE73" s="310"/>
      <c r="AJF73" s="310"/>
      <c r="AJG73" s="310"/>
      <c r="AJH73" s="310"/>
      <c r="AJI73" s="310"/>
      <c r="AJJ73" s="310"/>
      <c r="AJK73" s="5"/>
      <c r="AKD73" s="310"/>
      <c r="AKE73" s="310"/>
      <c r="AKF73" s="310"/>
      <c r="AKG73" s="310"/>
      <c r="AKH73" s="310"/>
      <c r="AKI73" s="310"/>
      <c r="AKJ73" s="310"/>
      <c r="AKK73" s="310"/>
      <c r="AKL73" s="310"/>
      <c r="AKM73" s="310"/>
      <c r="AKN73" s="310"/>
      <c r="AKQ73" s="7" t="s">
        <v>2544</v>
      </c>
      <c r="AKR73" s="345" t="s">
        <v>2846</v>
      </c>
      <c r="AKS73" s="345"/>
      <c r="AKT73" s="352"/>
      <c r="AKU73" s="352"/>
      <c r="AKV73" s="352"/>
      <c r="AKW73" s="352"/>
      <c r="AKX73" s="352"/>
      <c r="AKY73" s="352"/>
      <c r="AKZ73" s="352"/>
      <c r="ALA73" s="352"/>
      <c r="ALB73" s="352"/>
      <c r="ALC73" s="352"/>
      <c r="ALD73" s="352"/>
      <c r="ALE73" s="352"/>
      <c r="ALF73" s="352"/>
      <c r="ALG73" s="352"/>
      <c r="ALH73" s="352"/>
      <c r="ALI73" s="352"/>
      <c r="ALJ73" s="352"/>
      <c r="ALK73" s="352"/>
      <c r="ALL73" s="352"/>
      <c r="ALM73" s="352"/>
      <c r="ALN73" s="352"/>
      <c r="ALO73" s="352"/>
      <c r="ALP73" s="352"/>
      <c r="ALQ73" s="352"/>
      <c r="ALR73" s="352"/>
      <c r="ALS73" s="352"/>
      <c r="ALT73" s="7" t="s">
        <v>2544</v>
      </c>
      <c r="ALU73" s="352" t="s">
        <v>2846</v>
      </c>
      <c r="ALV73" s="352"/>
      <c r="ALW73" s="352"/>
      <c r="ALX73" s="352"/>
      <c r="ALY73" s="352"/>
      <c r="ALZ73" s="352"/>
      <c r="AMA73" s="352"/>
      <c r="AMB73" s="352"/>
      <c r="AMC73" s="352"/>
      <c r="AMD73" s="352"/>
      <c r="AME73" s="352"/>
      <c r="AMF73" s="352"/>
      <c r="AMG73" s="352"/>
      <c r="AMH73" s="352"/>
      <c r="AMI73" s="352"/>
      <c r="AMJ73" s="352"/>
      <c r="AMK73" s="352"/>
      <c r="AML73" s="352"/>
      <c r="AMM73" s="352"/>
      <c r="AMN73" s="352"/>
      <c r="AMO73" s="352"/>
      <c r="AMP73" s="352"/>
      <c r="AMQ73" s="352"/>
      <c r="AMR73" s="352"/>
      <c r="AMS73" s="352"/>
      <c r="AMT73" s="352"/>
      <c r="AMU73" s="352"/>
      <c r="AMV73" s="352"/>
      <c r="AMW73" s="352"/>
      <c r="AMX73" s="352"/>
      <c r="AMY73" s="352"/>
      <c r="AMZ73" s="7" t="s">
        <v>2544</v>
      </c>
      <c r="ANA73" s="352" t="s">
        <v>2846</v>
      </c>
      <c r="ANB73" s="352"/>
      <c r="ANC73" s="352"/>
      <c r="AND73" s="352"/>
      <c r="ANE73" s="352"/>
      <c r="ANF73" s="352"/>
      <c r="ANG73" s="352"/>
      <c r="ANH73" s="352"/>
      <c r="ANI73" s="352"/>
      <c r="ANJ73" s="352"/>
      <c r="ANK73" s="352"/>
      <c r="ANL73" s="352"/>
      <c r="ANM73" s="352"/>
      <c r="ANN73" s="352"/>
      <c r="ANO73" s="352"/>
      <c r="ANP73" s="352"/>
      <c r="ANQ73" s="352"/>
      <c r="ANR73" s="352"/>
      <c r="ANS73" s="352"/>
      <c r="ANT73" s="352"/>
      <c r="ANU73" s="352"/>
      <c r="ANV73" s="352"/>
      <c r="ANW73" s="352"/>
      <c r="ANX73" s="352"/>
      <c r="ANY73" s="352"/>
      <c r="ANZ73" s="352"/>
      <c r="AOA73" s="352"/>
      <c r="AOB73" s="352"/>
      <c r="AOC73" s="352"/>
      <c r="AOD73" s="352"/>
      <c r="AOE73" s="7" t="s">
        <v>2544</v>
      </c>
      <c r="AOF73" s="159"/>
      <c r="AOG73" s="159"/>
      <c r="AOH73" s="159"/>
      <c r="AOI73" s="159"/>
      <c r="AOJ73" s="159"/>
      <c r="AOK73" s="159"/>
      <c r="AOL73" s="159"/>
      <c r="AOM73" s="159"/>
      <c r="AON73" s="159"/>
      <c r="AOO73" s="352" t="s">
        <v>2636</v>
      </c>
      <c r="AOP73" s="352"/>
      <c r="AOQ73" s="352"/>
      <c r="AOR73" s="352"/>
      <c r="AOS73" s="352"/>
      <c r="AOT73" s="352"/>
      <c r="AOU73" s="352"/>
      <c r="AOV73" s="352"/>
      <c r="AOW73" s="352"/>
      <c r="AOX73" s="352"/>
      <c r="AOY73" s="352"/>
      <c r="AOZ73" s="352"/>
      <c r="APA73" s="352"/>
      <c r="APB73" s="345" t="s">
        <v>2868</v>
      </c>
      <c r="APC73" s="345"/>
      <c r="APD73" s="352"/>
      <c r="APE73" s="352"/>
      <c r="APF73" s="352"/>
      <c r="APG73" s="352"/>
      <c r="APH73" s="352"/>
      <c r="API73" s="352"/>
      <c r="APJ73" s="352"/>
      <c r="APK73" s="7" t="s">
        <v>2544</v>
      </c>
      <c r="APL73" s="352" t="s">
        <v>2868</v>
      </c>
      <c r="APM73" s="352"/>
      <c r="APN73" s="352"/>
      <c r="APO73" s="352"/>
      <c r="APP73" s="352"/>
      <c r="APQ73" s="352"/>
      <c r="APR73" s="352"/>
      <c r="APS73" s="352"/>
      <c r="APT73" s="352"/>
      <c r="APU73" s="352"/>
      <c r="APV73" s="352"/>
      <c r="APW73" s="352"/>
      <c r="APX73" s="352"/>
      <c r="APY73" s="352"/>
      <c r="APZ73" s="352"/>
      <c r="AQA73" s="352"/>
      <c r="AQB73" s="352"/>
      <c r="AQC73" s="352"/>
      <c r="AQD73" s="352"/>
      <c r="AQE73" s="352"/>
      <c r="AQF73" s="352"/>
      <c r="AQG73" s="352"/>
      <c r="AQH73" s="352"/>
      <c r="AQI73" s="352"/>
      <c r="AQJ73" s="352"/>
      <c r="AQK73" s="352"/>
      <c r="AQL73" s="352"/>
      <c r="AQM73" s="352"/>
      <c r="AQN73" s="352"/>
      <c r="AQO73" s="352"/>
      <c r="AQP73" s="7" t="s">
        <v>2544</v>
      </c>
      <c r="AQQ73" s="352" t="s">
        <v>2868</v>
      </c>
      <c r="AQR73" s="352"/>
      <c r="AQS73" s="352"/>
      <c r="AQT73" s="352"/>
      <c r="AQU73" s="352"/>
      <c r="AQV73" s="352"/>
      <c r="AQW73" s="352"/>
      <c r="AQX73" s="637"/>
      <c r="AQY73" s="637"/>
      <c r="AQZ73" s="637"/>
      <c r="ARA73" s="637"/>
      <c r="ARB73" s="637"/>
      <c r="ARC73" s="637"/>
      <c r="ARD73" s="637"/>
      <c r="ARE73" s="637"/>
      <c r="ARF73" s="637"/>
      <c r="ARG73" s="352" t="s">
        <v>2868</v>
      </c>
      <c r="ARH73" s="352"/>
      <c r="ARI73" s="352"/>
      <c r="ARJ73" s="352"/>
      <c r="ARK73" s="352"/>
      <c r="ARL73" s="352"/>
      <c r="ARM73" s="352"/>
      <c r="ARN73" s="352"/>
      <c r="ARO73" s="352"/>
      <c r="ARP73" s="352"/>
      <c r="ARQ73" s="352"/>
      <c r="ARR73" s="352"/>
      <c r="ARS73" s="352"/>
      <c r="ART73" s="352"/>
      <c r="ARU73" s="352"/>
      <c r="ARV73" s="7" t="s">
        <v>2544</v>
      </c>
      <c r="ARW73" s="352" t="s">
        <v>2868</v>
      </c>
      <c r="ARX73" s="352"/>
      <c r="ARY73" s="352"/>
      <c r="ARZ73" s="352"/>
      <c r="ASA73" s="352"/>
      <c r="ASB73" s="352"/>
      <c r="ASC73" s="352"/>
      <c r="ASD73" s="352"/>
      <c r="ASE73" s="352"/>
      <c r="ASF73" s="352"/>
      <c r="ASG73" s="352"/>
      <c r="ASH73" s="352"/>
      <c r="ASI73" s="352"/>
      <c r="ASJ73" s="352"/>
      <c r="ASK73" s="352"/>
      <c r="ASL73" s="352"/>
      <c r="ASM73" s="352"/>
      <c r="ASN73" s="352"/>
      <c r="ASO73" s="352"/>
      <c r="ASP73" s="352"/>
      <c r="ASQ73" s="352"/>
      <c r="ASR73" s="352"/>
      <c r="ASS73" s="352"/>
      <c r="AST73" s="352"/>
      <c r="ASU73" s="352"/>
      <c r="ASV73" s="352"/>
      <c r="ASW73" s="352"/>
      <c r="ASX73" s="352"/>
      <c r="ASY73" s="352"/>
      <c r="ASZ73" s="352"/>
      <c r="ATA73" s="352"/>
      <c r="ATB73" s="7" t="s">
        <v>2544</v>
      </c>
      <c r="ATC73" s="352" t="s">
        <v>2693</v>
      </c>
      <c r="ATD73" s="352"/>
      <c r="ATE73" s="352"/>
      <c r="ATF73" s="352"/>
      <c r="ATG73" s="352"/>
      <c r="ATH73" s="352"/>
      <c r="ATI73" s="352"/>
      <c r="ATJ73" s="352"/>
      <c r="ATK73" s="352"/>
      <c r="ATL73" s="352"/>
      <c r="ATM73" s="352"/>
      <c r="ATN73" s="352"/>
      <c r="ATO73" s="352"/>
      <c r="ATP73" s="352"/>
      <c r="ATQ73" s="352"/>
      <c r="ATR73" s="352"/>
      <c r="ATS73" s="352"/>
      <c r="ATT73" s="352"/>
      <c r="ATU73" s="352"/>
      <c r="ATV73" s="352"/>
      <c r="ATW73" s="352"/>
      <c r="ATX73" s="352"/>
      <c r="ATY73" s="352"/>
      <c r="ATZ73" s="352"/>
      <c r="AUA73" s="352"/>
      <c r="AUB73" s="352"/>
      <c r="AUC73" s="352"/>
      <c r="AUD73" s="352"/>
      <c r="AUE73" s="352"/>
      <c r="AUF73" s="352"/>
      <c r="AUG73" s="7" t="s">
        <v>2544</v>
      </c>
      <c r="AUH73" s="352" t="s">
        <v>2693</v>
      </c>
      <c r="AUI73" s="352"/>
      <c r="AUJ73" s="352"/>
      <c r="AUK73" s="352"/>
      <c r="AUL73" s="352"/>
      <c r="AUM73" s="352"/>
      <c r="AUN73" s="352"/>
      <c r="AUO73" s="352"/>
      <c r="AUP73" s="352"/>
      <c r="AUQ73" s="352"/>
      <c r="AUR73" s="352"/>
      <c r="AUS73" s="352"/>
      <c r="AUT73" s="352"/>
      <c r="AUU73" s="603"/>
      <c r="AUV73" s="603"/>
      <c r="AUW73" s="603"/>
      <c r="AUX73" s="603"/>
      <c r="AUY73" s="603"/>
      <c r="AUZ73" s="603"/>
      <c r="AVA73" s="603"/>
      <c r="AVB73" s="603"/>
      <c r="AVC73" s="603"/>
      <c r="AVD73" s="603"/>
      <c r="AVE73" s="603"/>
      <c r="AVF73" s="603"/>
      <c r="AVG73" s="603"/>
      <c r="AVH73" s="603"/>
      <c r="AVI73" s="603"/>
      <c r="AVJ73" s="603"/>
      <c r="AVK73" s="603"/>
      <c r="AVL73" s="603"/>
      <c r="AVM73" s="7" t="s">
        <v>2544</v>
      </c>
      <c r="AVN73" s="603"/>
      <c r="AVO73" s="603"/>
      <c r="AVP73" s="603"/>
      <c r="AVQ73" s="603"/>
      <c r="AVR73" s="603"/>
      <c r="AVS73" s="603"/>
      <c r="AVT73" s="603"/>
      <c r="AVU73" s="603"/>
      <c r="AVV73" s="603"/>
      <c r="AVW73" s="603"/>
      <c r="AVX73" s="603"/>
      <c r="AVY73" s="603"/>
      <c r="AVZ73" s="603"/>
      <c r="AWA73" s="603"/>
      <c r="AWB73" s="603"/>
      <c r="AWC73" s="603"/>
      <c r="AWD73" s="603"/>
      <c r="AWE73" s="603"/>
      <c r="AWF73" s="603"/>
      <c r="AWG73" s="603"/>
      <c r="AWH73" s="603"/>
      <c r="AWI73" s="603"/>
      <c r="AWJ73" s="603"/>
      <c r="AWK73" s="603"/>
      <c r="AWL73" s="603"/>
      <c r="AWM73" s="603"/>
      <c r="AWN73" s="603"/>
      <c r="AWO73" s="603"/>
      <c r="AWP73" s="603"/>
      <c r="AWQ73" s="603"/>
      <c r="AWR73" s="7" t="s">
        <v>2544</v>
      </c>
      <c r="AWS73" s="603"/>
      <c r="AWT73" s="603"/>
      <c r="AWU73" s="603"/>
      <c r="AWV73" s="603"/>
      <c r="AWW73" s="603"/>
      <c r="AWX73" s="603"/>
      <c r="AWY73" s="603"/>
      <c r="AWZ73" s="603"/>
      <c r="AXA73" s="603"/>
      <c r="AXB73" s="603"/>
      <c r="AXC73" s="603"/>
      <c r="AXD73" s="603"/>
      <c r="AXE73" s="603"/>
      <c r="AXF73" s="603"/>
      <c r="AXG73" s="603"/>
      <c r="AXH73" s="603"/>
      <c r="AXI73" s="603"/>
      <c r="AXJ73" s="603"/>
      <c r="AXK73" s="603"/>
      <c r="AXL73" s="603"/>
      <c r="AXM73" s="603"/>
      <c r="AXN73" s="603"/>
      <c r="AXO73" s="603"/>
      <c r="AXP73" s="603"/>
      <c r="AXQ73" s="603"/>
      <c r="AXR73" s="603"/>
      <c r="AXS73" s="603"/>
      <c r="AXT73" s="603"/>
      <c r="AXU73" s="603"/>
      <c r="AXV73" s="603"/>
      <c r="AXW73" s="603"/>
      <c r="AXX73" s="7" t="s">
        <v>2544</v>
      </c>
      <c r="AXY73" s="364"/>
      <c r="AXZ73" s="364"/>
      <c r="AYA73" s="364"/>
      <c r="AYB73" s="364"/>
      <c r="AYC73" s="364"/>
      <c r="AYD73" s="364"/>
      <c r="AYE73" s="364"/>
      <c r="AYF73" s="364"/>
      <c r="AYG73" s="364"/>
      <c r="AYH73" s="364"/>
      <c r="AYI73" s="364"/>
      <c r="AYJ73" s="364"/>
      <c r="AYK73" s="364"/>
      <c r="AYL73" s="364"/>
      <c r="AYM73" s="364"/>
      <c r="AYN73" s="364"/>
      <c r="AYO73" s="364"/>
      <c r="AYP73" s="364"/>
      <c r="AYQ73" s="364"/>
      <c r="AYR73" s="364"/>
      <c r="AYS73" s="364"/>
      <c r="AYT73" s="364"/>
      <c r="AYU73" s="364"/>
      <c r="AYV73" s="364"/>
      <c r="AYW73" s="364"/>
      <c r="AYX73" s="364"/>
      <c r="AYY73" s="364"/>
      <c r="AYZ73" s="364"/>
      <c r="AZA73" s="364"/>
      <c r="AZB73" s="364"/>
      <c r="AZC73" s="364"/>
      <c r="AZD73" s="364"/>
      <c r="AZE73" s="364"/>
      <c r="AZF73" s="364"/>
      <c r="AZG73" s="364"/>
      <c r="AZH73" s="364"/>
      <c r="AZI73" s="364"/>
      <c r="AZJ73" s="364"/>
      <c r="AZK73" s="364"/>
      <c r="AZL73" s="364"/>
      <c r="AZM73" s="364"/>
      <c r="AZN73" s="364"/>
      <c r="AZO73" s="364"/>
      <c r="AZP73" s="364"/>
      <c r="AZQ73" s="364"/>
      <c r="AZR73" s="364"/>
      <c r="AZS73" s="364"/>
      <c r="AZT73" s="364"/>
      <c r="AZU73" s="364"/>
      <c r="AZV73" s="364"/>
      <c r="AZW73" s="364"/>
      <c r="AZX73" s="364"/>
      <c r="AZY73" s="364"/>
      <c r="AZZ73" s="364"/>
      <c r="BAA73" s="364"/>
      <c r="BAB73" s="364"/>
      <c r="BAC73" s="364"/>
      <c r="BAD73" s="364"/>
      <c r="BAE73" s="364"/>
      <c r="BAF73" s="364"/>
      <c r="BAG73" s="364"/>
      <c r="BAH73" s="364"/>
      <c r="BAI73" s="364"/>
      <c r="BAJ73" s="364"/>
      <c r="BAK73" s="364"/>
      <c r="BAL73" s="364"/>
      <c r="BAM73" s="364"/>
      <c r="BAN73" s="364"/>
      <c r="BAO73" s="364"/>
      <c r="BAP73" s="364"/>
      <c r="BAQ73" s="364"/>
      <c r="BAR73" s="364"/>
      <c r="BAS73" s="364"/>
      <c r="BAT73" s="364"/>
      <c r="BAU73" s="364"/>
      <c r="BAV73" s="364"/>
      <c r="BAW73" s="364"/>
      <c r="BAX73" s="364"/>
      <c r="BAY73" s="364"/>
      <c r="BAZ73" s="364"/>
      <c r="BBA73" s="364"/>
      <c r="BBB73" s="364"/>
      <c r="BBC73" s="364"/>
      <c r="BBD73" s="364"/>
      <c r="BBE73" s="364"/>
      <c r="BBF73" s="364"/>
      <c r="BBG73" s="364"/>
      <c r="BBH73" s="364"/>
      <c r="BBI73" s="364"/>
      <c r="BBJ73" s="364"/>
      <c r="BBK73" s="364"/>
      <c r="BBL73" s="364"/>
      <c r="BBM73" s="364"/>
      <c r="BBN73" s="364"/>
      <c r="BBO73" s="364"/>
      <c r="BBP73" s="364"/>
      <c r="BBQ73" s="364"/>
      <c r="BBR73" s="364"/>
      <c r="BBS73" s="364"/>
      <c r="BBT73" s="364"/>
      <c r="BBU73" s="364"/>
      <c r="BBV73" s="364"/>
      <c r="BBW73" s="364"/>
      <c r="BBX73" s="364"/>
      <c r="BBY73" s="364"/>
      <c r="BBZ73" s="364"/>
      <c r="BCA73" s="364"/>
      <c r="BCB73" s="364"/>
      <c r="BCC73" s="364"/>
      <c r="BCD73" s="364"/>
      <c r="BCE73" s="364"/>
      <c r="BCF73" s="364"/>
      <c r="BCG73" s="364"/>
      <c r="BCH73" s="364"/>
      <c r="BCI73" s="364"/>
      <c r="BCJ73" s="364"/>
      <c r="BCK73" s="364"/>
      <c r="BCL73" s="364"/>
      <c r="BCM73" s="364"/>
      <c r="BCN73" s="364"/>
      <c r="BCO73" s="364"/>
      <c r="BCP73" s="364"/>
      <c r="BCQ73" s="364"/>
      <c r="BCR73" s="364"/>
      <c r="BCS73" s="364"/>
      <c r="BCT73" s="364"/>
      <c r="BCU73" s="364"/>
      <c r="BCV73" s="364"/>
      <c r="BCW73" s="364"/>
      <c r="BCX73" s="364"/>
      <c r="BCY73" s="364"/>
      <c r="BCZ73" s="364"/>
      <c r="BDA73" s="364"/>
      <c r="BDB73" s="364"/>
      <c r="BDC73" s="364"/>
      <c r="BDD73" s="364"/>
      <c r="BDE73" s="364"/>
      <c r="BDF73" s="364"/>
      <c r="BDG73" s="364"/>
      <c r="BDH73" s="364"/>
      <c r="BDI73" s="364"/>
      <c r="BDJ73" s="364"/>
      <c r="BDK73" s="364"/>
      <c r="BDL73" s="364"/>
      <c r="BDM73" s="364"/>
      <c r="BDN73" s="364"/>
      <c r="BDO73" s="364"/>
      <c r="BDP73" s="364"/>
      <c r="BDQ73" s="364"/>
      <c r="BDR73" s="364"/>
      <c r="BDS73" s="364"/>
      <c r="BDT73" s="364"/>
      <c r="BDU73" s="364"/>
      <c r="BDV73" s="364"/>
      <c r="BDW73" s="364"/>
      <c r="BDX73" s="364"/>
      <c r="BDY73" s="364"/>
      <c r="BDZ73" s="364"/>
      <c r="BEA73" s="364"/>
      <c r="BEB73" s="364"/>
      <c r="BEC73" s="364"/>
      <c r="BED73" s="364"/>
      <c r="BEE73" s="364"/>
      <c r="BEF73" s="364"/>
      <c r="BEG73" s="364"/>
      <c r="BEH73" s="364"/>
      <c r="BEI73" s="364"/>
      <c r="BEJ73" s="364"/>
      <c r="BEK73" s="364"/>
      <c r="BEL73" s="364"/>
      <c r="BEM73" s="364"/>
      <c r="BEN73" s="364"/>
      <c r="BEO73" s="364"/>
      <c r="BEP73" s="364"/>
      <c r="BEQ73" s="364"/>
      <c r="BER73" s="364"/>
      <c r="BES73" s="364"/>
      <c r="BET73" s="364"/>
      <c r="BEU73" s="364"/>
      <c r="BEV73" s="364"/>
      <c r="BEW73" s="364"/>
      <c r="BEX73" s="364"/>
      <c r="BEY73" s="364"/>
      <c r="BEZ73" s="364"/>
      <c r="BFA73" s="364"/>
      <c r="BFB73" s="364"/>
      <c r="BFC73" s="364"/>
      <c r="BFD73" s="364"/>
      <c r="BFE73" s="364"/>
      <c r="BFF73" s="364"/>
      <c r="BFG73" s="364"/>
      <c r="BFH73" s="364"/>
      <c r="BFI73" s="364"/>
      <c r="BFJ73" s="364"/>
      <c r="BFK73" s="364"/>
      <c r="BFL73" s="364"/>
      <c r="BFM73" s="364"/>
      <c r="BFN73" s="364"/>
      <c r="BFO73" s="364"/>
      <c r="BFP73" s="364"/>
      <c r="BFQ73" s="364"/>
      <c r="BFR73" s="364"/>
      <c r="BFS73" s="364"/>
      <c r="BFT73" s="364"/>
      <c r="BFU73" s="364"/>
      <c r="BFV73" s="364"/>
      <c r="BFW73" s="364"/>
      <c r="BFX73" s="364"/>
      <c r="BFY73" s="364"/>
      <c r="BFZ73" s="364"/>
      <c r="BGA73" s="364"/>
      <c r="BGB73" s="364"/>
      <c r="BGC73" s="364"/>
      <c r="BGD73" s="364"/>
      <c r="BGE73" s="364"/>
      <c r="BGF73" s="364"/>
      <c r="BGG73" s="364"/>
      <c r="BGH73" s="364"/>
      <c r="BGI73" s="364"/>
      <c r="BGJ73" s="364"/>
      <c r="BGK73" s="364"/>
      <c r="BGL73" s="364"/>
      <c r="BGM73" s="364"/>
      <c r="BGN73" s="364"/>
      <c r="BGO73" s="364"/>
      <c r="BGP73" s="364"/>
      <c r="BGQ73" s="364"/>
      <c r="BGR73" s="364"/>
      <c r="BGS73" s="364"/>
      <c r="BGT73" s="364"/>
      <c r="BGU73" s="364"/>
      <c r="BGV73" s="364"/>
      <c r="BGW73" s="364"/>
      <c r="BGX73" s="364"/>
      <c r="BGY73" s="364"/>
      <c r="BGZ73" s="364"/>
      <c r="BHA73" s="364"/>
      <c r="BHB73" s="364"/>
      <c r="BHC73" s="364"/>
      <c r="BHD73" s="364"/>
      <c r="BHE73" s="364"/>
      <c r="BHF73" s="364"/>
      <c r="BHG73" s="364"/>
      <c r="BHH73" s="364"/>
      <c r="BHI73" s="364"/>
      <c r="BHJ73" s="364"/>
      <c r="BHK73" s="364"/>
      <c r="BHL73" s="364"/>
      <c r="BHM73" s="364"/>
      <c r="BHN73" s="364"/>
      <c r="BHO73" s="364"/>
      <c r="BHP73" s="364"/>
      <c r="BHQ73" s="364"/>
      <c r="BHR73" s="364"/>
      <c r="BHS73" s="364"/>
      <c r="BHT73" s="364"/>
      <c r="BHU73" s="364"/>
      <c r="BHV73" s="364"/>
      <c r="BHW73" s="364"/>
    </row>
    <row r="74" spans="1:1583" s="31" customFormat="1" ht="22.8" customHeight="1" x14ac:dyDescent="0.25">
      <c r="B74" s="364"/>
      <c r="C74" s="43"/>
      <c r="D74" s="43"/>
      <c r="E74" s="43"/>
      <c r="F74" s="43"/>
      <c r="G74" s="43"/>
      <c r="H74" s="43"/>
      <c r="I74" s="43"/>
      <c r="J74" s="43"/>
      <c r="K74" s="43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93"/>
      <c r="AI74" s="43"/>
      <c r="AJ74" s="43"/>
      <c r="AK74" s="43"/>
      <c r="AQ74" s="731"/>
      <c r="AR74" s="732"/>
      <c r="AS74" s="732"/>
      <c r="AT74" s="732"/>
      <c r="AU74" s="732"/>
      <c r="AV74" s="732"/>
      <c r="AW74" s="732"/>
      <c r="AX74" s="732"/>
      <c r="AY74" s="732"/>
      <c r="AZ74" s="73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92"/>
      <c r="CS74" s="92"/>
      <c r="CT74" s="43"/>
      <c r="CU74" s="43"/>
      <c r="CV74" s="43"/>
      <c r="CW74" s="43"/>
      <c r="CX74" s="43"/>
      <c r="DP74" s="30"/>
      <c r="DQ74" s="43"/>
      <c r="DS74" s="43"/>
      <c r="DT74" s="43"/>
      <c r="DU74" s="43"/>
      <c r="DV74" s="43"/>
      <c r="DW74" s="43"/>
      <c r="DX74" s="43"/>
      <c r="DY74" s="43"/>
      <c r="ED74" s="30"/>
      <c r="EE74" s="30"/>
      <c r="EF74" s="30"/>
      <c r="EG74" s="30"/>
      <c r="EH74" s="30"/>
      <c r="EI74" s="30"/>
      <c r="EJ74" s="30"/>
      <c r="EK74" s="30"/>
      <c r="EL74" s="30"/>
      <c r="EM74" s="30"/>
      <c r="EN74" s="30"/>
      <c r="EO74" s="30"/>
      <c r="EP74" s="30"/>
      <c r="EQ74" s="30"/>
      <c r="ER74" s="30"/>
      <c r="ES74" s="30"/>
      <c r="ET74" s="30"/>
      <c r="EU74" s="30"/>
      <c r="EV74" s="30"/>
      <c r="EW74" s="30"/>
      <c r="EX74" s="43"/>
      <c r="EY74" s="43"/>
      <c r="EZ74" s="43"/>
      <c r="FA74" s="43"/>
      <c r="FB74" s="43"/>
      <c r="FC74" s="30"/>
      <c r="FE74" s="30"/>
      <c r="FH74" s="30"/>
      <c r="FI74" s="30"/>
      <c r="FJ74" s="30"/>
      <c r="FK74" s="30"/>
      <c r="FL74" s="30"/>
      <c r="FM74" s="30"/>
      <c r="FN74" s="30"/>
      <c r="FO74" s="30"/>
      <c r="FP74" s="30"/>
      <c r="FQ74" s="30"/>
      <c r="FR74" s="30"/>
      <c r="FS74" s="30"/>
      <c r="FT74" s="30"/>
      <c r="FU74" s="30"/>
      <c r="FV74" s="30"/>
      <c r="FW74" s="30"/>
      <c r="FX74" s="30"/>
      <c r="FY74" s="30"/>
      <c r="FZ74" s="30"/>
      <c r="GA74" s="30"/>
      <c r="GB74" s="30"/>
      <c r="GC74" s="30"/>
      <c r="GD74" s="30"/>
      <c r="GE74" s="78"/>
      <c r="GF74" s="78"/>
      <c r="GG74" s="78"/>
      <c r="GH74" s="78"/>
      <c r="GI74" s="78"/>
      <c r="GJ74" s="78"/>
      <c r="GK74" s="79"/>
      <c r="GL74" s="79"/>
      <c r="GM74" s="79"/>
      <c r="GN74" s="30"/>
      <c r="HC74" s="78"/>
      <c r="HD74" s="78"/>
      <c r="HE74" s="78"/>
      <c r="HF74" s="78"/>
      <c r="HG74" s="78"/>
      <c r="HH74" s="78"/>
      <c r="HI74" s="78"/>
      <c r="HJ74" s="78"/>
      <c r="HK74" s="78"/>
      <c r="HL74" s="78"/>
      <c r="HM74" s="78"/>
      <c r="HN74" s="78"/>
      <c r="HP74" s="92"/>
      <c r="IT74" s="92"/>
      <c r="JZ74" s="92"/>
      <c r="LE74" s="92"/>
      <c r="MK74" s="92"/>
      <c r="MV74" s="310"/>
      <c r="MW74" s="310"/>
      <c r="MX74" s="310"/>
      <c r="MY74" s="310"/>
      <c r="MZ74" s="310"/>
      <c r="NI74" s="310"/>
      <c r="NJ74" s="310"/>
      <c r="NK74" s="310"/>
      <c r="NL74" s="310"/>
      <c r="NM74" s="310"/>
      <c r="NN74" s="310"/>
      <c r="NO74" s="310"/>
      <c r="NP74" s="92"/>
      <c r="NQ74" s="310"/>
      <c r="NR74" s="310"/>
      <c r="NS74" s="310"/>
      <c r="NT74" s="310"/>
      <c r="NU74" s="310"/>
      <c r="NV74" s="310"/>
      <c r="NW74" s="310"/>
      <c r="NX74" s="310"/>
      <c r="NY74" s="310"/>
      <c r="OC74" s="310"/>
      <c r="OD74" s="310"/>
      <c r="OE74" s="310"/>
      <c r="OF74" s="310"/>
      <c r="OG74" s="310"/>
      <c r="OH74" s="310"/>
      <c r="OL74" s="298"/>
      <c r="OM74" s="298"/>
      <c r="ON74" s="298"/>
      <c r="OO74" s="298"/>
      <c r="OP74" s="298"/>
      <c r="OQ74" s="298"/>
      <c r="OR74" s="298"/>
      <c r="OS74" s="310"/>
      <c r="OT74" s="310"/>
      <c r="OV74" s="92"/>
      <c r="PD74" s="31">
        <v>1066</v>
      </c>
      <c r="PE74" s="31">
        <v>2617</v>
      </c>
      <c r="PF74" s="31">
        <v>8616</v>
      </c>
      <c r="PG74" s="31">
        <v>336</v>
      </c>
      <c r="PI74" s="310"/>
      <c r="PJ74" s="310"/>
      <c r="PK74" s="310"/>
      <c r="PL74" s="310"/>
      <c r="PM74" s="310"/>
      <c r="PN74" s="310"/>
      <c r="PO74" s="310"/>
      <c r="PP74" s="310"/>
      <c r="PQ74" s="310"/>
      <c r="PR74" s="310"/>
      <c r="PS74" s="310"/>
      <c r="PT74" s="310"/>
      <c r="PZ74" s="310"/>
      <c r="QA74" s="310"/>
      <c r="QB74" s="310"/>
      <c r="QH74" s="310"/>
      <c r="QI74" s="310"/>
      <c r="QP74" s="310"/>
      <c r="QQ74" s="310"/>
      <c r="QR74" s="310"/>
      <c r="QS74" s="310"/>
      <c r="QT74" s="310"/>
      <c r="QU74" s="310"/>
      <c r="QV74" s="310"/>
      <c r="QW74" s="310"/>
      <c r="QX74" s="310"/>
      <c r="QY74" s="310"/>
      <c r="QZ74" s="310"/>
      <c r="RA74" s="310"/>
      <c r="RB74" s="310"/>
      <c r="RC74" s="310"/>
      <c r="RD74" s="310"/>
      <c r="RE74" s="310"/>
      <c r="RF74" s="310"/>
      <c r="RG74" s="92"/>
      <c r="RH74" s="310"/>
      <c r="RZ74" s="310"/>
      <c r="SA74" s="310"/>
      <c r="SB74" s="310"/>
      <c r="SC74" s="310"/>
      <c r="SD74" s="310"/>
      <c r="SE74" s="310"/>
      <c r="SF74" s="310"/>
      <c r="SG74" s="310"/>
      <c r="SH74" s="310"/>
      <c r="SI74" s="310"/>
      <c r="SJ74" s="310"/>
      <c r="SK74" s="310"/>
      <c r="SL74" s="310"/>
      <c r="SM74" s="11"/>
      <c r="SN74" s="31">
        <v>45</v>
      </c>
      <c r="SO74" s="298"/>
      <c r="SP74" s="298"/>
      <c r="SQ74" s="298"/>
      <c r="SR74" s="298"/>
      <c r="SS74" s="298"/>
      <c r="ST74" s="298"/>
      <c r="SU74" s="298"/>
      <c r="SV74" s="298"/>
      <c r="SW74" s="298"/>
      <c r="SX74" s="298"/>
      <c r="SY74" s="298"/>
      <c r="SZ74" s="298"/>
      <c r="TA74" s="298"/>
      <c r="TC74" s="31">
        <v>24</v>
      </c>
      <c r="TD74" s="298"/>
      <c r="TE74" s="298"/>
      <c r="TF74" s="298"/>
      <c r="TG74" s="298"/>
      <c r="TH74" s="298"/>
      <c r="TI74" s="298"/>
      <c r="TJ74" s="298"/>
      <c r="TK74" s="298"/>
      <c r="TL74" s="298"/>
      <c r="TM74" s="298"/>
      <c r="TN74" s="298"/>
      <c r="TO74" s="298"/>
      <c r="TP74" s="298"/>
      <c r="TQ74" s="298"/>
      <c r="TR74" s="92"/>
      <c r="TS74" s="310"/>
      <c r="TV74" s="310"/>
      <c r="TW74" s="310"/>
      <c r="TX74" s="310"/>
      <c r="TY74" s="310"/>
      <c r="TZ74" s="310"/>
      <c r="UA74" s="310"/>
      <c r="UB74" s="310"/>
      <c r="UC74" s="310"/>
      <c r="UD74" s="310"/>
      <c r="UE74" s="310"/>
      <c r="UF74" s="310"/>
      <c r="UG74" s="310"/>
      <c r="UH74" s="310"/>
      <c r="UI74" s="310"/>
      <c r="UJ74" s="310"/>
      <c r="UK74" s="310"/>
      <c r="UL74" s="310"/>
      <c r="UM74" s="310"/>
      <c r="UN74" s="310"/>
      <c r="UO74" s="310"/>
      <c r="UP74" s="310"/>
      <c r="UQ74" s="310"/>
      <c r="UR74" s="310"/>
      <c r="US74" s="310"/>
      <c r="UT74" s="310"/>
      <c r="UU74" s="310"/>
      <c r="UV74" s="310"/>
      <c r="UW74" s="310"/>
      <c r="UX74" s="92"/>
      <c r="UZ74" s="310"/>
      <c r="VA74" s="310"/>
      <c r="VB74" s="310"/>
      <c r="VC74" s="310"/>
      <c r="VD74" s="310"/>
      <c r="VE74" s="310"/>
      <c r="VF74" s="310"/>
      <c r="VG74" s="310"/>
      <c r="VH74" s="310"/>
      <c r="VI74" s="310"/>
      <c r="VJ74" s="310"/>
      <c r="VK74" s="310"/>
      <c r="VL74" s="310"/>
      <c r="VM74" s="310"/>
      <c r="VN74" s="310"/>
      <c r="VO74" s="310"/>
      <c r="VP74" s="310"/>
      <c r="VQ74" s="310"/>
      <c r="VR74" s="310"/>
      <c r="VS74" s="310"/>
      <c r="VT74" s="310"/>
      <c r="VU74" s="310"/>
      <c r="VV74" s="310"/>
      <c r="VW74" s="310"/>
      <c r="VX74" s="310"/>
      <c r="VY74" s="310"/>
      <c r="VZ74" s="310"/>
      <c r="WA74" s="310"/>
      <c r="WB74" s="310"/>
      <c r="WC74" s="310"/>
      <c r="WD74" s="92"/>
      <c r="WE74" s="310"/>
      <c r="WF74" s="310"/>
      <c r="WG74" s="310"/>
      <c r="WH74" s="310"/>
      <c r="WI74" s="310"/>
      <c r="WJ74" s="310"/>
      <c r="WK74" s="310"/>
      <c r="WL74" s="310"/>
      <c r="WM74" s="310"/>
      <c r="WN74" s="310"/>
      <c r="WO74" s="310"/>
      <c r="WP74" s="310"/>
      <c r="WQ74" s="310"/>
      <c r="WR74" s="310"/>
      <c r="WS74" s="310"/>
      <c r="WT74" s="310"/>
      <c r="WU74" s="310"/>
      <c r="WV74" s="310"/>
      <c r="WW74" s="310"/>
      <c r="WX74" s="310"/>
      <c r="WY74" s="310"/>
      <c r="WZ74" s="310"/>
      <c r="XA74" s="310"/>
      <c r="XB74" s="310"/>
      <c r="XC74" s="310"/>
      <c r="XD74" s="310"/>
      <c r="XE74" s="310"/>
      <c r="XF74" s="310"/>
      <c r="XG74" s="92"/>
      <c r="XH74" s="298"/>
      <c r="XI74" s="298"/>
      <c r="XJ74" s="298"/>
      <c r="XK74" s="298"/>
      <c r="XL74" s="298"/>
      <c r="XM74" s="298"/>
      <c r="XN74" s="298"/>
      <c r="XO74" s="298"/>
      <c r="XP74" s="298"/>
      <c r="XQ74" s="298"/>
      <c r="XR74" s="298"/>
      <c r="XS74" s="298"/>
      <c r="XT74" s="298"/>
      <c r="XU74" s="298"/>
      <c r="XV74" s="298"/>
      <c r="XW74" s="298"/>
      <c r="XX74" s="298"/>
      <c r="XY74" s="298"/>
      <c r="XZ74" s="298"/>
      <c r="YA74" s="298"/>
      <c r="YB74" s="298"/>
      <c r="YC74" s="298"/>
      <c r="YD74" s="298"/>
      <c r="YE74" s="298"/>
      <c r="YF74" s="298"/>
      <c r="YG74" s="298"/>
      <c r="YH74" s="298"/>
      <c r="YI74" s="298"/>
      <c r="YJ74" s="298"/>
      <c r="YK74" s="298"/>
      <c r="YL74" s="298"/>
      <c r="YM74" s="92"/>
      <c r="YY74" s="310"/>
      <c r="YZ74" s="310"/>
      <c r="ZA74" s="310"/>
      <c r="ZB74" s="310"/>
      <c r="ZC74" s="310"/>
      <c r="ZD74" s="310"/>
      <c r="ZE74" s="310"/>
      <c r="ZF74" s="310"/>
      <c r="ZG74" s="310"/>
      <c r="ZH74" s="310"/>
      <c r="ZR74" s="92"/>
      <c r="AAQ74" s="310"/>
      <c r="AAR74" s="310"/>
      <c r="AAS74" s="310"/>
      <c r="AAT74" s="310"/>
      <c r="AAU74" s="310"/>
      <c r="AAV74" s="310"/>
      <c r="AAW74" s="310"/>
      <c r="AAX74" s="92"/>
      <c r="AAY74" s="310"/>
      <c r="AAZ74" s="310"/>
      <c r="ABA74" s="310"/>
      <c r="ABB74" s="310"/>
      <c r="ABW74" s="310"/>
      <c r="ABX74" s="310"/>
      <c r="ACC74" s="92"/>
      <c r="ACD74" s="310"/>
      <c r="ACE74" s="310"/>
      <c r="ADI74" s="632"/>
      <c r="ADJ74" s="364"/>
      <c r="ADK74" s="364"/>
      <c r="ADL74" s="364"/>
      <c r="ADM74" s="364"/>
      <c r="ADN74" s="364"/>
      <c r="ADO74" s="364"/>
      <c r="ADP74" s="364"/>
      <c r="ADQ74" s="364"/>
      <c r="ADR74" s="364"/>
      <c r="ADS74" s="364"/>
      <c r="ADT74" s="364"/>
      <c r="ADU74" s="364"/>
      <c r="ADV74" s="364"/>
      <c r="ADW74" s="364"/>
      <c r="ADX74" s="364"/>
      <c r="ADY74" s="364"/>
      <c r="ADZ74" s="364"/>
      <c r="AEA74" s="364"/>
      <c r="AEB74" s="364"/>
      <c r="AEC74" s="364"/>
      <c r="AED74" s="364"/>
      <c r="AEE74" s="364"/>
      <c r="AEF74" s="364"/>
      <c r="AEG74" s="364"/>
      <c r="AEH74" s="364"/>
      <c r="AEI74" s="364"/>
      <c r="AEJ74" s="364"/>
      <c r="AEK74" s="364"/>
      <c r="AEL74" s="364"/>
      <c r="AEM74" s="364"/>
      <c r="AEN74" s="364"/>
      <c r="AEO74" s="364"/>
      <c r="AEX74" s="310"/>
      <c r="AEY74" s="310"/>
      <c r="AEZ74" s="310"/>
      <c r="AFA74" s="310"/>
      <c r="AFB74" s="310"/>
      <c r="AFC74" s="310"/>
      <c r="AFD74" s="310"/>
      <c r="AFE74" s="310"/>
      <c r="AFF74" s="364"/>
      <c r="AFG74" s="364"/>
      <c r="AFH74" s="364"/>
      <c r="AFI74" s="364"/>
      <c r="AFJ74" s="364"/>
      <c r="AFK74" s="364"/>
      <c r="AFL74" s="364"/>
      <c r="AFM74" s="364"/>
      <c r="AFN74" s="364"/>
      <c r="AFO74" s="364"/>
      <c r="AFP74" s="364"/>
      <c r="AFQ74" s="364"/>
      <c r="AFR74" s="364"/>
      <c r="AFS74" s="364"/>
      <c r="AFT74" s="9"/>
      <c r="AFU74" s="364"/>
      <c r="AFV74" s="364"/>
      <c r="AFW74" s="364"/>
      <c r="AFX74" s="364"/>
      <c r="AFY74" s="364"/>
      <c r="AFZ74" s="364"/>
      <c r="AGA74" s="364"/>
      <c r="AGB74" s="364"/>
      <c r="AGC74" s="364"/>
      <c r="AGD74" s="364"/>
      <c r="AGE74" s="364"/>
      <c r="AGF74" s="364"/>
      <c r="AGG74" s="364"/>
      <c r="AGH74" s="364"/>
      <c r="AGI74" s="364"/>
      <c r="AGJ74" s="364"/>
      <c r="AGK74" s="364"/>
      <c r="AGL74" s="364"/>
      <c r="AGM74" s="364"/>
      <c r="AGN74" s="314">
        <v>20</v>
      </c>
      <c r="AGO74" s="364"/>
      <c r="AGP74" s="364"/>
      <c r="AGQ74" s="364"/>
      <c r="AGR74" s="364"/>
      <c r="AGS74" s="314">
        <v>24</v>
      </c>
      <c r="AGT74" s="364"/>
      <c r="AGU74" s="314">
        <v>236</v>
      </c>
      <c r="AGV74" s="314">
        <v>57</v>
      </c>
      <c r="AGW74" s="314"/>
      <c r="AGX74" s="314"/>
      <c r="AGY74" s="314"/>
      <c r="AGZ74" s="364"/>
      <c r="AHA74" s="314">
        <v>37</v>
      </c>
      <c r="AHB74" s="314">
        <v>24</v>
      </c>
      <c r="AHC74" s="314"/>
      <c r="AHD74" s="314"/>
      <c r="AHE74" s="314"/>
      <c r="AHF74" s="314"/>
      <c r="AHG74" s="314">
        <v>36</v>
      </c>
      <c r="AHH74" s="314">
        <v>35</v>
      </c>
      <c r="AHI74" s="364"/>
      <c r="AHJ74" s="314">
        <v>24</v>
      </c>
      <c r="AHK74" s="364"/>
      <c r="AHL74" s="314"/>
      <c r="AHM74" s="314">
        <v>180</v>
      </c>
      <c r="AHN74" s="314"/>
      <c r="AHO74" s="314"/>
      <c r="AHP74" s="314"/>
      <c r="AHQ74" s="314"/>
      <c r="AHR74" s="314"/>
      <c r="AHS74" s="314"/>
      <c r="AHT74" s="314"/>
      <c r="AHU74" s="314"/>
      <c r="AHV74" s="314"/>
      <c r="AHW74" s="314"/>
      <c r="AHX74" s="314"/>
      <c r="AHY74" s="314"/>
      <c r="AHZ74" s="314"/>
      <c r="AIA74" s="314"/>
      <c r="AIB74" s="364"/>
      <c r="AIC74" s="364"/>
      <c r="AID74" s="364"/>
      <c r="AIE74" s="5"/>
      <c r="AIF74" s="364"/>
      <c r="AIG74" s="364"/>
      <c r="AIH74" s="364"/>
      <c r="AII74" s="364"/>
      <c r="AIJ74" s="364"/>
      <c r="AIK74" s="364"/>
      <c r="AIL74" s="364"/>
      <c r="AIM74" s="364"/>
      <c r="AIN74" s="364"/>
      <c r="AIO74" s="364"/>
      <c r="AIP74" s="364"/>
      <c r="AIQ74" s="364"/>
      <c r="AIR74" s="364"/>
      <c r="AIS74" s="364"/>
      <c r="AIT74" s="364"/>
      <c r="AIU74" s="364"/>
      <c r="AIV74" s="364"/>
      <c r="AIW74" s="364"/>
      <c r="AIX74" s="364"/>
      <c r="AIY74" s="364"/>
      <c r="AIZ74" s="364"/>
      <c r="AJA74" s="364"/>
      <c r="AJB74" s="364"/>
      <c r="AJC74" s="364"/>
      <c r="AJD74" s="364"/>
      <c r="AJE74" s="364"/>
      <c r="AJF74" s="364"/>
      <c r="AJG74" s="364"/>
      <c r="AJH74" s="364"/>
      <c r="AJI74" s="364"/>
      <c r="AJJ74" s="364"/>
      <c r="AJK74" s="5"/>
      <c r="AKQ74" s="5"/>
      <c r="AKR74" s="603">
        <v>300</v>
      </c>
      <c r="AKS74" s="603">
        <v>600</v>
      </c>
      <c r="AKT74" s="603">
        <v>900</v>
      </c>
      <c r="AKU74" s="603"/>
      <c r="AKV74" s="603">
        <v>1200</v>
      </c>
      <c r="AKW74" s="603">
        <v>1500</v>
      </c>
      <c r="AKX74" s="603">
        <v>1800</v>
      </c>
      <c r="AKY74" s="603">
        <v>1800</v>
      </c>
      <c r="AKZ74" s="603">
        <v>1800</v>
      </c>
      <c r="ALA74" s="603">
        <v>1800</v>
      </c>
      <c r="ALB74" s="603"/>
      <c r="ALC74" s="603">
        <v>1800</v>
      </c>
      <c r="ALD74" s="603">
        <v>1800</v>
      </c>
      <c r="ALE74" s="603">
        <v>1800</v>
      </c>
      <c r="ALF74" s="603">
        <v>1800</v>
      </c>
      <c r="ALG74" s="603">
        <v>1800</v>
      </c>
      <c r="ALH74" s="603">
        <v>1800</v>
      </c>
      <c r="ALI74" s="603"/>
      <c r="ALJ74" s="603">
        <v>1800</v>
      </c>
      <c r="ALK74" s="603">
        <v>1800</v>
      </c>
      <c r="ALL74" s="603"/>
      <c r="ALM74" s="603">
        <v>1800</v>
      </c>
      <c r="ALN74" s="603">
        <v>1800</v>
      </c>
      <c r="ALO74" s="603">
        <v>1800</v>
      </c>
      <c r="ALP74" s="603"/>
      <c r="ALQ74" s="603">
        <v>1800</v>
      </c>
      <c r="ALR74" s="603">
        <v>1800</v>
      </c>
      <c r="ALS74" s="603">
        <v>1800</v>
      </c>
      <c r="ALT74" s="5"/>
      <c r="ALU74" s="603">
        <v>1800</v>
      </c>
      <c r="ALV74" s="603">
        <v>1800</v>
      </c>
      <c r="ALW74" s="603">
        <v>1800</v>
      </c>
      <c r="ALX74" s="184"/>
      <c r="ALY74" s="603">
        <v>1800</v>
      </c>
      <c r="ALZ74" s="603">
        <v>1800</v>
      </c>
      <c r="AMA74" s="603">
        <v>1800</v>
      </c>
      <c r="AMB74" s="603">
        <v>1800</v>
      </c>
      <c r="AMC74" s="603">
        <v>1800</v>
      </c>
      <c r="AMD74" s="603">
        <v>1800</v>
      </c>
      <c r="AME74" s="603"/>
      <c r="AMF74" s="603">
        <v>1800</v>
      </c>
      <c r="AMG74" s="603">
        <v>1800</v>
      </c>
      <c r="AMH74" s="603">
        <v>1800</v>
      </c>
      <c r="AMI74" s="603">
        <v>1800</v>
      </c>
      <c r="AMJ74" s="603">
        <v>1800</v>
      </c>
      <c r="AMK74" s="603">
        <v>1800</v>
      </c>
      <c r="AML74" s="603"/>
      <c r="AMM74" s="603">
        <v>1800</v>
      </c>
      <c r="AMN74" s="603">
        <v>1800</v>
      </c>
      <c r="AMO74" s="603">
        <v>1800</v>
      </c>
      <c r="AMP74" s="603">
        <v>1800</v>
      </c>
      <c r="AMQ74" s="603">
        <v>1800</v>
      </c>
      <c r="AMR74" s="603">
        <v>1800</v>
      </c>
      <c r="AMS74" s="603"/>
      <c r="AMT74" s="603"/>
      <c r="AMU74" s="603">
        <v>1800</v>
      </c>
      <c r="AMV74" s="603">
        <v>1800</v>
      </c>
      <c r="AMW74" s="603">
        <v>1800</v>
      </c>
      <c r="AMX74" s="603">
        <v>1800</v>
      </c>
      <c r="AMY74" s="603">
        <v>1800</v>
      </c>
      <c r="AMZ74" s="5"/>
      <c r="ANA74" s="364"/>
      <c r="ANB74" s="603">
        <v>1700</v>
      </c>
      <c r="ANC74" s="603">
        <v>1700</v>
      </c>
      <c r="AND74" s="603">
        <v>1700</v>
      </c>
      <c r="ANE74" s="603">
        <v>1700</v>
      </c>
      <c r="ANF74" s="603">
        <v>1700</v>
      </c>
      <c r="ANG74" s="603">
        <v>1700</v>
      </c>
      <c r="ANH74" s="603">
        <v>1700</v>
      </c>
      <c r="ANI74" s="603">
        <v>1700</v>
      </c>
      <c r="ANJ74" s="603">
        <v>1700</v>
      </c>
      <c r="ANK74" s="603">
        <v>1700</v>
      </c>
      <c r="ANL74" s="603">
        <v>1700</v>
      </c>
      <c r="ANM74" s="604">
        <v>1700</v>
      </c>
      <c r="ANN74" s="364"/>
      <c r="ANO74" s="364"/>
      <c r="ANP74" s="603">
        <v>1700</v>
      </c>
      <c r="ANQ74" s="603">
        <v>1700</v>
      </c>
      <c r="ANR74" s="603">
        <v>1700</v>
      </c>
      <c r="ANS74" s="603">
        <v>1700</v>
      </c>
      <c r="ANT74" s="603">
        <v>1700</v>
      </c>
      <c r="ANU74" s="603">
        <v>1700</v>
      </c>
      <c r="ANV74" s="603">
        <v>1700</v>
      </c>
      <c r="ANW74" s="603">
        <v>1700</v>
      </c>
      <c r="ANX74" s="603">
        <v>1700</v>
      </c>
      <c r="ANY74" s="603">
        <v>1700</v>
      </c>
      <c r="ANZ74" s="603">
        <v>1700</v>
      </c>
      <c r="AOA74" s="603">
        <v>1700</v>
      </c>
      <c r="AOB74" s="603">
        <v>1700</v>
      </c>
      <c r="AOC74" s="310"/>
      <c r="AOD74" s="603">
        <v>1700</v>
      </c>
      <c r="AOE74" s="5"/>
      <c r="AOF74" s="159"/>
      <c r="AOG74" s="159"/>
      <c r="AOH74" s="159"/>
      <c r="AOI74" s="159"/>
      <c r="AOJ74" s="159"/>
      <c r="AOK74" s="159"/>
      <c r="AOL74" s="159"/>
      <c r="AOM74" s="159"/>
      <c r="AON74" s="159"/>
      <c r="AOO74" s="603">
        <v>2100</v>
      </c>
      <c r="AOP74" s="603">
        <v>2100</v>
      </c>
      <c r="AOQ74" s="603">
        <v>2100</v>
      </c>
      <c r="AOR74" s="603"/>
      <c r="AOS74" s="603">
        <v>2100</v>
      </c>
      <c r="AOT74" s="603">
        <v>2100</v>
      </c>
      <c r="AOU74" s="603">
        <v>2100</v>
      </c>
      <c r="AOV74" s="603">
        <v>2100</v>
      </c>
      <c r="AOW74" s="603">
        <v>2100</v>
      </c>
      <c r="AOX74" s="603">
        <v>2100</v>
      </c>
      <c r="AOY74" s="603"/>
      <c r="AOZ74" s="603">
        <v>2100</v>
      </c>
      <c r="APA74" s="603">
        <v>2100</v>
      </c>
      <c r="APB74" s="603">
        <v>2100</v>
      </c>
      <c r="APC74" s="604">
        <v>2100</v>
      </c>
      <c r="APD74" s="603">
        <v>2100</v>
      </c>
      <c r="APE74" s="603">
        <v>2100</v>
      </c>
      <c r="APF74" s="603"/>
      <c r="APG74" s="603">
        <v>2100</v>
      </c>
      <c r="APH74" s="603">
        <v>2100</v>
      </c>
      <c r="API74" s="603">
        <v>2100</v>
      </c>
      <c r="APJ74" s="603">
        <v>2100</v>
      </c>
      <c r="APK74" s="364"/>
      <c r="APL74" s="314">
        <v>2300</v>
      </c>
      <c r="APM74" s="314">
        <v>2300</v>
      </c>
      <c r="APN74" s="314">
        <v>1680</v>
      </c>
      <c r="APO74" s="314">
        <v>2300</v>
      </c>
      <c r="APP74" s="314">
        <v>2300</v>
      </c>
      <c r="APQ74" s="314">
        <v>2300</v>
      </c>
      <c r="APR74" s="314">
        <v>2300</v>
      </c>
      <c r="APS74" s="314">
        <v>2300</v>
      </c>
      <c r="APT74" s="314">
        <v>2300</v>
      </c>
      <c r="APU74" s="314"/>
      <c r="APV74" s="314">
        <v>2300</v>
      </c>
      <c r="APW74" s="314">
        <v>2300</v>
      </c>
      <c r="APX74" s="314">
        <v>2300</v>
      </c>
      <c r="APY74" s="314">
        <v>2300</v>
      </c>
      <c r="APZ74" s="314">
        <v>2300</v>
      </c>
      <c r="AQA74" s="314">
        <v>2300</v>
      </c>
      <c r="AQB74" s="314"/>
      <c r="AQC74" s="314">
        <v>2300</v>
      </c>
      <c r="AQD74" s="314">
        <v>2300</v>
      </c>
      <c r="AQE74" s="314">
        <v>2300</v>
      </c>
      <c r="AQF74" s="314">
        <v>2300</v>
      </c>
      <c r="AQG74" s="314">
        <v>2300</v>
      </c>
      <c r="AQH74" s="314">
        <v>2300</v>
      </c>
      <c r="AQI74" s="314">
        <v>1680</v>
      </c>
      <c r="AQJ74" s="314">
        <v>2300</v>
      </c>
      <c r="AQK74" s="314">
        <v>2300</v>
      </c>
      <c r="AQL74" s="314">
        <v>2300</v>
      </c>
      <c r="AQM74" s="314">
        <v>2300</v>
      </c>
      <c r="AQN74" s="124">
        <v>2300</v>
      </c>
      <c r="AQO74" s="314">
        <v>2300</v>
      </c>
      <c r="AQP74" s="364"/>
      <c r="AQQ74" s="603"/>
      <c r="AQR74" s="603">
        <v>2300</v>
      </c>
      <c r="AQS74" s="603">
        <v>2300</v>
      </c>
      <c r="AQT74" s="603">
        <v>2300</v>
      </c>
      <c r="AQU74" s="603">
        <v>2300</v>
      </c>
      <c r="AQV74" s="603">
        <v>2300</v>
      </c>
      <c r="AQW74" s="603">
        <v>2300</v>
      </c>
      <c r="AQX74" s="637"/>
      <c r="AQY74" s="637"/>
      <c r="AQZ74" s="637"/>
      <c r="ARA74" s="637"/>
      <c r="ARB74" s="637"/>
      <c r="ARC74" s="637"/>
      <c r="ARD74" s="637"/>
      <c r="ARE74" s="637"/>
      <c r="ARF74" s="637"/>
      <c r="ARG74" s="603">
        <v>2300</v>
      </c>
      <c r="ARH74" s="603">
        <v>2300</v>
      </c>
      <c r="ARI74" s="603">
        <v>2300</v>
      </c>
      <c r="ARJ74" s="603">
        <v>2300</v>
      </c>
      <c r="ARK74" s="603">
        <v>2300</v>
      </c>
      <c r="ARL74" s="310"/>
      <c r="ARM74" s="603">
        <v>2300</v>
      </c>
      <c r="ARN74" s="603">
        <v>2300</v>
      </c>
      <c r="ARO74" s="603">
        <v>2300</v>
      </c>
      <c r="ARP74" s="603">
        <v>2300</v>
      </c>
      <c r="ARQ74" s="603">
        <v>2300</v>
      </c>
      <c r="ARR74" s="603">
        <v>2300</v>
      </c>
      <c r="ARS74" s="603"/>
      <c r="ART74" s="603">
        <v>2300</v>
      </c>
      <c r="ARU74" s="603">
        <v>2300</v>
      </c>
      <c r="ARV74" s="364"/>
      <c r="ARW74" s="603">
        <v>2100</v>
      </c>
      <c r="ARX74" s="603">
        <v>2100</v>
      </c>
      <c r="ARY74" s="603">
        <v>2100</v>
      </c>
      <c r="ARZ74" s="603">
        <v>2100</v>
      </c>
      <c r="ASA74" s="603"/>
      <c r="ASB74" s="603">
        <v>2100</v>
      </c>
      <c r="ASC74" s="603">
        <v>2100</v>
      </c>
      <c r="ASD74" s="603">
        <v>2100</v>
      </c>
      <c r="ASE74" s="603">
        <v>2100</v>
      </c>
      <c r="ASF74" s="603">
        <v>2100</v>
      </c>
      <c r="ASG74" s="603">
        <v>2100</v>
      </c>
      <c r="ASH74" s="603"/>
      <c r="ASI74" s="603">
        <v>2100</v>
      </c>
      <c r="ASJ74" s="603">
        <v>2100</v>
      </c>
      <c r="ASK74" s="310"/>
      <c r="ASL74" s="603">
        <v>2100</v>
      </c>
      <c r="ASM74" s="603">
        <v>2100</v>
      </c>
      <c r="ASN74" s="603">
        <v>2100</v>
      </c>
      <c r="ASO74" s="603"/>
      <c r="ASP74" s="603">
        <v>2100</v>
      </c>
      <c r="ASQ74" s="603">
        <v>2100</v>
      </c>
      <c r="ASR74" s="603">
        <v>2100</v>
      </c>
      <c r="ASS74" s="604">
        <v>2100</v>
      </c>
      <c r="AST74" s="603">
        <v>2100</v>
      </c>
      <c r="ASU74" s="603">
        <v>2100</v>
      </c>
      <c r="ASV74" s="603"/>
      <c r="ASW74" s="603">
        <v>2100</v>
      </c>
      <c r="ASX74" s="603">
        <v>2100</v>
      </c>
      <c r="ASY74" s="603">
        <v>2100</v>
      </c>
      <c r="ASZ74" s="603">
        <v>2100</v>
      </c>
      <c r="ATA74" s="603">
        <v>2100</v>
      </c>
      <c r="ATB74" s="364"/>
      <c r="ATC74" s="603">
        <v>2100</v>
      </c>
      <c r="ATD74" s="603"/>
      <c r="ATE74" s="603">
        <v>2100</v>
      </c>
      <c r="ATF74" s="603">
        <v>2100</v>
      </c>
      <c r="ATG74" s="603">
        <v>2100</v>
      </c>
      <c r="ATH74" s="603">
        <v>2100</v>
      </c>
      <c r="ATI74" s="603">
        <v>2100</v>
      </c>
      <c r="ATJ74" s="603">
        <v>2100</v>
      </c>
      <c r="ATK74" s="603"/>
      <c r="ATL74" s="603">
        <v>2100</v>
      </c>
      <c r="ATM74" s="603">
        <v>2100</v>
      </c>
      <c r="ATN74" s="603">
        <v>2100</v>
      </c>
      <c r="ATO74" s="603">
        <v>2100</v>
      </c>
      <c r="ATP74" s="603">
        <v>2100</v>
      </c>
      <c r="ATQ74" s="603">
        <v>2100</v>
      </c>
      <c r="ATR74" s="603"/>
      <c r="ATS74" s="603">
        <v>2100</v>
      </c>
      <c r="ATT74" s="603">
        <v>2100</v>
      </c>
      <c r="ATU74" s="603">
        <v>2100</v>
      </c>
      <c r="ATV74" s="603">
        <v>2100</v>
      </c>
      <c r="ATW74" s="603">
        <v>2100</v>
      </c>
      <c r="ATX74" s="603">
        <v>2100</v>
      </c>
      <c r="ATY74" s="603"/>
      <c r="ATZ74" s="603">
        <v>2100</v>
      </c>
      <c r="AUA74" s="603">
        <v>2100</v>
      </c>
      <c r="AUB74" s="603">
        <v>2100</v>
      </c>
      <c r="AUC74" s="603">
        <v>2100</v>
      </c>
      <c r="AUD74" s="603">
        <v>2100</v>
      </c>
      <c r="AUE74" s="603">
        <v>2100</v>
      </c>
      <c r="AUF74" s="603"/>
      <c r="AUG74" s="364"/>
      <c r="AUH74" s="603">
        <v>2100</v>
      </c>
      <c r="AUI74" s="603">
        <v>2100</v>
      </c>
      <c r="AUJ74" s="603">
        <v>2100</v>
      </c>
      <c r="AUK74" s="603">
        <v>2100</v>
      </c>
      <c r="AUL74" s="310"/>
      <c r="AUM74" s="603">
        <v>2100</v>
      </c>
      <c r="AUN74" s="603"/>
      <c r="AUO74" s="603">
        <v>2100</v>
      </c>
      <c r="AUP74" s="603">
        <v>2100</v>
      </c>
      <c r="AUQ74" s="603">
        <v>2100</v>
      </c>
      <c r="AUR74" s="603">
        <v>2100</v>
      </c>
      <c r="AUS74" s="603">
        <v>2100</v>
      </c>
      <c r="AUT74" s="603">
        <v>2100</v>
      </c>
      <c r="AUU74" s="603"/>
      <c r="AUV74" s="603">
        <v>2100</v>
      </c>
      <c r="AUW74" s="603">
        <v>2100</v>
      </c>
      <c r="AUX74" s="603">
        <v>2100</v>
      </c>
      <c r="AUY74" s="603">
        <v>2100</v>
      </c>
      <c r="AUZ74" s="603">
        <v>2100</v>
      </c>
      <c r="AVA74" s="603">
        <v>2100</v>
      </c>
      <c r="AVB74" s="603"/>
      <c r="AVC74" s="603">
        <v>2100</v>
      </c>
      <c r="AVD74" s="603">
        <v>2100</v>
      </c>
      <c r="AVE74" s="603">
        <v>2100</v>
      </c>
      <c r="AVF74" s="603">
        <v>2100</v>
      </c>
      <c r="AVG74" s="603">
        <v>2100</v>
      </c>
      <c r="AVH74" s="603">
        <v>2100</v>
      </c>
      <c r="AVI74" s="603"/>
      <c r="AVJ74" s="603">
        <v>2100</v>
      </c>
      <c r="AVK74" s="603">
        <v>2100</v>
      </c>
      <c r="AVL74" s="603">
        <v>2100</v>
      </c>
      <c r="AVM74" s="364"/>
      <c r="AVN74" s="603">
        <v>2100</v>
      </c>
      <c r="AVO74" s="603">
        <v>2100</v>
      </c>
      <c r="AVP74" s="603">
        <v>2100</v>
      </c>
      <c r="AVQ74" s="603"/>
      <c r="AVR74" s="603">
        <v>2100</v>
      </c>
      <c r="AVS74" s="603">
        <v>2100</v>
      </c>
      <c r="AVT74" s="603">
        <v>2100</v>
      </c>
      <c r="AVU74" s="603">
        <v>2100</v>
      </c>
      <c r="AVV74" s="603">
        <v>2100</v>
      </c>
      <c r="AVW74" s="603">
        <v>2100</v>
      </c>
      <c r="AVX74" s="603"/>
      <c r="AVY74" s="603">
        <v>2100</v>
      </c>
      <c r="AVZ74" s="603">
        <v>2100</v>
      </c>
      <c r="AWA74" s="603">
        <v>2100</v>
      </c>
      <c r="AWB74" s="603">
        <v>2100</v>
      </c>
      <c r="AWC74" s="603">
        <v>2100</v>
      </c>
      <c r="AWD74" s="603">
        <v>2100</v>
      </c>
      <c r="AWE74" s="603"/>
      <c r="AWF74" s="603">
        <v>2100</v>
      </c>
      <c r="AWG74" s="603">
        <v>2100</v>
      </c>
      <c r="AWH74" s="604">
        <v>2100</v>
      </c>
      <c r="AWI74" s="603">
        <v>2100</v>
      </c>
      <c r="AWJ74" s="603">
        <v>2100</v>
      </c>
      <c r="AWK74" s="603">
        <v>2100</v>
      </c>
      <c r="AWL74" s="603"/>
      <c r="AWM74" s="603">
        <v>2100</v>
      </c>
      <c r="AWN74" s="603">
        <v>2100</v>
      </c>
      <c r="AWO74" s="603">
        <v>2100</v>
      </c>
      <c r="AWP74" s="603">
        <v>2100</v>
      </c>
      <c r="AWQ74" s="603">
        <v>2100</v>
      </c>
      <c r="AWR74" s="364"/>
      <c r="AWS74" s="603">
        <v>2100</v>
      </c>
      <c r="AWT74" s="603">
        <v>2100</v>
      </c>
      <c r="AWU74" s="603">
        <v>2100</v>
      </c>
      <c r="AWV74" s="603"/>
      <c r="AWW74" s="603">
        <v>2100</v>
      </c>
      <c r="AWX74" s="603">
        <v>2100</v>
      </c>
      <c r="AWY74" s="603">
        <v>2100</v>
      </c>
      <c r="AWZ74" s="603">
        <v>2100</v>
      </c>
      <c r="AXA74" s="603"/>
      <c r="AXB74" s="603">
        <v>2100</v>
      </c>
      <c r="AXC74" s="603">
        <v>2100</v>
      </c>
      <c r="AXD74" s="603">
        <v>2100</v>
      </c>
      <c r="AXE74" s="603">
        <v>2100</v>
      </c>
      <c r="AXF74" s="603">
        <v>2100</v>
      </c>
      <c r="AXG74" s="603">
        <v>2100</v>
      </c>
      <c r="AXH74" s="603"/>
      <c r="AXI74" s="603">
        <v>2100</v>
      </c>
      <c r="AXJ74" s="603">
        <v>2100</v>
      </c>
      <c r="AXK74" s="603">
        <v>2100</v>
      </c>
      <c r="AXL74" s="603">
        <v>2100</v>
      </c>
      <c r="AXM74" s="603">
        <v>2100</v>
      </c>
      <c r="AXN74" s="603">
        <v>2100</v>
      </c>
      <c r="AXO74" s="603"/>
      <c r="AXP74" s="603">
        <v>2100</v>
      </c>
      <c r="AXQ74" s="603">
        <v>2100</v>
      </c>
      <c r="AXR74" s="603">
        <v>2100</v>
      </c>
      <c r="AXS74" s="603">
        <v>2100</v>
      </c>
      <c r="AXT74" s="603">
        <v>2100</v>
      </c>
      <c r="AXU74" s="603">
        <v>2100</v>
      </c>
      <c r="AXV74" s="603"/>
      <c r="AXW74" s="603">
        <v>2100</v>
      </c>
      <c r="AXX74" s="364"/>
      <c r="AXY74" s="364"/>
      <c r="AXZ74" s="364"/>
      <c r="AYA74" s="364"/>
      <c r="AYB74" s="364"/>
      <c r="AYC74" s="364"/>
      <c r="AYD74" s="364"/>
      <c r="AYE74" s="364"/>
      <c r="AYF74" s="364"/>
      <c r="AYG74" s="364"/>
      <c r="AYH74" s="364"/>
      <c r="AYI74" s="364"/>
      <c r="AYJ74" s="364"/>
      <c r="AYK74" s="364"/>
      <c r="AYL74" s="364"/>
      <c r="AYM74" s="364"/>
      <c r="AYN74" s="364"/>
      <c r="AYO74" s="364"/>
      <c r="AYP74" s="364"/>
      <c r="AYQ74" s="364"/>
      <c r="AYR74" s="364"/>
      <c r="AYS74" s="364"/>
      <c r="AYT74" s="364"/>
      <c r="AYU74" s="364"/>
      <c r="AYV74" s="364"/>
      <c r="AYW74" s="364"/>
      <c r="AYX74" s="364"/>
      <c r="AYY74" s="364"/>
      <c r="AYZ74" s="364"/>
      <c r="AZA74" s="364"/>
      <c r="AZB74" s="364"/>
      <c r="AZC74" s="364"/>
      <c r="AZD74" s="364"/>
      <c r="AZE74" s="364"/>
      <c r="AZF74" s="364"/>
      <c r="AZG74" s="364"/>
      <c r="AZH74" s="364"/>
      <c r="AZI74" s="364"/>
      <c r="AZJ74" s="364"/>
      <c r="AZK74" s="364"/>
      <c r="AZL74" s="364"/>
      <c r="AZM74" s="364"/>
      <c r="AZN74" s="364"/>
      <c r="AZO74" s="364"/>
      <c r="AZP74" s="364"/>
      <c r="AZQ74" s="364"/>
      <c r="AZR74" s="364"/>
      <c r="AZS74" s="364"/>
      <c r="AZT74" s="364"/>
      <c r="AZU74" s="364"/>
      <c r="AZV74" s="364"/>
      <c r="AZW74" s="364"/>
      <c r="AZX74" s="364"/>
      <c r="AZY74" s="364"/>
      <c r="AZZ74" s="364"/>
      <c r="BAA74" s="364"/>
      <c r="BAB74" s="364"/>
      <c r="BAC74" s="364"/>
      <c r="BAD74" s="364"/>
      <c r="BAE74" s="364"/>
      <c r="BAF74" s="364"/>
      <c r="BAG74" s="364"/>
      <c r="BAH74" s="364"/>
      <c r="BAI74" s="364"/>
      <c r="BAJ74" s="364"/>
      <c r="BAK74" s="364"/>
      <c r="BAL74" s="364"/>
      <c r="BAM74" s="364"/>
      <c r="BAN74" s="364"/>
      <c r="BAO74" s="364"/>
      <c r="BAP74" s="364"/>
      <c r="BAQ74" s="364"/>
      <c r="BAR74" s="364"/>
      <c r="BAS74" s="364"/>
      <c r="BAT74" s="364"/>
      <c r="BAU74" s="364"/>
      <c r="BAV74" s="364"/>
      <c r="BAW74" s="364"/>
      <c r="BAX74" s="364"/>
      <c r="BAY74" s="364"/>
      <c r="BAZ74" s="364"/>
      <c r="BBA74" s="364"/>
      <c r="BBB74" s="364"/>
      <c r="BBC74" s="364"/>
      <c r="BBD74" s="364"/>
      <c r="BBE74" s="364"/>
      <c r="BBF74" s="364"/>
      <c r="BBG74" s="364"/>
      <c r="BBH74" s="364"/>
      <c r="BBI74" s="364"/>
      <c r="BBJ74" s="364"/>
      <c r="BBK74" s="364"/>
      <c r="BBL74" s="364"/>
      <c r="BBM74" s="364"/>
      <c r="BBN74" s="364"/>
      <c r="BBO74" s="364"/>
      <c r="BBP74" s="364"/>
      <c r="BBQ74" s="364"/>
      <c r="BBR74" s="364"/>
      <c r="BBS74" s="364"/>
      <c r="BBT74" s="364"/>
      <c r="BBU74" s="364"/>
      <c r="BBV74" s="364"/>
      <c r="BBW74" s="364"/>
      <c r="BBX74" s="364"/>
      <c r="BBY74" s="364"/>
      <c r="BBZ74" s="364"/>
      <c r="BCA74" s="364"/>
      <c r="BCB74" s="364"/>
      <c r="BCC74" s="364"/>
      <c r="BCD74" s="364"/>
      <c r="BCE74" s="364"/>
      <c r="BCF74" s="364"/>
      <c r="BCG74" s="364"/>
      <c r="BCH74" s="364"/>
      <c r="BCI74" s="364"/>
      <c r="BCJ74" s="364"/>
      <c r="BCK74" s="364"/>
      <c r="BCL74" s="364"/>
      <c r="BCM74" s="364"/>
      <c r="BCN74" s="364"/>
      <c r="BCO74" s="364"/>
      <c r="BCP74" s="364"/>
      <c r="BCQ74" s="364"/>
      <c r="BCR74" s="364"/>
      <c r="BCS74" s="364"/>
      <c r="BCT74" s="364"/>
      <c r="BCU74" s="364"/>
      <c r="BCV74" s="364"/>
      <c r="BCW74" s="364"/>
      <c r="BCX74" s="364"/>
      <c r="BCY74" s="364"/>
      <c r="BCZ74" s="364"/>
      <c r="BDA74" s="364"/>
      <c r="BDB74" s="364"/>
      <c r="BDC74" s="364"/>
      <c r="BDD74" s="364"/>
      <c r="BDE74" s="364"/>
      <c r="BDF74" s="364"/>
      <c r="BDG74" s="364"/>
      <c r="BDH74" s="364"/>
      <c r="BDI74" s="364"/>
      <c r="BDJ74" s="364"/>
      <c r="BDK74" s="364"/>
      <c r="BDL74" s="364"/>
      <c r="BDM74" s="364"/>
      <c r="BDN74" s="364"/>
      <c r="BDO74" s="364"/>
      <c r="BDP74" s="364"/>
      <c r="BDQ74" s="364"/>
      <c r="BDR74" s="364"/>
      <c r="BDS74" s="364"/>
      <c r="BDT74" s="364"/>
      <c r="BDU74" s="364"/>
      <c r="BDV74" s="364"/>
      <c r="BDW74" s="364"/>
      <c r="BDX74" s="364"/>
      <c r="BDY74" s="364"/>
      <c r="BDZ74" s="364"/>
      <c r="BEA74" s="364"/>
      <c r="BEB74" s="364"/>
      <c r="BEC74" s="364"/>
      <c r="BED74" s="364"/>
      <c r="BEE74" s="364"/>
      <c r="BEF74" s="364"/>
      <c r="BEG74" s="364"/>
      <c r="BEH74" s="364"/>
      <c r="BEI74" s="364"/>
      <c r="BEJ74" s="364"/>
      <c r="BEK74" s="364"/>
      <c r="BEL74" s="364"/>
      <c r="BEM74" s="364"/>
      <c r="BEN74" s="364"/>
      <c r="BEO74" s="364"/>
      <c r="BEP74" s="364"/>
      <c r="BEQ74" s="364"/>
      <c r="BER74" s="364"/>
      <c r="BES74" s="364"/>
      <c r="BET74" s="364"/>
      <c r="BEU74" s="364"/>
      <c r="BEV74" s="364"/>
      <c r="BEW74" s="364"/>
      <c r="BEX74" s="364"/>
      <c r="BEY74" s="364"/>
      <c r="BEZ74" s="364"/>
      <c r="BFA74" s="364"/>
      <c r="BFB74" s="364"/>
      <c r="BFC74" s="364"/>
      <c r="BFD74" s="364"/>
      <c r="BFE74" s="364"/>
      <c r="BFF74" s="364"/>
      <c r="BFG74" s="364"/>
      <c r="BFH74" s="364"/>
      <c r="BFI74" s="364"/>
      <c r="BFJ74" s="364"/>
      <c r="BFK74" s="364"/>
      <c r="BFL74" s="364"/>
      <c r="BFM74" s="364"/>
      <c r="BFN74" s="364"/>
      <c r="BFO74" s="364"/>
      <c r="BFP74" s="364"/>
      <c r="BFQ74" s="364"/>
      <c r="BFR74" s="364"/>
      <c r="BFS74" s="364"/>
      <c r="BFT74" s="364"/>
      <c r="BFU74" s="364"/>
      <c r="BFV74" s="364"/>
      <c r="BFW74" s="364"/>
      <c r="BFX74" s="364"/>
      <c r="BFY74" s="364"/>
      <c r="BFZ74" s="364"/>
      <c r="BGA74" s="364"/>
      <c r="BGB74" s="364"/>
      <c r="BGC74" s="364"/>
      <c r="BGD74" s="364"/>
      <c r="BGE74" s="364"/>
      <c r="BGF74" s="364"/>
      <c r="BGG74" s="364"/>
      <c r="BGH74" s="364"/>
      <c r="BGI74" s="364"/>
      <c r="BGJ74" s="364"/>
      <c r="BGK74" s="364"/>
      <c r="BGL74" s="364"/>
      <c r="BGM74" s="364"/>
      <c r="BGN74" s="364"/>
      <c r="BGO74" s="364"/>
      <c r="BGP74" s="364"/>
      <c r="BGQ74" s="364"/>
      <c r="BGR74" s="364"/>
      <c r="BGS74" s="364"/>
      <c r="BGT74" s="364"/>
      <c r="BGU74" s="364"/>
      <c r="BGV74" s="364"/>
      <c r="BGW74" s="364"/>
      <c r="BGX74" s="364"/>
      <c r="BGY74" s="364"/>
      <c r="BGZ74" s="364"/>
      <c r="BHA74" s="364"/>
      <c r="BHB74" s="364"/>
      <c r="BHC74" s="364"/>
      <c r="BHD74" s="364"/>
      <c r="BHE74" s="364"/>
      <c r="BHF74" s="364"/>
      <c r="BHG74" s="364"/>
      <c r="BHH74" s="364"/>
      <c r="BHI74" s="364"/>
      <c r="BHJ74" s="364"/>
      <c r="BHK74" s="364"/>
      <c r="BHL74" s="364"/>
      <c r="BHM74" s="364"/>
      <c r="BHN74" s="364"/>
      <c r="BHO74" s="364"/>
      <c r="BHP74" s="364"/>
      <c r="BHQ74" s="364"/>
      <c r="BHR74" s="364"/>
      <c r="BHS74" s="364"/>
      <c r="BHT74" s="364"/>
      <c r="BHU74" s="364"/>
      <c r="BHV74" s="364"/>
      <c r="BHW74" s="364"/>
    </row>
    <row r="75" spans="1:1583" s="31" customFormat="1" ht="22.8" customHeight="1" thickBot="1" x14ac:dyDescent="0.3">
      <c r="B75" s="7" t="s">
        <v>2546</v>
      </c>
      <c r="C75" s="43"/>
      <c r="D75" s="43"/>
      <c r="E75" s="43"/>
      <c r="F75" s="43"/>
      <c r="G75" s="43"/>
      <c r="H75" s="43"/>
      <c r="I75" s="43"/>
      <c r="J75" s="43"/>
      <c r="K75" s="43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93"/>
      <c r="AI75" s="43"/>
      <c r="AJ75" s="43"/>
      <c r="AK75" s="43"/>
      <c r="AQ75" s="731"/>
      <c r="AR75" s="732"/>
      <c r="AS75" s="732"/>
      <c r="AT75" s="732"/>
      <c r="AU75" s="732"/>
      <c r="AV75" s="732"/>
      <c r="AW75" s="732"/>
      <c r="AX75" s="732"/>
      <c r="AY75" s="732"/>
      <c r="AZ75" s="73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92"/>
      <c r="CS75" s="92"/>
      <c r="CT75" s="43"/>
      <c r="CU75" s="43"/>
      <c r="CV75" s="43"/>
      <c r="CW75" s="43"/>
      <c r="CX75" s="43"/>
      <c r="DP75" s="30"/>
      <c r="DQ75" s="43"/>
      <c r="DS75" s="43"/>
      <c r="DT75" s="43"/>
      <c r="DU75" s="43"/>
      <c r="DV75" s="43"/>
      <c r="DW75" s="43"/>
      <c r="DX75" s="43"/>
      <c r="DY75" s="43"/>
      <c r="ED75" s="30"/>
      <c r="EE75" s="30"/>
      <c r="EF75" s="30"/>
      <c r="EG75" s="30"/>
      <c r="EH75" s="30"/>
      <c r="EI75" s="30"/>
      <c r="EJ75" s="30"/>
      <c r="EK75" s="30"/>
      <c r="EL75" s="30"/>
      <c r="EM75" s="30"/>
      <c r="EN75" s="30"/>
      <c r="EO75" s="30"/>
      <c r="EP75" s="30"/>
      <c r="EQ75" s="30"/>
      <c r="ER75" s="30"/>
      <c r="ES75" s="30"/>
      <c r="ET75" s="30"/>
      <c r="EU75" s="30"/>
      <c r="EV75" s="30"/>
      <c r="EW75" s="30"/>
      <c r="EX75" s="43"/>
      <c r="EY75" s="43"/>
      <c r="EZ75" s="43"/>
      <c r="FA75" s="43"/>
      <c r="FB75" s="43"/>
      <c r="FC75" s="30"/>
      <c r="FE75" s="30"/>
      <c r="FH75" s="30"/>
      <c r="FI75" s="30"/>
      <c r="FJ75" s="30"/>
      <c r="FK75" s="30"/>
      <c r="FL75" s="30"/>
      <c r="FM75" s="30"/>
      <c r="FN75" s="30"/>
      <c r="FO75" s="30"/>
      <c r="FP75" s="30"/>
      <c r="FQ75" s="30"/>
      <c r="FR75" s="30"/>
      <c r="FS75" s="30"/>
      <c r="FT75" s="30"/>
      <c r="FU75" s="30"/>
      <c r="FV75" s="30"/>
      <c r="FW75" s="30"/>
      <c r="FX75" s="30"/>
      <c r="FY75" s="30"/>
      <c r="FZ75" s="30"/>
      <c r="GA75" s="30"/>
      <c r="GB75" s="30"/>
      <c r="GC75" s="30"/>
      <c r="GD75" s="30"/>
      <c r="GE75" s="78"/>
      <c r="GF75" s="78"/>
      <c r="GG75" s="78"/>
      <c r="GH75" s="78"/>
      <c r="GI75" s="78"/>
      <c r="GJ75" s="78"/>
      <c r="GK75" s="79"/>
      <c r="GL75" s="79"/>
      <c r="GM75" s="79"/>
      <c r="GN75" s="30"/>
      <c r="HC75" s="78"/>
      <c r="HD75" s="78"/>
      <c r="HE75" s="78"/>
      <c r="HF75" s="78"/>
      <c r="HG75" s="78"/>
      <c r="HH75" s="78"/>
      <c r="HI75" s="78"/>
      <c r="HJ75" s="78"/>
      <c r="HK75" s="78"/>
      <c r="HL75" s="78"/>
      <c r="HM75" s="78"/>
      <c r="HN75" s="78"/>
      <c r="HP75" s="92"/>
      <c r="IT75" s="92"/>
      <c r="JZ75" s="92"/>
      <c r="LE75" s="92">
        <v>9</v>
      </c>
      <c r="MK75" s="92"/>
      <c r="MR75" s="310"/>
      <c r="MS75" s="310"/>
      <c r="NB75" s="310"/>
      <c r="NC75" s="310"/>
      <c r="ND75" s="310"/>
      <c r="NE75" s="310"/>
      <c r="NF75" s="310"/>
      <c r="NG75" s="310"/>
      <c r="NH75" s="310"/>
      <c r="NI75" s="310"/>
      <c r="NJ75" s="310"/>
      <c r="NK75" s="310"/>
      <c r="NL75" s="310"/>
      <c r="NM75" s="310"/>
      <c r="NN75" s="310"/>
      <c r="NO75" s="310"/>
      <c r="NP75" s="92"/>
      <c r="OD75" s="31">
        <v>3000</v>
      </c>
      <c r="OF75" s="310"/>
      <c r="OJ75" s="310"/>
      <c r="OK75" s="310"/>
      <c r="OL75" s="298"/>
      <c r="OM75" s="298"/>
      <c r="ON75" s="298"/>
      <c r="OO75" s="298"/>
      <c r="OP75" s="298"/>
      <c r="OQ75" s="298"/>
      <c r="OR75" s="298"/>
      <c r="OS75" s="310"/>
      <c r="OT75" s="310"/>
      <c r="OU75" s="310"/>
      <c r="OV75" s="92"/>
      <c r="OY75" s="310"/>
      <c r="OZ75" s="310"/>
      <c r="PD75" s="31">
        <f>PD73-PD74</f>
        <v>14122.16</v>
      </c>
      <c r="PE75" s="31">
        <f>PE73-PE74</f>
        <v>25772.920000000002</v>
      </c>
      <c r="PF75" s="31">
        <f>PF73-PF74</f>
        <v>12175.68</v>
      </c>
      <c r="PG75" s="310">
        <f>PG73-PG74</f>
        <v>30888.960000000003</v>
      </c>
      <c r="QC75" s="310"/>
      <c r="QD75" s="310"/>
      <c r="QE75" s="310"/>
      <c r="RA75" s="310"/>
      <c r="RB75" s="310"/>
      <c r="RC75" s="310"/>
      <c r="RD75" s="310"/>
      <c r="RE75" s="310"/>
      <c r="RF75" s="310"/>
      <c r="RG75" s="92"/>
      <c r="RH75" s="310"/>
      <c r="RI75" s="310"/>
      <c r="RJ75" s="310"/>
      <c r="RK75" s="310"/>
      <c r="RL75" s="310"/>
      <c r="RM75" s="310"/>
      <c r="RN75" s="310"/>
      <c r="RO75" s="310"/>
      <c r="RP75" s="310"/>
      <c r="RQ75" s="310"/>
      <c r="RR75" s="310"/>
      <c r="RS75" s="310"/>
      <c r="RT75" s="310"/>
      <c r="RU75" s="310"/>
      <c r="RV75" s="310"/>
      <c r="RW75" s="310"/>
      <c r="RX75" s="310"/>
      <c r="RZ75" s="310"/>
      <c r="SA75" s="310"/>
      <c r="SB75" s="310"/>
      <c r="SC75" s="310"/>
      <c r="SD75" s="310"/>
      <c r="SE75" s="310"/>
      <c r="SG75" s="310"/>
      <c r="SH75" s="310"/>
      <c r="SI75" s="310"/>
      <c r="SJ75" s="310"/>
      <c r="SK75" s="310"/>
      <c r="SL75" s="310"/>
      <c r="SM75" s="11"/>
      <c r="SN75" s="462" t="s">
        <v>1624</v>
      </c>
      <c r="SO75" s="464"/>
      <c r="SP75" s="464"/>
      <c r="SQ75" s="464"/>
      <c r="SR75" s="464"/>
      <c r="SS75" s="464"/>
      <c r="ST75" s="464"/>
      <c r="SU75" s="465"/>
      <c r="SV75" s="465"/>
      <c r="SW75" s="465"/>
      <c r="SX75" s="465"/>
      <c r="SY75" s="465"/>
      <c r="SZ75" s="465"/>
      <c r="TA75" s="465"/>
      <c r="TB75" s="465"/>
      <c r="TC75" s="463" t="s">
        <v>1630</v>
      </c>
      <c r="TD75" s="465"/>
      <c r="TE75" s="465"/>
      <c r="TF75" s="465"/>
      <c r="TG75" s="465"/>
      <c r="TH75" s="465"/>
      <c r="TI75" s="465"/>
      <c r="TJ75" s="465"/>
      <c r="TK75" s="465"/>
      <c r="TL75" s="465"/>
      <c r="TM75" s="465"/>
      <c r="TN75" s="465"/>
      <c r="TO75" s="465"/>
      <c r="TP75" s="465"/>
      <c r="TQ75" s="465"/>
      <c r="TR75" s="92"/>
      <c r="TS75" s="465"/>
      <c r="TT75" s="465"/>
      <c r="TU75" s="465"/>
      <c r="TV75" s="465"/>
      <c r="TW75" s="465"/>
      <c r="TX75" s="465"/>
      <c r="TY75" s="465"/>
      <c r="TZ75" s="465"/>
      <c r="UA75" s="465"/>
      <c r="UB75" s="465"/>
      <c r="UC75" s="465"/>
      <c r="UD75" s="465"/>
      <c r="UE75" s="465"/>
      <c r="UF75" s="465"/>
      <c r="UG75" s="465"/>
      <c r="UH75" s="465"/>
      <c r="UI75" s="465"/>
      <c r="UJ75" s="465"/>
      <c r="UK75" s="465"/>
      <c r="UL75" s="465"/>
      <c r="UM75" s="465"/>
      <c r="UN75" s="465"/>
      <c r="UO75" s="465"/>
      <c r="UP75" s="465"/>
      <c r="UQ75" s="465"/>
      <c r="UR75" s="465"/>
      <c r="US75" s="465"/>
      <c r="UT75" s="465"/>
      <c r="UU75" s="465"/>
      <c r="UV75" s="465"/>
      <c r="UW75" s="465"/>
      <c r="UZ75" s="465"/>
      <c r="VA75" s="465"/>
      <c r="VB75" s="465"/>
      <c r="VC75" s="465"/>
      <c r="VD75" s="465"/>
      <c r="VE75" s="465"/>
      <c r="VF75" s="465"/>
      <c r="VG75" s="465"/>
      <c r="VH75" s="465"/>
      <c r="VI75" s="465"/>
      <c r="VJ75" s="465"/>
      <c r="VK75" s="465"/>
      <c r="VL75" s="465"/>
      <c r="VM75" s="465"/>
      <c r="VN75" s="465"/>
      <c r="VO75" s="465"/>
      <c r="VP75" s="465"/>
      <c r="VQ75" s="465"/>
      <c r="VR75" s="465"/>
      <c r="VS75" s="465"/>
      <c r="VT75" s="465"/>
      <c r="VU75" s="465"/>
      <c r="VV75" s="465"/>
      <c r="VW75" s="465"/>
      <c r="VX75" s="465"/>
      <c r="VY75" s="465"/>
      <c r="VZ75" s="465"/>
      <c r="WA75" s="465"/>
      <c r="WB75" s="465"/>
      <c r="WC75" s="465"/>
      <c r="WD75" s="92"/>
      <c r="WE75" s="465"/>
      <c r="WF75" s="465"/>
      <c r="WG75" s="465"/>
      <c r="WH75" s="465"/>
      <c r="WI75" s="465"/>
      <c r="WJ75" s="465"/>
      <c r="WK75" s="465"/>
      <c r="WL75" s="465"/>
      <c r="WM75" s="465"/>
      <c r="WN75" s="465"/>
      <c r="WO75" s="465"/>
      <c r="WP75" s="465"/>
      <c r="WQ75" s="465"/>
      <c r="WR75" s="465"/>
      <c r="WS75" s="465"/>
      <c r="WT75" s="465"/>
      <c r="WU75" s="465"/>
      <c r="WV75" s="465"/>
      <c r="WW75" s="465"/>
      <c r="WX75" s="465"/>
      <c r="WY75" s="465"/>
      <c r="WZ75" s="465"/>
      <c r="XA75" s="465"/>
      <c r="XB75" s="465"/>
      <c r="XC75" s="465"/>
      <c r="XD75" s="465"/>
      <c r="XE75" s="465"/>
      <c r="XF75" s="465"/>
      <c r="XG75" s="92"/>
      <c r="XH75" s="298"/>
      <c r="XI75" s="298"/>
      <c r="XJ75" s="298"/>
      <c r="XK75" s="298"/>
      <c r="XL75" s="298"/>
      <c r="XM75" s="298"/>
      <c r="XN75" s="298"/>
      <c r="XO75" s="298"/>
      <c r="XP75" s="298"/>
      <c r="XQ75" s="298"/>
      <c r="XR75" s="298"/>
      <c r="XS75" s="298"/>
      <c r="XT75" s="298"/>
      <c r="XU75" s="298"/>
      <c r="XV75" s="298"/>
      <c r="XW75" s="298"/>
      <c r="XX75" s="298"/>
      <c r="XY75" s="298"/>
      <c r="XZ75" s="298"/>
      <c r="YA75" s="298"/>
      <c r="YB75" s="298"/>
      <c r="YC75" s="298"/>
      <c r="YD75" s="298"/>
      <c r="YE75" s="298"/>
      <c r="YF75" s="298"/>
      <c r="YG75" s="298"/>
      <c r="YH75" s="298"/>
      <c r="YI75" s="298"/>
      <c r="YJ75" s="298"/>
      <c r="YK75" s="298"/>
      <c r="YL75" s="298"/>
      <c r="YM75" s="92"/>
      <c r="YO75" s="310"/>
      <c r="YP75" s="310"/>
      <c r="YQ75" s="310"/>
      <c r="YR75" s="310"/>
      <c r="YS75" s="310"/>
      <c r="YT75" s="310"/>
      <c r="YU75" s="310"/>
      <c r="YV75" s="310"/>
      <c r="YW75" s="310"/>
      <c r="YX75" s="310"/>
      <c r="YY75" s="310"/>
      <c r="YZ75" s="310"/>
      <c r="ZA75" s="310"/>
      <c r="ZB75" s="310"/>
      <c r="ZC75" s="310"/>
      <c r="ZD75" s="310"/>
      <c r="ZE75" s="310"/>
      <c r="ZF75" s="310"/>
      <c r="ZG75" s="310"/>
      <c r="ZH75" s="310"/>
      <c r="ZI75" s="310"/>
      <c r="ZJ75" s="310"/>
      <c r="ZK75" s="310"/>
      <c r="ZL75" s="310"/>
      <c r="ZM75" s="310"/>
      <c r="ZN75" s="310"/>
      <c r="ZO75" s="310"/>
      <c r="ZP75" s="310"/>
      <c r="ZQ75" s="310"/>
      <c r="ZR75" s="92"/>
      <c r="ZS75" s="310"/>
      <c r="ZT75" s="310"/>
      <c r="ZU75" s="310"/>
      <c r="ZV75" s="310"/>
      <c r="AAA75" s="310"/>
      <c r="AAB75" s="310"/>
      <c r="AAC75" s="310"/>
      <c r="AAQ75" s="310"/>
      <c r="AAR75" s="310"/>
      <c r="AAS75" s="310"/>
      <c r="AAT75" s="310"/>
      <c r="AAU75" s="310"/>
      <c r="AAV75" s="310"/>
      <c r="AAW75" s="310"/>
      <c r="AAX75" s="92"/>
      <c r="AAY75" s="310"/>
      <c r="AAZ75" s="310"/>
      <c r="ABA75" s="310"/>
      <c r="ABB75" s="310"/>
      <c r="ABC75" s="310"/>
      <c r="ABD75" s="310"/>
      <c r="ABE75" s="310"/>
      <c r="ABF75" s="310"/>
      <c r="ABG75" s="310"/>
      <c r="ABH75" s="310"/>
      <c r="ABI75" s="310"/>
      <c r="ABJ75" s="310"/>
      <c r="ABW75" s="310"/>
      <c r="ABX75" s="310"/>
      <c r="ACC75" s="92"/>
      <c r="ACD75" s="310"/>
      <c r="ACE75" s="310"/>
      <c r="ACX75" s="310"/>
      <c r="ACY75" s="310"/>
      <c r="ACZ75" s="310"/>
      <c r="ADA75" s="310"/>
      <c r="ADB75" s="310"/>
      <c r="ADC75" s="310"/>
      <c r="ADD75" s="310"/>
      <c r="ADE75" s="310"/>
      <c r="ADF75" s="310"/>
      <c r="ADG75" s="310"/>
      <c r="ADH75" s="310"/>
      <c r="ADI75" s="632"/>
      <c r="ADJ75" s="583"/>
      <c r="ADK75" s="583"/>
      <c r="ADL75" s="583"/>
      <c r="ADM75" s="583"/>
      <c r="ADN75" s="583"/>
      <c r="ADO75" s="583"/>
      <c r="ADP75" s="583"/>
      <c r="ADQ75" s="583"/>
      <c r="ADR75" s="583"/>
      <c r="ADS75" s="583"/>
      <c r="ADT75" s="583"/>
      <c r="ADU75" s="583"/>
      <c r="ADV75" s="583"/>
      <c r="ADW75" s="583"/>
      <c r="ADX75" s="583"/>
      <c r="ADY75" s="583"/>
      <c r="ADZ75" s="583"/>
      <c r="AEA75" s="583"/>
      <c r="AEB75" s="583"/>
      <c r="AEC75" s="583"/>
      <c r="AED75" s="583"/>
      <c r="AEE75" s="583"/>
      <c r="AEF75" s="583"/>
      <c r="AEG75" s="583"/>
      <c r="AEH75" s="583"/>
      <c r="AEI75" s="583"/>
      <c r="AEJ75" s="583"/>
      <c r="AEK75" s="583"/>
      <c r="AEL75" s="583"/>
      <c r="AEM75" s="583"/>
      <c r="AEN75" s="583"/>
      <c r="AEO75" s="583"/>
      <c r="AEP75" s="583"/>
      <c r="AEQ75" s="583"/>
      <c r="AER75" s="583"/>
      <c r="AES75" s="583"/>
      <c r="AET75" s="583"/>
      <c r="AEU75" s="583"/>
      <c r="AEV75" s="583"/>
      <c r="AEW75" s="583"/>
      <c r="AEX75" s="583"/>
      <c r="AEY75" s="583"/>
      <c r="AEZ75" s="583"/>
      <c r="AFA75" s="583"/>
      <c r="AFB75" s="583"/>
      <c r="AFC75" s="583"/>
      <c r="AFD75" s="583"/>
      <c r="AFE75" s="583"/>
      <c r="AFF75" s="583"/>
      <c r="AFG75" s="583"/>
      <c r="AFH75" s="583"/>
      <c r="AFI75" s="583"/>
      <c r="AFJ75" s="583"/>
      <c r="AFK75" s="583"/>
      <c r="AFL75" s="583"/>
      <c r="AFM75" s="583"/>
      <c r="AFN75" s="583"/>
      <c r="AFO75" s="583"/>
      <c r="AFP75" s="583"/>
      <c r="AFQ75" s="583"/>
      <c r="AFR75" s="583"/>
      <c r="AFS75" s="583"/>
      <c r="AFT75" s="640" t="s">
        <v>2315</v>
      </c>
      <c r="AFU75" s="364"/>
      <c r="AFV75" s="364"/>
      <c r="AFW75" s="364"/>
      <c r="AFX75" s="364"/>
      <c r="AFY75" s="364"/>
      <c r="AFZ75" s="364"/>
      <c r="AGA75" s="364"/>
      <c r="AGB75" s="364"/>
      <c r="AGC75" s="364"/>
      <c r="AGD75" s="364"/>
      <c r="AGE75" s="364"/>
      <c r="AGF75" s="364"/>
      <c r="AGG75" s="364"/>
      <c r="AGH75" s="364"/>
      <c r="AGI75" s="364"/>
      <c r="AGJ75" s="364"/>
      <c r="AGK75" s="364"/>
      <c r="AGL75" s="364"/>
      <c r="AGM75" s="364"/>
      <c r="AGN75" s="180" t="s">
        <v>2720</v>
      </c>
      <c r="AGO75" s="364"/>
      <c r="AGP75" s="364"/>
      <c r="AGQ75" s="364"/>
      <c r="AGR75" s="364"/>
      <c r="AGS75" s="180" t="s">
        <v>2772</v>
      </c>
      <c r="AGT75" s="364"/>
      <c r="AGU75" s="180" t="s">
        <v>2788</v>
      </c>
      <c r="AGV75" s="180" t="s">
        <v>2788</v>
      </c>
      <c r="AGZ75" s="310"/>
      <c r="AHA75" s="316" t="s">
        <v>2807</v>
      </c>
      <c r="AHB75" s="180" t="s">
        <v>2813</v>
      </c>
      <c r="AHC75" s="310"/>
      <c r="AHD75" s="310"/>
      <c r="AHE75" s="310"/>
      <c r="AHF75" s="310"/>
      <c r="AHG75" s="316" t="s">
        <v>2831</v>
      </c>
      <c r="AHH75" s="316" t="s">
        <v>2830</v>
      </c>
      <c r="AHI75" s="364"/>
      <c r="AHJ75" s="666" t="s">
        <v>2853</v>
      </c>
      <c r="AHK75" s="364"/>
      <c r="AHL75" s="364"/>
      <c r="AHM75" s="316" t="s">
        <v>2828</v>
      </c>
      <c r="AHN75" s="364"/>
      <c r="AHO75" s="364"/>
      <c r="AHP75" s="364"/>
      <c r="AHQ75" s="364"/>
      <c r="AHR75" s="364"/>
      <c r="AHS75" s="364"/>
      <c r="AHT75" s="364"/>
      <c r="AHU75" s="364"/>
      <c r="AHV75" s="364"/>
      <c r="AHW75" s="364"/>
      <c r="AHX75" s="364"/>
      <c r="AHY75" s="364"/>
      <c r="AHZ75" s="364"/>
      <c r="AIA75" s="364"/>
      <c r="AIB75" s="364"/>
      <c r="AIC75" s="364"/>
      <c r="AID75" s="364"/>
      <c r="AIE75" s="5"/>
      <c r="AIF75" s="364"/>
      <c r="AIG75" s="364"/>
      <c r="AIH75" s="364"/>
      <c r="AII75" s="364"/>
      <c r="AIJ75" s="364"/>
      <c r="AIK75" s="364"/>
      <c r="AIL75" s="364"/>
      <c r="AIM75" s="364"/>
      <c r="AIN75" s="364"/>
      <c r="AIO75" s="364"/>
      <c r="AIP75" s="364"/>
      <c r="AIQ75" s="364"/>
      <c r="AIR75" s="364"/>
      <c r="AIS75" s="364"/>
      <c r="AIT75" s="364"/>
      <c r="AIU75" s="364"/>
      <c r="AIV75" s="364"/>
      <c r="AIW75" s="364"/>
      <c r="AIX75" s="364"/>
      <c r="AIY75" s="364"/>
      <c r="AIZ75" s="364"/>
      <c r="AJA75" s="364"/>
      <c r="AJB75" s="364"/>
      <c r="AJC75" s="364"/>
      <c r="AJD75" s="364"/>
      <c r="AJE75" s="364"/>
      <c r="AJF75" s="364"/>
      <c r="AJG75" s="364"/>
      <c r="AJH75" s="364"/>
      <c r="AJI75" s="364"/>
      <c r="AJJ75" s="364"/>
      <c r="AJK75" s="5"/>
      <c r="AJL75" s="310"/>
      <c r="AJM75" s="310"/>
      <c r="AJN75" s="310"/>
      <c r="AJO75" s="310"/>
      <c r="AJP75" s="310"/>
      <c r="AJQ75" s="310"/>
      <c r="AKE75" s="310"/>
      <c r="AKF75" s="310"/>
      <c r="AKG75" s="310"/>
      <c r="AKH75" s="310"/>
      <c r="AKI75" s="310"/>
      <c r="AKJ75" s="310"/>
      <c r="AKK75" s="310"/>
      <c r="AKL75" s="310"/>
      <c r="AKM75" s="310"/>
      <c r="AKN75" s="310"/>
      <c r="AKO75" s="310"/>
      <c r="AKP75" s="310"/>
      <c r="AKQ75" s="5" t="s">
        <v>2545</v>
      </c>
      <c r="AKR75" s="345" t="s">
        <v>2846</v>
      </c>
      <c r="AKS75" s="345"/>
      <c r="AKT75" s="352"/>
      <c r="AKU75" s="352"/>
      <c r="AKV75" s="352"/>
      <c r="AKW75" s="352"/>
      <c r="AKX75" s="352"/>
      <c r="AKY75" s="352"/>
      <c r="AKZ75" s="352"/>
      <c r="ALA75" s="352"/>
      <c r="ALB75" s="352"/>
      <c r="ALC75" s="352"/>
      <c r="ALD75" s="352"/>
      <c r="ALE75" s="352"/>
      <c r="ALF75" s="352"/>
      <c r="ALG75" s="352"/>
      <c r="ALH75" s="352"/>
      <c r="ALI75" s="352"/>
      <c r="ALJ75" s="352"/>
      <c r="ALK75" s="352"/>
      <c r="ALL75" s="352"/>
      <c r="ALM75" s="352"/>
      <c r="ALN75" s="352"/>
      <c r="ALO75" s="352"/>
      <c r="ALP75" s="352"/>
      <c r="ALQ75" s="352"/>
      <c r="ALR75" s="352"/>
      <c r="ALS75" s="352"/>
      <c r="ALT75" s="7" t="s">
        <v>2546</v>
      </c>
      <c r="ALU75" s="352" t="s">
        <v>2846</v>
      </c>
      <c r="ALV75" s="352"/>
      <c r="ALW75" s="352"/>
      <c r="ALX75" s="352"/>
      <c r="ALY75" s="352"/>
      <c r="ALZ75" s="352"/>
      <c r="AMA75" s="352"/>
      <c r="AMB75" s="352"/>
      <c r="AMC75" s="352"/>
      <c r="AMD75" s="352"/>
      <c r="AME75" s="352"/>
      <c r="AMF75" s="352"/>
      <c r="AMG75" s="352"/>
      <c r="AMH75" s="352"/>
      <c r="AMI75" s="352"/>
      <c r="AMJ75" s="352"/>
      <c r="AMK75" s="352"/>
      <c r="AML75" s="352"/>
      <c r="AMM75" s="352"/>
      <c r="AMN75" s="352"/>
      <c r="AMO75" s="352"/>
      <c r="AMP75" s="352"/>
      <c r="AMQ75" s="352"/>
      <c r="AMR75" s="352"/>
      <c r="AMS75" s="352"/>
      <c r="AMT75" s="352"/>
      <c r="AMU75" s="352"/>
      <c r="AMV75" s="352"/>
      <c r="AMW75" s="352"/>
      <c r="AMX75" s="352"/>
      <c r="AMY75" s="352"/>
      <c r="AMZ75" s="7" t="s">
        <v>2546</v>
      </c>
      <c r="ANA75" s="352" t="s">
        <v>2846</v>
      </c>
      <c r="ANB75" s="352"/>
      <c r="ANC75" s="352"/>
      <c r="AND75" s="352"/>
      <c r="ANE75" s="352"/>
      <c r="ANF75" s="352"/>
      <c r="ANG75" s="352"/>
      <c r="ANH75" s="352"/>
      <c r="ANI75" s="352"/>
      <c r="ANJ75" s="352"/>
      <c r="ANK75" s="352"/>
      <c r="ANL75" s="352"/>
      <c r="ANM75" s="352"/>
      <c r="ANN75" s="352"/>
      <c r="ANO75" s="352"/>
      <c r="ANP75" s="352"/>
      <c r="ANQ75" s="352"/>
      <c r="ANR75" s="352"/>
      <c r="ANS75" s="352"/>
      <c r="ANT75" s="352"/>
      <c r="ANU75" s="352"/>
      <c r="ANV75" s="352"/>
      <c r="ANW75" s="352"/>
      <c r="ANX75" s="352"/>
      <c r="ANY75" s="352"/>
      <c r="ANZ75" s="352"/>
      <c r="AOA75" s="352"/>
      <c r="AOB75" s="352"/>
      <c r="AOC75" s="352"/>
      <c r="AOD75" s="352"/>
      <c r="AOE75" s="5" t="s">
        <v>2545</v>
      </c>
      <c r="AOF75" s="159"/>
      <c r="AOG75" s="159"/>
      <c r="AOH75" s="159"/>
      <c r="AOI75" s="159"/>
      <c r="AOJ75" s="159"/>
      <c r="AOK75" s="159"/>
      <c r="AOL75" s="159"/>
      <c r="AOM75" s="159"/>
      <c r="AON75" s="159"/>
      <c r="AOO75" s="352" t="s">
        <v>2636</v>
      </c>
      <c r="AOP75" s="352"/>
      <c r="AOQ75" s="352"/>
      <c r="AOR75" s="352"/>
      <c r="AOS75" s="352"/>
      <c r="AOT75" s="352"/>
      <c r="AOU75" s="352"/>
      <c r="AOV75" s="352"/>
      <c r="AOW75" s="352"/>
      <c r="AOX75" s="352"/>
      <c r="AOY75" s="352"/>
      <c r="AOZ75" s="352"/>
      <c r="APA75" s="352"/>
      <c r="APB75" s="345" t="s">
        <v>2868</v>
      </c>
      <c r="APC75" s="345"/>
      <c r="APD75" s="352"/>
      <c r="APE75" s="352"/>
      <c r="APF75" s="352"/>
      <c r="APG75" s="352"/>
      <c r="APH75" s="352"/>
      <c r="API75" s="352"/>
      <c r="APJ75" s="352"/>
      <c r="APK75" s="7" t="s">
        <v>2546</v>
      </c>
      <c r="APL75" s="352" t="s">
        <v>2868</v>
      </c>
      <c r="APM75" s="352"/>
      <c r="APN75" s="352"/>
      <c r="APO75" s="352"/>
      <c r="APP75" s="352"/>
      <c r="APQ75" s="352"/>
      <c r="APR75" s="352"/>
      <c r="APS75" s="352"/>
      <c r="APT75" s="352"/>
      <c r="APU75" s="352"/>
      <c r="APV75" s="352"/>
      <c r="APW75" s="352"/>
      <c r="APX75" s="352"/>
      <c r="APY75" s="352"/>
      <c r="APZ75" s="352"/>
      <c r="AQA75" s="352"/>
      <c r="AQB75" s="352"/>
      <c r="AQC75" s="352"/>
      <c r="AQD75" s="352"/>
      <c r="AQE75" s="352"/>
      <c r="AQF75" s="352"/>
      <c r="AQG75" s="352"/>
      <c r="AQH75" s="352"/>
      <c r="AQI75" s="352"/>
      <c r="AQJ75" s="352"/>
      <c r="AQK75" s="352"/>
      <c r="AQL75" s="352"/>
      <c r="AQM75" s="352"/>
      <c r="AQN75" s="352"/>
      <c r="AQO75" s="352"/>
      <c r="AQP75" s="7" t="s">
        <v>2546</v>
      </c>
      <c r="AQQ75" s="352" t="s">
        <v>2868</v>
      </c>
      <c r="AQR75" s="352"/>
      <c r="AQS75" s="352"/>
      <c r="AQT75" s="352"/>
      <c r="AQU75" s="352"/>
      <c r="AQV75" s="352"/>
      <c r="AQW75" s="352"/>
      <c r="AQX75" s="637"/>
      <c r="AQY75" s="637"/>
      <c r="AQZ75" s="637"/>
      <c r="ARA75" s="637"/>
      <c r="ARB75" s="637"/>
      <c r="ARC75" s="637"/>
      <c r="ARD75" s="637"/>
      <c r="ARE75" s="637"/>
      <c r="ARF75" s="637"/>
      <c r="ARG75" s="352" t="s">
        <v>2868</v>
      </c>
      <c r="ARH75" s="352"/>
      <c r="ARI75" s="352"/>
      <c r="ARJ75" s="352"/>
      <c r="ARK75" s="352"/>
      <c r="ARL75" s="352"/>
      <c r="ARM75" s="352"/>
      <c r="ARN75" s="352"/>
      <c r="ARO75" s="352"/>
      <c r="ARP75" s="352"/>
      <c r="ARQ75" s="352"/>
      <c r="ARR75" s="352"/>
      <c r="ARS75" s="352"/>
      <c r="ART75" s="352"/>
      <c r="ARU75" s="352"/>
      <c r="ARV75" s="7" t="s">
        <v>2546</v>
      </c>
      <c r="ARW75" s="352" t="s">
        <v>2868</v>
      </c>
      <c r="ARX75" s="352"/>
      <c r="ARY75" s="352"/>
      <c r="ARZ75" s="352"/>
      <c r="ASA75" s="352"/>
      <c r="ASB75" s="352"/>
      <c r="ASC75" s="352"/>
      <c r="ASD75" s="352"/>
      <c r="ASE75" s="352"/>
      <c r="ASF75" s="352"/>
      <c r="ASG75" s="352"/>
      <c r="ASH75" s="352"/>
      <c r="ASI75" s="352"/>
      <c r="ASJ75" s="352"/>
      <c r="ASK75" s="352"/>
      <c r="ASL75" s="352"/>
      <c r="ASM75" s="352"/>
      <c r="ASN75" s="352"/>
      <c r="ASO75" s="352"/>
      <c r="ASP75" s="352"/>
      <c r="ASQ75" s="352"/>
      <c r="ASR75" s="345" t="s">
        <v>2693</v>
      </c>
      <c r="ASS75" s="345"/>
      <c r="AST75" s="352"/>
      <c r="ASU75" s="352"/>
      <c r="ASV75" s="352"/>
      <c r="ASW75" s="352"/>
      <c r="ASX75" s="352"/>
      <c r="ASY75" s="352"/>
      <c r="ASZ75" s="352"/>
      <c r="ATA75" s="352"/>
      <c r="ATB75" s="7" t="s">
        <v>2546</v>
      </c>
      <c r="ATC75" s="352" t="s">
        <v>2693</v>
      </c>
      <c r="ATD75" s="352"/>
      <c r="ATE75" s="352"/>
      <c r="ATF75" s="352"/>
      <c r="ATG75" s="352"/>
      <c r="ATH75" s="352"/>
      <c r="ATI75" s="352"/>
      <c r="ATJ75" s="352"/>
      <c r="ATK75" s="352"/>
      <c r="ATL75" s="352"/>
      <c r="ATM75" s="352"/>
      <c r="ATN75" s="352"/>
      <c r="ATO75" s="352"/>
      <c r="ATP75" s="352"/>
      <c r="ATQ75" s="352"/>
      <c r="ATR75" s="352"/>
      <c r="ATS75" s="352"/>
      <c r="ATT75" s="352"/>
      <c r="ATU75" s="352"/>
      <c r="ATV75" s="352"/>
      <c r="ATW75" s="352"/>
      <c r="ATX75" s="352"/>
      <c r="ATY75" s="352"/>
      <c r="ATZ75" s="352"/>
      <c r="AUA75" s="352"/>
      <c r="AUB75" s="352"/>
      <c r="AUC75" s="352"/>
      <c r="AUD75" s="352"/>
      <c r="AUE75" s="352"/>
      <c r="AUF75" s="352"/>
      <c r="AUG75" s="7" t="s">
        <v>2546</v>
      </c>
      <c r="AUH75" s="352" t="s">
        <v>2693</v>
      </c>
      <c r="AUI75" s="352"/>
      <c r="AUJ75" s="352"/>
      <c r="AUK75" s="352"/>
      <c r="AUL75" s="352"/>
      <c r="AUM75" s="352"/>
      <c r="AUN75" s="352"/>
      <c r="AUO75" s="352"/>
      <c r="AUP75" s="352"/>
      <c r="AUQ75" s="352"/>
      <c r="AUR75" s="352"/>
      <c r="AUS75" s="352"/>
      <c r="AUT75" s="352"/>
      <c r="AUU75" s="352"/>
      <c r="AUV75" s="352"/>
      <c r="AUW75" s="352"/>
      <c r="AUX75" s="352"/>
      <c r="AUY75" s="352"/>
      <c r="AUZ75" s="352"/>
      <c r="AVA75" s="352"/>
      <c r="AVB75" s="352"/>
      <c r="AVC75" s="352"/>
      <c r="AVD75" s="352"/>
      <c r="AVE75" s="352"/>
      <c r="AVF75" s="352"/>
      <c r="AVG75" s="352"/>
      <c r="AVH75" s="352"/>
      <c r="AVI75" s="352"/>
      <c r="AVJ75" s="352"/>
      <c r="AVK75" s="352"/>
      <c r="AVL75" s="352"/>
      <c r="AVM75" s="7" t="s">
        <v>2546</v>
      </c>
      <c r="AVN75" s="352" t="s">
        <v>2693</v>
      </c>
      <c r="AVO75" s="352"/>
      <c r="AVP75" s="352"/>
      <c r="AVQ75" s="352"/>
      <c r="AVR75" s="352"/>
      <c r="AVS75" s="352"/>
      <c r="AVT75" s="352"/>
      <c r="AVU75" s="352"/>
      <c r="AVV75" s="352"/>
      <c r="AVW75" s="352"/>
      <c r="AVX75" s="352"/>
      <c r="AVY75" s="352"/>
      <c r="AVZ75" s="352"/>
      <c r="AWA75" s="352"/>
      <c r="AWB75" s="352"/>
      <c r="AWC75" s="352"/>
      <c r="AWD75" s="352"/>
      <c r="AWE75" s="352"/>
      <c r="AWF75" s="352"/>
      <c r="AWG75" s="345" t="s">
        <v>2697</v>
      </c>
      <c r="AWH75" s="345"/>
      <c r="AWI75" s="352"/>
      <c r="AWJ75" s="352"/>
      <c r="AWK75" s="352"/>
      <c r="AWL75" s="352"/>
      <c r="AWM75" s="352"/>
      <c r="AWN75" s="352"/>
      <c r="AWO75" s="352"/>
      <c r="AWP75" s="352"/>
      <c r="AWQ75" s="352"/>
      <c r="AWR75" s="7" t="s">
        <v>2546</v>
      </c>
      <c r="AWS75" s="352" t="s">
        <v>2697</v>
      </c>
      <c r="AWT75" s="352"/>
      <c r="AWU75" s="352"/>
      <c r="AWV75" s="352"/>
      <c r="AWW75" s="352"/>
      <c r="AWX75" s="352"/>
      <c r="AWY75" s="352"/>
      <c r="AWZ75" s="352"/>
      <c r="AXA75" s="352"/>
      <c r="AXB75" s="352"/>
      <c r="AXC75" s="352"/>
      <c r="AXD75" s="352"/>
      <c r="AXE75" s="352"/>
      <c r="AXF75" s="352"/>
      <c r="AXG75" s="352"/>
      <c r="AXH75" s="352"/>
      <c r="AXI75" s="352"/>
      <c r="AXJ75" s="352"/>
      <c r="AXK75" s="352"/>
      <c r="AXL75" s="352"/>
      <c r="AXM75" s="352"/>
      <c r="AXN75" s="352"/>
      <c r="AXO75" s="352"/>
      <c r="AXP75" s="352"/>
      <c r="AXQ75" s="352"/>
      <c r="AXR75" s="352"/>
      <c r="AXS75" s="352"/>
      <c r="AXT75" s="352"/>
      <c r="AXU75" s="352"/>
      <c r="AXV75" s="352"/>
      <c r="AXW75" s="352"/>
      <c r="AXX75" s="7" t="s">
        <v>2546</v>
      </c>
      <c r="AXY75" s="364"/>
      <c r="AXZ75" s="364"/>
      <c r="AYA75" s="364"/>
      <c r="AYB75" s="364"/>
      <c r="AYC75" s="364"/>
      <c r="AYD75" s="364"/>
      <c r="AYE75" s="364"/>
      <c r="AYF75" s="364"/>
      <c r="AYG75" s="364"/>
      <c r="AYH75" s="364"/>
      <c r="AYI75" s="364"/>
      <c r="AYJ75" s="364"/>
      <c r="AYK75" s="364"/>
      <c r="AYL75" s="364"/>
      <c r="AYM75" s="364"/>
      <c r="AYN75" s="364"/>
      <c r="AYO75" s="364"/>
      <c r="AYP75" s="364"/>
      <c r="AYQ75" s="364"/>
      <c r="AYR75" s="364"/>
      <c r="AYS75" s="364"/>
      <c r="AYT75" s="364"/>
      <c r="AYU75" s="364"/>
      <c r="AYV75" s="364"/>
      <c r="AYW75" s="364"/>
      <c r="AYX75" s="364"/>
      <c r="AYY75" s="364"/>
      <c r="AYZ75" s="364"/>
      <c r="AZA75" s="364"/>
      <c r="AZB75" s="364"/>
      <c r="AZC75" s="364"/>
      <c r="AZD75" s="364"/>
      <c r="AZE75" s="364"/>
      <c r="AZF75" s="364"/>
      <c r="AZG75" s="364"/>
      <c r="AZH75" s="364"/>
      <c r="AZI75" s="364"/>
      <c r="AZJ75" s="364"/>
      <c r="AZK75" s="364"/>
      <c r="AZL75" s="364"/>
      <c r="AZM75" s="364"/>
      <c r="AZN75" s="364"/>
      <c r="AZO75" s="364"/>
      <c r="AZP75" s="364"/>
      <c r="AZQ75" s="364"/>
      <c r="AZR75" s="364"/>
      <c r="AZS75" s="364"/>
      <c r="AZT75" s="364"/>
      <c r="AZU75" s="364"/>
      <c r="AZV75" s="364"/>
      <c r="AZW75" s="364"/>
      <c r="AZX75" s="364"/>
      <c r="AZY75" s="364"/>
      <c r="AZZ75" s="364"/>
      <c r="BAA75" s="364"/>
      <c r="BAB75" s="364"/>
      <c r="BAC75" s="364"/>
      <c r="BAD75" s="364"/>
      <c r="BAE75" s="364"/>
      <c r="BAF75" s="364"/>
      <c r="BAG75" s="364"/>
      <c r="BAH75" s="364"/>
      <c r="BAI75" s="364"/>
      <c r="BAJ75" s="364"/>
      <c r="BAK75" s="364"/>
      <c r="BAL75" s="364"/>
      <c r="BAM75" s="364"/>
      <c r="BAN75" s="364"/>
      <c r="BAO75" s="364"/>
      <c r="BAP75" s="364"/>
      <c r="BAQ75" s="364"/>
      <c r="BAR75" s="364"/>
      <c r="BAS75" s="364"/>
      <c r="BAT75" s="364"/>
      <c r="BAU75" s="364"/>
      <c r="BAV75" s="364"/>
      <c r="BAW75" s="364"/>
      <c r="BAX75" s="364"/>
      <c r="BAY75" s="364"/>
      <c r="BAZ75" s="364"/>
      <c r="BBA75" s="364"/>
      <c r="BBB75" s="364"/>
      <c r="BBC75" s="364"/>
      <c r="BBD75" s="364"/>
      <c r="BBE75" s="364"/>
      <c r="BBF75" s="364"/>
      <c r="BBG75" s="364"/>
      <c r="BBH75" s="364"/>
      <c r="BBI75" s="364"/>
      <c r="BBJ75" s="364"/>
      <c r="BBK75" s="364"/>
      <c r="BBL75" s="364"/>
      <c r="BBM75" s="364"/>
      <c r="BBN75" s="364"/>
      <c r="BBO75" s="364"/>
      <c r="BBP75" s="364"/>
      <c r="BBQ75" s="364"/>
      <c r="BBR75" s="364"/>
      <c r="BBS75" s="364"/>
      <c r="BBT75" s="364"/>
      <c r="BBU75" s="364"/>
      <c r="BBV75" s="364"/>
      <c r="BBW75" s="364"/>
      <c r="BBX75" s="364"/>
      <c r="BBY75" s="364"/>
      <c r="BBZ75" s="364"/>
      <c r="BCA75" s="364"/>
      <c r="BCB75" s="364"/>
      <c r="BCC75" s="364"/>
      <c r="BCD75" s="364"/>
      <c r="BCE75" s="364"/>
      <c r="BCF75" s="364"/>
      <c r="BCG75" s="364"/>
      <c r="BCH75" s="364"/>
      <c r="BCI75" s="364"/>
      <c r="BCJ75" s="364"/>
      <c r="BCK75" s="364"/>
      <c r="BCL75" s="364"/>
      <c r="BCM75" s="364"/>
      <c r="BCN75" s="364"/>
      <c r="BCO75" s="364"/>
      <c r="BCP75" s="364"/>
      <c r="BCQ75" s="364"/>
      <c r="BCR75" s="364"/>
      <c r="BCS75" s="364"/>
      <c r="BCT75" s="364"/>
      <c r="BCU75" s="364"/>
      <c r="BCV75" s="364"/>
      <c r="BCW75" s="364"/>
      <c r="BCX75" s="364"/>
      <c r="BCY75" s="364"/>
      <c r="BCZ75" s="364"/>
      <c r="BDA75" s="364"/>
      <c r="BDB75" s="364"/>
      <c r="BDC75" s="364"/>
      <c r="BDD75" s="364"/>
      <c r="BDE75" s="364"/>
      <c r="BDF75" s="364"/>
      <c r="BDG75" s="364"/>
      <c r="BDH75" s="364"/>
      <c r="BDI75" s="364"/>
      <c r="BDJ75" s="364"/>
      <c r="BDK75" s="364"/>
      <c r="BDL75" s="364"/>
      <c r="BDM75" s="364"/>
      <c r="BDN75" s="364"/>
      <c r="BDO75" s="364"/>
      <c r="BDP75" s="364"/>
      <c r="BDQ75" s="364"/>
      <c r="BDR75" s="364"/>
      <c r="BDS75" s="364"/>
      <c r="BDT75" s="364"/>
      <c r="BDU75" s="364"/>
      <c r="BDV75" s="364"/>
      <c r="BDW75" s="364"/>
      <c r="BDX75" s="364"/>
      <c r="BDY75" s="364"/>
      <c r="BDZ75" s="364"/>
      <c r="BEA75" s="364"/>
      <c r="BEB75" s="364"/>
      <c r="BEC75" s="364"/>
      <c r="BED75" s="364"/>
      <c r="BEE75" s="364"/>
      <c r="BEF75" s="364"/>
      <c r="BEG75" s="364"/>
      <c r="BEH75" s="364"/>
      <c r="BEI75" s="364"/>
      <c r="BEJ75" s="364"/>
      <c r="BEK75" s="364"/>
      <c r="BEL75" s="364"/>
      <c r="BEM75" s="364"/>
      <c r="BEN75" s="364"/>
      <c r="BEO75" s="364"/>
      <c r="BEP75" s="364"/>
      <c r="BEQ75" s="364"/>
      <c r="BER75" s="364"/>
      <c r="BES75" s="364"/>
      <c r="BET75" s="364"/>
      <c r="BEU75" s="364"/>
      <c r="BEV75" s="364"/>
      <c r="BEW75" s="364"/>
      <c r="BEX75" s="364"/>
      <c r="BEY75" s="364"/>
      <c r="BEZ75" s="364"/>
      <c r="BFA75" s="364"/>
      <c r="BFB75" s="364"/>
      <c r="BFC75" s="364"/>
      <c r="BFD75" s="364"/>
      <c r="BFE75" s="364"/>
      <c r="BFF75" s="364"/>
      <c r="BFG75" s="364"/>
      <c r="BFH75" s="364"/>
      <c r="BFI75" s="364"/>
      <c r="BFJ75" s="364"/>
      <c r="BFK75" s="364"/>
      <c r="BFL75" s="364"/>
      <c r="BFM75" s="364"/>
      <c r="BFN75" s="364"/>
      <c r="BFO75" s="364"/>
      <c r="BFP75" s="364"/>
      <c r="BFQ75" s="364"/>
      <c r="BFR75" s="364"/>
      <c r="BFS75" s="364"/>
      <c r="BFT75" s="364"/>
      <c r="BFU75" s="364"/>
      <c r="BFV75" s="364"/>
      <c r="BFW75" s="364"/>
      <c r="BFX75" s="364"/>
      <c r="BFY75" s="364"/>
      <c r="BFZ75" s="364"/>
      <c r="BGA75" s="364"/>
      <c r="BGB75" s="364"/>
      <c r="BGC75" s="364"/>
      <c r="BGD75" s="364"/>
      <c r="BGE75" s="364"/>
      <c r="BGF75" s="364"/>
      <c r="BGG75" s="364"/>
      <c r="BGH75" s="364"/>
      <c r="BGI75" s="364"/>
      <c r="BGJ75" s="364"/>
      <c r="BGK75" s="364"/>
      <c r="BGL75" s="364"/>
      <c r="BGM75" s="364"/>
      <c r="BGN75" s="364"/>
      <c r="BGO75" s="364"/>
      <c r="BGP75" s="364"/>
      <c r="BGQ75" s="364"/>
      <c r="BGR75" s="364"/>
      <c r="BGS75" s="364"/>
      <c r="BGT75" s="364"/>
      <c r="BGU75" s="364"/>
      <c r="BGV75" s="364"/>
      <c r="BGW75" s="364"/>
      <c r="BGX75" s="364"/>
      <c r="BGY75" s="364"/>
      <c r="BGZ75" s="364"/>
      <c r="BHA75" s="364"/>
      <c r="BHB75" s="364"/>
      <c r="BHC75" s="364"/>
      <c r="BHD75" s="364"/>
      <c r="BHE75" s="364"/>
      <c r="BHF75" s="364"/>
      <c r="BHG75" s="364"/>
      <c r="BHH75" s="364"/>
      <c r="BHI75" s="364"/>
      <c r="BHJ75" s="364"/>
      <c r="BHK75" s="364"/>
      <c r="BHL75" s="364"/>
      <c r="BHM75" s="364"/>
      <c r="BHN75" s="364"/>
      <c r="BHO75" s="364"/>
      <c r="BHP75" s="364"/>
      <c r="BHQ75" s="364"/>
      <c r="BHR75" s="364"/>
      <c r="BHS75" s="364"/>
      <c r="BHT75" s="364"/>
      <c r="BHU75" s="364"/>
      <c r="BHV75" s="364"/>
      <c r="BHW75" s="364"/>
    </row>
    <row r="76" spans="1:1583" s="31" customFormat="1" ht="17.25" customHeight="1" thickTop="1" x14ac:dyDescent="0.25">
      <c r="B76" s="5"/>
      <c r="C76" s="43"/>
      <c r="D76" s="43"/>
      <c r="E76" s="43"/>
      <c r="F76" s="43"/>
      <c r="G76" s="43"/>
      <c r="H76" s="43"/>
      <c r="I76" s="43"/>
      <c r="J76" s="43"/>
      <c r="K76" s="43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93"/>
      <c r="AI76" s="43"/>
      <c r="AJ76" s="43"/>
      <c r="AK76" s="43"/>
      <c r="AQ76" s="731"/>
      <c r="AR76" s="732"/>
      <c r="AS76" s="732"/>
      <c r="AT76" s="732"/>
      <c r="AU76" s="732"/>
      <c r="AV76" s="732"/>
      <c r="AW76" s="732"/>
      <c r="AX76" s="732"/>
      <c r="AY76" s="732"/>
      <c r="AZ76" s="73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92"/>
      <c r="CS76" s="92"/>
      <c r="CT76" s="43"/>
      <c r="CU76" s="43"/>
      <c r="CV76" s="43"/>
      <c r="CW76" s="43"/>
      <c r="CX76" s="43"/>
      <c r="DP76" s="30"/>
      <c r="DQ76" s="43"/>
      <c r="DS76" s="43"/>
      <c r="DT76" s="43"/>
      <c r="DU76" s="43"/>
      <c r="DV76" s="43"/>
      <c r="DW76" s="43"/>
      <c r="DX76" s="43"/>
      <c r="DY76" s="43"/>
      <c r="ED76" s="30"/>
      <c r="EE76" s="30"/>
      <c r="EF76" s="30"/>
      <c r="EG76" s="30"/>
      <c r="EH76" s="30"/>
      <c r="EI76" s="30"/>
      <c r="EJ76" s="30"/>
      <c r="EK76" s="30"/>
      <c r="EL76" s="30"/>
      <c r="EM76" s="30"/>
      <c r="EN76" s="30"/>
      <c r="EO76" s="30"/>
      <c r="EP76" s="30"/>
      <c r="EQ76" s="30"/>
      <c r="ER76" s="30"/>
      <c r="ES76" s="30"/>
      <c r="ET76" s="30"/>
      <c r="EU76" s="30"/>
      <c r="EV76" s="30"/>
      <c r="EW76" s="30"/>
      <c r="EX76" s="43"/>
      <c r="EY76" s="43"/>
      <c r="EZ76" s="43"/>
      <c r="FA76" s="43"/>
      <c r="FB76" s="43"/>
      <c r="FC76" s="30"/>
      <c r="FE76" s="30"/>
      <c r="FH76" s="30"/>
      <c r="FI76" s="30"/>
      <c r="FJ76" s="30"/>
      <c r="FK76" s="30"/>
      <c r="FL76" s="30"/>
      <c r="FM76" s="30"/>
      <c r="FN76" s="30"/>
      <c r="FO76" s="30"/>
      <c r="FP76" s="30"/>
      <c r="FQ76" s="30"/>
      <c r="FR76" s="30"/>
      <c r="FS76" s="30"/>
      <c r="FT76" s="30"/>
      <c r="FU76" s="30"/>
      <c r="FV76" s="30"/>
      <c r="FW76" s="30"/>
      <c r="FX76" s="30"/>
      <c r="FY76" s="30"/>
      <c r="FZ76" s="30"/>
      <c r="GA76" s="30"/>
      <c r="GB76" s="30"/>
      <c r="GC76" s="30"/>
      <c r="GD76" s="30"/>
      <c r="GE76" s="78"/>
      <c r="GF76" s="78"/>
      <c r="GG76" s="78"/>
      <c r="GH76" s="78"/>
      <c r="GI76" s="78"/>
      <c r="GJ76" s="78"/>
      <c r="GK76" s="79"/>
      <c r="GL76" s="79"/>
      <c r="GM76" s="79"/>
      <c r="GN76" s="30"/>
      <c r="HC76" s="78"/>
      <c r="HD76" s="78"/>
      <c r="HE76" s="78"/>
      <c r="HF76" s="78"/>
      <c r="HG76" s="78"/>
      <c r="HH76" s="78"/>
      <c r="HI76" s="78"/>
      <c r="HJ76" s="78"/>
      <c r="HK76" s="78"/>
      <c r="HL76" s="78"/>
      <c r="HM76" s="78"/>
      <c r="HN76" s="78"/>
      <c r="HP76" s="92"/>
      <c r="IT76" s="92"/>
      <c r="JZ76" s="92"/>
      <c r="LE76" s="92"/>
      <c r="MK76" s="92"/>
      <c r="MO76" s="310"/>
      <c r="MP76" s="310"/>
      <c r="MQ76" s="310"/>
      <c r="MR76" s="310"/>
      <c r="NP76" s="92"/>
      <c r="OJ76" s="310"/>
      <c r="OK76" s="310"/>
      <c r="OL76" s="298"/>
      <c r="OM76" s="298"/>
      <c r="ON76" s="298"/>
      <c r="OO76" s="298"/>
      <c r="OP76" s="298"/>
      <c r="OQ76" s="298"/>
      <c r="OR76" s="298"/>
      <c r="OS76" s="310"/>
      <c r="OT76" s="310"/>
      <c r="OU76" s="310"/>
      <c r="OV76" s="92"/>
      <c r="OY76" s="310"/>
      <c r="OZ76" s="310"/>
      <c r="PD76" s="310"/>
      <c r="PE76" s="310"/>
      <c r="PF76" s="310"/>
      <c r="PG76" s="310"/>
      <c r="PH76" s="310"/>
      <c r="QB76" s="92"/>
      <c r="QD76" s="310"/>
      <c r="QE76" s="310"/>
      <c r="QF76" s="310"/>
      <c r="QG76" s="310"/>
      <c r="QH76" s="310"/>
      <c r="QI76" s="310"/>
      <c r="QS76" s="310"/>
      <c r="QT76" s="310"/>
      <c r="QU76" s="310"/>
      <c r="QV76" s="310"/>
      <c r="QW76" s="310"/>
      <c r="QX76" s="310"/>
      <c r="QY76" s="310"/>
      <c r="RA76" s="310"/>
      <c r="RB76" s="310"/>
      <c r="RC76" s="310"/>
      <c r="RD76" s="310"/>
      <c r="RE76" s="310"/>
      <c r="RF76" s="310"/>
      <c r="RG76" s="92"/>
      <c r="RH76" s="310"/>
      <c r="RI76" s="310"/>
      <c r="RJ76" s="310"/>
      <c r="RK76" s="310"/>
      <c r="RL76" s="310"/>
      <c r="RM76" s="310"/>
      <c r="RN76" s="310"/>
      <c r="RO76" s="310"/>
      <c r="RP76" s="310"/>
      <c r="RQ76" s="310"/>
      <c r="RR76" s="310"/>
      <c r="RS76" s="310"/>
      <c r="RT76" s="310"/>
      <c r="RU76" s="310"/>
      <c r="RV76" s="310"/>
      <c r="RW76" s="310"/>
      <c r="RX76" s="310"/>
      <c r="RY76" s="310"/>
      <c r="RZ76" s="310"/>
      <c r="SA76" s="310"/>
      <c r="SD76" s="310"/>
      <c r="SE76" s="310"/>
      <c r="SF76" s="310"/>
      <c r="SG76" s="310"/>
      <c r="SH76" s="310"/>
      <c r="SI76" s="310"/>
      <c r="SJ76" s="310"/>
      <c r="SK76" s="310"/>
      <c r="SL76" s="310"/>
      <c r="SM76" s="11"/>
      <c r="SO76" s="298"/>
      <c r="SP76" s="298"/>
      <c r="SQ76" s="298"/>
      <c r="SR76" s="298"/>
      <c r="SS76" s="298"/>
      <c r="ST76" s="298"/>
      <c r="TD76" s="310"/>
      <c r="TE76" s="310"/>
      <c r="TF76" s="310"/>
      <c r="TH76" s="310"/>
      <c r="TI76" s="310"/>
      <c r="TJ76" s="310"/>
      <c r="TK76" s="310"/>
      <c r="TO76" s="310"/>
      <c r="TP76" s="310"/>
      <c r="TQ76" s="298"/>
      <c r="TR76" s="92"/>
      <c r="TT76" s="310"/>
      <c r="TU76" s="310"/>
      <c r="TV76" s="310"/>
      <c r="TW76" s="310"/>
      <c r="TZ76" s="298"/>
      <c r="UA76" s="298"/>
      <c r="UF76" s="310"/>
      <c r="UG76" s="310"/>
      <c r="UH76" s="310"/>
      <c r="UI76" s="310"/>
      <c r="UJ76" s="310"/>
      <c r="UK76" s="310"/>
      <c r="UL76" s="310"/>
      <c r="UM76" s="310"/>
      <c r="UN76" s="310"/>
      <c r="UO76" s="310"/>
      <c r="UP76" s="310"/>
      <c r="UQ76" s="310"/>
      <c r="UR76" s="310"/>
      <c r="US76" s="310"/>
      <c r="UY76" s="310"/>
      <c r="UZ76" s="310"/>
      <c r="VA76" s="310"/>
      <c r="VB76" s="310"/>
      <c r="VC76" s="310"/>
      <c r="VD76" s="310"/>
      <c r="VE76" s="310"/>
      <c r="VF76" s="310"/>
      <c r="VG76" s="310"/>
      <c r="VH76" s="310"/>
      <c r="VI76" s="310"/>
      <c r="VJ76" s="310"/>
      <c r="VK76" s="310"/>
      <c r="WD76" s="92"/>
      <c r="WE76" s="310"/>
      <c r="WF76" s="310"/>
      <c r="WG76" s="310"/>
      <c r="WH76" s="310"/>
      <c r="WI76" s="310"/>
      <c r="WJ76" s="310"/>
      <c r="WK76" s="310"/>
      <c r="WL76" s="310"/>
      <c r="WM76" s="310"/>
      <c r="WN76" s="310"/>
      <c r="WO76" s="310"/>
      <c r="WP76" s="310"/>
      <c r="WQ76" s="310"/>
      <c r="WR76" s="310"/>
      <c r="WS76" s="310"/>
      <c r="WT76" s="310"/>
      <c r="WU76" s="310"/>
      <c r="WV76" s="310"/>
      <c r="WW76" s="310"/>
      <c r="WX76" s="310"/>
      <c r="WY76" s="310"/>
      <c r="WZ76" s="310"/>
      <c r="XA76" s="310"/>
      <c r="XB76" s="310"/>
      <c r="XC76" s="310"/>
      <c r="XD76" s="310"/>
      <c r="XE76" s="310"/>
      <c r="XF76" s="310"/>
      <c r="XG76" s="92"/>
      <c r="XH76" s="298"/>
      <c r="XI76" s="298"/>
      <c r="XJ76" s="298"/>
      <c r="XK76" s="298"/>
      <c r="XL76" s="298"/>
      <c r="XM76" s="298"/>
      <c r="XN76" s="298"/>
      <c r="XO76" s="298"/>
      <c r="XP76" s="298"/>
      <c r="XQ76" s="298"/>
      <c r="XR76" s="298"/>
      <c r="XS76" s="298"/>
      <c r="XT76" s="298"/>
      <c r="XU76" s="298"/>
      <c r="XV76" s="298"/>
      <c r="XW76" s="298"/>
      <c r="XX76" s="298"/>
      <c r="XY76" s="298"/>
      <c r="XZ76" s="298"/>
      <c r="YA76" s="298"/>
      <c r="YB76" s="298"/>
      <c r="YC76" s="298"/>
      <c r="YD76" s="298"/>
      <c r="YE76" s="298"/>
      <c r="YF76" s="298"/>
      <c r="YG76" s="298"/>
      <c r="YM76" s="92"/>
      <c r="YN76" s="310"/>
      <c r="YO76" s="310"/>
      <c r="YP76" s="310"/>
      <c r="YQ76" s="310"/>
      <c r="YR76" s="310"/>
      <c r="YS76" s="310"/>
      <c r="YT76" s="310"/>
      <c r="YU76" s="310"/>
      <c r="YV76" s="310"/>
      <c r="YW76" s="310"/>
      <c r="YX76" s="310"/>
      <c r="YY76" s="310"/>
      <c r="YZ76" s="310"/>
      <c r="ZA76" s="310"/>
      <c r="ZB76" s="310"/>
      <c r="ZC76" s="310"/>
      <c r="ZD76" s="310"/>
      <c r="ZE76" s="310"/>
      <c r="ZF76" s="310"/>
      <c r="ZG76" s="310"/>
      <c r="ZH76" s="310"/>
      <c r="ZI76" s="310"/>
      <c r="ZJ76" s="310"/>
      <c r="ZK76" s="310"/>
      <c r="ZL76" s="310"/>
      <c r="ZM76" s="310"/>
      <c r="ZN76" s="310"/>
      <c r="ZR76" s="92">
        <v>6</v>
      </c>
      <c r="ZS76" s="310"/>
      <c r="ZT76" s="310"/>
      <c r="ZU76" s="310"/>
      <c r="ZV76" s="310"/>
      <c r="ZZ76" s="310"/>
      <c r="AAA76" s="310"/>
      <c r="AAB76" s="310"/>
      <c r="AAC76" s="310"/>
      <c r="AAN76" s="310"/>
      <c r="AAO76" s="310"/>
      <c r="AAP76" s="310"/>
      <c r="AAQ76" s="310"/>
      <c r="AAR76" s="310"/>
      <c r="AAS76" s="310"/>
      <c r="AAT76" s="310"/>
      <c r="AAU76" s="310"/>
      <c r="AAV76" s="310"/>
      <c r="AAW76" s="310"/>
      <c r="AAX76" s="92"/>
      <c r="AAY76" s="310"/>
      <c r="AAZ76" s="310"/>
      <c r="ABA76" s="310"/>
      <c r="ABB76" s="310"/>
      <c r="ABC76" s="310"/>
      <c r="ABD76" s="310"/>
      <c r="ABE76" s="310"/>
      <c r="ABF76" s="310"/>
      <c r="ABG76" s="310"/>
      <c r="ABH76" s="310"/>
      <c r="ABI76" s="310"/>
      <c r="ABJ76" s="310"/>
      <c r="ABK76" s="310"/>
      <c r="ABL76" s="310"/>
      <c r="ABM76" s="310"/>
      <c r="ABN76" s="310"/>
      <c r="ABO76" s="310"/>
      <c r="ABP76" s="310"/>
      <c r="ABQ76" s="310"/>
      <c r="ABR76" s="310"/>
      <c r="ABS76" s="310"/>
      <c r="ABT76" s="310"/>
      <c r="ABU76" s="310"/>
      <c r="ABV76" s="310"/>
      <c r="ABW76" s="310"/>
      <c r="ABX76" s="310"/>
      <c r="ABY76" s="310"/>
      <c r="ABZ76" s="310"/>
      <c r="ACA76" s="310"/>
      <c r="ACB76" s="310"/>
      <c r="ACC76" s="92"/>
      <c r="ACW76" s="310"/>
      <c r="ACX76" s="310"/>
      <c r="ACY76" s="310"/>
      <c r="ACZ76" s="310"/>
      <c r="ADA76" s="310"/>
      <c r="ADE76" s="310"/>
      <c r="ADF76" s="310"/>
      <c r="ADG76" s="310"/>
      <c r="ADH76" s="310"/>
      <c r="ADI76" s="5"/>
      <c r="ADJ76" s="310"/>
      <c r="ADK76" s="310"/>
      <c r="ADN76" s="310"/>
      <c r="ADO76" s="310"/>
      <c r="ADP76" s="310"/>
      <c r="ADQ76" s="310"/>
      <c r="ADR76" s="310"/>
      <c r="ADS76" s="310"/>
      <c r="ADT76" s="310"/>
      <c r="ADU76" s="310"/>
      <c r="ADV76" s="310"/>
      <c r="ADW76" s="310"/>
      <c r="ADX76" s="310"/>
      <c r="ADY76" s="310"/>
      <c r="ADZ76" s="310"/>
      <c r="AEA76" s="310"/>
      <c r="AEB76" s="310"/>
      <c r="AEC76" s="310"/>
      <c r="AEE76" s="310"/>
      <c r="AEF76" s="310"/>
      <c r="AEG76" s="310"/>
      <c r="AEH76" s="310"/>
      <c r="AEI76" s="310"/>
      <c r="AEJ76" s="310"/>
      <c r="AEK76" s="310"/>
      <c r="AEL76" s="310"/>
      <c r="AEM76" s="310"/>
      <c r="AEN76" s="310"/>
      <c r="AEO76" s="310"/>
      <c r="AEP76" s="310"/>
      <c r="AEQ76" s="310"/>
      <c r="AER76" s="310"/>
      <c r="AEW76" s="310"/>
      <c r="AEX76" s="310"/>
      <c r="AEY76" s="310"/>
      <c r="AEZ76" s="310"/>
      <c r="AFA76" s="310"/>
      <c r="AFB76" s="310"/>
      <c r="AFC76" s="310"/>
      <c r="AFD76" s="310"/>
      <c r="AFH76" s="310"/>
      <c r="AFI76" s="310"/>
      <c r="AFJ76" s="310"/>
      <c r="AFK76" s="310"/>
      <c r="AFL76" s="310"/>
      <c r="AFM76" s="310"/>
      <c r="AFN76" s="310"/>
      <c r="AFO76" s="310"/>
      <c r="AFP76" s="310"/>
      <c r="AFQ76" s="310"/>
      <c r="AFR76" s="310"/>
      <c r="AFS76" s="310"/>
      <c r="AFT76" s="310"/>
      <c r="AFU76" s="364"/>
      <c r="AFV76" s="364"/>
      <c r="AFW76" s="364"/>
      <c r="AFX76" s="364"/>
      <c r="AFY76" s="364"/>
      <c r="AFZ76" s="364"/>
      <c r="AGA76" s="364"/>
      <c r="AGB76" s="364"/>
      <c r="AGC76" s="364"/>
      <c r="AGD76" s="364"/>
      <c r="AGE76" s="364"/>
      <c r="AGF76" s="364"/>
      <c r="AGG76" s="364"/>
      <c r="AGH76" s="364"/>
      <c r="AGI76" s="364"/>
      <c r="AGJ76" s="364"/>
      <c r="AGK76" s="364"/>
      <c r="AGL76" s="364"/>
      <c r="AGM76" s="364"/>
      <c r="AGN76" s="314">
        <v>6</v>
      </c>
      <c r="AGO76" s="364"/>
      <c r="AGP76" s="364"/>
      <c r="AGQ76" s="314"/>
      <c r="AGR76" s="314"/>
      <c r="AGS76" s="314"/>
      <c r="AGT76" s="314"/>
      <c r="AGU76" s="314"/>
      <c r="AGV76" s="314"/>
      <c r="AGW76" s="314"/>
      <c r="AGX76" s="314"/>
      <c r="AGY76" s="314"/>
      <c r="AGZ76" s="314"/>
      <c r="AHA76" s="314">
        <v>21</v>
      </c>
      <c r="AHB76" s="314">
        <v>24</v>
      </c>
      <c r="AHC76" s="314"/>
      <c r="AHD76" s="314"/>
      <c r="AHE76" s="314"/>
      <c r="AHF76" s="314"/>
      <c r="AHG76" s="314"/>
      <c r="AHH76" s="364"/>
      <c r="AHI76" s="364"/>
      <c r="AHJ76" s="314">
        <v>27</v>
      </c>
      <c r="AHK76" s="364"/>
      <c r="AHL76" s="314"/>
      <c r="AHM76" s="314"/>
      <c r="AHN76" s="314"/>
      <c r="AHO76" s="314"/>
      <c r="AHP76" s="314"/>
      <c r="AHQ76" s="314"/>
      <c r="AHR76" s="314"/>
      <c r="AHS76" s="314"/>
      <c r="AHT76" s="314"/>
      <c r="AHU76" s="314"/>
      <c r="AHV76" s="314"/>
      <c r="AHW76" s="314"/>
      <c r="AHX76" s="314"/>
      <c r="AHY76" s="314"/>
      <c r="AHZ76" s="314"/>
      <c r="AIA76" s="314"/>
      <c r="AIB76" s="364"/>
      <c r="AIC76" s="364"/>
      <c r="AID76" s="364"/>
      <c r="AIE76" s="5"/>
      <c r="AIF76" s="364"/>
      <c r="AIG76" s="364"/>
      <c r="AIH76" s="364"/>
      <c r="AII76" s="364"/>
      <c r="AIJ76" s="364"/>
      <c r="AIK76" s="364"/>
      <c r="AIL76" s="364"/>
      <c r="AIM76" s="364"/>
      <c r="AIN76" s="364"/>
      <c r="AIO76" s="364"/>
      <c r="AIP76" s="364"/>
      <c r="AIQ76" s="364"/>
      <c r="AIR76" s="364"/>
      <c r="AIS76" s="364"/>
      <c r="AIT76" s="364"/>
      <c r="AIU76" s="364"/>
      <c r="AIV76" s="364"/>
      <c r="AIW76" s="364"/>
      <c r="AIX76" s="364"/>
      <c r="AIY76" s="364"/>
      <c r="AIZ76" s="364"/>
      <c r="AJA76" s="364"/>
      <c r="AJB76" s="364"/>
      <c r="AJC76" s="364"/>
      <c r="AJD76" s="364"/>
      <c r="AJE76" s="364"/>
      <c r="AJF76" s="364"/>
      <c r="AJG76" s="364"/>
      <c r="AJH76" s="364"/>
      <c r="AJI76" s="364"/>
      <c r="AJJ76" s="364"/>
      <c r="AJK76" s="5"/>
      <c r="AKE76" s="310"/>
      <c r="AKF76" s="310"/>
      <c r="AKG76" s="310"/>
      <c r="AKH76" s="310"/>
      <c r="AKI76" s="310"/>
      <c r="AKJ76" s="310"/>
      <c r="AKK76" s="310"/>
      <c r="AKL76" s="310"/>
      <c r="AKM76" s="310"/>
      <c r="AKN76" s="310"/>
      <c r="AKO76" s="310"/>
      <c r="AKP76" s="310"/>
      <c r="AKQ76" s="92"/>
      <c r="AKR76" s="364"/>
      <c r="AKS76" s="364"/>
      <c r="AKT76" s="364"/>
      <c r="AKU76" s="364"/>
      <c r="AKV76" s="364"/>
      <c r="AKW76" s="364"/>
      <c r="AKX76" s="364"/>
      <c r="AKY76" s="364"/>
      <c r="AKZ76" s="364"/>
      <c r="ALA76" s="364"/>
      <c r="ALB76" s="364"/>
      <c r="ALC76" s="364"/>
      <c r="ALD76" s="364"/>
      <c r="ALE76" s="364"/>
      <c r="ALF76" s="364"/>
      <c r="ALG76" s="364"/>
      <c r="ALH76" s="364"/>
      <c r="ALI76" s="364"/>
      <c r="ALJ76" s="364"/>
      <c r="ALK76" s="364"/>
      <c r="ALL76" s="364"/>
      <c r="ALM76" s="364"/>
      <c r="ALN76" s="364"/>
      <c r="ALO76" s="364"/>
      <c r="ALP76" s="364"/>
      <c r="ALQ76" s="364"/>
      <c r="ALR76" s="364"/>
      <c r="ALS76" s="364"/>
      <c r="ALT76" s="92"/>
      <c r="ALU76" s="364"/>
      <c r="ALV76" s="364"/>
      <c r="ALW76" s="364"/>
      <c r="ALX76" s="364"/>
      <c r="ALY76" s="364"/>
      <c r="ALZ76" s="364"/>
      <c r="AMA76" s="364"/>
      <c r="AMB76" s="364"/>
      <c r="AMC76" s="364"/>
      <c r="AMD76" s="364"/>
      <c r="AME76" s="364"/>
      <c r="AMF76" s="364"/>
      <c r="AMG76" s="364"/>
      <c r="AMH76" s="364"/>
      <c r="AMI76" s="364"/>
      <c r="AMJ76" s="364"/>
      <c r="AMK76" s="364"/>
      <c r="AML76" s="364"/>
      <c r="AMM76" s="364"/>
      <c r="AMN76" s="364"/>
      <c r="AMO76" s="364"/>
      <c r="AMP76" s="364"/>
      <c r="AMQ76" s="364"/>
      <c r="AMR76" s="364"/>
      <c r="AMS76" s="364"/>
      <c r="AMT76" s="364"/>
      <c r="AMU76" s="364"/>
      <c r="AMV76" s="364"/>
      <c r="AMW76" s="364"/>
      <c r="AMX76" s="364"/>
      <c r="AMY76" s="364"/>
      <c r="AMZ76" s="92"/>
      <c r="ANA76" s="364"/>
      <c r="ANB76" s="364"/>
      <c r="ANC76" s="364"/>
      <c r="AND76" s="364"/>
      <c r="ANE76" s="364"/>
      <c r="ANF76" s="364"/>
      <c r="ANG76" s="364"/>
      <c r="ANH76" s="364"/>
      <c r="ANI76" s="364"/>
      <c r="ANJ76" s="364"/>
      <c r="ANK76" s="364"/>
      <c r="ANL76" s="364"/>
      <c r="ANM76" s="364"/>
      <c r="ANN76" s="364"/>
      <c r="ANO76" s="364"/>
      <c r="ANP76" s="364"/>
      <c r="ANQ76" s="364"/>
      <c r="ANR76" s="364"/>
      <c r="ANS76" s="364"/>
      <c r="ANT76" s="364"/>
      <c r="ANU76" s="364"/>
      <c r="ANV76" s="364"/>
      <c r="ANW76" s="364"/>
      <c r="ANX76" s="364"/>
      <c r="ANY76" s="364"/>
      <c r="ANZ76" s="364"/>
      <c r="AOA76" s="364"/>
      <c r="AOB76" s="364"/>
      <c r="AOC76" s="364"/>
      <c r="AOD76" s="364"/>
      <c r="AOE76" s="92"/>
      <c r="AOO76" s="364"/>
      <c r="AOP76" s="364"/>
      <c r="AOQ76" s="364"/>
      <c r="AOR76" s="364"/>
      <c r="AOS76" s="364"/>
      <c r="AOT76" s="364"/>
      <c r="AOU76" s="364"/>
      <c r="AOV76" s="364"/>
      <c r="AOW76" s="364"/>
      <c r="AOX76" s="364"/>
      <c r="AOY76" s="364"/>
      <c r="AOZ76" s="364"/>
      <c r="APA76" s="364"/>
      <c r="APB76" s="364"/>
      <c r="APC76" s="364"/>
      <c r="APD76" s="364"/>
      <c r="APE76" s="364"/>
      <c r="APF76" s="364"/>
      <c r="APG76" s="364"/>
      <c r="APH76" s="364"/>
      <c r="API76" s="364"/>
      <c r="APJ76" s="364"/>
      <c r="APK76" s="5"/>
      <c r="APL76" s="364"/>
      <c r="APM76" s="364"/>
      <c r="APN76" s="364"/>
      <c r="APO76" s="364"/>
      <c r="APP76" s="364"/>
      <c r="APQ76" s="364"/>
      <c r="APR76" s="364"/>
      <c r="APS76" s="364"/>
      <c r="APT76" s="364"/>
      <c r="APU76" s="364"/>
      <c r="APV76" s="364"/>
      <c r="APW76" s="364"/>
      <c r="APX76" s="364"/>
      <c r="APY76" s="364"/>
      <c r="APZ76" s="364"/>
      <c r="AQA76" s="364"/>
      <c r="AQB76" s="364"/>
      <c r="AQC76" s="364"/>
      <c r="AQD76" s="364"/>
      <c r="AQE76" s="364"/>
      <c r="AQF76" s="364"/>
      <c r="AQG76" s="364"/>
      <c r="AQH76" s="364"/>
      <c r="AQI76" s="364"/>
      <c r="AQJ76" s="364"/>
      <c r="AQK76" s="364"/>
      <c r="AQL76" s="364"/>
      <c r="AQM76" s="364"/>
      <c r="AQN76" s="364"/>
      <c r="AQO76" s="364"/>
      <c r="AQP76" s="5"/>
      <c r="AQQ76" s="364"/>
      <c r="AQR76" s="364"/>
      <c r="AQS76" s="364"/>
      <c r="AQT76" s="364"/>
      <c r="AQU76" s="364"/>
      <c r="AQV76" s="364"/>
      <c r="AQW76" s="364"/>
      <c r="AQX76" s="637"/>
      <c r="AQY76" s="637"/>
      <c r="AQZ76" s="637"/>
      <c r="ARA76" s="637"/>
      <c r="ARB76" s="637"/>
      <c r="ARC76" s="637"/>
      <c r="ARD76" s="637"/>
      <c r="ARE76" s="637"/>
      <c r="ARF76" s="637"/>
      <c r="ARG76" s="364"/>
      <c r="ARH76" s="364"/>
      <c r="ARI76" s="364"/>
      <c r="ARJ76" s="364"/>
      <c r="ARK76" s="364"/>
      <c r="ARL76" s="364"/>
      <c r="ARM76" s="364"/>
      <c r="ARN76" s="364"/>
      <c r="ARO76" s="364"/>
      <c r="ARP76" s="364"/>
      <c r="ARQ76" s="364"/>
      <c r="ARR76" s="364"/>
      <c r="ARS76" s="364"/>
      <c r="ART76" s="364"/>
      <c r="ARU76" s="364"/>
      <c r="ARV76" s="5"/>
      <c r="ARW76" s="364"/>
      <c r="ARX76" s="364"/>
      <c r="ARY76" s="364"/>
      <c r="ARZ76" s="364"/>
      <c r="ASA76" s="364"/>
      <c r="ASB76" s="364"/>
      <c r="ASC76" s="364"/>
      <c r="ASD76" s="364"/>
      <c r="ASE76" s="364"/>
      <c r="ASF76" s="364"/>
      <c r="ASG76" s="364"/>
      <c r="ASH76" s="364"/>
      <c r="ASI76" s="364"/>
      <c r="ASJ76" s="364"/>
      <c r="ASK76" s="364"/>
      <c r="ASL76" s="364"/>
      <c r="ASM76" s="364"/>
      <c r="ASN76" s="364"/>
      <c r="ASO76" s="364"/>
      <c r="ASP76" s="364"/>
      <c r="ASQ76" s="364"/>
      <c r="ASR76" s="364"/>
      <c r="ASS76" s="364"/>
      <c r="AST76" s="364"/>
      <c r="ASU76" s="364"/>
      <c r="ASV76" s="364"/>
      <c r="ASW76" s="364"/>
      <c r="ASX76" s="364"/>
      <c r="ASY76" s="364"/>
      <c r="ASZ76" s="364"/>
      <c r="ATA76" s="364"/>
      <c r="ATB76" s="5"/>
      <c r="ATC76" s="364"/>
      <c r="ATD76" s="364"/>
      <c r="ATE76" s="364"/>
      <c r="ATF76" s="364"/>
      <c r="ATG76" s="364"/>
      <c r="ATH76" s="364"/>
      <c r="ATI76" s="364"/>
      <c r="ATJ76" s="364"/>
      <c r="ATK76" s="364"/>
      <c r="ATL76" s="364"/>
      <c r="ATM76" s="364"/>
      <c r="ATN76" s="364"/>
      <c r="ATO76" s="364"/>
      <c r="ATP76" s="364"/>
      <c r="ATQ76" s="191"/>
      <c r="ATR76" s="191"/>
      <c r="ATS76" s="191"/>
      <c r="ATT76" s="191"/>
      <c r="ATU76" s="191"/>
      <c r="ATV76" s="191"/>
      <c r="ATW76" s="191"/>
      <c r="ATX76" s="191"/>
      <c r="ATY76" s="191"/>
      <c r="ATZ76" s="364"/>
      <c r="AUA76" s="364"/>
      <c r="AUB76" s="364"/>
      <c r="AUC76" s="364"/>
      <c r="AUD76" s="364"/>
      <c r="AUE76" s="364"/>
      <c r="AUF76" s="364"/>
      <c r="AUG76" s="5"/>
      <c r="AUH76" s="364"/>
      <c r="AUI76" s="364"/>
      <c r="AUJ76" s="364"/>
      <c r="AUK76" s="364"/>
      <c r="AUL76" s="364"/>
      <c r="AUM76" s="364"/>
      <c r="AUN76" s="364"/>
      <c r="AUO76" s="364"/>
      <c r="AUP76" s="364"/>
      <c r="AUQ76" s="364"/>
      <c r="AUR76" s="364"/>
      <c r="AUS76" s="364"/>
      <c r="AUT76" s="364"/>
      <c r="AUU76" s="364"/>
      <c r="AUV76" s="364"/>
      <c r="AUW76" s="364"/>
      <c r="AUX76" s="364"/>
      <c r="AUY76" s="364"/>
      <c r="AUZ76" s="364"/>
      <c r="AVA76" s="364"/>
      <c r="AVB76" s="364"/>
      <c r="AVC76" s="364"/>
      <c r="AVD76" s="364"/>
      <c r="AVE76" s="364"/>
      <c r="AVF76" s="364"/>
      <c r="AVG76" s="364"/>
      <c r="AVH76" s="364"/>
      <c r="AVI76" s="364"/>
      <c r="AVJ76" s="364"/>
      <c r="AVK76" s="364"/>
      <c r="AVL76" s="364"/>
      <c r="AVM76" s="5"/>
      <c r="AVN76" s="364"/>
      <c r="AVO76" s="364"/>
      <c r="AVP76" s="364"/>
      <c r="AVQ76" s="364"/>
      <c r="AVR76" s="364"/>
      <c r="AVS76" s="364"/>
      <c r="AVT76" s="364"/>
      <c r="AVU76" s="364"/>
      <c r="AVV76" s="364"/>
      <c r="AVW76" s="364"/>
      <c r="AVX76" s="364"/>
      <c r="AVY76" s="364"/>
      <c r="AVZ76" s="364"/>
      <c r="AWA76" s="364"/>
      <c r="AWB76" s="364"/>
      <c r="AWC76" s="364"/>
      <c r="AWD76" s="364"/>
      <c r="AWE76" s="364"/>
      <c r="AWF76" s="364"/>
      <c r="AWG76" s="364"/>
      <c r="AWH76" s="364"/>
      <c r="AWI76" s="364"/>
      <c r="AWJ76" s="364"/>
      <c r="AWK76" s="364"/>
      <c r="AWL76" s="364"/>
      <c r="AWM76" s="364"/>
      <c r="AWN76" s="364"/>
      <c r="AWO76" s="364"/>
      <c r="AWP76" s="364"/>
      <c r="AWQ76" s="364"/>
      <c r="AWR76" s="5"/>
      <c r="AWS76" s="364"/>
      <c r="AWT76" s="364"/>
      <c r="AWU76" s="364"/>
      <c r="AWV76" s="364"/>
      <c r="AWW76" s="364"/>
      <c r="AWX76" s="364"/>
      <c r="AWY76" s="364"/>
      <c r="AWZ76" s="364"/>
      <c r="AXA76" s="364"/>
      <c r="AXB76" s="364"/>
      <c r="AXC76" s="364"/>
      <c r="AXD76" s="364"/>
      <c r="AXE76" s="364"/>
      <c r="AXF76" s="364"/>
      <c r="AXG76" s="364"/>
      <c r="AXH76" s="364"/>
      <c r="AXI76" s="364"/>
      <c r="AXJ76" s="364"/>
      <c r="AXK76" s="364"/>
      <c r="AXL76" s="364"/>
      <c r="AXM76" s="364"/>
      <c r="AXN76" s="364"/>
      <c r="AXO76" s="364"/>
      <c r="AXP76" s="364"/>
      <c r="AXQ76" s="364"/>
      <c r="AXR76" s="364"/>
      <c r="AXS76" s="364"/>
      <c r="AXT76" s="364"/>
      <c r="AXU76" s="364"/>
      <c r="AXV76" s="364"/>
      <c r="AXW76" s="364"/>
      <c r="AXX76" s="5"/>
      <c r="AXY76" s="364"/>
      <c r="AXZ76" s="364"/>
      <c r="AYA76" s="364"/>
      <c r="AYB76" s="364"/>
      <c r="AYC76" s="364"/>
      <c r="AYD76" s="364"/>
      <c r="AYE76" s="364"/>
      <c r="AYF76" s="364"/>
      <c r="AYG76" s="364"/>
      <c r="AYH76" s="364"/>
      <c r="AYI76" s="364"/>
      <c r="AYJ76" s="364"/>
      <c r="AYK76" s="364"/>
      <c r="AYL76" s="364"/>
      <c r="AYM76" s="364"/>
      <c r="AYN76" s="364"/>
      <c r="AYO76" s="364"/>
      <c r="AYP76" s="364"/>
      <c r="AYQ76" s="364"/>
      <c r="AYR76" s="364"/>
      <c r="AYS76" s="364"/>
      <c r="AYT76" s="364"/>
      <c r="AYU76" s="364"/>
      <c r="AYV76" s="364"/>
      <c r="AYW76" s="364"/>
      <c r="AYX76" s="364"/>
      <c r="AYY76" s="364"/>
      <c r="AYZ76" s="364"/>
      <c r="AZA76" s="364"/>
      <c r="AZB76" s="364"/>
      <c r="AZC76" s="364"/>
      <c r="AZD76" s="364"/>
      <c r="AZE76" s="364"/>
      <c r="AZF76" s="364"/>
      <c r="AZG76" s="364"/>
      <c r="AZH76" s="364"/>
      <c r="AZI76" s="364"/>
      <c r="AZJ76" s="364"/>
      <c r="AZK76" s="364"/>
      <c r="AZL76" s="364"/>
      <c r="AZM76" s="364"/>
      <c r="AZN76" s="364"/>
      <c r="AZO76" s="364"/>
      <c r="AZP76" s="364"/>
      <c r="AZQ76" s="364"/>
      <c r="AZR76" s="364"/>
      <c r="AZS76" s="364"/>
      <c r="AZT76" s="364"/>
      <c r="AZU76" s="364"/>
      <c r="AZV76" s="364"/>
      <c r="AZW76" s="364"/>
      <c r="AZX76" s="364"/>
      <c r="AZY76" s="364"/>
      <c r="AZZ76" s="364"/>
      <c r="BAA76" s="364"/>
      <c r="BAB76" s="364"/>
      <c r="BAC76" s="364"/>
      <c r="BAD76" s="364"/>
      <c r="BAE76" s="364"/>
      <c r="BAF76" s="364"/>
      <c r="BAG76" s="364"/>
      <c r="BAH76" s="364"/>
      <c r="BAI76" s="364"/>
      <c r="BAJ76" s="364"/>
      <c r="BAK76" s="364"/>
      <c r="BAL76" s="364"/>
      <c r="BAM76" s="364"/>
      <c r="BAN76" s="364"/>
      <c r="BAO76" s="364"/>
      <c r="BAP76" s="364"/>
      <c r="BAQ76" s="364"/>
      <c r="BAR76" s="364"/>
      <c r="BAS76" s="364"/>
      <c r="BAT76" s="364"/>
      <c r="BAU76" s="364"/>
      <c r="BAV76" s="364"/>
      <c r="BAW76" s="364"/>
      <c r="BAX76" s="364"/>
      <c r="BAY76" s="364"/>
      <c r="BAZ76" s="364"/>
      <c r="BBA76" s="364"/>
      <c r="BBB76" s="364"/>
      <c r="BBC76" s="364"/>
      <c r="BBD76" s="364"/>
      <c r="BBE76" s="364"/>
      <c r="BBF76" s="364"/>
      <c r="BBG76" s="364"/>
      <c r="BBH76" s="364"/>
      <c r="BBI76" s="364"/>
      <c r="BBJ76" s="364"/>
      <c r="BBK76" s="364"/>
      <c r="BBL76" s="364"/>
      <c r="BBM76" s="364"/>
      <c r="BBN76" s="364"/>
      <c r="BBO76" s="364"/>
      <c r="BBP76" s="364"/>
      <c r="BBQ76" s="364"/>
      <c r="BBR76" s="364"/>
      <c r="BBS76" s="364"/>
      <c r="BBT76" s="364"/>
      <c r="BBU76" s="364"/>
      <c r="BBV76" s="364"/>
      <c r="BBW76" s="364"/>
      <c r="BBX76" s="364"/>
      <c r="BBY76" s="364"/>
      <c r="BBZ76" s="364"/>
      <c r="BCA76" s="364"/>
      <c r="BCB76" s="364"/>
      <c r="BCC76" s="364"/>
      <c r="BCD76" s="364"/>
      <c r="BCE76" s="364"/>
      <c r="BCF76" s="364"/>
      <c r="BCG76" s="364"/>
      <c r="BCH76" s="364"/>
      <c r="BCI76" s="364"/>
      <c r="BCJ76" s="364"/>
      <c r="BCK76" s="364"/>
      <c r="BCL76" s="364"/>
      <c r="BCM76" s="364"/>
      <c r="BCN76" s="364"/>
      <c r="BCO76" s="364"/>
      <c r="BCP76" s="364"/>
      <c r="BCQ76" s="364"/>
      <c r="BCR76" s="364"/>
      <c r="BCS76" s="364"/>
      <c r="BCT76" s="364"/>
      <c r="BCU76" s="364"/>
      <c r="BCV76" s="364"/>
      <c r="BCW76" s="364"/>
      <c r="BCX76" s="364"/>
      <c r="BCY76" s="364"/>
      <c r="BCZ76" s="364"/>
      <c r="BDA76" s="364"/>
      <c r="BDB76" s="364"/>
      <c r="BDC76" s="364"/>
      <c r="BDD76" s="364"/>
      <c r="BDE76" s="364"/>
      <c r="BDF76" s="364"/>
      <c r="BDG76" s="364"/>
      <c r="BDH76" s="364"/>
      <c r="BDI76" s="364"/>
      <c r="BDJ76" s="364"/>
      <c r="BDK76" s="364"/>
      <c r="BDL76" s="364"/>
      <c r="BDM76" s="364"/>
      <c r="BDN76" s="364"/>
      <c r="BDO76" s="364"/>
      <c r="BDP76" s="364"/>
      <c r="BDQ76" s="364"/>
      <c r="BDR76" s="364"/>
      <c r="BDS76" s="364"/>
      <c r="BDT76" s="364"/>
      <c r="BDU76" s="364"/>
      <c r="BDV76" s="364"/>
      <c r="BDW76" s="364"/>
      <c r="BDX76" s="364"/>
      <c r="BDY76" s="364"/>
      <c r="BDZ76" s="364"/>
      <c r="BEA76" s="364"/>
      <c r="BEB76" s="364"/>
      <c r="BEC76" s="364"/>
      <c r="BED76" s="364"/>
      <c r="BEE76" s="364"/>
      <c r="BEF76" s="364"/>
      <c r="BEG76" s="364"/>
      <c r="BEH76" s="364"/>
      <c r="BEI76" s="364"/>
      <c r="BEJ76" s="364"/>
      <c r="BEK76" s="364"/>
      <c r="BEL76" s="364"/>
      <c r="BEM76" s="364"/>
      <c r="BEN76" s="364"/>
      <c r="BEO76" s="364"/>
      <c r="BEP76" s="364"/>
      <c r="BEQ76" s="364"/>
      <c r="BER76" s="364"/>
      <c r="BES76" s="364"/>
      <c r="BET76" s="364"/>
      <c r="BEU76" s="364"/>
      <c r="BEV76" s="364"/>
      <c r="BEW76" s="364"/>
      <c r="BEX76" s="364"/>
      <c r="BEY76" s="364"/>
      <c r="BEZ76" s="364"/>
      <c r="BFA76" s="364"/>
      <c r="BFB76" s="364"/>
      <c r="BFC76" s="364"/>
      <c r="BFD76" s="364"/>
      <c r="BFE76" s="364"/>
      <c r="BFF76" s="364"/>
      <c r="BFG76" s="364"/>
      <c r="BFH76" s="364"/>
      <c r="BFI76" s="364"/>
      <c r="BFJ76" s="364"/>
      <c r="BFK76" s="364"/>
      <c r="BFL76" s="364"/>
      <c r="BFM76" s="364"/>
      <c r="BFN76" s="364"/>
      <c r="BFO76" s="364"/>
      <c r="BFP76" s="364"/>
      <c r="BFQ76" s="364"/>
      <c r="BFR76" s="364"/>
      <c r="BFS76" s="364"/>
      <c r="BFT76" s="364"/>
      <c r="BFU76" s="364"/>
      <c r="BFV76" s="364"/>
      <c r="BFW76" s="364"/>
      <c r="BFX76" s="364"/>
      <c r="BFY76" s="364"/>
      <c r="BFZ76" s="364"/>
      <c r="BGA76" s="364"/>
      <c r="BGB76" s="364"/>
      <c r="BGC76" s="364"/>
      <c r="BGD76" s="364"/>
      <c r="BGE76" s="364"/>
      <c r="BGF76" s="364"/>
      <c r="BGG76" s="364"/>
      <c r="BGH76" s="364"/>
      <c r="BGI76" s="364"/>
      <c r="BGJ76" s="364"/>
      <c r="BGK76" s="364"/>
      <c r="BGL76" s="364"/>
      <c r="BGM76" s="364"/>
      <c r="BGN76" s="364"/>
      <c r="BGO76" s="364"/>
      <c r="BGP76" s="364"/>
      <c r="BGQ76" s="364"/>
      <c r="BGR76" s="364"/>
      <c r="BGS76" s="364"/>
      <c r="BGT76" s="364"/>
      <c r="BGU76" s="364"/>
      <c r="BGV76" s="364"/>
      <c r="BGW76" s="364"/>
      <c r="BGX76" s="364"/>
      <c r="BGY76" s="364"/>
      <c r="BGZ76" s="364"/>
      <c r="BHA76" s="364"/>
      <c r="BHB76" s="364"/>
      <c r="BHC76" s="364"/>
      <c r="BHD76" s="364"/>
      <c r="BHE76" s="364"/>
      <c r="BHF76" s="364"/>
      <c r="BHG76" s="364"/>
      <c r="BHH76" s="364"/>
      <c r="BHI76" s="364"/>
      <c r="BHJ76" s="364"/>
      <c r="BHK76" s="364"/>
      <c r="BHL76" s="364"/>
      <c r="BHM76" s="364"/>
      <c r="BHN76" s="364"/>
      <c r="BHO76" s="364"/>
      <c r="BHP76" s="364"/>
      <c r="BHQ76" s="364"/>
      <c r="BHR76" s="364"/>
      <c r="BHS76" s="364"/>
      <c r="BHT76" s="364"/>
      <c r="BHU76" s="364"/>
      <c r="BHV76" s="364"/>
      <c r="BHW76" s="364"/>
    </row>
    <row r="77" spans="1:1583" s="31" customFormat="1" ht="17.25" customHeight="1" x14ac:dyDescent="0.25">
      <c r="B77" s="5" t="s">
        <v>2545</v>
      </c>
      <c r="C77" s="43"/>
      <c r="D77" s="43"/>
      <c r="E77" s="43"/>
      <c r="F77" s="43"/>
      <c r="G77" s="43"/>
      <c r="H77" s="43"/>
      <c r="I77" s="43"/>
      <c r="J77" s="43"/>
      <c r="K77" s="43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93"/>
      <c r="AI77" s="43"/>
      <c r="AJ77" s="43"/>
      <c r="AK77" s="43"/>
      <c r="AQ77" s="731"/>
      <c r="AR77" s="732"/>
      <c r="AS77" s="732"/>
      <c r="AT77" s="732"/>
      <c r="AU77" s="732"/>
      <c r="AV77" s="732"/>
      <c r="AW77" s="732"/>
      <c r="AX77" s="732"/>
      <c r="AY77" s="732"/>
      <c r="AZ77" s="73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92"/>
      <c r="CS77" s="92"/>
      <c r="CT77" s="43"/>
      <c r="CU77" s="43"/>
      <c r="CV77" s="43"/>
      <c r="CW77" s="43"/>
      <c r="CX77" s="43"/>
      <c r="DP77" s="30"/>
      <c r="DQ77" s="43"/>
      <c r="DS77" s="43"/>
      <c r="DT77" s="43"/>
      <c r="DU77" s="43"/>
      <c r="DV77" s="43"/>
      <c r="DW77" s="43"/>
      <c r="DX77" s="43"/>
      <c r="DY77" s="43"/>
      <c r="ED77" s="30"/>
      <c r="EE77" s="30"/>
      <c r="EF77" s="30"/>
      <c r="EG77" s="30"/>
      <c r="EH77" s="30"/>
      <c r="EI77" s="30"/>
      <c r="EJ77" s="30"/>
      <c r="EK77" s="30"/>
      <c r="EL77" s="30"/>
      <c r="EM77" s="30"/>
      <c r="EN77" s="30"/>
      <c r="EO77" s="30"/>
      <c r="EP77" s="30"/>
      <c r="EQ77" s="30"/>
      <c r="ER77" s="30"/>
      <c r="ES77" s="30"/>
      <c r="ET77" s="30"/>
      <c r="EU77" s="30"/>
      <c r="EV77" s="30"/>
      <c r="EW77" s="30"/>
      <c r="EX77" s="43"/>
      <c r="EY77" s="43"/>
      <c r="EZ77" s="43"/>
      <c r="FA77" s="43"/>
      <c r="FB77" s="43"/>
      <c r="FC77" s="30"/>
      <c r="FE77" s="30"/>
      <c r="FH77" s="30"/>
      <c r="FI77" s="30"/>
      <c r="FJ77" s="30"/>
      <c r="FK77" s="30"/>
      <c r="FL77" s="30"/>
      <c r="FM77" s="30"/>
      <c r="FN77" s="30"/>
      <c r="FO77" s="30"/>
      <c r="FP77" s="30"/>
      <c r="FQ77" s="30"/>
      <c r="FR77" s="30"/>
      <c r="FS77" s="30"/>
      <c r="FT77" s="30"/>
      <c r="FU77" s="30"/>
      <c r="FV77" s="30"/>
      <c r="FW77" s="30"/>
      <c r="FX77" s="30"/>
      <c r="FY77" s="30"/>
      <c r="FZ77" s="30"/>
      <c r="GA77" s="30"/>
      <c r="GB77" s="30"/>
      <c r="GC77" s="30"/>
      <c r="GD77" s="30"/>
      <c r="GE77" s="78"/>
      <c r="GF77" s="78"/>
      <c r="GG77" s="78"/>
      <c r="GH77" s="78"/>
      <c r="GI77" s="78"/>
      <c r="GJ77" s="78"/>
      <c r="GK77" s="79"/>
      <c r="GL77" s="79"/>
      <c r="GM77" s="79"/>
      <c r="GN77" s="30"/>
      <c r="HC77" s="78"/>
      <c r="HD77" s="78"/>
      <c r="HE77" s="78"/>
      <c r="HF77" s="78"/>
      <c r="HG77" s="78"/>
      <c r="HH77" s="78"/>
      <c r="HI77" s="78"/>
      <c r="HJ77" s="78"/>
      <c r="HK77" s="78"/>
      <c r="HL77" s="78"/>
      <c r="HM77" s="78"/>
      <c r="HN77" s="78"/>
      <c r="HP77" s="92"/>
      <c r="IT77" s="92"/>
      <c r="JZ77" s="92"/>
      <c r="LE77" s="92">
        <v>10</v>
      </c>
      <c r="MK77" s="92">
        <v>11</v>
      </c>
      <c r="NP77" s="92">
        <v>11</v>
      </c>
      <c r="OT77" s="310"/>
      <c r="OU77" s="310"/>
      <c r="OV77" s="92"/>
      <c r="OY77" s="310"/>
      <c r="OZ77" s="310"/>
      <c r="PD77" s="310"/>
      <c r="PE77" s="310"/>
      <c r="PF77" s="310"/>
      <c r="PG77" s="310"/>
      <c r="PH77" s="310"/>
      <c r="PI77" s="310"/>
      <c r="PJ77" s="310"/>
      <c r="PK77" s="310"/>
      <c r="QB77" s="92"/>
      <c r="QS77" s="310"/>
      <c r="QT77" s="310"/>
      <c r="QU77" s="310"/>
      <c r="QV77" s="310"/>
      <c r="QW77" s="310"/>
      <c r="QX77" s="310"/>
      <c r="QY77" s="310"/>
      <c r="RG77" s="92"/>
      <c r="SD77" s="310"/>
      <c r="SE77" s="310"/>
      <c r="SF77" s="310"/>
      <c r="SG77" s="310"/>
      <c r="SH77" s="310"/>
      <c r="SI77" s="310"/>
      <c r="SJ77" s="310"/>
      <c r="SK77" s="310"/>
      <c r="SL77" s="310"/>
      <c r="SM77" s="11"/>
      <c r="TB77" s="298"/>
      <c r="TD77" s="310"/>
      <c r="TE77" s="310"/>
      <c r="TH77" s="310"/>
      <c r="TI77" s="310"/>
      <c r="TJ77" s="310"/>
      <c r="TK77" s="310"/>
      <c r="TL77" s="310"/>
      <c r="TM77" s="310"/>
      <c r="TQ77" s="310"/>
      <c r="TR77" s="92"/>
      <c r="TT77" s="310"/>
      <c r="TU77" s="310"/>
      <c r="TV77" s="310"/>
      <c r="UI77" s="310"/>
      <c r="UL77" s="310"/>
      <c r="UO77" s="310"/>
      <c r="UP77" s="310"/>
      <c r="UQ77" s="310"/>
      <c r="UR77" s="310"/>
      <c r="UT77" s="310"/>
      <c r="UU77" s="310"/>
      <c r="UV77" s="310"/>
      <c r="UW77" s="310"/>
      <c r="UX77" s="92"/>
      <c r="UY77" s="310"/>
      <c r="UZ77" s="310"/>
      <c r="VA77" s="310"/>
      <c r="VO77" s="310"/>
      <c r="VP77" s="310"/>
      <c r="VQ77" s="310"/>
      <c r="VR77" s="310"/>
      <c r="VZ77" s="310"/>
      <c r="WA77" s="310"/>
      <c r="WD77" s="92"/>
      <c r="WE77" s="310"/>
      <c r="WH77" s="9"/>
      <c r="WI77" s="9"/>
      <c r="WM77" s="310"/>
      <c r="WN77" s="310"/>
      <c r="WO77" s="310"/>
      <c r="WP77" s="310"/>
      <c r="WQ77" s="310"/>
      <c r="WR77" s="310"/>
      <c r="WS77" s="9"/>
      <c r="WT77" s="9"/>
      <c r="WU77" s="310"/>
      <c r="WV77" s="310"/>
      <c r="WW77" s="310"/>
      <c r="WX77" s="310"/>
      <c r="WY77" s="310"/>
      <c r="WZ77" s="310"/>
      <c r="XA77" s="310"/>
      <c r="XB77" s="310"/>
      <c r="XC77" s="310"/>
      <c r="XD77" s="310"/>
      <c r="XE77" s="310"/>
      <c r="XF77" s="310"/>
      <c r="XG77" s="92"/>
      <c r="XH77" s="298"/>
      <c r="XI77" s="298"/>
      <c r="XJ77" s="298"/>
      <c r="XK77" s="298"/>
      <c r="XL77" s="298"/>
      <c r="XM77" s="298"/>
      <c r="XN77" s="298"/>
      <c r="XO77" s="298"/>
      <c r="XP77" s="298"/>
      <c r="XQ77" s="298"/>
      <c r="XR77" s="298"/>
      <c r="XS77" s="298"/>
      <c r="XT77" s="298"/>
      <c r="XU77" s="298"/>
      <c r="XV77" s="298"/>
      <c r="XW77" s="298"/>
      <c r="XX77" s="298"/>
      <c r="XY77" s="298"/>
      <c r="XZ77" s="298"/>
      <c r="YA77" s="298"/>
      <c r="YB77" s="298"/>
      <c r="YC77" s="298"/>
      <c r="YD77" s="298"/>
      <c r="YJ77" s="310"/>
      <c r="YK77" s="310"/>
      <c r="YL77" s="310"/>
      <c r="YM77" s="92"/>
      <c r="YN77" s="310"/>
      <c r="YO77" s="310"/>
      <c r="YP77" s="310"/>
      <c r="YQ77" s="310"/>
      <c r="YR77" s="310"/>
      <c r="YS77" s="310"/>
      <c r="YT77" s="310"/>
      <c r="YU77" s="310"/>
      <c r="YV77" s="310"/>
      <c r="ZH77" s="310"/>
      <c r="ZI77" s="310"/>
      <c r="ZJ77" s="310"/>
      <c r="ZK77" s="310"/>
      <c r="ZL77" s="310"/>
      <c r="ZM77" s="310"/>
      <c r="ZN77" s="310"/>
      <c r="ZO77" s="310"/>
      <c r="ZP77" s="310"/>
      <c r="ZQ77" s="310"/>
      <c r="ZR77" s="92"/>
      <c r="ZS77" s="310"/>
      <c r="ZT77" s="310"/>
      <c r="ZU77" s="310"/>
      <c r="ZV77" s="310"/>
      <c r="ZW77" s="310"/>
      <c r="ZX77" s="310"/>
      <c r="ZY77" s="310"/>
      <c r="ZZ77" s="310"/>
      <c r="AAA77" s="310"/>
      <c r="AAB77" s="310"/>
      <c r="AAC77" s="310"/>
      <c r="AAH77" s="310"/>
      <c r="AAI77" s="310"/>
      <c r="AAJ77" s="310"/>
      <c r="AAK77" s="310"/>
      <c r="AAT77" s="310"/>
      <c r="AAU77" s="310"/>
      <c r="AAV77" s="310"/>
      <c r="AAW77" s="310"/>
      <c r="AAX77" s="92"/>
      <c r="AAY77" s="310"/>
      <c r="AAZ77" s="310"/>
      <c r="ABA77" s="310"/>
      <c r="ABB77" s="310"/>
      <c r="ABE77" s="310"/>
      <c r="ABF77" s="310"/>
      <c r="ABG77" s="310"/>
      <c r="ABH77" s="310"/>
      <c r="ABI77" s="310"/>
      <c r="ABJ77" s="310"/>
      <c r="ABK77" s="310"/>
      <c r="ABL77" s="310"/>
      <c r="ABM77" s="310"/>
      <c r="ABN77" s="310"/>
      <c r="ABO77" s="310"/>
      <c r="ABP77" s="310"/>
      <c r="ABQ77" s="310"/>
      <c r="ABR77" s="310"/>
      <c r="ABT77" s="310"/>
      <c r="ABU77" s="310"/>
      <c r="ABV77" s="310"/>
      <c r="ABY77" s="310"/>
      <c r="ABZ77" s="310"/>
      <c r="ACA77" s="310"/>
      <c r="ACB77" s="310"/>
      <c r="ACC77" s="579"/>
      <c r="ACV77" s="310"/>
      <c r="ACW77" s="310"/>
      <c r="ACX77" s="310"/>
      <c r="ACY77" s="310"/>
      <c r="ADA77" s="310"/>
      <c r="ADB77" s="310"/>
      <c r="ADC77" s="310"/>
      <c r="ADD77" s="310"/>
      <c r="ADE77" s="310"/>
      <c r="ADF77" s="310"/>
      <c r="ADG77" s="310"/>
      <c r="ADH77" s="310"/>
      <c r="ADI77" s="310"/>
      <c r="ADJ77" s="310"/>
      <c r="ADK77" s="310"/>
      <c r="ADL77" s="310"/>
      <c r="ADM77" s="310"/>
      <c r="ADN77" s="310"/>
      <c r="ADO77" s="310"/>
      <c r="ADP77" s="310"/>
      <c r="ADQ77" s="310"/>
      <c r="ADR77" s="310"/>
      <c r="ADS77" s="310"/>
      <c r="ADT77" s="310"/>
      <c r="ADU77" s="310"/>
      <c r="ADV77" s="310"/>
      <c r="ADW77" s="310"/>
      <c r="ADX77" s="310"/>
      <c r="ADY77" s="310"/>
      <c r="ADZ77" s="310"/>
      <c r="AEA77" s="310"/>
      <c r="AEB77" s="310"/>
      <c r="AEC77" s="310"/>
      <c r="AED77" s="310"/>
      <c r="AEE77" s="310"/>
      <c r="AEF77" s="310"/>
      <c r="AEG77" s="310"/>
      <c r="AEH77" s="310"/>
      <c r="AEI77" s="310"/>
      <c r="AEJ77" s="310"/>
      <c r="AEK77" s="310"/>
      <c r="AEL77" s="310"/>
      <c r="AEM77" s="310"/>
      <c r="AEN77" s="310"/>
      <c r="AEO77" s="310"/>
      <c r="AEP77" s="310"/>
      <c r="AEQ77" s="310"/>
      <c r="AER77" s="310"/>
      <c r="AES77" s="310"/>
      <c r="AET77" s="310"/>
      <c r="AEU77" s="310"/>
      <c r="AEV77" s="310"/>
      <c r="AEW77" s="310"/>
      <c r="AEX77" s="310"/>
      <c r="AEY77" s="310"/>
      <c r="AEZ77" s="310"/>
      <c r="AFA77" s="310"/>
      <c r="AFB77" s="310"/>
      <c r="AFC77" s="310"/>
      <c r="AFF77" s="310"/>
      <c r="AFG77" s="310"/>
      <c r="AFH77" s="310"/>
      <c r="AFI77" s="310"/>
      <c r="AFJ77" s="310"/>
      <c r="AFK77" s="310"/>
      <c r="AFL77" s="310"/>
      <c r="AFM77" s="310"/>
      <c r="AFN77" s="310"/>
      <c r="AFO77" s="310"/>
      <c r="AFP77" s="310"/>
      <c r="AFQ77" s="310"/>
      <c r="AFR77" s="310"/>
      <c r="AFS77" s="310"/>
      <c r="AFT77" s="310"/>
      <c r="AFU77" s="364"/>
      <c r="AFV77" s="364"/>
      <c r="AFW77" s="364"/>
      <c r="AFX77" s="364"/>
      <c r="AFY77" s="364"/>
      <c r="AFZ77" s="364"/>
      <c r="AGA77" s="364"/>
      <c r="AGB77" s="364"/>
      <c r="AGC77" s="364"/>
      <c r="AGD77" s="364"/>
      <c r="AGE77" s="364"/>
      <c r="AGF77" s="364"/>
      <c r="AGG77" s="364"/>
      <c r="AGH77" s="364"/>
      <c r="AGI77" s="364"/>
      <c r="AGJ77" s="364"/>
      <c r="AGK77" s="364"/>
      <c r="AGL77" s="364"/>
      <c r="AGM77" s="364"/>
      <c r="AGN77" s="319" t="s">
        <v>2716</v>
      </c>
      <c r="AGO77" s="364"/>
      <c r="AGP77" s="364"/>
      <c r="AGS77" s="310"/>
      <c r="AGT77" s="310"/>
      <c r="AGU77" s="310"/>
      <c r="AGZ77" s="310"/>
      <c r="AHA77" s="180" t="s">
        <v>2808</v>
      </c>
      <c r="AHB77" s="180" t="s">
        <v>2814</v>
      </c>
      <c r="AHC77" s="310"/>
      <c r="AHD77" s="310"/>
      <c r="AHE77" s="310"/>
      <c r="AHF77" s="310"/>
      <c r="AHG77" s="310"/>
      <c r="AHH77" s="364"/>
      <c r="AHI77" s="364"/>
      <c r="AHJ77" s="316" t="s">
        <v>2854</v>
      </c>
      <c r="AHK77" s="364"/>
      <c r="AHL77" s="364"/>
      <c r="AHM77" s="364"/>
      <c r="AHN77" s="364"/>
      <c r="AHO77" s="364"/>
      <c r="AHP77" s="364"/>
      <c r="AHQ77" s="364"/>
      <c r="AHR77" s="364"/>
      <c r="AHS77" s="364"/>
      <c r="AHT77" s="364"/>
      <c r="AHU77" s="364"/>
      <c r="AHV77" s="364"/>
      <c r="AHW77" s="364"/>
      <c r="AHX77" s="364"/>
      <c r="AHY77" s="364"/>
      <c r="AHZ77" s="364"/>
      <c r="AIA77" s="364"/>
      <c r="AIB77" s="364"/>
      <c r="AIC77" s="364"/>
      <c r="AID77" s="364"/>
      <c r="AIE77" s="5"/>
      <c r="AIF77" s="364"/>
      <c r="AIG77" s="364"/>
      <c r="AIH77" s="364"/>
      <c r="AII77" s="364"/>
      <c r="AIJ77" s="364"/>
      <c r="AIK77" s="364"/>
      <c r="AIL77" s="364"/>
      <c r="AIM77" s="364"/>
      <c r="AIN77" s="364"/>
      <c r="AIO77" s="364"/>
      <c r="AIP77" s="364"/>
      <c r="AIQ77" s="364"/>
      <c r="AIR77" s="364"/>
      <c r="AIS77" s="364"/>
      <c r="AIT77" s="364"/>
      <c r="AIU77" s="364"/>
      <c r="AIV77" s="364"/>
      <c r="AIW77" s="364"/>
      <c r="AIX77" s="364"/>
      <c r="AIY77" s="364"/>
      <c r="AIZ77" s="364"/>
      <c r="AJA77" s="364"/>
      <c r="AJB77" s="364"/>
      <c r="AJC77" s="364"/>
      <c r="AJD77" s="364"/>
      <c r="AJE77" s="364"/>
      <c r="AJF77" s="364"/>
      <c r="AJG77" s="136"/>
      <c r="AJH77" s="136"/>
      <c r="AJJ77" s="314"/>
      <c r="AJK77" s="5"/>
      <c r="AKA77" s="30"/>
      <c r="AKB77" s="310"/>
      <c r="AKC77" s="310"/>
      <c r="AKD77" s="310"/>
      <c r="AKE77" s="310"/>
      <c r="AKF77" s="310"/>
      <c r="AKG77" s="310"/>
      <c r="AKH77" s="310"/>
      <c r="AKI77" s="310"/>
      <c r="AKJ77" s="310"/>
      <c r="AKK77" s="310"/>
      <c r="AKL77" s="310"/>
      <c r="AKM77" s="310"/>
      <c r="AKN77" s="310"/>
      <c r="AKO77" s="310"/>
      <c r="AKP77" s="310"/>
      <c r="AKQ77" s="92"/>
      <c r="AKW77" s="310"/>
      <c r="AKX77" s="310"/>
      <c r="AKY77" s="310"/>
      <c r="AKZ77" s="310"/>
      <c r="ALA77" s="310"/>
      <c r="ALB77" s="364"/>
      <c r="ALC77" s="364"/>
      <c r="ALD77" s="364"/>
      <c r="ALE77" s="364"/>
      <c r="ALF77" s="364"/>
      <c r="ALG77" s="364"/>
      <c r="ALH77" s="364"/>
      <c r="ALI77" s="364"/>
      <c r="ALJ77" s="184"/>
      <c r="ALK77" s="184"/>
      <c r="ALL77" s="314"/>
      <c r="ALM77" s="314"/>
      <c r="ALN77" s="314"/>
      <c r="ALO77" s="314"/>
      <c r="ALP77" s="314"/>
      <c r="ALQ77" s="314"/>
      <c r="ALR77" s="314"/>
      <c r="ALS77" s="314"/>
      <c r="ALT77" s="92" t="s">
        <v>2545</v>
      </c>
      <c r="ALU77" s="364"/>
      <c r="ALV77" s="364"/>
      <c r="ALW77" s="364"/>
      <c r="ALX77" s="364"/>
      <c r="ALY77" s="364"/>
      <c r="ALZ77" s="364"/>
      <c r="AMA77" s="364"/>
      <c r="AMB77" s="364"/>
      <c r="AMC77" s="364"/>
      <c r="AMD77" s="364"/>
      <c r="AME77" s="364"/>
      <c r="AMF77" s="364"/>
      <c r="AMG77" s="364"/>
      <c r="AMH77" s="364"/>
      <c r="AMI77" s="364"/>
      <c r="AMJ77" s="364"/>
      <c r="AMK77" s="364"/>
      <c r="AML77" s="364"/>
      <c r="AMM77" s="364"/>
      <c r="AMN77" s="364"/>
      <c r="AMO77" s="364"/>
      <c r="AMP77" s="364"/>
      <c r="AMQ77" s="364"/>
      <c r="AMR77" s="364"/>
      <c r="AMS77" s="364"/>
      <c r="AMT77" s="364"/>
      <c r="AMU77" s="364"/>
      <c r="AMV77" s="364"/>
      <c r="AMW77" s="364"/>
      <c r="AMX77" s="364"/>
      <c r="AMY77" s="364"/>
      <c r="AMZ77" s="92"/>
      <c r="ANA77" s="364"/>
      <c r="ANB77" s="364"/>
      <c r="ANC77" s="364"/>
      <c r="AND77" s="364"/>
      <c r="ANE77" s="364"/>
      <c r="ANF77" s="364"/>
      <c r="ANG77" s="364"/>
      <c r="ANH77" s="364"/>
      <c r="ANI77" s="364"/>
      <c r="ANJ77" s="364"/>
      <c r="ANK77" s="364"/>
      <c r="ANL77" s="364"/>
      <c r="ANM77" s="364"/>
      <c r="ANN77" s="364"/>
      <c r="ANO77" s="364"/>
      <c r="ANP77" s="364"/>
      <c r="ANQ77" s="364"/>
      <c r="ANR77" s="364"/>
      <c r="ANS77" s="364"/>
      <c r="ANT77" s="364"/>
      <c r="ANU77" s="364"/>
      <c r="ANV77" s="364"/>
      <c r="ANW77" s="364"/>
      <c r="ANX77" s="364"/>
      <c r="ANY77" s="364"/>
      <c r="ANZ77" s="364"/>
      <c r="AOA77" s="364"/>
      <c r="AOB77" s="364"/>
      <c r="AOC77" s="364"/>
      <c r="AOD77" s="364"/>
      <c r="AOE77" s="92"/>
      <c r="APK77" s="92" t="s">
        <v>2545</v>
      </c>
      <c r="APL77" s="364"/>
      <c r="APM77" s="364"/>
      <c r="APN77" s="364"/>
      <c r="APO77" s="364"/>
      <c r="APP77" s="364"/>
      <c r="APQ77" s="364"/>
      <c r="APR77" s="364"/>
      <c r="APS77" s="364"/>
      <c r="APT77" s="364"/>
      <c r="APU77" s="364"/>
      <c r="APV77" s="364"/>
      <c r="APW77" s="364"/>
      <c r="APX77" s="364"/>
      <c r="APY77" s="364"/>
      <c r="APZ77" s="364"/>
      <c r="AQA77" s="364"/>
      <c r="AQB77" s="364"/>
      <c r="AQC77" s="364"/>
      <c r="AQD77" s="364"/>
      <c r="AQE77" s="364"/>
      <c r="AQF77" s="364"/>
      <c r="AQG77" s="364"/>
      <c r="AQH77" s="364"/>
      <c r="AQI77" s="364"/>
      <c r="AQJ77" s="364"/>
      <c r="AQK77" s="364"/>
      <c r="AQL77" s="364"/>
      <c r="AQM77" s="364"/>
      <c r="AQN77" s="364"/>
      <c r="AQO77" s="364"/>
      <c r="AQP77" s="92" t="s">
        <v>2545</v>
      </c>
      <c r="AQQ77" s="364"/>
      <c r="AQR77" s="364"/>
      <c r="AQS77" s="364"/>
      <c r="AQT77" s="364"/>
      <c r="AQU77" s="364"/>
      <c r="AQV77" s="364"/>
      <c r="AQW77" s="364"/>
      <c r="AQX77" s="637"/>
      <c r="AQY77" s="637"/>
      <c r="AQZ77" s="637"/>
      <c r="ARA77" s="637"/>
      <c r="ARB77" s="637"/>
      <c r="ARC77" s="637"/>
      <c r="ARD77" s="637"/>
      <c r="ARE77" s="637"/>
      <c r="ARF77" s="637"/>
      <c r="ARG77" s="364"/>
      <c r="ARH77" s="364"/>
      <c r="ARI77" s="364"/>
      <c r="ARJ77" s="364"/>
      <c r="ARK77" s="364"/>
      <c r="ARL77" s="364"/>
      <c r="ARM77" s="364"/>
      <c r="ARN77" s="364"/>
      <c r="ARO77" s="364"/>
      <c r="ARP77" s="364"/>
      <c r="ARQ77" s="364"/>
      <c r="ARR77" s="364"/>
      <c r="ARS77" s="364"/>
      <c r="ART77" s="364"/>
      <c r="ARU77" s="364"/>
      <c r="ARV77" s="5" t="s">
        <v>2545</v>
      </c>
      <c r="ARW77" s="364"/>
      <c r="ARX77" s="364"/>
      <c r="ARY77" s="364"/>
      <c r="ARZ77" s="364"/>
      <c r="ASA77" s="364"/>
      <c r="ASB77" s="364"/>
      <c r="ASC77" s="364"/>
      <c r="ASD77" s="364"/>
      <c r="ASE77" s="364"/>
      <c r="ASF77" s="364"/>
      <c r="ASG77" s="364"/>
      <c r="ASH77" s="364"/>
      <c r="ASI77" s="364"/>
      <c r="ASJ77" s="364"/>
      <c r="ASK77" s="364"/>
      <c r="ASL77" s="364"/>
      <c r="ASM77" s="364"/>
      <c r="ASN77" s="364"/>
      <c r="ASO77" s="364"/>
      <c r="ASP77" s="364"/>
      <c r="ASQ77" s="364"/>
      <c r="ASR77" s="364"/>
      <c r="ASS77" s="364"/>
      <c r="AST77" s="364"/>
      <c r="ASU77" s="364"/>
      <c r="ASV77" s="364"/>
      <c r="ASW77" s="364"/>
      <c r="ASX77" s="364"/>
      <c r="ASY77" s="364"/>
      <c r="ASZ77" s="364"/>
      <c r="ATA77" s="364"/>
      <c r="ATB77" s="5" t="s">
        <v>2545</v>
      </c>
      <c r="ATC77" s="364"/>
      <c r="ATD77" s="364"/>
      <c r="ATE77" s="364"/>
      <c r="ATF77" s="364"/>
      <c r="ATG77" s="364"/>
      <c r="ATH77" s="364"/>
      <c r="ATI77" s="364"/>
      <c r="ATJ77" s="364"/>
      <c r="ATK77" s="364"/>
      <c r="ATL77" s="364"/>
      <c r="ATM77" s="364"/>
      <c r="ATN77" s="364"/>
      <c r="ATO77" s="364"/>
      <c r="ATP77" s="364"/>
      <c r="ATQ77" s="191"/>
      <c r="ATR77" s="191"/>
      <c r="ATS77" s="191"/>
      <c r="ATT77" s="191"/>
      <c r="ATU77" s="191"/>
      <c r="ATV77" s="191"/>
      <c r="ATW77" s="191"/>
      <c r="ATX77" s="191"/>
      <c r="ATY77" s="191"/>
      <c r="ATZ77" s="364"/>
      <c r="AUA77" s="364"/>
      <c r="AUB77" s="364"/>
      <c r="AUC77" s="364"/>
      <c r="AUD77" s="364"/>
      <c r="AUE77" s="364"/>
      <c r="AUF77" s="364"/>
      <c r="AUG77" s="5" t="s">
        <v>2545</v>
      </c>
      <c r="AUH77" s="364"/>
      <c r="AUI77" s="364"/>
      <c r="AUJ77" s="364"/>
      <c r="AUK77" s="364"/>
      <c r="AUL77" s="364"/>
      <c r="AUM77" s="364"/>
      <c r="AUN77" s="364"/>
      <c r="AUO77" s="364"/>
      <c r="AUP77" s="364"/>
      <c r="AUQ77" s="364"/>
      <c r="AUR77" s="364"/>
      <c r="AUS77" s="364"/>
      <c r="AUT77" s="364"/>
      <c r="AUU77" s="364"/>
      <c r="AUV77" s="364"/>
      <c r="AUW77" s="364"/>
      <c r="AUX77" s="364"/>
      <c r="AUY77" s="364"/>
      <c r="AUZ77" s="364"/>
      <c r="AVA77" s="364"/>
      <c r="AVB77" s="364"/>
      <c r="AVC77" s="364"/>
      <c r="AVD77" s="364"/>
      <c r="AVE77" s="364"/>
      <c r="AVF77" s="364"/>
      <c r="AVG77" s="364"/>
      <c r="AVH77" s="364"/>
      <c r="AVI77" s="364"/>
      <c r="AVJ77" s="364"/>
      <c r="AVK77" s="364"/>
      <c r="AVL77" s="364"/>
      <c r="AVM77" s="5" t="s">
        <v>2545</v>
      </c>
      <c r="AVN77" s="364"/>
      <c r="AVO77" s="364"/>
      <c r="AVP77" s="364"/>
      <c r="AVQ77" s="364"/>
      <c r="AVR77" s="364"/>
      <c r="AVS77" s="364"/>
      <c r="AVT77" s="364"/>
      <c r="AVU77" s="364"/>
      <c r="AVV77" s="364"/>
      <c r="AVW77" s="364"/>
      <c r="AVX77" s="364"/>
      <c r="AVY77" s="364"/>
      <c r="AVZ77" s="364"/>
      <c r="AWA77" s="364"/>
      <c r="AWB77" s="364"/>
      <c r="AWC77" s="364"/>
      <c r="AWD77" s="364"/>
      <c r="AWE77" s="364"/>
      <c r="AWF77" s="364"/>
      <c r="AWG77" s="364"/>
      <c r="AWH77" s="364"/>
      <c r="AWI77" s="364"/>
      <c r="AWJ77" s="364"/>
      <c r="AWK77" s="364"/>
      <c r="AWL77" s="364"/>
      <c r="AWM77" s="364"/>
      <c r="AWN77" s="364"/>
      <c r="AWO77" s="364"/>
      <c r="AWP77" s="364"/>
      <c r="AWQ77" s="364"/>
      <c r="AWR77" s="5" t="s">
        <v>2545</v>
      </c>
      <c r="AWS77" s="364"/>
      <c r="AWT77" s="364"/>
      <c r="AWU77" s="364"/>
      <c r="AWV77" s="364"/>
      <c r="AWW77" s="364"/>
      <c r="AWX77" s="364"/>
      <c r="AWY77" s="364"/>
      <c r="AWZ77" s="364"/>
      <c r="AXA77" s="364"/>
      <c r="AXB77" s="364"/>
      <c r="AXC77" s="364"/>
      <c r="AXD77" s="364"/>
      <c r="AXE77" s="364"/>
      <c r="AXF77" s="364"/>
      <c r="AXG77" s="364"/>
      <c r="AXH77" s="364"/>
      <c r="AXI77" s="364"/>
      <c r="AXJ77" s="364"/>
      <c r="AXK77" s="364"/>
      <c r="AXL77" s="364"/>
      <c r="AXM77" s="364"/>
      <c r="AXN77" s="364"/>
      <c r="AXO77" s="364"/>
      <c r="AXP77" s="364"/>
      <c r="AXQ77" s="364"/>
      <c r="AXR77" s="364"/>
      <c r="AXS77" s="364"/>
      <c r="AXT77" s="364"/>
      <c r="AXU77" s="364"/>
      <c r="AXV77" s="364"/>
      <c r="AXW77" s="364"/>
      <c r="AXX77" s="5" t="s">
        <v>2545</v>
      </c>
      <c r="AXY77" s="364"/>
      <c r="AXZ77" s="364"/>
      <c r="AYA77" s="364"/>
      <c r="AYB77" s="364"/>
      <c r="AYC77" s="364"/>
      <c r="AYD77" s="364"/>
      <c r="AYE77" s="364"/>
      <c r="AYF77" s="364"/>
      <c r="AYG77" s="364"/>
      <c r="AYH77" s="364"/>
      <c r="AYI77" s="364"/>
      <c r="AYJ77" s="364"/>
      <c r="AYK77" s="364"/>
      <c r="AYL77" s="364"/>
      <c r="AYM77" s="364"/>
      <c r="AYN77" s="364"/>
      <c r="AYO77" s="364"/>
      <c r="AYP77" s="364"/>
      <c r="AYQ77" s="364"/>
      <c r="AYR77" s="364"/>
      <c r="AYS77" s="364"/>
      <c r="AYT77" s="364"/>
      <c r="AYU77" s="364"/>
      <c r="AYV77" s="364"/>
      <c r="AYW77" s="364"/>
      <c r="AYX77" s="364"/>
      <c r="AYY77" s="364"/>
      <c r="AYZ77" s="364"/>
      <c r="AZA77" s="364"/>
      <c r="AZB77" s="364"/>
      <c r="AZC77" s="364"/>
      <c r="AZD77" s="364"/>
      <c r="AZE77" s="364"/>
      <c r="AZF77" s="364"/>
      <c r="AZG77" s="364"/>
      <c r="AZH77" s="364"/>
      <c r="AZI77" s="364"/>
      <c r="AZJ77" s="364"/>
      <c r="AZK77" s="364"/>
      <c r="AZL77" s="364"/>
      <c r="AZM77" s="364"/>
      <c r="AZN77" s="364"/>
      <c r="AZO77" s="364"/>
      <c r="AZP77" s="364"/>
      <c r="AZQ77" s="364"/>
      <c r="AZR77" s="364"/>
      <c r="AZS77" s="364"/>
      <c r="AZT77" s="364"/>
      <c r="AZU77" s="364"/>
      <c r="AZV77" s="364"/>
      <c r="AZW77" s="364"/>
      <c r="AZX77" s="364"/>
      <c r="AZY77" s="364"/>
      <c r="AZZ77" s="364"/>
      <c r="BAA77" s="364"/>
      <c r="BAB77" s="364"/>
      <c r="BAC77" s="364"/>
      <c r="BAD77" s="364"/>
      <c r="BAE77" s="364"/>
      <c r="BAF77" s="364"/>
      <c r="BAG77" s="364"/>
      <c r="BAH77" s="364"/>
      <c r="BAI77" s="364"/>
      <c r="BAJ77" s="364"/>
      <c r="BAK77" s="364"/>
      <c r="BAL77" s="364"/>
      <c r="BAM77" s="364"/>
      <c r="BAN77" s="364"/>
      <c r="BAO77" s="364"/>
      <c r="BAP77" s="364"/>
      <c r="BAQ77" s="364"/>
      <c r="BAR77" s="364"/>
      <c r="BAS77" s="364"/>
      <c r="BAT77" s="364"/>
      <c r="BAU77" s="364"/>
      <c r="BAV77" s="364"/>
      <c r="BAW77" s="364"/>
      <c r="BAX77" s="364"/>
      <c r="BAY77" s="364"/>
      <c r="BAZ77" s="364"/>
      <c r="BBA77" s="364"/>
      <c r="BBB77" s="364"/>
      <c r="BBC77" s="364"/>
      <c r="BBD77" s="364"/>
      <c r="BBE77" s="364"/>
      <c r="BBF77" s="364"/>
      <c r="BBG77" s="364"/>
      <c r="BBH77" s="364"/>
      <c r="BBI77" s="364"/>
      <c r="BBJ77" s="364"/>
      <c r="BBK77" s="364"/>
      <c r="BBL77" s="364"/>
      <c r="BBM77" s="364"/>
      <c r="BBN77" s="364"/>
      <c r="BBO77" s="364"/>
      <c r="BBP77" s="364"/>
      <c r="BBQ77" s="364"/>
      <c r="BBR77" s="364"/>
      <c r="BBS77" s="364"/>
      <c r="BBT77" s="364"/>
      <c r="BBU77" s="364"/>
      <c r="BBV77" s="364"/>
      <c r="BBW77" s="364"/>
      <c r="BBX77" s="364"/>
      <c r="BBY77" s="364"/>
      <c r="BBZ77" s="364"/>
      <c r="BCA77" s="364"/>
      <c r="BCB77" s="364"/>
      <c r="BCC77" s="364"/>
      <c r="BCD77" s="364"/>
      <c r="BCE77" s="364"/>
      <c r="BCF77" s="364"/>
      <c r="BCG77" s="364"/>
      <c r="BCH77" s="364"/>
      <c r="BCI77" s="364"/>
      <c r="BCJ77" s="364"/>
      <c r="BCK77" s="364"/>
      <c r="BCL77" s="364"/>
      <c r="BCM77" s="364"/>
      <c r="BCN77" s="364"/>
      <c r="BCO77" s="364"/>
      <c r="BCP77" s="364"/>
      <c r="BCQ77" s="364"/>
      <c r="BCR77" s="364"/>
      <c r="BCS77" s="364"/>
      <c r="BCT77" s="364"/>
      <c r="BCU77" s="364"/>
      <c r="BCV77" s="364"/>
      <c r="BCW77" s="364"/>
      <c r="BCX77" s="364"/>
      <c r="BCY77" s="364"/>
      <c r="BCZ77" s="364"/>
      <c r="BDA77" s="364"/>
      <c r="BDB77" s="364"/>
      <c r="BDC77" s="364"/>
      <c r="BDD77" s="364"/>
      <c r="BDE77" s="364"/>
      <c r="BDF77" s="364"/>
      <c r="BDG77" s="364"/>
      <c r="BDH77" s="364"/>
      <c r="BDI77" s="364"/>
      <c r="BDJ77" s="364"/>
      <c r="BDK77" s="364"/>
      <c r="BDL77" s="364"/>
      <c r="BDM77" s="364"/>
      <c r="BDN77" s="364"/>
      <c r="BDO77" s="364"/>
      <c r="BDP77" s="364"/>
      <c r="BDQ77" s="364"/>
      <c r="BDR77" s="364"/>
      <c r="BDS77" s="364"/>
      <c r="BDT77" s="364"/>
      <c r="BDU77" s="364"/>
      <c r="BDV77" s="364"/>
      <c r="BDW77" s="364"/>
      <c r="BDX77" s="364"/>
      <c r="BDY77" s="364"/>
      <c r="BDZ77" s="364"/>
      <c r="BEA77" s="364"/>
      <c r="BEB77" s="364"/>
      <c r="BEC77" s="364"/>
      <c r="BED77" s="364"/>
      <c r="BEE77" s="364"/>
      <c r="BEF77" s="364"/>
      <c r="BEG77" s="364"/>
      <c r="BEH77" s="364"/>
      <c r="BEI77" s="364"/>
      <c r="BEJ77" s="364"/>
      <c r="BEK77" s="364"/>
      <c r="BEL77" s="364"/>
      <c r="BEM77" s="364"/>
      <c r="BEN77" s="364"/>
      <c r="BEO77" s="364"/>
      <c r="BEP77" s="364"/>
      <c r="BEQ77" s="364"/>
      <c r="BER77" s="364"/>
      <c r="BES77" s="364"/>
      <c r="BET77" s="364"/>
      <c r="BEU77" s="364"/>
      <c r="BEV77" s="364"/>
      <c r="BEW77" s="364"/>
      <c r="BEX77" s="364"/>
      <c r="BEY77" s="364"/>
      <c r="BEZ77" s="364"/>
      <c r="BFA77" s="364"/>
      <c r="BFB77" s="364"/>
      <c r="BFC77" s="364"/>
      <c r="BFD77" s="364"/>
      <c r="BFE77" s="364"/>
      <c r="BFF77" s="364"/>
      <c r="BFG77" s="364"/>
      <c r="BFH77" s="364"/>
      <c r="BFI77" s="364"/>
      <c r="BFJ77" s="364"/>
      <c r="BFK77" s="364"/>
      <c r="BFL77" s="364"/>
      <c r="BFM77" s="364"/>
      <c r="BFN77" s="364"/>
      <c r="BFO77" s="364"/>
      <c r="BFP77" s="364"/>
      <c r="BFQ77" s="364"/>
      <c r="BFR77" s="364"/>
      <c r="BFS77" s="364"/>
      <c r="BFT77" s="364"/>
      <c r="BFU77" s="364"/>
      <c r="BFV77" s="364"/>
      <c r="BFW77" s="364"/>
      <c r="BFX77" s="364"/>
      <c r="BFY77" s="364"/>
      <c r="BFZ77" s="364"/>
      <c r="BGA77" s="364"/>
      <c r="BGB77" s="364"/>
      <c r="BGC77" s="364"/>
      <c r="BGD77" s="364"/>
      <c r="BGE77" s="364"/>
      <c r="BGF77" s="364"/>
      <c r="BGG77" s="364"/>
      <c r="BGH77" s="364"/>
      <c r="BGI77" s="364"/>
      <c r="BGJ77" s="364"/>
      <c r="BGK77" s="364"/>
      <c r="BGL77" s="364"/>
      <c r="BGM77" s="364"/>
      <c r="BGN77" s="364"/>
      <c r="BGO77" s="364"/>
      <c r="BGP77" s="364"/>
      <c r="BGQ77" s="364"/>
      <c r="BGR77" s="364"/>
      <c r="BGS77" s="364"/>
      <c r="BGT77" s="364"/>
      <c r="BGU77" s="364"/>
      <c r="BGV77" s="364"/>
      <c r="BGW77" s="364"/>
      <c r="BGX77" s="364"/>
      <c r="BGY77" s="364"/>
      <c r="BGZ77" s="364"/>
      <c r="BHA77" s="364"/>
      <c r="BHB77" s="364"/>
      <c r="BHC77" s="364"/>
      <c r="BHD77" s="364"/>
      <c r="BHE77" s="364"/>
      <c r="BHF77" s="364"/>
      <c r="BHG77" s="364"/>
      <c r="BHH77" s="364"/>
      <c r="BHI77" s="364"/>
      <c r="BHJ77" s="364"/>
      <c r="BHK77" s="364"/>
      <c r="BHL77" s="364"/>
      <c r="BHM77" s="364"/>
      <c r="BHN77" s="364"/>
      <c r="BHO77" s="364"/>
      <c r="BHP77" s="364"/>
      <c r="BHQ77" s="364"/>
      <c r="BHR77" s="364"/>
      <c r="BHS77" s="364"/>
      <c r="BHT77" s="364"/>
      <c r="BHU77" s="364"/>
      <c r="BHV77" s="364"/>
      <c r="BHW77" s="364"/>
    </row>
    <row r="78" spans="1:1583" s="31" customFormat="1" ht="17.25" customHeight="1" x14ac:dyDescent="0.25">
      <c r="B78" s="5"/>
      <c r="C78" s="43"/>
      <c r="D78" s="43"/>
      <c r="E78" s="43"/>
      <c r="F78" s="43"/>
      <c r="G78" s="43"/>
      <c r="H78" s="43"/>
      <c r="I78" s="43"/>
      <c r="J78" s="43"/>
      <c r="K78" s="43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93"/>
      <c r="AI78" s="43"/>
      <c r="AJ78" s="43"/>
      <c r="AK78" s="43"/>
      <c r="AQ78" s="731"/>
      <c r="AR78" s="732"/>
      <c r="AS78" s="732"/>
      <c r="AT78" s="732"/>
      <c r="AU78" s="732"/>
      <c r="AV78" s="732"/>
      <c r="AW78" s="732"/>
      <c r="AX78" s="732"/>
      <c r="AY78" s="732"/>
      <c r="AZ78" s="73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92"/>
      <c r="CS78" s="92"/>
      <c r="CT78" s="43"/>
      <c r="CU78" s="43"/>
      <c r="CV78" s="43"/>
      <c r="CW78" s="43"/>
      <c r="CX78" s="43"/>
      <c r="DP78" s="30"/>
      <c r="DQ78" s="43"/>
      <c r="DS78" s="43"/>
      <c r="DT78" s="43"/>
      <c r="DU78" s="43"/>
      <c r="DV78" s="43"/>
      <c r="DW78" s="43"/>
      <c r="DX78" s="43"/>
      <c r="DY78" s="43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43"/>
      <c r="EY78" s="43"/>
      <c r="EZ78" s="43"/>
      <c r="FA78" s="43"/>
      <c r="FB78" s="43"/>
      <c r="FC78" s="30"/>
      <c r="FE78" s="30"/>
      <c r="FH78" s="30"/>
      <c r="FI78" s="30"/>
      <c r="FJ78" s="30"/>
      <c r="FK78" s="30"/>
      <c r="FL78" s="30"/>
      <c r="FM78" s="30"/>
      <c r="FN78" s="30"/>
      <c r="FO78" s="30"/>
      <c r="FP78" s="30"/>
      <c r="FQ78" s="30"/>
      <c r="FR78" s="30"/>
      <c r="FS78" s="30"/>
      <c r="FT78" s="30"/>
      <c r="FU78" s="30"/>
      <c r="FV78" s="30"/>
      <c r="FW78" s="30"/>
      <c r="FX78" s="30"/>
      <c r="FY78" s="30"/>
      <c r="FZ78" s="30"/>
      <c r="GA78" s="30"/>
      <c r="GB78" s="30"/>
      <c r="GC78" s="30"/>
      <c r="GD78" s="30"/>
      <c r="GE78" s="78"/>
      <c r="GF78" s="78"/>
      <c r="GG78" s="78"/>
      <c r="GH78" s="78"/>
      <c r="GI78" s="78"/>
      <c r="GJ78" s="78"/>
      <c r="GK78" s="79"/>
      <c r="GL78" s="79"/>
      <c r="GM78" s="79"/>
      <c r="GN78" s="30"/>
      <c r="HC78" s="78"/>
      <c r="HD78" s="78"/>
      <c r="HE78" s="78"/>
      <c r="HF78" s="78"/>
      <c r="HG78" s="78"/>
      <c r="HH78" s="78"/>
      <c r="HI78" s="78"/>
      <c r="HJ78" s="78"/>
      <c r="HK78" s="78"/>
      <c r="HL78" s="78"/>
      <c r="HM78" s="78"/>
      <c r="HN78" s="78"/>
      <c r="HP78" s="92"/>
      <c r="IT78" s="92"/>
      <c r="JZ78" s="92"/>
      <c r="LE78" s="92"/>
      <c r="MK78" s="92"/>
      <c r="NP78" s="92"/>
      <c r="NT78" s="310"/>
      <c r="NU78" s="310"/>
      <c r="NV78" s="310"/>
      <c r="NW78" s="310"/>
      <c r="NX78" s="310"/>
      <c r="NY78" s="310"/>
      <c r="NZ78" s="310"/>
      <c r="OG78" s="310"/>
      <c r="OH78" s="310"/>
      <c r="OI78" s="310"/>
      <c r="OJ78" s="310"/>
      <c r="OK78" s="310"/>
      <c r="OL78" s="310"/>
      <c r="OT78" s="310"/>
      <c r="OU78" s="310"/>
      <c r="OV78" s="92"/>
      <c r="PD78" s="310"/>
      <c r="PE78" s="310"/>
      <c r="PF78" s="310"/>
      <c r="PG78" s="310"/>
      <c r="PH78" s="310"/>
      <c r="PI78" s="310"/>
      <c r="PJ78" s="310"/>
      <c r="PK78" s="310"/>
      <c r="PL78" s="310"/>
      <c r="PQ78" s="310"/>
      <c r="PR78" s="310"/>
      <c r="PS78" s="310"/>
      <c r="QB78" s="92"/>
      <c r="QC78" s="310"/>
      <c r="QD78" s="310"/>
      <c r="QE78" s="310"/>
      <c r="QF78" s="310"/>
      <c r="QG78" s="310"/>
      <c r="QH78" s="310"/>
      <c r="QI78" s="310"/>
      <c r="QJ78" s="310"/>
      <c r="QK78" s="310"/>
      <c r="QL78" s="310"/>
      <c r="QY78" s="310"/>
      <c r="QZ78" s="310"/>
      <c r="RA78" s="310"/>
      <c r="RB78" s="310"/>
      <c r="RC78" s="310"/>
      <c r="RD78" s="310"/>
      <c r="RE78" s="310"/>
      <c r="RF78" s="310"/>
      <c r="RG78" s="92"/>
      <c r="RH78" s="310"/>
      <c r="RI78" s="310"/>
      <c r="SD78" s="310"/>
      <c r="SE78" s="310"/>
      <c r="SF78" s="310"/>
      <c r="SG78" s="310"/>
      <c r="SH78" s="310"/>
      <c r="SI78" s="310"/>
      <c r="SJ78" s="310"/>
      <c r="SK78" s="310"/>
      <c r="SL78" s="310"/>
      <c r="SM78" s="11"/>
      <c r="SS78" s="298"/>
      <c r="ST78" s="298"/>
      <c r="SU78" s="298"/>
      <c r="SV78" s="298"/>
      <c r="SW78" s="298"/>
      <c r="SX78" s="298"/>
      <c r="SY78" s="298"/>
      <c r="TB78" s="298"/>
      <c r="TE78" s="310"/>
      <c r="TF78" s="310"/>
      <c r="TG78" s="310"/>
      <c r="TH78" s="310"/>
      <c r="TI78" s="310"/>
      <c r="TJ78" s="310"/>
      <c r="TK78" s="310"/>
      <c r="TL78" s="310"/>
      <c r="TM78" s="310"/>
      <c r="TN78" s="310"/>
      <c r="TO78" s="310"/>
      <c r="TP78" s="310"/>
      <c r="TQ78" s="310"/>
      <c r="TR78" s="92"/>
      <c r="TT78" s="310"/>
      <c r="TU78" s="310"/>
      <c r="UF78" s="310"/>
      <c r="UG78" s="310"/>
      <c r="UH78" s="310"/>
      <c r="UI78" s="310"/>
      <c r="UJ78" s="310"/>
      <c r="UK78" s="310"/>
      <c r="UL78" s="310"/>
      <c r="UM78" s="310"/>
      <c r="UQ78" s="310"/>
      <c r="UW78" s="310"/>
      <c r="UX78" s="92"/>
      <c r="VU78" s="310"/>
      <c r="VV78" s="310"/>
      <c r="VW78" s="310"/>
      <c r="WA78" s="310"/>
      <c r="WD78" s="92"/>
      <c r="WE78" s="310"/>
      <c r="WF78" s="310"/>
      <c r="WG78" s="310"/>
      <c r="WH78" s="310"/>
      <c r="WI78" s="310"/>
      <c r="WJ78" s="9"/>
      <c r="WK78" s="9"/>
      <c r="WL78" s="9"/>
      <c r="WM78" s="9"/>
      <c r="WN78" s="9"/>
      <c r="WO78" s="9"/>
      <c r="WP78" s="9"/>
      <c r="WQ78" s="9"/>
      <c r="WR78" s="9"/>
      <c r="WS78" s="310"/>
      <c r="WT78" s="310"/>
      <c r="WU78" s="310"/>
      <c r="WV78" s="310"/>
      <c r="WW78" s="310"/>
      <c r="WX78" s="310"/>
      <c r="WY78" s="310"/>
      <c r="WZ78" s="310"/>
      <c r="XA78" s="310"/>
      <c r="XB78" s="310"/>
      <c r="XC78" s="310"/>
      <c r="XD78" s="310"/>
      <c r="XE78" s="310"/>
      <c r="XF78" s="310"/>
      <c r="XG78" s="92"/>
      <c r="XH78" s="298"/>
      <c r="XI78" s="298"/>
      <c r="XJ78" s="298"/>
      <c r="XK78" s="298"/>
      <c r="XL78" s="298"/>
      <c r="XM78" s="298"/>
      <c r="XN78" s="298"/>
      <c r="XO78" s="298"/>
      <c r="XP78" s="298"/>
      <c r="XQ78" s="298"/>
      <c r="XR78" s="298"/>
      <c r="XS78" s="298"/>
      <c r="XT78" s="298"/>
      <c r="XU78" s="298"/>
      <c r="XV78" s="298"/>
      <c r="XW78" s="298"/>
      <c r="XX78" s="298"/>
      <c r="XY78" s="298"/>
      <c r="XZ78" s="298"/>
      <c r="YA78" s="298"/>
      <c r="YB78" s="298"/>
      <c r="YC78" s="298"/>
      <c r="YD78" s="298"/>
      <c r="YE78" s="298"/>
      <c r="YF78" s="298"/>
      <c r="YG78" s="298"/>
      <c r="YH78" s="298"/>
      <c r="YI78" s="298"/>
      <c r="YJ78" s="298"/>
      <c r="YK78" s="298"/>
      <c r="YL78" s="298"/>
      <c r="YM78" s="92"/>
      <c r="YN78" s="310"/>
      <c r="YO78" s="310"/>
      <c r="YP78" s="310"/>
      <c r="YQ78" s="310"/>
      <c r="YR78" s="310"/>
      <c r="YS78" s="310"/>
      <c r="YT78" s="310"/>
      <c r="YU78" s="310"/>
      <c r="YV78" s="310"/>
      <c r="YW78" s="310"/>
      <c r="YX78" s="310"/>
      <c r="YY78" s="310"/>
      <c r="ZB78" s="310"/>
      <c r="ZC78" s="310"/>
      <c r="ZD78" s="310"/>
      <c r="ZE78" s="310"/>
      <c r="ZL78" s="310"/>
      <c r="ZM78" s="310"/>
      <c r="ZN78" s="310"/>
      <c r="ZO78" s="310"/>
      <c r="ZP78" s="310"/>
      <c r="ZQ78" s="310"/>
      <c r="ZR78" s="92"/>
      <c r="ZW78" s="310"/>
      <c r="ZX78" s="310"/>
      <c r="ZY78" s="310"/>
      <c r="ZZ78" s="310"/>
      <c r="AAA78" s="345" t="s">
        <v>1896</v>
      </c>
      <c r="AAB78" s="345"/>
      <c r="AAC78" s="352"/>
      <c r="AAT78" s="310"/>
      <c r="AAU78" s="310"/>
      <c r="AAV78" s="310"/>
      <c r="AAW78" s="310"/>
      <c r="AAX78" s="92"/>
      <c r="AAY78" s="310"/>
      <c r="AAZ78" s="310"/>
      <c r="ABA78" s="310"/>
      <c r="ABB78" s="310"/>
      <c r="ABC78" s="310"/>
      <c r="ABE78" s="310"/>
      <c r="ABF78" s="310"/>
      <c r="ABG78" s="310"/>
      <c r="ABH78" s="310"/>
      <c r="ABI78" s="310"/>
      <c r="ABJ78" s="310"/>
      <c r="ABK78" s="310"/>
      <c r="ABL78" s="310"/>
      <c r="ABM78" s="310"/>
      <c r="ABN78" s="310"/>
      <c r="ABO78" s="310"/>
      <c r="ABP78" s="310"/>
      <c r="ABQ78" s="310"/>
      <c r="ABR78" s="310"/>
      <c r="ABS78" s="310"/>
      <c r="ABT78" s="310"/>
      <c r="ABU78" s="310"/>
      <c r="ABV78" s="310"/>
      <c r="ABW78" s="310"/>
      <c r="ABX78" s="310"/>
      <c r="ABY78" s="310"/>
      <c r="ABZ78" s="310"/>
      <c r="ACA78" s="310"/>
      <c r="ACB78" s="310"/>
      <c r="ACC78" s="5"/>
      <c r="ACD78" s="310"/>
      <c r="ACE78" s="310"/>
      <c r="ACF78" s="310"/>
      <c r="ACG78" s="310"/>
      <c r="ACH78" s="310"/>
      <c r="ACI78" s="310"/>
      <c r="ACJ78" s="310"/>
      <c r="ACK78" s="310"/>
      <c r="ACL78" s="310"/>
      <c r="ACM78" s="310"/>
      <c r="ACN78" s="310"/>
      <c r="ACO78" s="310"/>
      <c r="ACP78" s="310"/>
      <c r="ACQ78" s="310"/>
      <c r="ACR78" s="310"/>
      <c r="ACS78" s="310"/>
      <c r="ACT78" s="310"/>
      <c r="ADA78" s="310"/>
      <c r="ADB78" s="310"/>
      <c r="ADC78" s="310"/>
      <c r="ADD78" s="310"/>
      <c r="ADE78" s="310"/>
      <c r="ADF78" s="310"/>
      <c r="ADG78" s="310"/>
      <c r="ADH78" s="310"/>
      <c r="ADI78" s="310"/>
      <c r="ADJ78" s="310"/>
      <c r="ADK78" s="310"/>
      <c r="ADL78" s="310"/>
      <c r="ADM78" s="310"/>
      <c r="ADN78" s="310"/>
      <c r="ADO78" s="310"/>
      <c r="ADP78" s="310"/>
      <c r="ADQ78" s="310"/>
      <c r="ADR78" s="310"/>
      <c r="ADS78" s="310"/>
      <c r="ADT78" s="310"/>
      <c r="ADU78" s="310"/>
      <c r="ADV78" s="310"/>
      <c r="ADW78" s="310"/>
      <c r="ADX78" s="310"/>
      <c r="ADY78" s="310"/>
      <c r="ADZ78" s="310"/>
      <c r="AEA78" s="310"/>
      <c r="AEB78" s="310"/>
      <c r="AEC78" s="310"/>
      <c r="AED78" s="310"/>
      <c r="AEE78" s="310"/>
      <c r="AEF78" s="310"/>
      <c r="AEG78" s="310"/>
      <c r="AEH78" s="310"/>
      <c r="AEI78" s="310"/>
      <c r="AEJ78" s="310"/>
      <c r="AEK78" s="310"/>
      <c r="AEL78" s="310"/>
      <c r="AEM78" s="310"/>
      <c r="AEN78" s="310"/>
      <c r="AEO78" s="310"/>
      <c r="AEP78" s="310"/>
      <c r="AEQ78" s="310"/>
      <c r="AER78" s="310"/>
      <c r="AES78" s="310"/>
      <c r="AET78" s="310"/>
      <c r="AEU78" s="310"/>
      <c r="AEV78" s="310"/>
      <c r="AEW78" s="310"/>
      <c r="AEX78" s="310"/>
      <c r="AEY78" s="310"/>
      <c r="AEZ78" s="310"/>
      <c r="AFD78" s="310"/>
      <c r="AFE78" s="310"/>
      <c r="AFF78" s="310"/>
      <c r="AFG78" s="310"/>
      <c r="AFH78" s="310"/>
      <c r="AFI78" s="310"/>
      <c r="AFJ78" s="310"/>
      <c r="AFK78" s="310"/>
      <c r="AFL78" s="310"/>
      <c r="AFM78" s="310"/>
      <c r="AFN78" s="310"/>
      <c r="AFO78" s="310"/>
      <c r="AFP78" s="310"/>
      <c r="AFR78" s="310"/>
      <c r="AFS78" s="310"/>
      <c r="AFT78" s="310"/>
      <c r="AFU78" s="364"/>
      <c r="AFV78" s="364"/>
      <c r="AFW78" s="364"/>
      <c r="AFX78" s="364"/>
      <c r="AFY78" s="364"/>
      <c r="AFZ78" s="364"/>
      <c r="AGA78" s="364"/>
      <c r="AGB78" s="364"/>
      <c r="AGC78" s="364"/>
      <c r="AGD78" s="364"/>
      <c r="AGE78" s="364"/>
      <c r="AGF78" s="364"/>
      <c r="AGG78" s="364"/>
      <c r="AGH78" s="364"/>
      <c r="AGI78" s="364"/>
      <c r="AGJ78" s="364"/>
      <c r="AGK78" s="364"/>
      <c r="AGL78" s="364"/>
      <c r="AGM78" s="364"/>
      <c r="AGN78" s="364"/>
      <c r="AGO78" s="364"/>
      <c r="AGP78" s="364"/>
      <c r="AGQ78" s="364"/>
      <c r="AGR78" s="364"/>
      <c r="AGS78" s="364"/>
      <c r="AGT78" s="364"/>
      <c r="AGU78" s="364"/>
      <c r="AGV78" s="364"/>
      <c r="AGW78" s="364"/>
      <c r="AGX78" s="364"/>
      <c r="AGY78" s="364"/>
      <c r="AGZ78" s="364"/>
      <c r="AHA78" s="364"/>
      <c r="AHB78" s="364"/>
      <c r="AHC78" s="364"/>
      <c r="AHD78" s="364"/>
      <c r="AHE78" s="364"/>
      <c r="AHF78" s="364"/>
      <c r="AHG78" s="364"/>
      <c r="AHH78" s="364"/>
      <c r="AHI78" s="364"/>
      <c r="AHJ78" s="364"/>
      <c r="AHK78" s="364"/>
      <c r="AHL78" s="603"/>
      <c r="AHM78" s="603"/>
      <c r="AHN78" s="603"/>
      <c r="AHO78" s="210" t="s">
        <v>2767</v>
      </c>
      <c r="AHP78" s="210"/>
      <c r="AHQ78" s="180"/>
      <c r="AHR78" s="180"/>
      <c r="AHS78" s="180"/>
      <c r="AHT78" s="314"/>
      <c r="AHU78" s="314"/>
      <c r="AHV78" s="314"/>
      <c r="AHW78" s="314"/>
      <c r="AHX78" s="314"/>
      <c r="AHY78" s="314"/>
      <c r="AHZ78" s="314"/>
      <c r="AIA78" s="314"/>
      <c r="AIB78" s="314"/>
      <c r="AIC78" s="314"/>
      <c r="AID78" s="314"/>
      <c r="AIE78" s="314"/>
      <c r="AIF78" s="314"/>
      <c r="AIG78" s="314"/>
      <c r="AIH78" s="314"/>
      <c r="AII78" s="314"/>
      <c r="AIJ78" s="314"/>
      <c r="AIK78" s="314"/>
      <c r="AIL78" s="314"/>
      <c r="AIM78" s="314"/>
      <c r="AIN78" s="314"/>
      <c r="AIO78" s="314"/>
      <c r="AIP78" s="314"/>
      <c r="AIQ78" s="314"/>
      <c r="AIR78" s="314"/>
      <c r="AIS78" s="364"/>
      <c r="AIT78" s="364"/>
      <c r="AIU78" s="364"/>
      <c r="AIV78" s="364"/>
      <c r="AIW78" s="364"/>
      <c r="AIX78" s="364"/>
      <c r="AIY78" s="364"/>
      <c r="AIZ78" s="364"/>
      <c r="AJA78" s="364"/>
      <c r="AJB78" s="364"/>
      <c r="AJC78" s="184"/>
      <c r="AJD78" s="184"/>
      <c r="AJE78" s="184"/>
      <c r="AJF78" s="184"/>
      <c r="AJK78" s="92"/>
      <c r="AKC78" s="310"/>
      <c r="AKD78" s="310"/>
      <c r="AKE78" s="310"/>
      <c r="AKF78" s="310"/>
      <c r="AKG78" s="310"/>
      <c r="AKH78" s="310"/>
      <c r="AKI78" s="310"/>
      <c r="AKJ78" s="310"/>
      <c r="AKK78" s="310"/>
      <c r="AKL78" s="310"/>
      <c r="AKM78" s="310"/>
      <c r="AKN78" s="310"/>
      <c r="AKO78" s="310"/>
      <c r="AKP78" s="310"/>
      <c r="AKQ78" s="92"/>
      <c r="ALA78" s="310"/>
      <c r="ALB78" s="310"/>
      <c r="ALC78" s="310"/>
      <c r="ALD78" s="310"/>
      <c r="ALE78" s="310"/>
      <c r="ALF78" s="310"/>
      <c r="ALT78" s="92"/>
      <c r="ALU78" s="310"/>
      <c r="ALV78" s="310"/>
      <c r="ALW78" s="310"/>
      <c r="ALX78" s="310"/>
      <c r="ALY78" s="310"/>
      <c r="ALZ78" s="310"/>
      <c r="AMA78" s="310"/>
      <c r="AMB78" s="310"/>
      <c r="AMC78" s="310"/>
      <c r="AMD78" s="310"/>
      <c r="AME78" s="310"/>
      <c r="AMF78" s="310"/>
      <c r="AMZ78" s="92"/>
      <c r="ANA78" s="364"/>
      <c r="ANB78" s="364"/>
      <c r="ANC78" s="364"/>
      <c r="AND78" s="364"/>
      <c r="ANE78" s="364"/>
      <c r="ANF78" s="364"/>
      <c r="ANG78" s="364"/>
      <c r="ANH78" s="364"/>
      <c r="ANI78" s="364"/>
      <c r="ANJ78" s="364"/>
      <c r="ANK78" s="364"/>
      <c r="ANL78" s="364"/>
      <c r="ANM78" s="364"/>
      <c r="ANN78" s="364"/>
      <c r="ANO78" s="364"/>
      <c r="ANP78" s="364"/>
      <c r="ANQ78" s="364"/>
      <c r="ANR78" s="364"/>
      <c r="ANS78" s="364"/>
      <c r="ANT78" s="364"/>
      <c r="ANU78" s="364"/>
      <c r="ANV78" s="364"/>
      <c r="ANW78" s="364"/>
      <c r="ANX78" s="364"/>
      <c r="ANY78" s="364"/>
      <c r="ANZ78" s="364"/>
      <c r="AOA78" s="364"/>
      <c r="AOB78" s="364"/>
      <c r="AOC78" s="364"/>
      <c r="AOD78" s="364"/>
      <c r="AOE78" s="92"/>
      <c r="APK78" s="92" t="s">
        <v>2545</v>
      </c>
      <c r="APL78" s="364"/>
      <c r="APM78" s="364"/>
      <c r="APN78" s="364"/>
      <c r="APO78" s="364"/>
      <c r="APP78" s="364"/>
      <c r="APQ78" s="364"/>
      <c r="APR78" s="364"/>
      <c r="APS78" s="364"/>
      <c r="APT78" s="364"/>
      <c r="APU78" s="364"/>
      <c r="APV78" s="364"/>
      <c r="APW78" s="364"/>
      <c r="APX78" s="364"/>
      <c r="APY78" s="364"/>
      <c r="APZ78" s="364"/>
      <c r="AQA78" s="364"/>
      <c r="AQB78" s="364"/>
      <c r="AQC78" s="364"/>
      <c r="AQD78" s="364"/>
      <c r="AQE78" s="364"/>
      <c r="AQF78" s="364"/>
      <c r="AQG78" s="364"/>
      <c r="AQH78" s="364"/>
      <c r="AQI78" s="364"/>
      <c r="AQJ78" s="364"/>
      <c r="AQK78" s="364"/>
      <c r="AQL78" s="364"/>
      <c r="AQM78" s="364"/>
      <c r="AQN78" s="364"/>
      <c r="AQO78" s="364"/>
      <c r="AQP78" s="92"/>
      <c r="AQQ78" s="364"/>
      <c r="AQR78" s="364"/>
      <c r="AQS78" s="364"/>
      <c r="AQT78" s="364"/>
      <c r="AQU78" s="364"/>
      <c r="AQV78" s="364"/>
      <c r="AQW78" s="364"/>
      <c r="AQX78" s="637"/>
      <c r="AQY78" s="637"/>
      <c r="AQZ78" s="637"/>
      <c r="ARA78" s="637"/>
      <c r="ARB78" s="637"/>
      <c r="ARC78" s="637"/>
      <c r="ARD78" s="637"/>
      <c r="ARE78" s="637"/>
      <c r="ARF78" s="637"/>
      <c r="ARG78" s="364"/>
      <c r="ARH78" s="364"/>
      <c r="ARI78" s="364"/>
      <c r="ARJ78" s="364"/>
      <c r="ARK78" s="364"/>
      <c r="ARL78" s="364"/>
      <c r="ARM78" s="364"/>
      <c r="ARN78" s="364"/>
      <c r="ARO78" s="364"/>
      <c r="ARP78" s="364"/>
      <c r="ARQ78" s="364"/>
      <c r="ARR78" s="364"/>
      <c r="ARS78" s="364"/>
      <c r="ART78" s="364"/>
      <c r="ARU78" s="364"/>
      <c r="ARV78" s="5"/>
      <c r="ARW78" s="364"/>
      <c r="ARX78" s="364"/>
      <c r="ARY78" s="364"/>
      <c r="ARZ78" s="364"/>
      <c r="ASA78" s="364"/>
      <c r="ASB78" s="364"/>
      <c r="ASC78" s="364"/>
      <c r="ASD78" s="364"/>
      <c r="ASE78" s="364"/>
      <c r="ASF78" s="364"/>
      <c r="ASG78" s="364"/>
      <c r="ASH78" s="364"/>
      <c r="ASI78" s="364"/>
      <c r="ASJ78" s="364"/>
      <c r="ASK78" s="364"/>
      <c r="ASL78" s="364"/>
      <c r="ASM78" s="364"/>
      <c r="ASN78" s="364"/>
      <c r="ASO78" s="364"/>
      <c r="ASP78" s="364"/>
      <c r="ASQ78" s="364"/>
      <c r="ASR78" s="364"/>
      <c r="ASS78" s="364"/>
      <c r="AST78" s="364"/>
      <c r="ASU78" s="364"/>
      <c r="ASV78" s="364"/>
      <c r="ASW78" s="364"/>
      <c r="ASX78" s="364"/>
      <c r="ASY78" s="364"/>
      <c r="ASZ78" s="364"/>
      <c r="ATA78" s="364"/>
      <c r="ATB78" s="5"/>
      <c r="ATC78" s="364"/>
      <c r="ATD78" s="364"/>
      <c r="ATE78" s="364"/>
      <c r="ATF78" s="364"/>
      <c r="ATG78" s="364"/>
      <c r="ATH78" s="364"/>
      <c r="ATI78" s="364"/>
      <c r="ATJ78" s="364"/>
      <c r="ATK78" s="364"/>
      <c r="ATL78" s="364"/>
      <c r="ATM78" s="364"/>
      <c r="ATN78" s="364"/>
      <c r="ATO78" s="364"/>
      <c r="ATP78" s="364"/>
      <c r="ATQ78" s="191"/>
      <c r="ATR78" s="191"/>
      <c r="ATS78" s="191"/>
      <c r="ATT78" s="191"/>
      <c r="ATU78" s="191"/>
      <c r="ATV78" s="191"/>
      <c r="ATW78" s="191"/>
      <c r="ATX78" s="191"/>
      <c r="ATY78" s="191"/>
      <c r="ATZ78" s="364"/>
      <c r="AUA78" s="364"/>
      <c r="AUB78" s="364"/>
      <c r="AUC78" s="364"/>
      <c r="AUD78" s="364"/>
      <c r="AUE78" s="364"/>
      <c r="AUF78" s="364"/>
      <c r="AUG78" s="5"/>
      <c r="AUH78" s="364"/>
      <c r="AUI78" s="364"/>
      <c r="AUJ78" s="364"/>
      <c r="AUK78" s="364"/>
      <c r="AUL78" s="364"/>
      <c r="AUM78" s="364"/>
      <c r="AUN78" s="364"/>
      <c r="AUO78" s="364"/>
      <c r="AUP78" s="364"/>
      <c r="AUQ78" s="364"/>
      <c r="AUR78" s="364"/>
      <c r="AUS78" s="364"/>
      <c r="AUT78" s="364"/>
      <c r="AUU78" s="364"/>
      <c r="AUV78" s="364"/>
      <c r="AUW78" s="364"/>
      <c r="AUX78" s="364"/>
      <c r="AUY78" s="364"/>
      <c r="AUZ78" s="364"/>
      <c r="AVA78" s="364"/>
      <c r="AVB78" s="364"/>
      <c r="AVC78" s="364"/>
      <c r="AVD78" s="364"/>
      <c r="AVE78" s="364"/>
      <c r="AVF78" s="364"/>
      <c r="AVG78" s="364"/>
      <c r="AVH78" s="364"/>
      <c r="AVI78" s="364"/>
      <c r="AVJ78" s="364"/>
      <c r="AVK78" s="364"/>
      <c r="AVL78" s="364"/>
      <c r="AVM78" s="5"/>
      <c r="AVN78" s="364"/>
      <c r="AVO78" s="364"/>
      <c r="AVP78" s="364"/>
      <c r="AVQ78" s="364"/>
      <c r="AVR78" s="364"/>
      <c r="AVS78" s="364"/>
      <c r="AVT78" s="364"/>
      <c r="AVU78" s="364"/>
      <c r="AVV78" s="364"/>
      <c r="AVW78" s="364"/>
      <c r="AVX78" s="364"/>
      <c r="AVY78" s="364"/>
      <c r="AVZ78" s="364"/>
      <c r="AWA78" s="364"/>
      <c r="AWB78" s="364"/>
      <c r="AWC78" s="364"/>
      <c r="AWD78" s="364"/>
      <c r="AWE78" s="364"/>
      <c r="AWF78" s="364"/>
      <c r="AWG78" s="364"/>
      <c r="AWH78" s="364"/>
      <c r="AWI78" s="364"/>
      <c r="AWJ78" s="364"/>
      <c r="AWK78" s="364"/>
      <c r="AWL78" s="364"/>
      <c r="AWM78" s="364"/>
      <c r="AWN78" s="364"/>
      <c r="AWO78" s="364"/>
      <c r="AWP78" s="364"/>
      <c r="AWQ78" s="364"/>
      <c r="AWR78" s="5"/>
      <c r="AWS78" s="364"/>
      <c r="AWT78" s="364"/>
      <c r="AWU78" s="364"/>
      <c r="AWV78" s="364"/>
      <c r="AWW78" s="364"/>
      <c r="AWX78" s="364"/>
      <c r="AWY78" s="364"/>
      <c r="AWZ78" s="364"/>
      <c r="AXA78" s="364"/>
      <c r="AXB78" s="364"/>
      <c r="AXC78" s="364"/>
      <c r="AXD78" s="364"/>
      <c r="AXE78" s="364"/>
      <c r="AXF78" s="364"/>
      <c r="AXG78" s="364"/>
      <c r="AXH78" s="364"/>
      <c r="AXI78" s="364"/>
      <c r="AXJ78" s="364"/>
      <c r="AXK78" s="364"/>
      <c r="AXL78" s="364"/>
      <c r="AXM78" s="364"/>
      <c r="AXN78" s="364"/>
      <c r="AXO78" s="364"/>
      <c r="AXP78" s="364"/>
      <c r="AXQ78" s="364"/>
      <c r="AXR78" s="364"/>
      <c r="AXS78" s="364"/>
      <c r="AXT78" s="364"/>
      <c r="AXU78" s="364"/>
      <c r="AXV78" s="364"/>
      <c r="AXW78" s="364"/>
      <c r="AXX78" s="5"/>
      <c r="AXY78" s="364"/>
      <c r="AXZ78" s="364"/>
      <c r="AYA78" s="364"/>
      <c r="AYB78" s="364"/>
      <c r="AYC78" s="364"/>
      <c r="AYD78" s="364"/>
      <c r="AYE78" s="364"/>
      <c r="AYF78" s="364"/>
      <c r="AYG78" s="364"/>
      <c r="AYH78" s="364"/>
      <c r="AYI78" s="364"/>
      <c r="AYJ78" s="364"/>
      <c r="AYK78" s="364"/>
      <c r="AYL78" s="364"/>
      <c r="AYM78" s="364"/>
      <c r="AYN78" s="364"/>
      <c r="AYO78" s="364"/>
      <c r="AYP78" s="364"/>
      <c r="AYQ78" s="364"/>
      <c r="AYR78" s="364"/>
      <c r="AYS78" s="364"/>
      <c r="AYT78" s="364"/>
      <c r="AYU78" s="364"/>
      <c r="AYV78" s="364"/>
      <c r="AYW78" s="364"/>
      <c r="AYX78" s="364"/>
      <c r="AYY78" s="364"/>
      <c r="AYZ78" s="364"/>
      <c r="AZA78" s="364"/>
      <c r="AZB78" s="364"/>
      <c r="AZC78" s="364"/>
      <c r="AZD78" s="364"/>
      <c r="AZE78" s="364"/>
      <c r="AZF78" s="364"/>
      <c r="AZG78" s="364"/>
      <c r="AZH78" s="364"/>
      <c r="AZI78" s="364"/>
      <c r="AZJ78" s="364"/>
      <c r="AZK78" s="364"/>
      <c r="AZL78" s="364"/>
      <c r="AZM78" s="364"/>
      <c r="AZN78" s="364"/>
      <c r="AZO78" s="364"/>
      <c r="AZP78" s="364"/>
      <c r="AZQ78" s="364"/>
      <c r="AZR78" s="364"/>
      <c r="AZS78" s="364"/>
      <c r="AZT78" s="364"/>
      <c r="AZU78" s="364"/>
      <c r="AZV78" s="364"/>
      <c r="AZW78" s="364"/>
      <c r="AZX78" s="364"/>
      <c r="AZY78" s="364"/>
      <c r="AZZ78" s="364"/>
      <c r="BAA78" s="364"/>
      <c r="BAB78" s="364"/>
      <c r="BAC78" s="364"/>
      <c r="BAD78" s="364"/>
      <c r="BAE78" s="364"/>
      <c r="BAF78" s="364"/>
      <c r="BAG78" s="364"/>
      <c r="BAH78" s="364"/>
      <c r="BAI78" s="364"/>
      <c r="BAJ78" s="364"/>
      <c r="BAK78" s="364"/>
      <c r="BAL78" s="364"/>
      <c r="BAM78" s="364"/>
      <c r="BAN78" s="364"/>
      <c r="BAO78" s="364"/>
      <c r="BAP78" s="364"/>
      <c r="BAQ78" s="364"/>
      <c r="BAR78" s="364"/>
      <c r="BAS78" s="364"/>
      <c r="BAT78" s="364"/>
      <c r="BAU78" s="364"/>
      <c r="BAV78" s="364"/>
      <c r="BAW78" s="364"/>
      <c r="BAX78" s="364"/>
      <c r="BAY78" s="364"/>
      <c r="BAZ78" s="364"/>
      <c r="BBA78" s="364"/>
      <c r="BBB78" s="364"/>
      <c r="BBC78" s="364"/>
      <c r="BBD78" s="364"/>
      <c r="BBE78" s="364"/>
      <c r="BBF78" s="364"/>
      <c r="BBG78" s="364"/>
      <c r="BBH78" s="364"/>
      <c r="BBI78" s="364"/>
      <c r="BBJ78" s="364"/>
      <c r="BBK78" s="364"/>
      <c r="BBL78" s="364"/>
      <c r="BBM78" s="364"/>
      <c r="BBN78" s="364"/>
      <c r="BBO78" s="364"/>
      <c r="BBP78" s="364"/>
      <c r="BBQ78" s="364"/>
      <c r="BBR78" s="364"/>
      <c r="BBS78" s="364"/>
      <c r="BBT78" s="364"/>
      <c r="BBU78" s="364"/>
      <c r="BBV78" s="364"/>
      <c r="BBW78" s="364"/>
      <c r="BBX78" s="364"/>
      <c r="BBY78" s="364"/>
      <c r="BBZ78" s="364"/>
      <c r="BCA78" s="364"/>
      <c r="BCB78" s="364"/>
      <c r="BCC78" s="364"/>
      <c r="BCD78" s="364"/>
      <c r="BCE78" s="364"/>
      <c r="BCF78" s="364"/>
      <c r="BCG78" s="364"/>
      <c r="BCH78" s="364"/>
      <c r="BCI78" s="364"/>
      <c r="BCJ78" s="364"/>
      <c r="BCK78" s="364"/>
      <c r="BCL78" s="364"/>
      <c r="BCM78" s="364"/>
      <c r="BCN78" s="364"/>
      <c r="BCO78" s="364"/>
      <c r="BCP78" s="364"/>
      <c r="BCQ78" s="364"/>
      <c r="BCR78" s="364"/>
      <c r="BCS78" s="364"/>
      <c r="BCT78" s="364"/>
      <c r="BCU78" s="364"/>
      <c r="BCV78" s="364"/>
      <c r="BCW78" s="364"/>
      <c r="BCX78" s="364"/>
      <c r="BCY78" s="364"/>
      <c r="BCZ78" s="364"/>
      <c r="BDA78" s="364"/>
      <c r="BDB78" s="364"/>
      <c r="BDC78" s="364"/>
      <c r="BDD78" s="364"/>
      <c r="BDE78" s="364"/>
      <c r="BDF78" s="364"/>
      <c r="BDG78" s="364"/>
      <c r="BDH78" s="364"/>
      <c r="BDI78" s="364"/>
      <c r="BDJ78" s="364"/>
      <c r="BDK78" s="364"/>
      <c r="BDL78" s="364"/>
      <c r="BDM78" s="364"/>
      <c r="BDN78" s="364"/>
      <c r="BDO78" s="364"/>
      <c r="BDP78" s="364"/>
      <c r="BDQ78" s="364"/>
      <c r="BDR78" s="364"/>
      <c r="BDS78" s="364"/>
      <c r="BDT78" s="364"/>
      <c r="BDU78" s="364"/>
      <c r="BDV78" s="364"/>
      <c r="BDW78" s="364"/>
      <c r="BDX78" s="364"/>
      <c r="BDY78" s="364"/>
      <c r="BDZ78" s="364"/>
      <c r="BEA78" s="364"/>
      <c r="BEB78" s="364"/>
      <c r="BEC78" s="364"/>
      <c r="BED78" s="364"/>
      <c r="BEE78" s="364"/>
      <c r="BEF78" s="364"/>
      <c r="BEG78" s="364"/>
      <c r="BEH78" s="364"/>
      <c r="BEI78" s="364"/>
      <c r="BEJ78" s="364"/>
      <c r="BEK78" s="364"/>
      <c r="BEL78" s="364"/>
      <c r="BEM78" s="364"/>
      <c r="BEN78" s="364"/>
      <c r="BEO78" s="364"/>
      <c r="BEP78" s="364"/>
      <c r="BEQ78" s="364"/>
      <c r="BER78" s="364"/>
      <c r="BES78" s="364"/>
      <c r="BET78" s="364"/>
      <c r="BEU78" s="364"/>
      <c r="BEV78" s="364"/>
      <c r="BEW78" s="364"/>
      <c r="BEX78" s="364"/>
      <c r="BEY78" s="364"/>
      <c r="BEZ78" s="364"/>
      <c r="BFA78" s="364"/>
      <c r="BFB78" s="364"/>
      <c r="BFC78" s="364"/>
      <c r="BFD78" s="364"/>
      <c r="BFE78" s="364"/>
      <c r="BFF78" s="364"/>
      <c r="BFG78" s="364"/>
      <c r="BFH78" s="364"/>
      <c r="BFI78" s="364"/>
      <c r="BFJ78" s="364"/>
      <c r="BFK78" s="364"/>
      <c r="BFL78" s="364"/>
      <c r="BFM78" s="364"/>
      <c r="BFN78" s="364"/>
      <c r="BFO78" s="364"/>
      <c r="BFP78" s="364"/>
      <c r="BFQ78" s="364"/>
      <c r="BFR78" s="364"/>
      <c r="BFS78" s="364"/>
      <c r="BFT78" s="364"/>
      <c r="BFU78" s="364"/>
      <c r="BFV78" s="364"/>
      <c r="BFW78" s="364"/>
      <c r="BFX78" s="364"/>
      <c r="BFY78" s="364"/>
      <c r="BFZ78" s="364"/>
      <c r="BGA78" s="364"/>
      <c r="BGB78" s="364"/>
      <c r="BGC78" s="364"/>
      <c r="BGD78" s="364"/>
      <c r="BGE78" s="364"/>
      <c r="BGF78" s="364"/>
      <c r="BGG78" s="364"/>
      <c r="BGH78" s="364"/>
      <c r="BGI78" s="364"/>
      <c r="BGJ78" s="364"/>
      <c r="BGK78" s="364"/>
      <c r="BGL78" s="364"/>
      <c r="BGM78" s="364"/>
      <c r="BGN78" s="364"/>
      <c r="BGO78" s="364"/>
      <c r="BGP78" s="364"/>
      <c r="BGQ78" s="364"/>
      <c r="BGR78" s="364"/>
      <c r="BGS78" s="364"/>
      <c r="BGT78" s="364"/>
      <c r="BGU78" s="364"/>
      <c r="BGV78" s="364"/>
      <c r="BGW78" s="364"/>
      <c r="BGX78" s="364"/>
      <c r="BGY78" s="364"/>
      <c r="BGZ78" s="364"/>
      <c r="BHA78" s="364"/>
      <c r="BHB78" s="364"/>
      <c r="BHC78" s="364"/>
      <c r="BHD78" s="364"/>
      <c r="BHE78" s="364"/>
      <c r="BHF78" s="364"/>
      <c r="BHG78" s="364"/>
      <c r="BHH78" s="364"/>
      <c r="BHI78" s="364"/>
      <c r="BHJ78" s="364"/>
      <c r="BHK78" s="364"/>
      <c r="BHL78" s="364"/>
      <c r="BHM78" s="364"/>
      <c r="BHN78" s="364"/>
      <c r="BHO78" s="364"/>
      <c r="BHP78" s="364"/>
      <c r="BHQ78" s="364"/>
      <c r="BHR78" s="364"/>
      <c r="BHS78" s="364"/>
      <c r="BHT78" s="364"/>
      <c r="BHU78" s="364"/>
      <c r="BHV78" s="364"/>
      <c r="BHW78" s="364"/>
    </row>
    <row r="79" spans="1:1583" s="31" customFormat="1" ht="17.25" customHeight="1" x14ac:dyDescent="0.25">
      <c r="B79" s="5" t="s">
        <v>2545</v>
      </c>
      <c r="C79" s="43"/>
      <c r="D79" s="43"/>
      <c r="E79" s="43"/>
      <c r="F79" s="43"/>
      <c r="G79" s="43"/>
      <c r="H79" s="43"/>
      <c r="I79" s="43"/>
      <c r="J79" s="43"/>
      <c r="K79" s="43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93"/>
      <c r="AI79" s="43"/>
      <c r="AJ79" s="43"/>
      <c r="AK79" s="43"/>
      <c r="AQ79" s="731"/>
      <c r="AR79" s="732"/>
      <c r="AS79" s="732"/>
      <c r="AT79" s="732"/>
      <c r="AU79" s="732"/>
      <c r="AV79" s="732"/>
      <c r="AW79" s="732"/>
      <c r="AX79" s="732"/>
      <c r="AY79" s="732"/>
      <c r="AZ79" s="73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92"/>
      <c r="CS79" s="92"/>
      <c r="CT79" s="43"/>
      <c r="CU79" s="43"/>
      <c r="CV79" s="43"/>
      <c r="CW79" s="43"/>
      <c r="CX79" s="43"/>
      <c r="DP79" s="30"/>
      <c r="DQ79" s="43"/>
      <c r="DS79" s="43"/>
      <c r="DT79" s="43"/>
      <c r="DU79" s="43"/>
      <c r="DV79" s="43"/>
      <c r="DW79" s="43"/>
      <c r="DX79" s="43"/>
      <c r="DY79" s="43"/>
      <c r="ED79" s="30"/>
      <c r="EE79" s="30"/>
      <c r="EF79" s="30"/>
      <c r="EG79" s="30"/>
      <c r="EH79" s="30"/>
      <c r="EI79" s="30"/>
      <c r="EJ79" s="30"/>
      <c r="EK79" s="30"/>
      <c r="EL79" s="30"/>
      <c r="EM79" s="30"/>
      <c r="EN79" s="30"/>
      <c r="EO79" s="30"/>
      <c r="EP79" s="30"/>
      <c r="EQ79" s="30"/>
      <c r="ER79" s="30"/>
      <c r="ES79" s="30"/>
      <c r="ET79" s="30"/>
      <c r="EU79" s="30"/>
      <c r="EV79" s="30"/>
      <c r="EW79" s="30"/>
      <c r="EX79" s="43"/>
      <c r="EY79" s="43"/>
      <c r="EZ79" s="43"/>
      <c r="FA79" s="43"/>
      <c r="FB79" s="43"/>
      <c r="FC79" s="30"/>
      <c r="FE79" s="30"/>
      <c r="FH79" s="30"/>
      <c r="FI79" s="30"/>
      <c r="FJ79" s="30"/>
      <c r="FK79" s="30"/>
      <c r="FL79" s="30"/>
      <c r="FM79" s="30"/>
      <c r="FN79" s="30"/>
      <c r="FO79" s="30"/>
      <c r="FP79" s="30"/>
      <c r="FQ79" s="30"/>
      <c r="FR79" s="30"/>
      <c r="FS79" s="30"/>
      <c r="FT79" s="30"/>
      <c r="FU79" s="30"/>
      <c r="FV79" s="30"/>
      <c r="FW79" s="30"/>
      <c r="FX79" s="30"/>
      <c r="FY79" s="30"/>
      <c r="FZ79" s="30"/>
      <c r="GA79" s="30"/>
      <c r="GB79" s="30"/>
      <c r="GC79" s="30"/>
      <c r="GD79" s="30"/>
      <c r="GE79" s="78"/>
      <c r="GF79" s="78"/>
      <c r="GG79" s="78"/>
      <c r="GH79" s="78"/>
      <c r="GI79" s="78"/>
      <c r="GJ79" s="78"/>
      <c r="GK79" s="79"/>
      <c r="GL79" s="79"/>
      <c r="GM79" s="79"/>
      <c r="GN79" s="30"/>
      <c r="HC79" s="78"/>
      <c r="HD79" s="78"/>
      <c r="HE79" s="78"/>
      <c r="HF79" s="78"/>
      <c r="HG79" s="78"/>
      <c r="HH79" s="78"/>
      <c r="HI79" s="78"/>
      <c r="HJ79" s="78"/>
      <c r="HK79" s="78"/>
      <c r="HL79" s="78"/>
      <c r="HM79" s="78"/>
      <c r="HN79" s="78"/>
      <c r="HP79" s="92"/>
      <c r="IT79" s="92"/>
      <c r="JZ79" s="92"/>
      <c r="LE79" s="92">
        <v>11</v>
      </c>
      <c r="MK79" s="92"/>
      <c r="NP79" s="92"/>
      <c r="OG79" s="310"/>
      <c r="OH79" s="310"/>
      <c r="OI79" s="310"/>
      <c r="OJ79" s="310"/>
      <c r="OK79" s="310"/>
      <c r="OL79" s="310"/>
      <c r="OM79" s="310"/>
      <c r="ON79" s="310"/>
      <c r="OO79" s="310"/>
      <c r="OP79" s="310"/>
      <c r="OQ79" s="310"/>
      <c r="OR79" s="310"/>
      <c r="OS79" s="310"/>
      <c r="OT79" s="310"/>
      <c r="OU79" s="310"/>
      <c r="OV79" s="92"/>
      <c r="PP79" s="310"/>
      <c r="PQ79" s="310"/>
      <c r="QB79" s="92"/>
      <c r="QJ79" s="310"/>
      <c r="QK79" s="310"/>
      <c r="QL79" s="310"/>
      <c r="QQ79" s="310"/>
      <c r="QR79" s="310"/>
      <c r="QS79" s="310"/>
      <c r="QT79" s="310"/>
      <c r="QU79" s="310"/>
      <c r="QZ79" s="310"/>
      <c r="RA79" s="310"/>
      <c r="RB79" s="310"/>
      <c r="RC79" s="310"/>
      <c r="RD79" s="310"/>
      <c r="RE79" s="310"/>
      <c r="RF79" s="310"/>
      <c r="RG79" s="92"/>
      <c r="RH79" s="310"/>
      <c r="RI79" s="310"/>
      <c r="RJ79" s="310"/>
      <c r="RK79" s="310"/>
      <c r="RL79" s="310"/>
      <c r="SD79" s="310"/>
      <c r="SE79" s="310"/>
      <c r="SF79" s="310"/>
      <c r="SG79" s="310"/>
      <c r="SH79" s="310"/>
      <c r="SI79" s="310"/>
      <c r="SJ79" s="310"/>
      <c r="SM79" s="11"/>
      <c r="SS79" s="298"/>
      <c r="ST79" s="298"/>
      <c r="SU79" s="298"/>
      <c r="SV79" s="298"/>
      <c r="SW79" s="298"/>
      <c r="SX79" s="298"/>
      <c r="SY79" s="298"/>
      <c r="SZ79" s="298"/>
      <c r="TA79" s="298"/>
      <c r="TB79" s="298"/>
      <c r="TC79" s="298"/>
      <c r="TD79" s="298"/>
      <c r="TE79" s="298"/>
      <c r="TF79" s="298"/>
      <c r="TG79" s="298"/>
      <c r="TR79" s="92"/>
      <c r="TW79" s="310"/>
      <c r="TX79" s="310"/>
      <c r="TY79" s="310"/>
      <c r="TZ79" s="310"/>
      <c r="UA79" s="310"/>
      <c r="UB79" s="310"/>
      <c r="UC79" s="310"/>
      <c r="UO79" s="310"/>
      <c r="UP79" s="310"/>
      <c r="UR79" s="310"/>
      <c r="UV79" s="310"/>
      <c r="UW79" s="310"/>
      <c r="UX79" s="92"/>
      <c r="VH79" s="310"/>
      <c r="VJ79" s="310"/>
      <c r="VK79" s="310"/>
      <c r="VL79" s="310"/>
      <c r="VM79" s="310"/>
      <c r="VN79" s="310"/>
      <c r="VO79" s="310"/>
      <c r="VP79" s="310"/>
      <c r="VQ79" s="310"/>
      <c r="VR79" s="310"/>
      <c r="VS79" s="310"/>
      <c r="VT79" s="310"/>
      <c r="VU79" s="310"/>
      <c r="VV79" s="310"/>
      <c r="VW79" s="310"/>
      <c r="VX79" s="310"/>
      <c r="VY79" s="310"/>
      <c r="WC79" s="310"/>
      <c r="WD79" s="92"/>
      <c r="WE79" s="310"/>
      <c r="WF79" s="310"/>
      <c r="WG79" s="310"/>
      <c r="WH79" s="9"/>
      <c r="WI79" s="9"/>
      <c r="WJ79" s="310"/>
      <c r="WK79" s="310"/>
      <c r="WL79" s="310"/>
      <c r="WM79" s="310"/>
      <c r="WN79" s="310"/>
      <c r="WO79" s="310"/>
      <c r="WP79" s="310"/>
      <c r="WQ79" s="310"/>
      <c r="WR79" s="310"/>
      <c r="WS79" s="9"/>
      <c r="WT79" s="9"/>
      <c r="WU79" s="310"/>
      <c r="WV79" s="310"/>
      <c r="WW79" s="310"/>
      <c r="WX79" s="310"/>
      <c r="WY79" s="310"/>
      <c r="WZ79" s="310"/>
      <c r="XA79" s="310"/>
      <c r="XB79" s="310"/>
      <c r="XC79" s="310"/>
      <c r="XD79" s="310"/>
      <c r="XE79" s="310"/>
      <c r="XF79" s="310"/>
      <c r="XG79" s="92"/>
      <c r="XH79" s="298"/>
      <c r="XI79" s="298"/>
      <c r="XJ79" s="298"/>
      <c r="XK79" s="298"/>
      <c r="XL79" s="298"/>
      <c r="XM79" s="298"/>
      <c r="XN79" s="298"/>
      <c r="XO79" s="298"/>
      <c r="XP79" s="298"/>
      <c r="XQ79" s="298"/>
      <c r="XR79" s="298"/>
      <c r="XS79" s="298"/>
      <c r="XT79" s="298"/>
      <c r="XU79" s="298"/>
      <c r="XV79" s="298"/>
      <c r="XW79" s="298"/>
      <c r="XX79" s="298"/>
      <c r="XY79" s="298"/>
      <c r="YC79" s="310"/>
      <c r="YD79" s="310"/>
      <c r="YE79" s="310"/>
      <c r="YF79" s="310"/>
      <c r="YG79" s="310"/>
      <c r="YH79" s="310"/>
      <c r="YI79" s="310"/>
      <c r="YJ79" s="310"/>
      <c r="YK79" s="310"/>
      <c r="YL79" s="310"/>
      <c r="YM79" s="92"/>
      <c r="YN79" s="310"/>
      <c r="YO79" s="310"/>
      <c r="YP79" s="310"/>
      <c r="YQ79" s="310"/>
      <c r="YR79" s="310"/>
      <c r="YS79" s="310"/>
      <c r="YT79" s="310"/>
      <c r="YU79" s="310"/>
      <c r="YV79" s="310"/>
      <c r="YW79" s="310"/>
      <c r="YX79" s="310"/>
      <c r="YY79" s="310"/>
      <c r="YZ79" s="310"/>
      <c r="ZA79" s="310"/>
      <c r="ZB79" s="310"/>
      <c r="ZC79" s="310"/>
      <c r="ZD79" s="310"/>
      <c r="ZE79" s="310"/>
      <c r="ZF79" s="310"/>
      <c r="ZG79" s="310"/>
      <c r="ZH79" s="310"/>
      <c r="ZI79" s="310"/>
      <c r="ZJ79" s="310"/>
      <c r="ZK79" s="310"/>
      <c r="ZL79" s="310"/>
      <c r="ZM79" s="310"/>
      <c r="ZN79" s="310"/>
      <c r="ZO79" s="310"/>
      <c r="ZP79" s="310"/>
      <c r="ZQ79" s="310"/>
      <c r="ZR79" s="92">
        <v>9</v>
      </c>
      <c r="ZS79" s="310"/>
      <c r="ZT79" s="310"/>
      <c r="AAN79" s="310"/>
      <c r="AAO79" s="310"/>
      <c r="AAP79" s="310"/>
      <c r="AAT79" s="310"/>
      <c r="AAU79" s="310"/>
      <c r="AAV79" s="310"/>
      <c r="AAW79" s="310"/>
      <c r="AAX79" s="92"/>
      <c r="AAY79" s="310"/>
      <c r="AAZ79" s="310"/>
      <c r="ABA79" s="310"/>
      <c r="ABB79" s="310"/>
      <c r="ABE79" s="310"/>
      <c r="ABF79" s="310"/>
      <c r="ABG79" s="310"/>
      <c r="ABH79" s="310"/>
      <c r="ABI79" s="310"/>
      <c r="ABJ79" s="310"/>
      <c r="ABK79" s="310"/>
      <c r="ABL79" s="310"/>
      <c r="ABM79" s="310"/>
      <c r="ABN79" s="310"/>
      <c r="ABO79" s="310"/>
      <c r="ABP79" s="310"/>
      <c r="ABQ79" s="310"/>
      <c r="ABR79" s="310"/>
      <c r="ABS79" s="310"/>
      <c r="ABT79" s="310"/>
      <c r="ABU79" s="310"/>
      <c r="ABV79" s="310"/>
      <c r="ABW79" s="310"/>
      <c r="ABX79" s="310"/>
      <c r="ABY79" s="310"/>
      <c r="ABZ79" s="310"/>
      <c r="ACA79" s="310"/>
      <c r="ACB79" s="310"/>
      <c r="ACC79" s="92"/>
      <c r="ACE79" s="310"/>
      <c r="ACF79" s="310"/>
      <c r="ACG79" s="310"/>
      <c r="ACH79" s="310"/>
      <c r="ACI79" s="310"/>
      <c r="ACJ79" s="310"/>
      <c r="ACK79" s="310"/>
      <c r="ACL79" s="310"/>
      <c r="ACM79" s="310"/>
      <c r="ACN79" s="310"/>
      <c r="ACO79" s="310"/>
      <c r="ACP79" s="310"/>
      <c r="ACQ79" s="310"/>
      <c r="ACR79" s="310"/>
      <c r="ACS79" s="310"/>
      <c r="ACT79" s="310"/>
      <c r="ACU79" s="310"/>
      <c r="ACV79" s="310"/>
      <c r="ACW79" s="310"/>
      <c r="ACX79" s="310"/>
      <c r="ACY79" s="310"/>
      <c r="ACZ79" s="310"/>
      <c r="ADA79" s="310"/>
      <c r="ADB79" s="310"/>
      <c r="ADC79" s="310"/>
      <c r="ADD79" s="310"/>
      <c r="ADE79" s="310"/>
      <c r="ADF79" s="310"/>
      <c r="ADG79" s="310"/>
      <c r="ADH79" s="310"/>
      <c r="ADI79" s="310"/>
      <c r="ADJ79" s="310"/>
      <c r="ADK79" s="310"/>
      <c r="ADL79" s="310"/>
      <c r="ADM79" s="310"/>
      <c r="ADN79" s="310"/>
      <c r="ADO79" s="310"/>
      <c r="ADP79" s="310"/>
      <c r="ADQ79" s="310"/>
      <c r="ADR79" s="310"/>
      <c r="ADS79" s="310"/>
      <c r="ADT79" s="310"/>
      <c r="ADU79" s="310"/>
      <c r="ADV79" s="310"/>
      <c r="ADW79" s="310"/>
      <c r="ADX79" s="310"/>
      <c r="ADY79" s="310"/>
      <c r="ADZ79" s="310"/>
      <c r="AEA79" s="310"/>
      <c r="AEB79" s="310"/>
      <c r="AEC79" s="310"/>
      <c r="AED79" s="310"/>
      <c r="AEE79" s="310"/>
      <c r="AEF79" s="310"/>
      <c r="AEG79" s="310"/>
      <c r="AEH79" s="310"/>
      <c r="AEI79" s="310"/>
      <c r="AEJ79" s="310"/>
      <c r="AEK79" s="310"/>
      <c r="AEL79" s="310"/>
      <c r="AEM79" s="310"/>
      <c r="AEN79" s="310"/>
      <c r="AEO79" s="310"/>
      <c r="AEP79" s="310"/>
      <c r="AEQ79" s="310"/>
      <c r="AER79" s="310"/>
      <c r="AES79" s="310"/>
      <c r="AET79" s="310"/>
      <c r="AEU79" s="310"/>
      <c r="AEV79" s="310"/>
      <c r="AEW79" s="310"/>
      <c r="AEX79" s="310"/>
      <c r="AEY79" s="310"/>
      <c r="AEZ79" s="310"/>
      <c r="AFA79" s="310"/>
      <c r="AFB79" s="310"/>
      <c r="AFC79" s="310"/>
      <c r="AFD79" s="310"/>
      <c r="AFE79" s="310"/>
      <c r="AFF79" s="310"/>
      <c r="AFG79" s="310"/>
      <c r="AFH79" s="310"/>
      <c r="AFI79" s="310"/>
      <c r="AFJ79" s="310"/>
      <c r="AFK79" s="310"/>
      <c r="AFL79" s="310"/>
      <c r="AFM79" s="310"/>
      <c r="AFN79" s="310"/>
      <c r="AFO79" s="310"/>
      <c r="AFP79" s="310"/>
      <c r="AFQ79" s="310"/>
      <c r="AFR79" s="310"/>
      <c r="AFS79" s="310"/>
      <c r="AFT79" s="310"/>
      <c r="AFU79" s="364"/>
      <c r="AFV79" s="364"/>
      <c r="AFW79" s="364"/>
      <c r="AFX79" s="364"/>
      <c r="AFY79" s="364"/>
      <c r="AFZ79" s="364"/>
      <c r="AGA79" s="364"/>
      <c r="AGB79" s="364"/>
      <c r="AGC79" s="364"/>
      <c r="AGD79" s="364"/>
      <c r="AGE79" s="364"/>
      <c r="AGF79" s="364"/>
      <c r="AGG79" s="364"/>
      <c r="AGH79" s="364"/>
      <c r="AGI79" s="364"/>
      <c r="AGJ79" s="364"/>
      <c r="AGK79" s="364"/>
      <c r="AGL79" s="364"/>
      <c r="AGM79" s="364"/>
      <c r="AGN79" s="364"/>
      <c r="AGO79" s="364"/>
      <c r="AGP79" s="364"/>
      <c r="AGQ79" s="364"/>
      <c r="AGR79" s="364"/>
      <c r="AGS79" s="364"/>
      <c r="AGT79" s="364"/>
      <c r="AGU79" s="364"/>
      <c r="AGV79" s="364"/>
      <c r="AGW79" s="364"/>
      <c r="AGX79" s="364"/>
      <c r="AGY79" s="364"/>
      <c r="AGZ79" s="364"/>
      <c r="AHA79" s="364"/>
      <c r="AHB79" s="364"/>
      <c r="AHC79" s="364"/>
      <c r="AHD79" s="364"/>
      <c r="AHE79" s="364"/>
      <c r="AHF79" s="364"/>
      <c r="AHG79" s="364"/>
      <c r="AHH79" s="364"/>
      <c r="AHI79" s="364"/>
      <c r="AHN79" s="310"/>
      <c r="AHO79" s="310"/>
      <c r="AHP79" s="314">
        <v>500</v>
      </c>
      <c r="AHQ79" s="314">
        <v>1000</v>
      </c>
      <c r="AHR79" s="314">
        <v>1210</v>
      </c>
      <c r="AHS79" s="136"/>
      <c r="AHT79" s="314">
        <v>1210</v>
      </c>
      <c r="AHU79" s="314">
        <v>1210</v>
      </c>
      <c r="AHV79" s="314">
        <v>1210</v>
      </c>
      <c r="AHW79" s="314">
        <v>1210</v>
      </c>
      <c r="AHX79" s="314">
        <v>1210</v>
      </c>
      <c r="AHY79" s="314">
        <v>1210</v>
      </c>
      <c r="AHZ79" s="136"/>
      <c r="AIA79" s="314">
        <v>1210</v>
      </c>
      <c r="AIB79" s="124">
        <v>1210</v>
      </c>
      <c r="AIC79" s="310"/>
      <c r="AID79" s="310"/>
      <c r="AIE79" s="310"/>
      <c r="AIF79" s="310"/>
      <c r="AIG79" s="310"/>
      <c r="AIH79" s="310"/>
      <c r="AII79" s="310"/>
      <c r="AIJ79" s="310"/>
      <c r="AIK79" s="310"/>
      <c r="AIL79" s="310"/>
      <c r="AIM79" s="310"/>
      <c r="AIN79" s="310"/>
      <c r="AIO79" s="310"/>
      <c r="AIP79" s="310"/>
      <c r="AIQ79" s="310"/>
      <c r="AIR79" s="310"/>
      <c r="AIS79" s="364"/>
      <c r="AIT79" s="364"/>
      <c r="AIU79" s="364"/>
      <c r="AIV79" s="364"/>
      <c r="AIW79" s="364"/>
      <c r="AIX79" s="364"/>
      <c r="AIY79" s="364"/>
      <c r="AIZ79" s="364"/>
      <c r="AJA79" s="364"/>
      <c r="AJB79" s="364"/>
      <c r="AJD79" s="310"/>
      <c r="AJE79" s="310"/>
      <c r="AJF79" s="310"/>
      <c r="AJG79" s="310"/>
      <c r="AJH79" s="310"/>
      <c r="AJI79" s="310"/>
      <c r="AJJ79" s="310"/>
      <c r="AJK79" s="92"/>
      <c r="AJL79" s="310"/>
      <c r="AJM79" s="310"/>
      <c r="AJN79" s="310"/>
      <c r="AJO79" s="310"/>
      <c r="AJP79" s="310"/>
      <c r="AJQ79" s="310"/>
      <c r="AJR79" s="310"/>
      <c r="AJS79" s="310"/>
      <c r="AJT79" s="310"/>
      <c r="AJU79" s="310"/>
      <c r="AJV79" s="310"/>
      <c r="AJW79" s="310"/>
      <c r="AJX79" s="310"/>
      <c r="AJY79" s="310"/>
      <c r="AJZ79" s="310"/>
      <c r="AKA79" s="310"/>
      <c r="AKB79" s="310"/>
      <c r="AKC79" s="310"/>
      <c r="AKD79" s="310"/>
      <c r="AKE79" s="310"/>
      <c r="AKF79" s="310"/>
      <c r="AKG79" s="310"/>
      <c r="AKH79" s="310"/>
      <c r="AKI79" s="310"/>
      <c r="AKJ79" s="310"/>
      <c r="AKK79" s="310"/>
      <c r="AKL79" s="310"/>
      <c r="AKM79" s="310"/>
      <c r="AKN79" s="310"/>
      <c r="AKO79" s="310"/>
      <c r="AKP79" s="310"/>
      <c r="AKQ79" s="92"/>
      <c r="AKR79" s="310"/>
      <c r="AKS79" s="310"/>
      <c r="AKT79" s="310"/>
      <c r="AKU79" s="310"/>
      <c r="AKV79" s="310"/>
      <c r="AKW79" s="310"/>
      <c r="AKX79" s="310"/>
      <c r="AKY79" s="310"/>
      <c r="AKZ79" s="310"/>
      <c r="ALA79" s="310"/>
      <c r="ALB79" s="310"/>
      <c r="ALC79" s="310"/>
      <c r="ALD79" s="310"/>
      <c r="ALE79" s="310"/>
      <c r="ALF79" s="310"/>
      <c r="ALT79" s="92" t="s">
        <v>2545</v>
      </c>
      <c r="ALX79" s="310"/>
      <c r="ALY79" s="310"/>
      <c r="ALZ79" s="310"/>
      <c r="AMA79" s="310"/>
      <c r="AMB79" s="310"/>
      <c r="AMC79" s="310"/>
      <c r="AMD79" s="310"/>
      <c r="AME79" s="310"/>
      <c r="AMZ79" s="92"/>
      <c r="ANA79" s="364"/>
      <c r="ANB79" s="364"/>
      <c r="ANC79" s="364"/>
      <c r="ANH79" s="364"/>
      <c r="ANI79" s="364"/>
      <c r="ANJ79" s="364"/>
      <c r="ANK79" s="364"/>
      <c r="ANL79" s="364"/>
      <c r="ANM79" s="364"/>
      <c r="ANN79" s="364"/>
      <c r="ANO79" s="364"/>
      <c r="ANP79" s="364"/>
      <c r="ANQ79" s="364"/>
      <c r="ANR79" s="364"/>
      <c r="ANS79" s="364"/>
      <c r="ANT79" s="364"/>
      <c r="ANU79" s="364"/>
      <c r="ANV79" s="364"/>
      <c r="ANW79" s="364"/>
      <c r="ANX79" s="364"/>
      <c r="ANY79" s="364"/>
      <c r="ANZ79" s="364"/>
      <c r="AOA79" s="364"/>
      <c r="AOB79" s="364"/>
      <c r="AOC79" s="364"/>
      <c r="AOD79" s="364"/>
      <c r="AOE79" s="92"/>
      <c r="APK79" s="92"/>
      <c r="APL79" s="364"/>
      <c r="APM79" s="364"/>
      <c r="APN79" s="364"/>
      <c r="APO79" s="364"/>
      <c r="APP79" s="364"/>
      <c r="APQ79" s="364"/>
      <c r="APR79" s="364"/>
      <c r="APS79" s="364"/>
      <c r="APT79" s="364"/>
      <c r="APU79" s="364"/>
      <c r="APV79" s="364"/>
      <c r="APW79" s="364"/>
      <c r="APX79" s="364"/>
      <c r="APY79" s="364"/>
      <c r="APZ79" s="364"/>
      <c r="AQA79" s="364"/>
      <c r="AQB79" s="364"/>
      <c r="AQC79" s="364"/>
      <c r="AQD79" s="364"/>
      <c r="AQE79" s="364"/>
      <c r="AQF79" s="364"/>
      <c r="AQG79" s="364"/>
      <c r="AQH79" s="364"/>
      <c r="AQI79" s="364"/>
      <c r="AQJ79" s="364"/>
      <c r="AQK79" s="364"/>
      <c r="AQL79" s="364"/>
      <c r="AQM79" s="364"/>
      <c r="AQN79" s="364"/>
      <c r="AQO79" s="364"/>
      <c r="AQP79" s="92"/>
      <c r="AQQ79" s="364"/>
      <c r="AQR79" s="364"/>
      <c r="AQS79" s="364"/>
      <c r="AQT79" s="364"/>
      <c r="AQU79" s="364"/>
      <c r="AQV79" s="364"/>
      <c r="AQW79" s="364"/>
      <c r="AQX79" s="637"/>
      <c r="AQY79" s="637"/>
      <c r="AQZ79" s="637"/>
      <c r="ARA79" s="637"/>
      <c r="ARB79" s="637"/>
      <c r="ARC79" s="637"/>
      <c r="ARD79" s="637"/>
      <c r="ARE79" s="637"/>
      <c r="ARF79" s="637"/>
      <c r="ARG79" s="364"/>
      <c r="ARH79" s="364"/>
      <c r="ARI79" s="364"/>
      <c r="ARJ79" s="364"/>
      <c r="ARK79" s="364"/>
      <c r="ARL79" s="364"/>
      <c r="ARM79" s="364"/>
      <c r="ARN79" s="364"/>
      <c r="ARO79" s="364"/>
      <c r="ARP79" s="364"/>
      <c r="ARQ79" s="364"/>
      <c r="ARR79" s="364"/>
      <c r="ARS79" s="364"/>
      <c r="ART79" s="364"/>
      <c r="ARU79" s="364"/>
      <c r="ARV79" s="5" t="s">
        <v>2545</v>
      </c>
      <c r="ARW79" s="364"/>
      <c r="ARX79" s="364"/>
      <c r="ARY79" s="364"/>
      <c r="ARZ79" s="364"/>
      <c r="ASA79" s="364"/>
      <c r="ASB79" s="364"/>
      <c r="ASC79" s="364"/>
      <c r="ASD79" s="364"/>
      <c r="ASE79" s="364"/>
      <c r="ASF79" s="364"/>
      <c r="ASG79" s="364"/>
      <c r="ASH79" s="364"/>
      <c r="ASI79" s="364"/>
      <c r="ASJ79" s="364"/>
      <c r="ASK79" s="364"/>
      <c r="ASL79" s="364"/>
      <c r="ASM79" s="364"/>
      <c r="ASN79" s="364"/>
      <c r="ASO79" s="364"/>
      <c r="ASP79" s="364"/>
      <c r="ASQ79" s="364"/>
      <c r="ASR79" s="364"/>
      <c r="ASS79" s="364"/>
      <c r="AST79" s="364"/>
      <c r="ASU79" s="364"/>
      <c r="ASV79" s="364"/>
      <c r="ASW79" s="364"/>
      <c r="ASX79" s="364"/>
      <c r="ASY79" s="364"/>
      <c r="ASZ79" s="364"/>
      <c r="ATA79" s="364"/>
      <c r="ATB79" s="5" t="s">
        <v>2545</v>
      </c>
      <c r="ATC79" s="364"/>
      <c r="ATD79" s="364"/>
      <c r="ATE79" s="364"/>
      <c r="ATF79" s="364"/>
      <c r="ATG79" s="364"/>
      <c r="ATH79" s="364"/>
      <c r="ATI79" s="364"/>
      <c r="ATJ79" s="364"/>
      <c r="ATK79" s="364"/>
      <c r="ATL79" s="364"/>
      <c r="ATM79" s="364"/>
      <c r="ATN79" s="364"/>
      <c r="ATO79" s="364"/>
      <c r="ATP79" s="364"/>
      <c r="ATQ79" s="191"/>
      <c r="ATR79" s="191"/>
      <c r="ATS79" s="191"/>
      <c r="ATT79" s="191"/>
      <c r="ATU79" s="191"/>
      <c r="ATV79" s="191"/>
      <c r="ATW79" s="191"/>
      <c r="ATX79" s="191"/>
      <c r="ATY79" s="191"/>
      <c r="ATZ79" s="364"/>
      <c r="AUA79" s="364"/>
      <c r="AUB79" s="364"/>
      <c r="AUC79" s="364"/>
      <c r="AUD79" s="364"/>
      <c r="AUE79" s="364"/>
      <c r="AUF79" s="364"/>
      <c r="AUG79" s="5" t="s">
        <v>2545</v>
      </c>
      <c r="AUH79" s="364"/>
      <c r="AUI79" s="364"/>
      <c r="AUJ79" s="364"/>
      <c r="AUK79" s="364"/>
      <c r="AUL79" s="364"/>
      <c r="AUM79" s="364"/>
      <c r="AUN79" s="364"/>
      <c r="AUO79" s="364"/>
      <c r="AUP79" s="364"/>
      <c r="AUQ79" s="364"/>
      <c r="AUR79" s="364"/>
      <c r="AUS79" s="364"/>
      <c r="AUT79" s="364"/>
      <c r="AUU79" s="364"/>
      <c r="AUV79" s="364"/>
      <c r="AUW79" s="364"/>
      <c r="AUX79" s="364"/>
      <c r="AUY79" s="364"/>
      <c r="AUZ79" s="364"/>
      <c r="AVA79" s="364"/>
      <c r="AVB79" s="364"/>
      <c r="AVC79" s="364"/>
      <c r="AVD79" s="364"/>
      <c r="AVE79" s="364"/>
      <c r="AVF79" s="364"/>
      <c r="AVG79" s="364"/>
      <c r="AVH79" s="364"/>
      <c r="AVI79" s="364"/>
      <c r="AVJ79" s="364"/>
      <c r="AVK79" s="364"/>
      <c r="AVL79" s="364"/>
      <c r="AVM79" s="5" t="s">
        <v>2545</v>
      </c>
      <c r="AVN79" s="364"/>
      <c r="AVO79" s="364"/>
      <c r="AVP79" s="364"/>
      <c r="AVQ79" s="364"/>
      <c r="AVR79" s="364"/>
      <c r="AVS79" s="364"/>
      <c r="AVT79" s="364"/>
      <c r="AVU79" s="364"/>
      <c r="AVV79" s="364"/>
      <c r="AVW79" s="364"/>
      <c r="AVX79" s="364"/>
      <c r="AVY79" s="364"/>
      <c r="AVZ79" s="364"/>
      <c r="AWA79" s="364"/>
      <c r="AWB79" s="364"/>
      <c r="AWC79" s="364"/>
      <c r="AWD79" s="364"/>
      <c r="AWE79" s="364"/>
      <c r="AWF79" s="364"/>
      <c r="AWG79" s="364"/>
      <c r="AWH79" s="364"/>
      <c r="AWI79" s="364"/>
      <c r="AWJ79" s="364"/>
      <c r="AWK79" s="364"/>
      <c r="AWL79" s="364"/>
      <c r="AWM79" s="364"/>
      <c r="AWN79" s="364"/>
      <c r="AWO79" s="364"/>
      <c r="AWP79" s="364"/>
      <c r="AWQ79" s="364"/>
      <c r="AWR79" s="5" t="s">
        <v>2545</v>
      </c>
      <c r="AWS79" s="364"/>
      <c r="AWT79" s="364"/>
      <c r="AWU79" s="364"/>
      <c r="AWV79" s="364"/>
      <c r="AWW79" s="364"/>
      <c r="AWX79" s="364"/>
      <c r="AWY79" s="364"/>
      <c r="AWZ79" s="364"/>
      <c r="AXA79" s="364"/>
      <c r="AXB79" s="364"/>
      <c r="AXC79" s="364"/>
      <c r="AXD79" s="364"/>
      <c r="AXE79" s="364"/>
      <c r="AXF79" s="364"/>
      <c r="AXG79" s="364"/>
      <c r="AXH79" s="364"/>
      <c r="AXI79" s="364"/>
      <c r="AXJ79" s="364"/>
      <c r="AXK79" s="364"/>
      <c r="AXL79" s="364"/>
      <c r="AXM79" s="364"/>
      <c r="AXN79" s="364"/>
      <c r="AXO79" s="364"/>
      <c r="AXP79" s="364"/>
      <c r="AXQ79" s="364"/>
      <c r="AXR79" s="364"/>
      <c r="AXS79" s="364"/>
      <c r="AXT79" s="364"/>
      <c r="AXU79" s="364"/>
      <c r="AXV79" s="364"/>
      <c r="AXW79" s="364"/>
      <c r="AXX79" s="5" t="s">
        <v>2545</v>
      </c>
      <c r="AXY79" s="364"/>
      <c r="AXZ79" s="364"/>
      <c r="AYA79" s="364"/>
      <c r="AYB79" s="364"/>
      <c r="AYC79" s="364"/>
      <c r="AYD79" s="364"/>
      <c r="AYE79" s="364"/>
      <c r="AYF79" s="364"/>
      <c r="AYG79" s="364"/>
      <c r="AYH79" s="364"/>
      <c r="AYI79" s="364"/>
      <c r="AYJ79" s="364"/>
      <c r="AYK79" s="364"/>
      <c r="AYL79" s="364"/>
      <c r="AYM79" s="364"/>
      <c r="AYN79" s="364"/>
      <c r="AYO79" s="364"/>
      <c r="AYP79" s="364"/>
      <c r="AYQ79" s="364"/>
      <c r="AYR79" s="364"/>
      <c r="AYS79" s="364"/>
      <c r="AYT79" s="364"/>
      <c r="AYU79" s="364"/>
      <c r="AYV79" s="364"/>
      <c r="AYW79" s="364"/>
      <c r="AYX79" s="364"/>
      <c r="AYY79" s="364"/>
      <c r="AYZ79" s="364"/>
      <c r="AZA79" s="364"/>
      <c r="AZB79" s="364"/>
      <c r="AZC79" s="364"/>
      <c r="AZD79" s="364"/>
      <c r="AZE79" s="364"/>
      <c r="AZF79" s="364"/>
      <c r="AZG79" s="364"/>
      <c r="AZH79" s="364"/>
      <c r="AZI79" s="364"/>
      <c r="AZJ79" s="364"/>
      <c r="AZK79" s="364"/>
      <c r="AZL79" s="364"/>
      <c r="AZM79" s="364"/>
      <c r="AZN79" s="364"/>
      <c r="AZO79" s="364"/>
      <c r="AZP79" s="364"/>
      <c r="AZQ79" s="364"/>
      <c r="AZR79" s="364"/>
      <c r="AZS79" s="364"/>
      <c r="AZT79" s="364"/>
      <c r="AZU79" s="364"/>
      <c r="AZV79" s="364"/>
      <c r="AZW79" s="364"/>
      <c r="AZX79" s="364"/>
      <c r="AZY79" s="364"/>
      <c r="AZZ79" s="364"/>
      <c r="BAA79" s="364"/>
      <c r="BAB79" s="364"/>
      <c r="BAC79" s="364"/>
      <c r="BAD79" s="364"/>
      <c r="BAE79" s="364"/>
      <c r="BAF79" s="364"/>
      <c r="BAG79" s="364"/>
      <c r="BAH79" s="364"/>
      <c r="BAI79" s="364"/>
      <c r="BAJ79" s="364"/>
      <c r="BAK79" s="364"/>
      <c r="BAL79" s="364"/>
      <c r="BAM79" s="364"/>
      <c r="BAN79" s="364"/>
      <c r="BAO79" s="364"/>
      <c r="BAP79" s="364"/>
      <c r="BAQ79" s="364"/>
      <c r="BAR79" s="364"/>
      <c r="BAS79" s="364"/>
      <c r="BAT79" s="364"/>
      <c r="BAU79" s="364"/>
      <c r="BAV79" s="364"/>
      <c r="BAW79" s="364"/>
      <c r="BAX79" s="364"/>
      <c r="BAY79" s="364"/>
      <c r="BAZ79" s="364"/>
      <c r="BBA79" s="364"/>
      <c r="BBB79" s="364"/>
      <c r="BBC79" s="364"/>
      <c r="BBD79" s="364"/>
      <c r="BBE79" s="364"/>
      <c r="BBF79" s="364"/>
      <c r="BBG79" s="364"/>
      <c r="BBH79" s="364"/>
      <c r="BBI79" s="364"/>
      <c r="BBJ79" s="364"/>
      <c r="BBK79" s="364"/>
      <c r="BBL79" s="364"/>
      <c r="BBM79" s="364"/>
      <c r="BBN79" s="364"/>
      <c r="BBO79" s="364"/>
      <c r="BBP79" s="364"/>
      <c r="BBQ79" s="364"/>
      <c r="BBR79" s="364"/>
      <c r="BBS79" s="364"/>
      <c r="BBT79" s="364"/>
      <c r="BBU79" s="364"/>
      <c r="BBV79" s="364"/>
      <c r="BBW79" s="364"/>
      <c r="BBX79" s="364"/>
      <c r="BBY79" s="364"/>
      <c r="BBZ79" s="364"/>
      <c r="BCA79" s="364"/>
      <c r="BCB79" s="364"/>
      <c r="BCC79" s="364"/>
      <c r="BCD79" s="364"/>
      <c r="BCE79" s="364"/>
      <c r="BCF79" s="364"/>
      <c r="BCG79" s="364"/>
      <c r="BCH79" s="364"/>
      <c r="BCI79" s="364"/>
      <c r="BCJ79" s="364"/>
      <c r="BCK79" s="364"/>
      <c r="BCL79" s="364"/>
      <c r="BCM79" s="364"/>
      <c r="BCN79" s="364"/>
      <c r="BCO79" s="364"/>
      <c r="BCP79" s="364"/>
      <c r="BCQ79" s="364"/>
      <c r="BCR79" s="364"/>
      <c r="BCS79" s="364"/>
      <c r="BCT79" s="364"/>
      <c r="BCU79" s="364"/>
      <c r="BCV79" s="364"/>
      <c r="BCW79" s="364"/>
      <c r="BCX79" s="364"/>
      <c r="BCY79" s="364"/>
      <c r="BCZ79" s="364"/>
      <c r="BDA79" s="364"/>
      <c r="BDB79" s="364"/>
      <c r="BDC79" s="364"/>
      <c r="BDD79" s="364"/>
      <c r="BDE79" s="364"/>
      <c r="BDF79" s="364"/>
      <c r="BDG79" s="364"/>
      <c r="BDH79" s="364"/>
      <c r="BDI79" s="364"/>
      <c r="BDJ79" s="364"/>
      <c r="BDK79" s="364"/>
      <c r="BDL79" s="364"/>
      <c r="BDM79" s="364"/>
      <c r="BDN79" s="364"/>
      <c r="BDO79" s="364"/>
      <c r="BDP79" s="364"/>
      <c r="BDQ79" s="364"/>
      <c r="BDR79" s="364"/>
      <c r="BDS79" s="364"/>
      <c r="BDT79" s="364"/>
      <c r="BDU79" s="364"/>
      <c r="BDV79" s="364"/>
      <c r="BDW79" s="364"/>
      <c r="BDX79" s="364"/>
      <c r="BDY79" s="364"/>
      <c r="BDZ79" s="364"/>
      <c r="BEA79" s="364"/>
      <c r="BEB79" s="364"/>
      <c r="BEC79" s="364"/>
      <c r="BED79" s="364"/>
      <c r="BEE79" s="364"/>
      <c r="BEF79" s="364"/>
      <c r="BEG79" s="364"/>
      <c r="BEH79" s="364"/>
      <c r="BEI79" s="364"/>
      <c r="BEJ79" s="364"/>
      <c r="BEK79" s="364"/>
      <c r="BEL79" s="364"/>
      <c r="BEM79" s="364"/>
      <c r="BEN79" s="364"/>
      <c r="BEO79" s="364"/>
      <c r="BEP79" s="364"/>
      <c r="BEQ79" s="364"/>
      <c r="BER79" s="364"/>
      <c r="BES79" s="364"/>
      <c r="BET79" s="364"/>
      <c r="BEU79" s="364"/>
      <c r="BEV79" s="364"/>
      <c r="BEW79" s="364"/>
      <c r="BEX79" s="364"/>
      <c r="BEY79" s="364"/>
      <c r="BEZ79" s="364"/>
      <c r="BFA79" s="364"/>
      <c r="BFB79" s="364"/>
      <c r="BFC79" s="364"/>
      <c r="BFD79" s="364"/>
      <c r="BFE79" s="364"/>
      <c r="BFF79" s="364"/>
      <c r="BFG79" s="364"/>
      <c r="BFH79" s="364"/>
      <c r="BFI79" s="364"/>
      <c r="BFJ79" s="364"/>
      <c r="BFK79" s="364"/>
      <c r="BFL79" s="364"/>
      <c r="BFM79" s="364"/>
      <c r="BFN79" s="364"/>
      <c r="BFO79" s="364"/>
      <c r="BFP79" s="364"/>
      <c r="BFQ79" s="364"/>
      <c r="BFR79" s="364"/>
      <c r="BFS79" s="364"/>
      <c r="BFT79" s="364"/>
      <c r="BFU79" s="364"/>
      <c r="BFV79" s="364"/>
      <c r="BFW79" s="364"/>
      <c r="BFX79" s="364"/>
      <c r="BFY79" s="364"/>
      <c r="BFZ79" s="364"/>
      <c r="BGA79" s="364"/>
      <c r="BGB79" s="364"/>
      <c r="BGC79" s="364"/>
      <c r="BGD79" s="364"/>
      <c r="BGE79" s="364"/>
      <c r="BGF79" s="364"/>
      <c r="BGG79" s="364"/>
      <c r="BGH79" s="364"/>
      <c r="BGI79" s="364"/>
      <c r="BGJ79" s="364"/>
      <c r="BGK79" s="364"/>
      <c r="BGL79" s="364"/>
      <c r="BGM79" s="364"/>
      <c r="BGN79" s="364"/>
      <c r="BGO79" s="364"/>
      <c r="BGP79" s="364"/>
      <c r="BGQ79" s="364"/>
      <c r="BGR79" s="364"/>
      <c r="BGS79" s="364"/>
      <c r="BGT79" s="364"/>
      <c r="BGU79" s="364"/>
      <c r="BGV79" s="364"/>
      <c r="BGW79" s="364"/>
      <c r="BGX79" s="364"/>
      <c r="BGY79" s="364"/>
      <c r="BGZ79" s="364"/>
      <c r="BHA79" s="364"/>
      <c r="BHB79" s="364"/>
      <c r="BHC79" s="364"/>
      <c r="BHD79" s="364"/>
      <c r="BHE79" s="364"/>
      <c r="BHF79" s="364"/>
      <c r="BHG79" s="364"/>
      <c r="BHH79" s="364"/>
      <c r="BHI79" s="364"/>
      <c r="BHJ79" s="364"/>
      <c r="BHK79" s="364"/>
      <c r="BHL79" s="364"/>
      <c r="BHM79" s="364"/>
      <c r="BHN79" s="364"/>
      <c r="BHO79" s="364"/>
      <c r="BHP79" s="364"/>
      <c r="BHQ79" s="364"/>
      <c r="BHR79" s="364"/>
      <c r="BHS79" s="364"/>
      <c r="BHT79" s="364"/>
      <c r="BHU79" s="364"/>
      <c r="BHV79" s="364"/>
      <c r="BHW79" s="364"/>
    </row>
    <row r="80" spans="1:1583" s="31" customFormat="1" ht="17.25" customHeight="1" x14ac:dyDescent="0.25">
      <c r="B80" s="5"/>
      <c r="C80" s="43"/>
      <c r="D80" s="43"/>
      <c r="E80" s="43"/>
      <c r="F80" s="43"/>
      <c r="G80" s="43"/>
      <c r="H80" s="43"/>
      <c r="I80" s="43"/>
      <c r="J80" s="43"/>
      <c r="K80" s="43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93"/>
      <c r="AI80" s="43"/>
      <c r="AJ80" s="43"/>
      <c r="AK80" s="43"/>
      <c r="AQ80" s="731"/>
      <c r="AR80" s="732"/>
      <c r="AS80" s="732"/>
      <c r="AT80" s="732"/>
      <c r="AU80" s="732"/>
      <c r="AV80" s="732"/>
      <c r="AW80" s="732"/>
      <c r="AX80" s="732"/>
      <c r="AY80" s="732"/>
      <c r="AZ80" s="73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92"/>
      <c r="CS80" s="92"/>
      <c r="CT80" s="43"/>
      <c r="CU80" s="43"/>
      <c r="CV80" s="43"/>
      <c r="CW80" s="43"/>
      <c r="CX80" s="43"/>
      <c r="DP80" s="30"/>
      <c r="DQ80" s="43"/>
      <c r="DS80" s="43"/>
      <c r="DT80" s="43"/>
      <c r="DU80" s="43"/>
      <c r="DV80" s="43"/>
      <c r="DW80" s="43"/>
      <c r="DX80" s="43"/>
      <c r="DY80" s="43"/>
      <c r="ED80" s="30"/>
      <c r="EE80" s="30"/>
      <c r="EF80" s="30"/>
      <c r="EG80" s="30"/>
      <c r="EH80" s="30"/>
      <c r="EI80" s="30"/>
      <c r="EJ80" s="30"/>
      <c r="EK80" s="30"/>
      <c r="EL80" s="30"/>
      <c r="EM80" s="30"/>
      <c r="EN80" s="30"/>
      <c r="EO80" s="30"/>
      <c r="EP80" s="30"/>
      <c r="EQ80" s="30"/>
      <c r="ER80" s="30"/>
      <c r="ES80" s="30"/>
      <c r="ET80" s="30"/>
      <c r="EU80" s="30"/>
      <c r="EV80" s="30"/>
      <c r="EW80" s="30"/>
      <c r="EX80" s="43"/>
      <c r="EY80" s="43"/>
      <c r="EZ80" s="43"/>
      <c r="FA80" s="43"/>
      <c r="FB80" s="43"/>
      <c r="FC80" s="30"/>
      <c r="FE80" s="30"/>
      <c r="FH80" s="30"/>
      <c r="FI80" s="30"/>
      <c r="FJ80" s="30"/>
      <c r="FK80" s="30"/>
      <c r="FL80" s="30"/>
      <c r="FM80" s="30"/>
      <c r="FN80" s="30"/>
      <c r="FO80" s="30"/>
      <c r="FP80" s="30"/>
      <c r="FQ80" s="30"/>
      <c r="FR80" s="30"/>
      <c r="FS80" s="30"/>
      <c r="FT80" s="30"/>
      <c r="FU80" s="30"/>
      <c r="FV80" s="30"/>
      <c r="FW80" s="30"/>
      <c r="FX80" s="30"/>
      <c r="FY80" s="30"/>
      <c r="FZ80" s="30"/>
      <c r="GA80" s="30"/>
      <c r="GB80" s="30"/>
      <c r="GC80" s="30"/>
      <c r="GD80" s="30"/>
      <c r="GE80" s="78"/>
      <c r="GF80" s="78"/>
      <c r="GG80" s="78"/>
      <c r="GH80" s="78"/>
      <c r="GI80" s="78"/>
      <c r="GJ80" s="78"/>
      <c r="GK80" s="79"/>
      <c r="GL80" s="79"/>
      <c r="GM80" s="79"/>
      <c r="GN80" s="30"/>
      <c r="HC80" s="78"/>
      <c r="HD80" s="78"/>
      <c r="HE80" s="78"/>
      <c r="HF80" s="78"/>
      <c r="HG80" s="78"/>
      <c r="HH80" s="78"/>
      <c r="HI80" s="78"/>
      <c r="HJ80" s="78"/>
      <c r="HK80" s="78"/>
      <c r="HL80" s="78"/>
      <c r="HM80" s="78"/>
      <c r="HN80" s="78"/>
      <c r="HP80" s="92"/>
      <c r="IT80" s="92"/>
      <c r="JZ80" s="92"/>
      <c r="LE80" s="92"/>
      <c r="MK80" s="92"/>
      <c r="NP80" s="92"/>
      <c r="OG80" s="310"/>
      <c r="OH80" s="310"/>
      <c r="OI80" s="310"/>
      <c r="OJ80" s="310"/>
      <c r="OK80" s="310"/>
      <c r="OL80" s="310"/>
      <c r="OM80" s="310"/>
      <c r="ON80" s="310"/>
      <c r="OO80" s="310"/>
      <c r="OP80" s="310"/>
      <c r="OQ80" s="310"/>
      <c r="OR80" s="310"/>
      <c r="OS80" s="310"/>
      <c r="OT80" s="310"/>
      <c r="OU80" s="310"/>
      <c r="OV80" s="92"/>
      <c r="QB80" s="92"/>
      <c r="QJ80" s="310"/>
      <c r="RG80" s="92"/>
      <c r="RN80" s="31" t="s">
        <v>1408</v>
      </c>
      <c r="SD80" s="310"/>
      <c r="SE80" s="310"/>
      <c r="SF80" s="310"/>
      <c r="SG80" s="310"/>
      <c r="SH80" s="310"/>
      <c r="SI80" s="310"/>
      <c r="SJ80" s="310"/>
      <c r="SK80" s="310"/>
      <c r="SL80" s="310"/>
      <c r="SM80" s="310"/>
      <c r="SN80" s="310"/>
      <c r="SO80" s="310"/>
      <c r="SP80" s="310"/>
      <c r="SQ80" s="310">
        <v>208</v>
      </c>
      <c r="SR80" s="310">
        <v>144</v>
      </c>
      <c r="SS80" s="310">
        <f>SQ80-SR80</f>
        <v>64</v>
      </c>
      <c r="SV80" s="298" t="s">
        <v>1599</v>
      </c>
      <c r="SW80" s="298" t="s">
        <v>1600</v>
      </c>
      <c r="SX80" s="298" t="s">
        <v>1601</v>
      </c>
      <c r="TK80" s="310"/>
      <c r="TN80" s="310"/>
      <c r="TO80" s="310"/>
      <c r="TP80" s="310"/>
      <c r="TQ80" s="310"/>
      <c r="TR80" s="92"/>
      <c r="TW80" s="310"/>
      <c r="TX80" s="310"/>
      <c r="TY80" s="310"/>
      <c r="TZ80" s="310"/>
      <c r="UA80" s="310"/>
      <c r="UB80" s="310"/>
      <c r="UC80" s="310"/>
      <c r="UJ80" s="310"/>
      <c r="UR80" s="310"/>
      <c r="US80" s="310"/>
      <c r="UT80" s="310"/>
      <c r="UX80" s="92"/>
      <c r="UZ80" s="310"/>
      <c r="VA80" s="310"/>
      <c r="VB80" s="310"/>
      <c r="VC80" s="310"/>
      <c r="VD80" s="310"/>
      <c r="VE80" s="310"/>
      <c r="VH80" s="310"/>
      <c r="VI80" s="310"/>
      <c r="VJ80" s="310"/>
      <c r="VK80" s="310"/>
      <c r="VL80" s="310"/>
      <c r="VM80" s="310"/>
      <c r="VN80" s="310"/>
      <c r="VO80" s="310"/>
      <c r="VP80" s="310"/>
      <c r="VQ80" s="310"/>
      <c r="VR80" s="310"/>
      <c r="VS80" s="310"/>
      <c r="VT80" s="310"/>
      <c r="VU80" s="310"/>
      <c r="VV80" s="310"/>
      <c r="VW80" s="310"/>
      <c r="VX80" s="310"/>
      <c r="VY80" s="310"/>
      <c r="WA80" s="310"/>
      <c r="WB80" s="310"/>
      <c r="WC80" s="310"/>
      <c r="WD80" s="92"/>
      <c r="WE80" s="310"/>
      <c r="WH80" s="9"/>
      <c r="WI80" s="9"/>
      <c r="WJ80" s="569" t="s">
        <v>2015</v>
      </c>
      <c r="WK80" s="567" t="s">
        <v>687</v>
      </c>
      <c r="WL80" s="9">
        <v>73379</v>
      </c>
      <c r="WM80" s="9"/>
      <c r="WN80" s="9"/>
      <c r="WO80" s="9"/>
      <c r="WP80" s="9"/>
      <c r="WQ80" s="9"/>
      <c r="WR80" s="48"/>
      <c r="WS80" s="9">
        <v>56222</v>
      </c>
      <c r="WT80" s="9">
        <v>53500</v>
      </c>
      <c r="WU80" s="310"/>
      <c r="WV80" s="310"/>
      <c r="WW80" s="310"/>
      <c r="WX80" s="310"/>
      <c r="WY80" s="310"/>
      <c r="WZ80" s="310"/>
      <c r="XA80" s="310"/>
      <c r="XB80" s="310"/>
      <c r="XC80" s="310"/>
      <c r="XD80" s="310"/>
      <c r="XE80" s="310"/>
      <c r="XF80" s="310"/>
      <c r="XG80" s="92"/>
      <c r="XH80" s="298"/>
      <c r="XI80" s="298"/>
      <c r="XJ80" s="298"/>
      <c r="XK80" s="298"/>
      <c r="XL80" s="298"/>
      <c r="XM80" s="298"/>
      <c r="XN80" s="298"/>
      <c r="XO80" s="298"/>
      <c r="XP80" s="298"/>
      <c r="XQ80" s="298"/>
      <c r="XR80" s="298"/>
      <c r="XS80" s="298"/>
      <c r="XT80" s="298"/>
      <c r="XU80" s="298"/>
      <c r="XV80" s="298"/>
      <c r="XW80" s="298"/>
      <c r="XX80" s="298"/>
      <c r="XY80" s="298"/>
      <c r="XZ80" s="298"/>
      <c r="YA80" s="298"/>
      <c r="YB80" s="298"/>
      <c r="YC80" s="298"/>
      <c r="YD80" s="298"/>
      <c r="YE80" s="298"/>
      <c r="YF80" s="298"/>
      <c r="YG80" s="298"/>
      <c r="YH80" s="298"/>
      <c r="YI80" s="298"/>
      <c r="YJ80" s="298"/>
      <c r="YK80" s="298"/>
      <c r="YL80" s="298"/>
      <c r="YM80" s="92"/>
      <c r="ZF80" s="310"/>
      <c r="ZG80" s="310"/>
      <c r="ZH80" s="310"/>
      <c r="ZI80" s="310"/>
      <c r="ZJ80" s="310"/>
      <c r="ZK80" s="310"/>
      <c r="ZL80" s="310"/>
      <c r="ZM80" s="310"/>
      <c r="ZN80" s="310"/>
      <c r="ZO80" s="310"/>
      <c r="ZP80" s="310"/>
      <c r="ZQ80" s="310"/>
      <c r="ZR80" s="92"/>
      <c r="ZS80" s="310"/>
      <c r="ZT80" s="310"/>
      <c r="ZU80" s="310"/>
      <c r="ZV80" s="310"/>
      <c r="ZW80" s="310"/>
      <c r="ZX80" s="310"/>
      <c r="ZY80" s="310"/>
      <c r="ZZ80" s="310"/>
      <c r="AAA80" s="310"/>
      <c r="AAB80" s="310"/>
      <c r="AAC80" s="310"/>
      <c r="AAE80" s="310"/>
      <c r="AAN80" s="310"/>
      <c r="AAO80" s="310"/>
      <c r="AAP80" s="310"/>
      <c r="AAQ80" s="310"/>
      <c r="AAR80" s="310"/>
      <c r="AAS80" s="310"/>
      <c r="AAT80" s="310"/>
      <c r="AAU80" s="310"/>
      <c r="AAV80" s="310"/>
      <c r="AAW80" s="310"/>
      <c r="AAX80" s="92"/>
      <c r="AAY80" s="310"/>
      <c r="AAZ80" s="310"/>
      <c r="ABA80" s="310"/>
      <c r="ABB80" s="310"/>
      <c r="ABC80" s="310"/>
      <c r="ABE80" s="310"/>
      <c r="ABF80" s="310"/>
      <c r="ABG80" s="310"/>
      <c r="ABH80" s="310"/>
      <c r="ABI80" s="310"/>
      <c r="ABJ80" s="310"/>
      <c r="ABK80" s="310"/>
      <c r="ABL80" s="310"/>
      <c r="ABM80" s="310"/>
      <c r="ABN80" s="310"/>
      <c r="ABO80" s="310"/>
      <c r="ABP80" s="310"/>
      <c r="ABQ80" s="310"/>
      <c r="ABR80" s="310"/>
      <c r="ABS80" s="310"/>
      <c r="ABT80" s="310"/>
      <c r="ABU80" s="310"/>
      <c r="ABV80" s="310"/>
      <c r="ABW80" s="310"/>
      <c r="ABX80" s="310"/>
      <c r="ABY80" s="310"/>
      <c r="ABZ80" s="310"/>
      <c r="ACA80" s="310"/>
      <c r="ACB80" s="310"/>
      <c r="ACE80" s="310"/>
      <c r="ACF80" s="310"/>
      <c r="ACG80" s="310"/>
      <c r="ACH80" s="310"/>
      <c r="ACI80" s="310"/>
      <c r="ACJ80" s="310"/>
      <c r="ACK80" s="310"/>
      <c r="ACL80" s="310"/>
      <c r="ACM80" s="310"/>
      <c r="ACN80" s="310"/>
      <c r="ACO80" s="310"/>
      <c r="ACP80" s="310"/>
      <c r="ACQ80" s="310"/>
      <c r="ACR80" s="310"/>
      <c r="ACS80" s="310"/>
      <c r="ACT80" s="310"/>
      <c r="ACU80" s="310"/>
      <c r="ACV80" s="310"/>
      <c r="ADE80" s="310"/>
      <c r="ADF80" s="310"/>
      <c r="ADG80" s="310"/>
      <c r="ADH80" s="310"/>
      <c r="ADI80" s="310"/>
      <c r="ADJ80" s="310"/>
      <c r="ADK80" s="310"/>
      <c r="ADL80" s="310"/>
      <c r="ADM80" s="310"/>
      <c r="ADN80" s="310"/>
      <c r="ADO80" s="310"/>
      <c r="ADP80" s="310"/>
      <c r="ADQ80" s="310"/>
      <c r="ADR80" s="310"/>
      <c r="ADS80" s="310"/>
      <c r="ADT80" s="310"/>
      <c r="ADU80" s="310"/>
      <c r="ADV80" s="310"/>
      <c r="ADW80" s="310"/>
      <c r="ADX80" s="310"/>
      <c r="ADY80" s="310"/>
      <c r="ADZ80" s="310"/>
      <c r="AEA80" s="310"/>
      <c r="AEB80" s="310"/>
      <c r="AEC80" s="310"/>
      <c r="AED80" s="310"/>
      <c r="AEE80" s="310"/>
      <c r="AEF80" s="310"/>
      <c r="AEG80" s="310"/>
      <c r="AEH80" s="310"/>
      <c r="AEI80" s="310"/>
      <c r="AEJ80" s="310"/>
      <c r="AEK80" s="310"/>
      <c r="AEL80" s="310"/>
      <c r="AEM80" s="310"/>
      <c r="AEN80" s="310"/>
      <c r="AEO80" s="310"/>
      <c r="AEP80" s="310"/>
      <c r="AEQ80" s="310"/>
      <c r="AER80" s="310"/>
      <c r="AES80" s="310"/>
      <c r="AET80" s="310"/>
      <c r="AEU80" s="310"/>
      <c r="AEV80" s="310"/>
      <c r="AEW80" s="310"/>
      <c r="AEX80" s="310"/>
      <c r="AEY80" s="310"/>
      <c r="AEZ80" s="310"/>
      <c r="AFC80" s="310"/>
      <c r="AFD80" s="310"/>
      <c r="AFE80" s="310"/>
      <c r="AFF80" s="310"/>
      <c r="AFG80" s="310"/>
      <c r="AFH80" s="310"/>
      <c r="AFI80" s="310"/>
      <c r="AFJ80" s="310"/>
      <c r="AFK80" s="310"/>
      <c r="AFL80" s="310"/>
      <c r="AFM80" s="310"/>
      <c r="AFN80" s="310"/>
      <c r="AFO80" s="310"/>
      <c r="AFP80" s="310"/>
      <c r="AFQ80" s="310"/>
      <c r="AFR80" s="31" t="s">
        <v>2492</v>
      </c>
      <c r="AFS80" s="614">
        <v>44454</v>
      </c>
      <c r="AFT80" s="310"/>
      <c r="AFU80" s="364"/>
      <c r="AFV80" s="364"/>
      <c r="AFW80" s="364"/>
      <c r="AFX80" s="364"/>
      <c r="AFY80" s="364"/>
      <c r="AFZ80" s="364"/>
      <c r="AGA80" s="364"/>
      <c r="AGB80" s="364"/>
      <c r="AGC80" s="364"/>
      <c r="AGD80" s="364"/>
      <c r="AGE80" s="364"/>
      <c r="AGF80" s="364"/>
      <c r="AGG80" s="364"/>
      <c r="AGH80" s="364"/>
      <c r="AGI80" s="364"/>
      <c r="AGJ80" s="364"/>
      <c r="AGK80" s="364"/>
      <c r="AGL80" s="364"/>
      <c r="AGM80" s="364"/>
      <c r="AGN80" s="364"/>
      <c r="AGO80" s="364"/>
      <c r="AGP80" s="364"/>
      <c r="AGQ80" s="364"/>
      <c r="AGR80" s="364"/>
      <c r="AGS80" s="364"/>
      <c r="AGT80" s="364"/>
      <c r="AGU80" s="364"/>
      <c r="AGV80" s="364"/>
      <c r="AGW80" s="364"/>
      <c r="AGX80" s="364"/>
      <c r="AGY80" s="364"/>
      <c r="AGZ80" s="364"/>
      <c r="AHA80" s="364"/>
      <c r="AHB80" s="364"/>
      <c r="AHC80" s="364"/>
      <c r="AHD80" s="364"/>
      <c r="AHE80" s="364"/>
      <c r="AHF80" s="364"/>
      <c r="AHG80" s="364"/>
      <c r="AHH80" s="364"/>
      <c r="AHI80" s="364"/>
      <c r="AHJ80" s="364"/>
      <c r="AHK80" s="364"/>
      <c r="AHL80" s="364"/>
      <c r="AHM80" s="364"/>
      <c r="AHN80" s="345" t="s">
        <v>2822</v>
      </c>
      <c r="AHO80" s="345"/>
      <c r="AHP80" s="352"/>
      <c r="AHQ80" s="352"/>
      <c r="AHR80" s="352"/>
      <c r="AHS80" s="352"/>
      <c r="AHT80" s="352"/>
      <c r="AHU80" s="352"/>
      <c r="AHV80" s="352"/>
      <c r="AHW80" s="352"/>
      <c r="AHX80" s="352"/>
      <c r="AHY80" s="352"/>
      <c r="AHZ80" s="352"/>
      <c r="AIA80" s="364"/>
      <c r="AIB80" s="364"/>
      <c r="AIC80" s="364"/>
      <c r="AID80" s="364"/>
      <c r="AIE80" s="364"/>
      <c r="AIF80" s="364"/>
      <c r="AIG80" s="364"/>
      <c r="AIH80" s="364"/>
      <c r="AII80" s="364"/>
      <c r="AIJ80" s="364"/>
      <c r="AIK80" s="364"/>
      <c r="AIL80" s="364"/>
      <c r="AIM80" s="364"/>
      <c r="AIN80" s="364"/>
      <c r="AIO80" s="364"/>
      <c r="AIP80" s="364"/>
      <c r="AIQ80" s="364"/>
      <c r="AIR80" s="364"/>
      <c r="AIS80" s="364"/>
      <c r="AIT80" s="364"/>
      <c r="AIU80" s="364"/>
      <c r="AIV80" s="364"/>
      <c r="AIW80" s="364"/>
      <c r="AIX80" s="364"/>
      <c r="AIY80" s="364"/>
      <c r="AIZ80" s="364"/>
      <c r="AJA80" s="364"/>
      <c r="AJB80" s="364"/>
      <c r="AJC80" s="364"/>
      <c r="AJD80" s="364"/>
      <c r="AJE80" s="364"/>
      <c r="AJF80" s="364"/>
      <c r="AJG80" s="364"/>
      <c r="AJH80" s="364"/>
      <c r="AJI80" s="364"/>
      <c r="AJJ80" s="364"/>
      <c r="AJK80" s="92"/>
      <c r="AJL80" s="310"/>
      <c r="AJM80" s="310"/>
      <c r="AKO80" s="310"/>
      <c r="AKP80" s="310"/>
      <c r="AKQ80" s="92"/>
      <c r="AKR80" s="310"/>
      <c r="AKS80" s="310"/>
      <c r="AKT80" s="310"/>
      <c r="AKU80" s="310"/>
      <c r="AKV80" s="310"/>
      <c r="AKW80" s="310"/>
      <c r="AKX80" s="310"/>
      <c r="AKY80" s="310"/>
      <c r="AKZ80" s="310"/>
      <c r="ALA80" s="310"/>
      <c r="ALB80" s="310"/>
      <c r="ALC80" s="310"/>
      <c r="ALD80" s="310"/>
      <c r="ALE80" s="310"/>
      <c r="ALF80" s="310"/>
      <c r="ALT80" s="92"/>
      <c r="ALX80" s="310"/>
      <c r="ALY80" s="310"/>
      <c r="ALZ80" s="310"/>
      <c r="AMA80" s="310"/>
      <c r="AMB80" s="310"/>
      <c r="AMC80" s="310"/>
      <c r="AMZ80" s="92"/>
      <c r="ANI80" s="310"/>
      <c r="ANJ80" s="310"/>
      <c r="ANK80" s="310"/>
      <c r="ANL80" s="310"/>
      <c r="ANM80" s="310"/>
      <c r="ANN80" s="310"/>
      <c r="ANO80" s="310"/>
      <c r="ANP80" s="310"/>
      <c r="ANQ80" s="310"/>
      <c r="ANR80" s="310"/>
      <c r="AOE80" s="92"/>
      <c r="APK80" s="92"/>
      <c r="APL80" s="364"/>
      <c r="APM80" s="364"/>
      <c r="APN80" s="364"/>
      <c r="APO80" s="364"/>
      <c r="APP80" s="364"/>
      <c r="APQ80" s="364"/>
      <c r="APR80" s="364"/>
      <c r="APS80" s="364"/>
      <c r="APT80" s="364"/>
      <c r="APU80" s="364"/>
      <c r="APV80" s="364"/>
      <c r="APW80" s="364"/>
      <c r="APX80" s="364"/>
      <c r="APY80" s="364"/>
      <c r="APZ80" s="364"/>
      <c r="AQA80" s="364"/>
      <c r="AQB80" s="364"/>
      <c r="AQC80" s="364"/>
      <c r="AQD80" s="364"/>
      <c r="AQE80" s="364"/>
      <c r="AQF80" s="364"/>
      <c r="AQG80" s="364"/>
      <c r="AQH80" s="364"/>
      <c r="AQI80" s="364"/>
      <c r="AQJ80" s="364"/>
      <c r="AQK80" s="364"/>
      <c r="AQL80" s="364"/>
      <c r="AQM80" s="364"/>
      <c r="AQN80" s="364"/>
      <c r="AQO80" s="364"/>
      <c r="AQP80" s="92"/>
      <c r="AQQ80" s="310"/>
      <c r="AQR80" s="310"/>
      <c r="AQS80" s="310"/>
      <c r="AQT80" s="310"/>
      <c r="AQU80" s="310"/>
      <c r="AQV80" s="310"/>
      <c r="AQW80" s="310"/>
      <c r="AQX80" s="637"/>
      <c r="AQY80" s="637"/>
      <c r="AQZ80" s="637"/>
      <c r="ARA80" s="637"/>
      <c r="ARB80" s="637"/>
      <c r="ARC80" s="637"/>
      <c r="ARD80" s="637"/>
      <c r="ARE80" s="637"/>
      <c r="ARF80" s="637"/>
      <c r="ARG80" s="310"/>
      <c r="ARH80" s="310"/>
      <c r="ARI80" s="310"/>
      <c r="ARJ80" s="310"/>
      <c r="ARK80" s="310"/>
      <c r="ARL80" s="310"/>
      <c r="ARM80" s="310"/>
      <c r="ARN80" s="310"/>
      <c r="ARO80" s="310"/>
      <c r="ARP80" s="310"/>
      <c r="ARQ80" s="310"/>
      <c r="ARR80" s="310"/>
      <c r="ARS80" s="310"/>
      <c r="ARV80" s="5"/>
      <c r="ARW80" s="364"/>
      <c r="ARX80" s="364"/>
      <c r="ARY80" s="364"/>
      <c r="ARZ80" s="364"/>
      <c r="ASA80" s="364"/>
      <c r="ASB80" s="364"/>
      <c r="ASC80" s="364"/>
      <c r="ASD80" s="364"/>
      <c r="ASE80" s="364"/>
      <c r="ASF80" s="364"/>
      <c r="ASG80" s="364"/>
      <c r="ASH80" s="364"/>
      <c r="ASI80" s="364"/>
      <c r="ASJ80" s="364"/>
      <c r="ASK80" s="364"/>
      <c r="ASL80" s="364"/>
      <c r="ASM80" s="364"/>
      <c r="ASN80" s="364"/>
      <c r="ASO80" s="364"/>
      <c r="ASP80" s="364"/>
      <c r="ASQ80" s="364"/>
      <c r="ASR80" s="364"/>
      <c r="ASS80" s="364"/>
      <c r="AST80" s="364"/>
      <c r="ASU80" s="364"/>
      <c r="ASV80" s="364"/>
      <c r="ASW80" s="364"/>
      <c r="ASX80" s="364"/>
      <c r="ASY80" s="364"/>
      <c r="ASZ80" s="364"/>
      <c r="ATA80" s="364"/>
      <c r="ATB80" s="5"/>
      <c r="ATC80" s="364"/>
      <c r="ATD80" s="364"/>
      <c r="ATE80" s="364"/>
      <c r="ATF80" s="364"/>
      <c r="ATG80" s="364"/>
      <c r="ATH80" s="364"/>
      <c r="ATI80" s="364"/>
      <c r="ATJ80" s="364"/>
      <c r="ATK80" s="364"/>
      <c r="ATL80" s="364"/>
      <c r="ATM80" s="364"/>
      <c r="ATN80" s="364"/>
      <c r="ATO80" s="364"/>
      <c r="ATP80" s="364"/>
      <c r="ATQ80" s="191"/>
      <c r="ATR80" s="191"/>
      <c r="ATS80" s="191"/>
      <c r="ATT80" s="191"/>
      <c r="ATU80" s="191"/>
      <c r="ATV80" s="191"/>
      <c r="ATW80" s="191"/>
      <c r="ATX80" s="191"/>
      <c r="ATY80" s="191"/>
      <c r="ATZ80" s="364"/>
      <c r="AUA80" s="364"/>
      <c r="AUB80" s="364"/>
      <c r="AUC80" s="364"/>
      <c r="AUD80" s="364"/>
      <c r="AUE80" s="364"/>
      <c r="AUF80" s="364"/>
      <c r="AUG80" s="5"/>
      <c r="AUH80" s="364"/>
      <c r="AUI80" s="364"/>
      <c r="AUJ80" s="364"/>
      <c r="AUK80" s="364"/>
      <c r="AUL80" s="364"/>
      <c r="AUM80" s="364"/>
      <c r="AUN80" s="364"/>
      <c r="AUO80" s="364"/>
      <c r="AUP80" s="364"/>
      <c r="AUQ80" s="364"/>
      <c r="AUR80" s="364"/>
      <c r="AUS80" s="364"/>
      <c r="AUT80" s="364"/>
      <c r="AUU80" s="364"/>
      <c r="AUV80" s="364"/>
      <c r="AUW80" s="364"/>
      <c r="AUX80" s="364"/>
      <c r="AUY80" s="364"/>
      <c r="AUZ80" s="364"/>
      <c r="AVA80" s="364"/>
      <c r="AVB80" s="364"/>
      <c r="AVC80" s="364"/>
      <c r="AVD80" s="364"/>
      <c r="AVE80" s="364"/>
      <c r="AVF80" s="364"/>
      <c r="AVG80" s="364"/>
      <c r="AVH80" s="364"/>
      <c r="AVI80" s="364"/>
      <c r="AVJ80" s="364"/>
      <c r="AVK80" s="364"/>
      <c r="AVL80" s="364"/>
      <c r="AVM80" s="5"/>
      <c r="AVN80" s="364"/>
      <c r="AVO80" s="364"/>
      <c r="AVP80" s="364"/>
      <c r="AVQ80" s="364"/>
      <c r="AVR80" s="364"/>
      <c r="AVS80" s="364"/>
      <c r="AVT80" s="364"/>
      <c r="AVU80" s="364"/>
      <c r="AVV80" s="364"/>
      <c r="AVW80" s="364"/>
      <c r="AVX80" s="364"/>
      <c r="AVY80" s="364"/>
      <c r="AVZ80" s="364"/>
      <c r="AWA80" s="364"/>
      <c r="AWB80" s="364"/>
      <c r="AWC80" s="364"/>
      <c r="AWD80" s="364"/>
      <c r="AWE80" s="364"/>
      <c r="AWF80" s="364"/>
      <c r="AWG80" s="364"/>
      <c r="AWH80" s="364"/>
      <c r="AWI80" s="364"/>
      <c r="AWJ80" s="364"/>
      <c r="AWK80" s="364"/>
      <c r="AWL80" s="364"/>
      <c r="AWM80" s="364"/>
      <c r="AWN80" s="364"/>
      <c r="AWO80" s="364"/>
      <c r="AWP80" s="364"/>
      <c r="AWQ80" s="364"/>
      <c r="AWR80" s="5"/>
      <c r="AWS80" s="364"/>
      <c r="AWT80" s="364"/>
      <c r="AWU80" s="364"/>
      <c r="AWV80" s="364"/>
      <c r="AWW80" s="364"/>
      <c r="AWX80" s="364"/>
      <c r="AWY80" s="364"/>
      <c r="AWZ80" s="364"/>
      <c r="AXA80" s="364"/>
      <c r="AXB80" s="364"/>
      <c r="AXC80" s="364"/>
      <c r="AXD80" s="364"/>
      <c r="AXE80" s="364"/>
      <c r="AXF80" s="364"/>
      <c r="AXG80" s="364"/>
      <c r="AXH80" s="364"/>
      <c r="AXI80" s="364"/>
      <c r="AXJ80" s="364"/>
      <c r="AXK80" s="364"/>
      <c r="AXL80" s="364"/>
      <c r="AXM80" s="364"/>
      <c r="AXN80" s="364"/>
      <c r="AXO80" s="364"/>
      <c r="AXP80" s="364"/>
      <c r="AXQ80" s="364"/>
      <c r="AXR80" s="364"/>
      <c r="AXS80" s="364"/>
      <c r="AXT80" s="364"/>
      <c r="AXU80" s="364"/>
      <c r="AXV80" s="364"/>
      <c r="AXW80" s="364"/>
      <c r="AXX80" s="5"/>
      <c r="AXY80" s="364"/>
      <c r="AXZ80" s="364"/>
      <c r="AYA80" s="364"/>
      <c r="AYB80" s="364"/>
      <c r="AYC80" s="364"/>
      <c r="AYD80" s="364"/>
      <c r="AYE80" s="364"/>
      <c r="AYF80" s="364"/>
      <c r="AYG80" s="364"/>
      <c r="AYH80" s="364"/>
      <c r="AYI80" s="364"/>
      <c r="AYJ80" s="364"/>
      <c r="AYK80" s="364"/>
      <c r="AYL80" s="364"/>
      <c r="AYM80" s="364"/>
      <c r="AYN80" s="364"/>
      <c r="AYO80" s="364"/>
      <c r="AYP80" s="364"/>
      <c r="AYQ80" s="364"/>
      <c r="AYR80" s="364"/>
      <c r="AYS80" s="364"/>
      <c r="AYT80" s="364"/>
      <c r="AYU80" s="364"/>
      <c r="AYV80" s="364"/>
      <c r="AYW80" s="364"/>
      <c r="AYX80" s="364"/>
      <c r="AYY80" s="364"/>
      <c r="AYZ80" s="364"/>
      <c r="AZA80" s="364"/>
      <c r="AZB80" s="364"/>
      <c r="AZC80" s="364"/>
      <c r="AZD80" s="364"/>
      <c r="AZE80" s="364"/>
      <c r="AZF80" s="364"/>
      <c r="AZG80" s="364"/>
      <c r="AZH80" s="364"/>
      <c r="AZI80" s="364"/>
      <c r="AZJ80" s="364"/>
      <c r="AZK80" s="364"/>
      <c r="AZL80" s="364"/>
      <c r="AZM80" s="364"/>
      <c r="AZN80" s="364"/>
      <c r="AZO80" s="364"/>
      <c r="AZP80" s="364"/>
      <c r="AZQ80" s="364"/>
      <c r="AZR80" s="364"/>
      <c r="AZS80" s="364"/>
      <c r="AZT80" s="364"/>
      <c r="AZU80" s="364"/>
      <c r="AZV80" s="364"/>
      <c r="AZW80" s="364"/>
      <c r="AZX80" s="364"/>
      <c r="AZY80" s="364"/>
      <c r="AZZ80" s="364"/>
      <c r="BAA80" s="364"/>
      <c r="BAB80" s="364"/>
      <c r="BAC80" s="364"/>
      <c r="BAD80" s="364"/>
      <c r="BAE80" s="364"/>
      <c r="BAF80" s="364"/>
      <c r="BAG80" s="364"/>
      <c r="BAH80" s="364"/>
      <c r="BAI80" s="364"/>
      <c r="BAJ80" s="364"/>
      <c r="BAK80" s="364"/>
      <c r="BAL80" s="364"/>
      <c r="BAM80" s="364"/>
      <c r="BAN80" s="364"/>
      <c r="BAO80" s="364"/>
      <c r="BAP80" s="364"/>
      <c r="BAQ80" s="364"/>
      <c r="BAR80" s="364"/>
      <c r="BAS80" s="364"/>
      <c r="BAT80" s="364"/>
      <c r="BAU80" s="364"/>
      <c r="BAV80" s="364"/>
      <c r="BAW80" s="364"/>
      <c r="BAX80" s="364"/>
      <c r="BAY80" s="364"/>
      <c r="BAZ80" s="364"/>
      <c r="BBA80" s="364"/>
      <c r="BBB80" s="364"/>
      <c r="BBC80" s="364"/>
      <c r="BBD80" s="364"/>
      <c r="BBE80" s="364"/>
      <c r="BBF80" s="364"/>
      <c r="BBG80" s="364"/>
      <c r="BBH80" s="364"/>
      <c r="BBI80" s="364"/>
      <c r="BBJ80" s="364"/>
      <c r="BBK80" s="364"/>
      <c r="BBL80" s="364"/>
      <c r="BBM80" s="364"/>
      <c r="BBN80" s="364"/>
      <c r="BBO80" s="364"/>
      <c r="BBP80" s="364"/>
      <c r="BBQ80" s="364"/>
      <c r="BBR80" s="364"/>
      <c r="BBS80" s="364"/>
      <c r="BBT80" s="364"/>
      <c r="BBU80" s="364"/>
      <c r="BBV80" s="364"/>
      <c r="BBW80" s="364"/>
      <c r="BBX80" s="364"/>
      <c r="BBY80" s="364"/>
      <c r="BBZ80" s="364"/>
      <c r="BCA80" s="364"/>
      <c r="BCB80" s="364"/>
      <c r="BCC80" s="364"/>
      <c r="BCD80" s="364"/>
      <c r="BCE80" s="364"/>
      <c r="BCF80" s="364"/>
      <c r="BCG80" s="364"/>
      <c r="BCH80" s="364"/>
      <c r="BCI80" s="364"/>
      <c r="BCJ80" s="364"/>
      <c r="BCK80" s="364"/>
      <c r="BCL80" s="364"/>
      <c r="BCM80" s="364"/>
      <c r="BCN80" s="364"/>
      <c r="BCO80" s="364"/>
      <c r="BCP80" s="364"/>
      <c r="BCQ80" s="364"/>
      <c r="BCR80" s="364"/>
      <c r="BCS80" s="364"/>
      <c r="BCT80" s="364"/>
      <c r="BCU80" s="364"/>
      <c r="BCV80" s="364"/>
      <c r="BCW80" s="364"/>
      <c r="BCX80" s="364"/>
      <c r="BCY80" s="364"/>
      <c r="BCZ80" s="364"/>
      <c r="BDA80" s="364"/>
      <c r="BDB80" s="364"/>
      <c r="BDC80" s="364"/>
      <c r="BDD80" s="364"/>
      <c r="BDE80" s="364"/>
      <c r="BDF80" s="364"/>
      <c r="BDG80" s="364"/>
      <c r="BDH80" s="364"/>
      <c r="BDI80" s="364"/>
      <c r="BDJ80" s="364"/>
      <c r="BDK80" s="364"/>
      <c r="BDL80" s="364"/>
      <c r="BDM80" s="364"/>
      <c r="BDN80" s="364"/>
      <c r="BDO80" s="364"/>
      <c r="BDP80" s="364"/>
      <c r="BDQ80" s="364"/>
      <c r="BDR80" s="364"/>
      <c r="BDS80" s="364"/>
      <c r="BDT80" s="364"/>
      <c r="BDU80" s="364"/>
      <c r="BDV80" s="364"/>
      <c r="BDW80" s="364"/>
      <c r="BDX80" s="364"/>
      <c r="BDY80" s="364"/>
      <c r="BDZ80" s="364"/>
      <c r="BEA80" s="364"/>
      <c r="BEB80" s="364"/>
      <c r="BEC80" s="364"/>
      <c r="BED80" s="364"/>
      <c r="BEE80" s="364"/>
      <c r="BEF80" s="364"/>
      <c r="BEG80" s="364"/>
      <c r="BEH80" s="364"/>
      <c r="BEI80" s="364"/>
      <c r="BEJ80" s="364"/>
      <c r="BEK80" s="364"/>
      <c r="BEL80" s="364"/>
      <c r="BEM80" s="364"/>
      <c r="BEN80" s="364"/>
      <c r="BEO80" s="364"/>
      <c r="BEP80" s="364"/>
      <c r="BEQ80" s="364"/>
      <c r="BER80" s="364"/>
      <c r="BES80" s="364"/>
      <c r="BET80" s="364"/>
      <c r="BEU80" s="364"/>
      <c r="BEV80" s="364"/>
      <c r="BEW80" s="364"/>
      <c r="BEX80" s="364"/>
      <c r="BEY80" s="364"/>
      <c r="BEZ80" s="364"/>
      <c r="BFA80" s="364"/>
      <c r="BFB80" s="364"/>
      <c r="BFC80" s="364"/>
      <c r="BFD80" s="364"/>
      <c r="BFE80" s="364"/>
      <c r="BFF80" s="364"/>
      <c r="BFG80" s="364"/>
      <c r="BFH80" s="364"/>
      <c r="BFI80" s="364"/>
      <c r="BFJ80" s="364"/>
      <c r="BFK80" s="364"/>
      <c r="BFL80" s="364"/>
      <c r="BFM80" s="364"/>
      <c r="BFN80" s="364"/>
      <c r="BFO80" s="364"/>
      <c r="BFP80" s="364"/>
      <c r="BFQ80" s="364"/>
      <c r="BFR80" s="364"/>
      <c r="BFS80" s="364"/>
      <c r="BFT80" s="364"/>
      <c r="BFU80" s="364"/>
      <c r="BFV80" s="364"/>
      <c r="BFW80" s="364"/>
      <c r="BFX80" s="364"/>
      <c r="BFY80" s="364"/>
      <c r="BFZ80" s="364"/>
      <c r="BGA80" s="364"/>
      <c r="BGB80" s="364"/>
      <c r="BGC80" s="364"/>
      <c r="BGD80" s="364"/>
      <c r="BGE80" s="364"/>
      <c r="BGF80" s="364"/>
      <c r="BGG80" s="364"/>
      <c r="BGH80" s="364"/>
      <c r="BGI80" s="364"/>
      <c r="BGJ80" s="364"/>
      <c r="BGK80" s="364"/>
      <c r="BGL80" s="364"/>
      <c r="BGM80" s="364"/>
      <c r="BGN80" s="364"/>
      <c r="BGO80" s="364"/>
      <c r="BGP80" s="364"/>
      <c r="BGQ80" s="364"/>
      <c r="BGR80" s="364"/>
      <c r="BGS80" s="364"/>
      <c r="BGT80" s="364"/>
      <c r="BGU80" s="364"/>
      <c r="BGV80" s="364"/>
      <c r="BGW80" s="364"/>
      <c r="BGX80" s="364"/>
      <c r="BGY80" s="364"/>
      <c r="BGZ80" s="364"/>
      <c r="BHA80" s="364"/>
      <c r="BHB80" s="364"/>
      <c r="BHC80" s="364"/>
      <c r="BHD80" s="364"/>
      <c r="BHE80" s="364"/>
      <c r="BHF80" s="364"/>
      <c r="BHG80" s="364"/>
      <c r="BHH80" s="364"/>
      <c r="BHI80" s="364"/>
      <c r="BHJ80" s="364"/>
      <c r="BHK80" s="364"/>
      <c r="BHL80" s="364"/>
      <c r="BHM80" s="364"/>
      <c r="BHN80" s="364"/>
      <c r="BHO80" s="364"/>
      <c r="BHP80" s="364"/>
      <c r="BHQ80" s="364"/>
      <c r="BHR80" s="364"/>
      <c r="BHS80" s="364"/>
      <c r="BHT80" s="364"/>
      <c r="BHU80" s="364"/>
      <c r="BHV80" s="364"/>
      <c r="BHW80" s="364"/>
    </row>
    <row r="81" spans="2:1583" s="648" customFormat="1" ht="17.25" customHeight="1" thickBot="1" x14ac:dyDescent="0.3">
      <c r="B81" s="582" t="s">
        <v>2545</v>
      </c>
      <c r="L81" s="649"/>
      <c r="M81" s="649"/>
      <c r="N81" s="649"/>
      <c r="O81" s="649"/>
      <c r="P81" s="649"/>
      <c r="Q81" s="649"/>
      <c r="R81" s="649"/>
      <c r="S81" s="649"/>
      <c r="T81" s="649"/>
      <c r="U81" s="649"/>
      <c r="V81" s="649"/>
      <c r="W81" s="649"/>
      <c r="X81" s="649"/>
      <c r="Y81" s="649"/>
      <c r="Z81" s="649"/>
      <c r="AA81" s="649"/>
      <c r="AB81" s="649"/>
      <c r="AC81" s="649"/>
      <c r="AD81" s="649"/>
      <c r="AE81" s="649"/>
      <c r="AF81" s="649"/>
      <c r="AG81" s="649"/>
      <c r="AH81" s="650"/>
      <c r="AQ81" s="731"/>
      <c r="AR81" s="732"/>
      <c r="AS81" s="732"/>
      <c r="AT81" s="732"/>
      <c r="AU81" s="732"/>
      <c r="AV81" s="732"/>
      <c r="AW81" s="732"/>
      <c r="AX81" s="732"/>
      <c r="AY81" s="732"/>
      <c r="AZ81" s="733"/>
      <c r="BN81" s="647"/>
      <c r="CS81" s="647"/>
      <c r="DP81" s="649"/>
      <c r="ED81" s="649"/>
      <c r="EE81" s="649"/>
      <c r="EF81" s="649"/>
      <c r="EG81" s="649"/>
      <c r="EH81" s="649"/>
      <c r="EI81" s="649"/>
      <c r="EJ81" s="649"/>
      <c r="EK81" s="649"/>
      <c r="EL81" s="649"/>
      <c r="EM81" s="649"/>
      <c r="EN81" s="649"/>
      <c r="EO81" s="649"/>
      <c r="EP81" s="649"/>
      <c r="EQ81" s="649"/>
      <c r="ER81" s="649"/>
      <c r="ES81" s="649"/>
      <c r="ET81" s="649"/>
      <c r="EU81" s="649"/>
      <c r="EV81" s="649"/>
      <c r="EW81" s="649"/>
      <c r="FC81" s="649"/>
      <c r="FE81" s="649"/>
      <c r="FH81" s="649"/>
      <c r="FI81" s="649"/>
      <c r="FJ81" s="649"/>
      <c r="FK81" s="649"/>
      <c r="FL81" s="649"/>
      <c r="FM81" s="649"/>
      <c r="FN81" s="649"/>
      <c r="FO81" s="649"/>
      <c r="FP81" s="649"/>
      <c r="FQ81" s="649"/>
      <c r="FR81" s="649"/>
      <c r="FS81" s="649"/>
      <c r="FT81" s="649"/>
      <c r="FU81" s="649"/>
      <c r="FV81" s="649"/>
      <c r="FW81" s="649"/>
      <c r="FX81" s="649"/>
      <c r="FY81" s="649"/>
      <c r="FZ81" s="649"/>
      <c r="GA81" s="649"/>
      <c r="GB81" s="649"/>
      <c r="GC81" s="649"/>
      <c r="GD81" s="649"/>
      <c r="GE81" s="651"/>
      <c r="GF81" s="651"/>
      <c r="GG81" s="651"/>
      <c r="GH81" s="651"/>
      <c r="GI81" s="651"/>
      <c r="GJ81" s="651"/>
      <c r="GK81" s="651"/>
      <c r="GL81" s="651"/>
      <c r="GM81" s="651"/>
      <c r="GN81" s="649"/>
      <c r="HC81" s="651"/>
      <c r="HD81" s="651"/>
      <c r="HE81" s="651"/>
      <c r="HF81" s="651"/>
      <c r="HG81" s="651"/>
      <c r="HH81" s="651"/>
      <c r="HI81" s="651"/>
      <c r="HJ81" s="651"/>
      <c r="HK81" s="651"/>
      <c r="HL81" s="651"/>
      <c r="HM81" s="651"/>
      <c r="HN81" s="651"/>
      <c r="HP81" s="647"/>
      <c r="IT81" s="647"/>
      <c r="JZ81" s="647"/>
      <c r="LE81" s="647">
        <v>12</v>
      </c>
      <c r="MK81" s="647"/>
      <c r="NP81" s="647"/>
      <c r="OV81" s="647"/>
      <c r="QB81" s="647"/>
      <c r="RG81" s="647"/>
      <c r="SQ81" s="648">
        <v>104</v>
      </c>
      <c r="SR81" s="648">
        <v>37</v>
      </c>
      <c r="SS81" s="648">
        <f>(SQ81-SR81)/2</f>
        <v>33.5</v>
      </c>
      <c r="TR81" s="647"/>
      <c r="UX81" s="647"/>
      <c r="WD81" s="647"/>
      <c r="WH81" s="652"/>
      <c r="WI81" s="652"/>
      <c r="WJ81" s="653" t="s">
        <v>1773</v>
      </c>
      <c r="WK81" s="652" t="s">
        <v>2017</v>
      </c>
      <c r="WL81" s="652"/>
      <c r="WM81" s="652"/>
      <c r="WN81" s="652"/>
      <c r="WO81" s="652"/>
      <c r="WP81" s="652"/>
      <c r="WQ81" s="652"/>
      <c r="WR81" s="654"/>
      <c r="WS81" s="652"/>
      <c r="WT81" s="652"/>
      <c r="XG81" s="647"/>
      <c r="XH81" s="655"/>
      <c r="XI81" s="655"/>
      <c r="XJ81" s="655"/>
      <c r="XK81" s="655"/>
      <c r="XL81" s="655"/>
      <c r="XM81" s="655"/>
      <c r="XN81" s="655"/>
      <c r="XO81" s="655"/>
      <c r="XP81" s="655"/>
      <c r="XQ81" s="655"/>
      <c r="XR81" s="655"/>
      <c r="XS81" s="655"/>
      <c r="XT81" s="655"/>
      <c r="XU81" s="655"/>
      <c r="XV81" s="655"/>
      <c r="XW81" s="655"/>
      <c r="XX81" s="655"/>
      <c r="XY81" s="655"/>
      <c r="XZ81" s="655"/>
      <c r="YA81" s="655"/>
      <c r="YB81" s="655"/>
      <c r="YC81" s="655"/>
      <c r="YD81" s="655"/>
      <c r="YE81" s="655"/>
      <c r="YF81" s="655"/>
      <c r="YG81" s="655"/>
      <c r="YH81" s="655"/>
      <c r="YI81" s="655"/>
      <c r="YJ81" s="655"/>
      <c r="YK81" s="655"/>
      <c r="YL81" s="655"/>
      <c r="YM81" s="647"/>
      <c r="ZR81" s="647">
        <v>10</v>
      </c>
      <c r="AAX81" s="582"/>
      <c r="ADI81" s="582"/>
      <c r="AFR81" s="648" t="s">
        <v>2492</v>
      </c>
      <c r="AFS81" s="656">
        <v>44461</v>
      </c>
      <c r="AJK81" s="647"/>
      <c r="AKQ81" s="647"/>
      <c r="ALT81" s="92" t="s">
        <v>2545</v>
      </c>
      <c r="AMZ81" s="647"/>
      <c r="AOE81" s="647"/>
      <c r="APK81" s="647"/>
      <c r="AQP81" s="647"/>
      <c r="AQX81" s="637"/>
      <c r="AQY81" s="637"/>
      <c r="AQZ81" s="637"/>
      <c r="ARA81" s="637"/>
      <c r="ARB81" s="637"/>
      <c r="ARC81" s="637"/>
      <c r="ARD81" s="637"/>
      <c r="ARE81" s="637"/>
      <c r="ARF81" s="637"/>
      <c r="ARV81" s="582" t="s">
        <v>2545</v>
      </c>
      <c r="ARW81" s="583"/>
      <c r="ARX81" s="583"/>
      <c r="ARY81" s="583"/>
      <c r="ARZ81" s="583"/>
      <c r="ASA81" s="583"/>
      <c r="ASB81" s="583"/>
      <c r="ASC81" s="583"/>
      <c r="ASD81" s="583"/>
      <c r="ASE81" s="583"/>
      <c r="ASF81" s="583"/>
      <c r="ASG81" s="583"/>
      <c r="ASH81" s="583"/>
      <c r="ASI81" s="583"/>
      <c r="ASJ81" s="583"/>
      <c r="ASK81" s="583"/>
      <c r="ASL81" s="583"/>
      <c r="ASM81" s="583"/>
      <c r="ASN81" s="583"/>
      <c r="ASO81" s="583"/>
      <c r="ASP81" s="583"/>
      <c r="ASQ81" s="583"/>
      <c r="ASR81" s="583"/>
      <c r="ASS81" s="583"/>
      <c r="AST81" s="583"/>
      <c r="ASU81" s="583"/>
      <c r="ASV81" s="583"/>
      <c r="ASW81" s="583"/>
      <c r="ASX81" s="583"/>
      <c r="ASY81" s="583"/>
      <c r="ASZ81" s="583"/>
      <c r="ATA81" s="583"/>
      <c r="ATB81" s="582" t="s">
        <v>2545</v>
      </c>
      <c r="ATC81" s="583"/>
      <c r="ATD81" s="583"/>
      <c r="ATE81" s="583"/>
      <c r="ATF81" s="583"/>
      <c r="ATG81" s="583"/>
      <c r="ATH81" s="583"/>
      <c r="ATI81" s="583"/>
      <c r="ATJ81" s="583"/>
      <c r="ATK81" s="583"/>
      <c r="ATL81" s="583"/>
      <c r="ATM81" s="583"/>
      <c r="ATN81" s="583"/>
      <c r="ATO81" s="583"/>
      <c r="ATP81" s="583"/>
      <c r="ATQ81" s="583"/>
      <c r="ATR81" s="583"/>
      <c r="ATS81" s="583"/>
      <c r="ATT81" s="583"/>
      <c r="ATU81" s="583"/>
      <c r="ATV81" s="583"/>
      <c r="ATW81" s="583"/>
      <c r="ATX81" s="583"/>
      <c r="ATY81" s="583"/>
      <c r="ATZ81" s="583"/>
      <c r="AUA81" s="583"/>
      <c r="AUB81" s="583"/>
      <c r="AUC81" s="583"/>
      <c r="AUD81" s="583"/>
      <c r="AUE81" s="583"/>
      <c r="AUF81" s="583"/>
      <c r="AUG81" s="582" t="s">
        <v>2545</v>
      </c>
      <c r="AUH81" s="583"/>
      <c r="AUI81" s="583"/>
      <c r="AUJ81" s="583"/>
      <c r="AUK81" s="583"/>
      <c r="AUL81" s="583"/>
      <c r="AUM81" s="583"/>
      <c r="AUN81" s="583"/>
      <c r="AUO81" s="583"/>
      <c r="AUP81" s="583"/>
      <c r="AUQ81" s="583"/>
      <c r="AUR81" s="583"/>
      <c r="AUS81" s="583"/>
      <c r="AUT81" s="583"/>
      <c r="AUU81" s="583"/>
      <c r="AUV81" s="583"/>
      <c r="AUW81" s="583"/>
      <c r="AUX81" s="583"/>
      <c r="AUY81" s="583"/>
      <c r="AUZ81" s="583"/>
      <c r="AVA81" s="583"/>
      <c r="AVB81" s="583"/>
      <c r="AVC81" s="583"/>
      <c r="AVD81" s="583"/>
      <c r="AVE81" s="583"/>
      <c r="AVF81" s="583"/>
      <c r="AVG81" s="583"/>
      <c r="AVH81" s="583"/>
      <c r="AVI81" s="583"/>
      <c r="AVJ81" s="583"/>
      <c r="AVK81" s="583"/>
      <c r="AVL81" s="583"/>
      <c r="AVM81" s="582" t="s">
        <v>2545</v>
      </c>
      <c r="AVN81" s="583"/>
      <c r="AVO81" s="583"/>
      <c r="AVP81" s="583"/>
      <c r="AVQ81" s="583"/>
      <c r="AVR81" s="583"/>
      <c r="AVS81" s="583"/>
      <c r="AVT81" s="583"/>
      <c r="AVU81" s="583"/>
      <c r="AVV81" s="583"/>
      <c r="AVW81" s="583"/>
      <c r="AVX81" s="583"/>
      <c r="AVY81" s="583"/>
      <c r="AVZ81" s="583"/>
      <c r="AWA81" s="583"/>
      <c r="AWB81" s="583"/>
      <c r="AWC81" s="583"/>
      <c r="AWD81" s="583"/>
      <c r="AWE81" s="583"/>
      <c r="AWF81" s="583"/>
      <c r="AWG81" s="583"/>
      <c r="AWH81" s="583"/>
      <c r="AWI81" s="583"/>
      <c r="AWJ81" s="583"/>
      <c r="AWK81" s="583"/>
      <c r="AWL81" s="583"/>
      <c r="AWM81" s="583"/>
      <c r="AWN81" s="583"/>
      <c r="AWO81" s="583"/>
      <c r="AWP81" s="583"/>
      <c r="AWQ81" s="583"/>
      <c r="AWR81" s="582" t="s">
        <v>2545</v>
      </c>
      <c r="AWS81" s="583"/>
      <c r="AWT81" s="583"/>
      <c r="AWU81" s="583"/>
      <c r="AWV81" s="583"/>
      <c r="AWW81" s="583"/>
      <c r="AWX81" s="583"/>
      <c r="AWY81" s="583"/>
      <c r="AWZ81" s="583"/>
      <c r="AXA81" s="583"/>
      <c r="AXB81" s="583"/>
      <c r="AXC81" s="583"/>
      <c r="AXD81" s="583"/>
      <c r="AXE81" s="583"/>
      <c r="AXF81" s="583"/>
      <c r="AXG81" s="583"/>
      <c r="AXH81" s="583"/>
      <c r="AXI81" s="583"/>
      <c r="AXJ81" s="583"/>
      <c r="AXK81" s="583"/>
      <c r="AXL81" s="583"/>
      <c r="AXM81" s="583"/>
      <c r="AXN81" s="583"/>
      <c r="AXO81" s="583"/>
      <c r="AXP81" s="583"/>
      <c r="AXQ81" s="583"/>
      <c r="AXR81" s="583"/>
      <c r="AXS81" s="583"/>
      <c r="AXT81" s="583"/>
      <c r="AXU81" s="583"/>
      <c r="AXV81" s="583"/>
      <c r="AXW81" s="583"/>
      <c r="AXX81" s="582" t="s">
        <v>2545</v>
      </c>
      <c r="AXY81" s="583"/>
      <c r="AXZ81" s="583"/>
      <c r="AYA81" s="583"/>
      <c r="AYB81" s="583"/>
      <c r="AYC81" s="583"/>
      <c r="AYD81" s="583"/>
      <c r="AYE81" s="583"/>
      <c r="AYF81" s="583"/>
      <c r="AYG81" s="583"/>
      <c r="AYH81" s="583"/>
      <c r="AYI81" s="583"/>
      <c r="AYJ81" s="583"/>
      <c r="AYK81" s="583"/>
      <c r="AYL81" s="583"/>
      <c r="AYM81" s="583"/>
      <c r="AYN81" s="583"/>
      <c r="AYO81" s="583"/>
      <c r="AYP81" s="583"/>
      <c r="AYQ81" s="583"/>
      <c r="AYR81" s="583"/>
      <c r="AYS81" s="583"/>
      <c r="AYT81" s="583"/>
      <c r="AYU81" s="583"/>
      <c r="AYV81" s="583"/>
      <c r="AYW81" s="583"/>
      <c r="AYX81" s="583"/>
      <c r="AYY81" s="583"/>
      <c r="AYZ81" s="583"/>
      <c r="AZA81" s="583"/>
      <c r="AZB81" s="583"/>
      <c r="AZC81" s="583"/>
      <c r="AZD81" s="583"/>
      <c r="AZE81" s="583"/>
      <c r="AZF81" s="583"/>
      <c r="AZG81" s="583"/>
      <c r="AZH81" s="583"/>
      <c r="AZI81" s="583"/>
      <c r="AZJ81" s="583"/>
      <c r="AZK81" s="583"/>
      <c r="AZL81" s="583"/>
      <c r="AZM81" s="583"/>
      <c r="AZN81" s="583"/>
      <c r="AZO81" s="583"/>
      <c r="AZP81" s="583"/>
      <c r="AZQ81" s="583"/>
      <c r="AZR81" s="583"/>
      <c r="AZS81" s="583"/>
      <c r="AZT81" s="583"/>
      <c r="AZU81" s="583"/>
      <c r="AZV81" s="583"/>
      <c r="AZW81" s="583"/>
      <c r="AZX81" s="583"/>
      <c r="AZY81" s="583"/>
      <c r="AZZ81" s="583"/>
      <c r="BAA81" s="583"/>
      <c r="BAB81" s="583"/>
      <c r="BAC81" s="583"/>
      <c r="BAD81" s="583"/>
      <c r="BAE81" s="583"/>
      <c r="BAF81" s="583"/>
      <c r="BAG81" s="583"/>
      <c r="BAH81" s="583"/>
      <c r="BAI81" s="583"/>
      <c r="BAJ81" s="583"/>
      <c r="BAK81" s="583"/>
      <c r="BAL81" s="583"/>
      <c r="BAM81" s="583"/>
      <c r="BAN81" s="583"/>
      <c r="BAO81" s="583"/>
      <c r="BAP81" s="583"/>
      <c r="BAQ81" s="583"/>
      <c r="BAR81" s="583"/>
      <c r="BAS81" s="583"/>
      <c r="BAT81" s="583"/>
      <c r="BAU81" s="583"/>
      <c r="BAV81" s="583"/>
      <c r="BAW81" s="583"/>
      <c r="BAX81" s="583"/>
      <c r="BAY81" s="583"/>
      <c r="BAZ81" s="583"/>
      <c r="BBA81" s="583"/>
      <c r="BBB81" s="583"/>
      <c r="BBC81" s="583"/>
      <c r="BBD81" s="583"/>
      <c r="BBE81" s="583"/>
      <c r="BBF81" s="583"/>
      <c r="BBG81" s="583"/>
      <c r="BBH81" s="583"/>
      <c r="BBI81" s="583"/>
      <c r="BBJ81" s="583"/>
      <c r="BBK81" s="583"/>
      <c r="BBL81" s="583"/>
      <c r="BBM81" s="583"/>
      <c r="BBN81" s="583"/>
      <c r="BBO81" s="583"/>
      <c r="BBP81" s="583"/>
      <c r="BBQ81" s="583"/>
      <c r="BBR81" s="583"/>
      <c r="BBS81" s="583"/>
      <c r="BBT81" s="583"/>
      <c r="BBU81" s="583"/>
      <c r="BBV81" s="583"/>
      <c r="BBW81" s="583"/>
      <c r="BBX81" s="583"/>
      <c r="BBY81" s="583"/>
      <c r="BBZ81" s="583"/>
      <c r="BCA81" s="583"/>
      <c r="BCB81" s="583"/>
      <c r="BCC81" s="583"/>
      <c r="BCD81" s="583"/>
      <c r="BCE81" s="583"/>
      <c r="BCF81" s="583"/>
      <c r="BCG81" s="583"/>
      <c r="BCH81" s="583"/>
      <c r="BCI81" s="583"/>
      <c r="BCJ81" s="583"/>
      <c r="BCK81" s="583"/>
      <c r="BCL81" s="583"/>
      <c r="BCM81" s="583"/>
      <c r="BCN81" s="583"/>
      <c r="BCO81" s="583"/>
      <c r="BCP81" s="583"/>
      <c r="BCQ81" s="583"/>
      <c r="BCR81" s="583"/>
      <c r="BCS81" s="583"/>
      <c r="BCT81" s="583"/>
      <c r="BCU81" s="583"/>
      <c r="BCV81" s="583"/>
      <c r="BCW81" s="583"/>
      <c r="BCX81" s="583"/>
      <c r="BCY81" s="583"/>
      <c r="BCZ81" s="583"/>
      <c r="BDA81" s="583"/>
      <c r="BDB81" s="583"/>
      <c r="BDC81" s="583"/>
      <c r="BDD81" s="583"/>
      <c r="BDE81" s="583"/>
      <c r="BDF81" s="583"/>
      <c r="BDG81" s="583"/>
      <c r="BDH81" s="583"/>
      <c r="BDI81" s="583"/>
      <c r="BDJ81" s="583"/>
      <c r="BDK81" s="583"/>
      <c r="BDL81" s="583"/>
      <c r="BDM81" s="583"/>
      <c r="BDN81" s="583"/>
      <c r="BDO81" s="583"/>
      <c r="BDP81" s="583"/>
      <c r="BDQ81" s="583"/>
      <c r="BDR81" s="583"/>
      <c r="BDS81" s="583"/>
      <c r="BDT81" s="583"/>
      <c r="BDU81" s="583"/>
      <c r="BDV81" s="583"/>
      <c r="BDW81" s="583"/>
      <c r="BDX81" s="583"/>
      <c r="BDY81" s="583"/>
      <c r="BDZ81" s="583"/>
      <c r="BEA81" s="583"/>
      <c r="BEB81" s="583"/>
      <c r="BEC81" s="583"/>
      <c r="BED81" s="583"/>
      <c r="BEE81" s="583"/>
      <c r="BEF81" s="583"/>
      <c r="BEG81" s="583"/>
      <c r="BEH81" s="583"/>
      <c r="BEI81" s="583"/>
      <c r="BEJ81" s="583"/>
      <c r="BEK81" s="583"/>
      <c r="BEL81" s="583"/>
      <c r="BEM81" s="583"/>
      <c r="BEN81" s="583"/>
      <c r="BEO81" s="583"/>
      <c r="BEP81" s="583"/>
      <c r="BEQ81" s="583"/>
      <c r="BER81" s="583"/>
      <c r="BES81" s="583"/>
      <c r="BET81" s="583"/>
      <c r="BEU81" s="583"/>
      <c r="BEV81" s="583"/>
      <c r="BEW81" s="583"/>
      <c r="BEX81" s="583"/>
      <c r="BEY81" s="583"/>
      <c r="BEZ81" s="583"/>
      <c r="BFA81" s="583"/>
      <c r="BFB81" s="583"/>
      <c r="BFC81" s="583"/>
      <c r="BFD81" s="583"/>
      <c r="BFE81" s="583"/>
      <c r="BFF81" s="583"/>
      <c r="BFG81" s="583"/>
      <c r="BFH81" s="583"/>
      <c r="BFI81" s="583"/>
      <c r="BFJ81" s="583"/>
      <c r="BFK81" s="583"/>
      <c r="BFL81" s="583"/>
      <c r="BFM81" s="583"/>
      <c r="BFN81" s="583"/>
      <c r="BFO81" s="583"/>
      <c r="BFP81" s="583"/>
      <c r="BFQ81" s="583"/>
      <c r="BFR81" s="583"/>
      <c r="BFS81" s="583"/>
      <c r="BFT81" s="583"/>
      <c r="BFU81" s="583"/>
      <c r="BFV81" s="583"/>
      <c r="BFW81" s="583"/>
      <c r="BFX81" s="583"/>
      <c r="BFY81" s="583"/>
      <c r="BFZ81" s="583"/>
      <c r="BGA81" s="583"/>
      <c r="BGB81" s="583"/>
      <c r="BGC81" s="583"/>
      <c r="BGD81" s="583"/>
      <c r="BGE81" s="583"/>
      <c r="BGF81" s="583"/>
      <c r="BGG81" s="583"/>
      <c r="BGH81" s="583"/>
      <c r="BGI81" s="583"/>
      <c r="BGJ81" s="583"/>
      <c r="BGK81" s="583"/>
      <c r="BGL81" s="583"/>
      <c r="BGM81" s="583"/>
      <c r="BGN81" s="583"/>
      <c r="BGO81" s="583"/>
      <c r="BGP81" s="583"/>
      <c r="BGQ81" s="583"/>
      <c r="BGR81" s="583"/>
      <c r="BGS81" s="583"/>
      <c r="BGT81" s="583"/>
      <c r="BGU81" s="583"/>
      <c r="BGV81" s="583"/>
      <c r="BGW81" s="583"/>
      <c r="BGX81" s="583"/>
      <c r="BGY81" s="583"/>
      <c r="BGZ81" s="583"/>
      <c r="BHA81" s="583"/>
      <c r="BHB81" s="583"/>
      <c r="BHC81" s="583"/>
      <c r="BHD81" s="583"/>
      <c r="BHE81" s="583"/>
      <c r="BHF81" s="583"/>
      <c r="BHG81" s="583"/>
      <c r="BHH81" s="583"/>
      <c r="BHI81" s="583"/>
      <c r="BHJ81" s="583"/>
      <c r="BHK81" s="583"/>
      <c r="BHL81" s="583"/>
      <c r="BHM81" s="583"/>
      <c r="BHN81" s="583"/>
      <c r="BHO81" s="583"/>
      <c r="BHP81" s="583"/>
      <c r="BHQ81" s="583"/>
      <c r="BHR81" s="583"/>
      <c r="BHS81" s="583"/>
      <c r="BHT81" s="583"/>
      <c r="BHU81" s="583"/>
      <c r="BHV81" s="583"/>
      <c r="BHW81" s="583"/>
    </row>
    <row r="82" spans="2:1583" s="31" customFormat="1" ht="17.25" customHeight="1" thickTop="1" x14ac:dyDescent="0.25">
      <c r="B82" s="92"/>
      <c r="C82" s="43"/>
      <c r="D82" s="43"/>
      <c r="E82" s="43"/>
      <c r="F82" s="43"/>
      <c r="G82" s="43"/>
      <c r="H82" s="43"/>
      <c r="I82" s="43"/>
      <c r="J82" s="43"/>
      <c r="K82" s="43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93"/>
      <c r="AI82" s="43"/>
      <c r="AJ82" s="43"/>
      <c r="AK82" s="43"/>
      <c r="AQ82" s="731"/>
      <c r="AR82" s="732"/>
      <c r="AS82" s="732"/>
      <c r="AT82" s="732"/>
      <c r="AU82" s="732"/>
      <c r="AV82" s="732"/>
      <c r="AW82" s="732"/>
      <c r="AX82" s="732"/>
      <c r="AY82" s="732"/>
      <c r="AZ82" s="73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92"/>
      <c r="CS82" s="92"/>
      <c r="CT82" s="43"/>
      <c r="CU82" s="43"/>
      <c r="CV82" s="43"/>
      <c r="CW82" s="43"/>
      <c r="CX82" s="43"/>
      <c r="DP82" s="30"/>
      <c r="DQ82" s="43"/>
      <c r="DS82" s="43"/>
      <c r="DT82" s="43"/>
      <c r="DU82" s="43"/>
      <c r="DV82" s="43"/>
      <c r="DW82" s="43"/>
      <c r="DX82" s="43"/>
      <c r="DY82" s="43"/>
      <c r="ED82" s="30"/>
      <c r="EE82" s="30"/>
      <c r="EF82" s="30"/>
      <c r="EG82" s="30"/>
      <c r="EH82" s="30"/>
      <c r="EI82" s="30"/>
      <c r="EJ82" s="30"/>
      <c r="EK82" s="30"/>
      <c r="EL82" s="30"/>
      <c r="EM82" s="30"/>
      <c r="EN82" s="30"/>
      <c r="EO82" s="30"/>
      <c r="EP82" s="30"/>
      <c r="EQ82" s="30"/>
      <c r="ER82" s="30"/>
      <c r="ES82" s="30"/>
      <c r="ET82" s="30"/>
      <c r="EU82" s="30"/>
      <c r="EV82" s="30"/>
      <c r="EW82" s="30"/>
      <c r="EX82" s="43"/>
      <c r="EY82" s="43"/>
      <c r="EZ82" s="43"/>
      <c r="FA82" s="43"/>
      <c r="FB82" s="43"/>
      <c r="FC82" s="30"/>
      <c r="FE82" s="30"/>
      <c r="FH82" s="30"/>
      <c r="FI82" s="30"/>
      <c r="FJ82" s="30"/>
      <c r="FK82" s="30"/>
      <c r="FL82" s="30"/>
      <c r="FM82" s="30"/>
      <c r="FN82" s="30"/>
      <c r="FO82" s="30"/>
      <c r="FP82" s="30"/>
      <c r="FQ82" s="30"/>
      <c r="FR82" s="30"/>
      <c r="FS82" s="30"/>
      <c r="FT82" s="30"/>
      <c r="FU82" s="30"/>
      <c r="FV82" s="30"/>
      <c r="FW82" s="30"/>
      <c r="FX82" s="30"/>
      <c r="FY82" s="30"/>
      <c r="FZ82" s="30"/>
      <c r="GA82" s="30"/>
      <c r="GB82" s="30"/>
      <c r="GC82" s="30"/>
      <c r="GD82" s="30"/>
      <c r="GE82" s="78"/>
      <c r="GF82" s="78"/>
      <c r="GG82" s="78"/>
      <c r="GH82" s="78"/>
      <c r="GI82" s="78"/>
      <c r="GJ82" s="78"/>
      <c r="GK82" s="79"/>
      <c r="GL82" s="79"/>
      <c r="GM82" s="79"/>
      <c r="GN82" s="30"/>
      <c r="HC82" s="78"/>
      <c r="HD82" s="78"/>
      <c r="HE82" s="78"/>
      <c r="HF82" s="78"/>
      <c r="HG82" s="78"/>
      <c r="HH82" s="78"/>
      <c r="HI82" s="78"/>
      <c r="HJ82" s="78"/>
      <c r="HK82" s="78"/>
      <c r="HL82" s="78"/>
      <c r="HM82" s="78"/>
      <c r="HN82" s="78"/>
      <c r="HP82" s="92"/>
      <c r="IT82" s="92"/>
      <c r="JZ82" s="92"/>
      <c r="LE82" s="92"/>
      <c r="MK82" s="92"/>
      <c r="NP82" s="92"/>
      <c r="OH82" s="213"/>
      <c r="OI82" s="213"/>
      <c r="OJ82" s="213"/>
      <c r="OK82" s="213"/>
      <c r="OL82" s="213"/>
      <c r="OM82" s="213"/>
      <c r="ON82" s="213"/>
      <c r="OO82" s="213"/>
      <c r="OP82" s="213"/>
      <c r="OQ82" s="213"/>
      <c r="OR82" s="213"/>
      <c r="OS82" s="213"/>
      <c r="OT82" s="213"/>
      <c r="OU82" s="213"/>
      <c r="OV82" s="92"/>
      <c r="QB82" s="92"/>
      <c r="QT82" s="310"/>
      <c r="QU82" s="310"/>
      <c r="QV82" s="310"/>
      <c r="QW82" s="310"/>
      <c r="QX82" s="310"/>
      <c r="QY82" s="310"/>
      <c r="QZ82" s="310"/>
      <c r="RA82" s="310"/>
      <c r="RG82" s="92"/>
      <c r="RL82" s="310"/>
      <c r="RM82" s="310"/>
      <c r="RN82" s="310"/>
      <c r="RO82" s="310"/>
      <c r="RP82" s="310"/>
      <c r="RQ82" s="310"/>
      <c r="RR82" s="310"/>
      <c r="RS82" s="310"/>
      <c r="RT82" s="310"/>
      <c r="RU82" s="310"/>
      <c r="RV82" s="310"/>
      <c r="RW82" s="310"/>
      <c r="RX82" s="310"/>
      <c r="RY82" s="310"/>
      <c r="RZ82" s="310"/>
      <c r="SA82" s="310"/>
      <c r="SL82" s="310"/>
      <c r="SM82" s="310"/>
      <c r="SN82" s="310"/>
      <c r="SO82" s="310"/>
      <c r="SP82" s="310"/>
      <c r="SQ82" s="310"/>
      <c r="SR82" s="310"/>
      <c r="SS82" s="310">
        <f>SS80+SS81</f>
        <v>97.5</v>
      </c>
      <c r="TK82" s="310"/>
      <c r="TL82" s="310"/>
      <c r="TM82" s="310"/>
      <c r="TN82" s="310"/>
      <c r="TO82" s="310"/>
      <c r="TP82" s="310"/>
      <c r="TQ82" s="310"/>
      <c r="TR82" s="92"/>
      <c r="UR82" s="310"/>
      <c r="UX82" s="92"/>
      <c r="VB82" s="310"/>
      <c r="VF82" s="310"/>
      <c r="VG82" s="310"/>
      <c r="VM82" s="310"/>
      <c r="VO82" s="310"/>
      <c r="VP82" s="310"/>
      <c r="VS82" s="310"/>
      <c r="VT82" s="310"/>
      <c r="VU82" s="310"/>
      <c r="VV82" s="310"/>
      <c r="VW82" s="310"/>
      <c r="VX82" s="310"/>
      <c r="VY82" s="310"/>
      <c r="VZ82" s="310"/>
      <c r="WA82" s="310"/>
      <c r="WB82" s="310"/>
      <c r="WC82" s="310"/>
      <c r="WD82" s="92"/>
      <c r="WE82" s="310"/>
      <c r="WF82" s="310"/>
      <c r="WG82" s="310"/>
      <c r="WH82" s="641"/>
      <c r="WI82" s="641"/>
      <c r="WJ82" s="642" t="s">
        <v>2016</v>
      </c>
      <c r="WK82" s="643" t="s">
        <v>687</v>
      </c>
      <c r="WL82" s="644">
        <v>44600</v>
      </c>
      <c r="WM82" s="645">
        <v>44250</v>
      </c>
      <c r="WN82" s="641">
        <f>39700+5200</f>
        <v>44900</v>
      </c>
      <c r="WO82" s="645"/>
      <c r="WP82" s="641"/>
      <c r="WQ82" s="641"/>
      <c r="WR82" s="646"/>
      <c r="WS82" s="641"/>
      <c r="WT82" s="641"/>
      <c r="WV82" s="310"/>
      <c r="WW82" s="310"/>
      <c r="WX82" s="310"/>
      <c r="WY82" s="310"/>
      <c r="WZ82" s="310"/>
      <c r="XA82" s="310"/>
      <c r="XB82" s="310"/>
      <c r="XC82" s="310"/>
      <c r="XD82" s="310"/>
      <c r="XE82" s="310"/>
      <c r="XF82" s="310"/>
      <c r="XG82" s="92"/>
      <c r="XH82" s="298"/>
      <c r="XI82" s="298"/>
      <c r="XJ82" s="298"/>
      <c r="XK82" s="298"/>
      <c r="XL82" s="298"/>
      <c r="XM82" s="298"/>
      <c r="XN82" s="298"/>
      <c r="XO82" s="298"/>
      <c r="XP82" s="298"/>
      <c r="XQ82" s="298"/>
      <c r="XR82" s="298"/>
      <c r="XS82" s="298"/>
      <c r="XT82" s="298"/>
      <c r="XU82" s="298"/>
      <c r="XV82" s="298"/>
      <c r="XW82" s="298"/>
      <c r="XX82" s="298"/>
      <c r="XY82" s="298"/>
      <c r="XZ82" s="298"/>
      <c r="YA82" s="298"/>
      <c r="YB82" s="298"/>
      <c r="YC82" s="298"/>
      <c r="YD82" s="298"/>
      <c r="YE82" s="298"/>
      <c r="YF82" s="298"/>
      <c r="YG82" s="298"/>
      <c r="YH82" s="298"/>
      <c r="YI82" s="298"/>
      <c r="YJ82" s="298"/>
      <c r="YK82" s="298"/>
      <c r="YL82" s="298"/>
      <c r="YM82" s="92"/>
      <c r="YN82" s="310"/>
      <c r="YO82" s="310"/>
      <c r="YP82" s="310"/>
      <c r="YQ82" s="310"/>
      <c r="YR82" s="310"/>
      <c r="YS82" s="310"/>
      <c r="YT82" s="310"/>
      <c r="YU82" s="310"/>
      <c r="YV82" s="310"/>
      <c r="YW82" s="310"/>
      <c r="YX82" s="310"/>
      <c r="YY82" s="310"/>
      <c r="YZ82" s="310"/>
      <c r="ZA82" s="310"/>
      <c r="ZB82" s="310"/>
      <c r="ZD82" s="310"/>
      <c r="ZE82" s="310"/>
      <c r="ZF82" s="310"/>
      <c r="ZG82" s="310"/>
      <c r="ZH82" s="310"/>
      <c r="ZI82" s="310"/>
      <c r="ZJ82" s="310"/>
      <c r="ZK82" s="310"/>
      <c r="ZL82" s="310"/>
      <c r="ZM82" s="310"/>
      <c r="ZN82" s="310"/>
      <c r="ZO82" s="310"/>
      <c r="ZP82" s="310"/>
      <c r="ZQ82" s="310"/>
      <c r="ZR82" s="92"/>
      <c r="ZS82" s="310"/>
      <c r="ZT82" s="310"/>
      <c r="ZU82" s="310"/>
      <c r="ZV82" s="310"/>
      <c r="ZW82" s="310"/>
      <c r="ZX82" s="310"/>
      <c r="ZY82" s="310"/>
      <c r="ZZ82" s="310"/>
      <c r="AAA82" s="310"/>
      <c r="AAC82" s="310"/>
      <c r="AAU82" s="310"/>
      <c r="AAV82" s="310"/>
      <c r="AAW82" s="310"/>
      <c r="AAX82" s="92"/>
      <c r="AAY82" s="310"/>
      <c r="AAZ82" s="310"/>
      <c r="ABA82" s="310"/>
      <c r="ABB82" s="310"/>
      <c r="ABC82" s="310"/>
      <c r="ABD82" s="310"/>
      <c r="ABE82" s="310"/>
      <c r="ABF82" s="310"/>
      <c r="ABG82" s="310"/>
      <c r="ABH82" s="310"/>
      <c r="ABI82" s="310"/>
      <c r="ABJ82" s="310"/>
      <c r="ABK82" s="310"/>
      <c r="ABL82" s="310"/>
      <c r="ABM82" s="310"/>
      <c r="ABN82" s="310"/>
      <c r="ABO82" s="310"/>
      <c r="ABP82" s="310"/>
      <c r="ABQ82" s="310"/>
      <c r="ABR82" s="310"/>
      <c r="ABS82" s="310"/>
      <c r="ABT82" s="310"/>
      <c r="ABU82" s="310"/>
      <c r="ABV82" s="310"/>
      <c r="ABW82" s="310"/>
      <c r="ABX82" s="310"/>
      <c r="ABY82" s="310"/>
      <c r="ABZ82" s="310"/>
      <c r="ACA82" s="310"/>
      <c r="ACB82" s="310"/>
      <c r="ACC82" s="92"/>
      <c r="ACD82" s="310"/>
      <c r="ACE82" s="310"/>
      <c r="ACF82" s="310"/>
      <c r="ACG82" s="310"/>
      <c r="ACH82" s="310"/>
      <c r="ACI82" s="310"/>
      <c r="ACJ82" s="310"/>
      <c r="ACK82" s="310"/>
      <c r="ACL82" s="310"/>
      <c r="ACM82" s="310"/>
      <c r="ACN82" s="310"/>
      <c r="ACO82" s="310"/>
      <c r="ACP82" s="310"/>
      <c r="ACQ82" s="310"/>
      <c r="ACR82" s="310"/>
      <c r="ACS82" s="310"/>
      <c r="ACT82" s="310"/>
      <c r="ACU82" s="310"/>
      <c r="ACV82" s="310"/>
      <c r="ACW82" s="310"/>
      <c r="ACX82" s="310"/>
      <c r="ACY82" s="310"/>
      <c r="ACZ82" s="310"/>
      <c r="ADA82" s="310"/>
      <c r="ADB82" s="310"/>
      <c r="ADC82" s="310"/>
      <c r="ADD82" s="310"/>
      <c r="ADE82" s="310"/>
      <c r="ADF82" s="310"/>
      <c r="ADG82" s="310"/>
      <c r="ADH82" s="310"/>
      <c r="ADI82" s="92"/>
      <c r="ADJ82" s="310"/>
      <c r="ADK82" s="310"/>
      <c r="ADL82" s="310"/>
      <c r="ADM82" s="310"/>
      <c r="ADN82" s="310"/>
      <c r="ADO82" s="310"/>
      <c r="ADP82" s="310"/>
      <c r="ADQ82" s="310"/>
      <c r="ADR82" s="310"/>
      <c r="ADS82" s="310"/>
      <c r="ADT82" s="310"/>
      <c r="ADU82" s="310"/>
      <c r="ADV82" s="310"/>
      <c r="ADW82" s="310"/>
      <c r="ADX82" s="310"/>
      <c r="ADY82" s="310"/>
      <c r="ADZ82" s="310"/>
      <c r="AEA82" s="310"/>
      <c r="AEB82" s="310"/>
      <c r="AEC82" s="310"/>
      <c r="AED82" s="310"/>
      <c r="AEE82" s="310"/>
      <c r="AEF82" s="310"/>
      <c r="AEG82" s="310"/>
      <c r="AEH82" s="310"/>
      <c r="AEI82" s="310"/>
      <c r="AEJ82" s="310"/>
      <c r="AEK82" s="310"/>
      <c r="AEL82" s="310"/>
      <c r="AEM82" s="310"/>
      <c r="AEN82" s="310"/>
      <c r="AEO82" s="310"/>
      <c r="AEP82" s="310"/>
      <c r="AEQ82" s="310"/>
      <c r="AER82" s="310"/>
      <c r="AES82" s="310"/>
      <c r="AET82" s="310"/>
      <c r="AEU82" s="310"/>
      <c r="AEV82" s="310"/>
      <c r="AFF82" s="310"/>
      <c r="AFI82" s="310"/>
      <c r="AFJ82" s="310"/>
      <c r="AFK82" s="310"/>
      <c r="AFL82" s="310"/>
      <c r="AFM82" s="310"/>
      <c r="AFN82" s="310"/>
      <c r="AFO82" s="310"/>
      <c r="AFP82" s="310"/>
      <c r="AFR82" s="310" t="s">
        <v>2493</v>
      </c>
      <c r="AFS82" s="614">
        <v>44464</v>
      </c>
      <c r="AFT82" s="310"/>
      <c r="AFU82" s="310"/>
      <c r="AGD82" s="310"/>
      <c r="AGE82" s="310"/>
      <c r="AGF82" s="310"/>
      <c r="AGG82" s="310"/>
      <c r="AGH82" s="310"/>
      <c r="AGI82" s="310"/>
      <c r="AGJ82" s="310"/>
      <c r="AGK82" s="310"/>
      <c r="AGL82" s="310"/>
      <c r="AGM82" s="310"/>
      <c r="AGN82" s="310"/>
      <c r="AGO82" s="310"/>
      <c r="AGP82" s="310"/>
      <c r="AGQ82" s="310"/>
      <c r="AGR82" s="310"/>
      <c r="AGS82" s="310"/>
      <c r="AGT82" s="310"/>
      <c r="AGU82" s="310"/>
      <c r="AGV82" s="310"/>
      <c r="AGW82" s="310"/>
      <c r="AGX82" s="310"/>
      <c r="AGY82" s="310"/>
      <c r="AGZ82" s="310"/>
      <c r="AHA82" s="310"/>
      <c r="AHB82" s="310"/>
      <c r="AHC82" s="310"/>
      <c r="AHD82" s="310"/>
      <c r="AHE82" s="310"/>
      <c r="AHF82" s="310"/>
      <c r="AHG82" s="310"/>
      <c r="AHH82" s="310"/>
      <c r="AHI82" s="310"/>
      <c r="AHJ82" s="310"/>
      <c r="AHK82" s="310"/>
      <c r="AHX82" s="310"/>
      <c r="AHY82" s="310"/>
      <c r="AHZ82" s="310"/>
      <c r="AIA82" s="310"/>
      <c r="AIB82" s="310"/>
      <c r="AIC82" s="310"/>
      <c r="AID82" s="310"/>
      <c r="AIE82" s="310"/>
      <c r="AIF82" s="310"/>
      <c r="AIG82" s="310"/>
      <c r="AIH82" s="310"/>
      <c r="AII82" s="310"/>
      <c r="AIJ82" s="310"/>
      <c r="AIK82" s="310"/>
      <c r="AIL82" s="310"/>
      <c r="AIM82" s="310"/>
      <c r="AIN82" s="310"/>
      <c r="AIO82" s="310"/>
      <c r="AIP82" s="310"/>
      <c r="AIQ82" s="310"/>
      <c r="AIR82" s="310"/>
      <c r="AIS82" s="310"/>
      <c r="AIT82" s="310"/>
      <c r="AIU82" s="310"/>
      <c r="AIV82" s="310"/>
      <c r="AIW82" s="310"/>
      <c r="AIX82" s="310"/>
      <c r="AIY82" s="310"/>
      <c r="AIZ82" s="310"/>
      <c r="AJA82" s="310"/>
      <c r="AJB82" s="310"/>
      <c r="AJC82" s="310"/>
      <c r="AJD82" s="310"/>
      <c r="AJE82" s="310"/>
      <c r="AJF82" s="310"/>
      <c r="AJK82" s="92"/>
      <c r="AJL82" s="310"/>
      <c r="AJM82" s="310"/>
      <c r="AJN82" s="310"/>
      <c r="AJO82" s="310"/>
      <c r="AJP82" s="310"/>
      <c r="AJQ82" s="310"/>
      <c r="AJR82" s="310"/>
      <c r="AJS82" s="310"/>
      <c r="AJT82" s="310"/>
      <c r="AJU82" s="310"/>
      <c r="AJV82" s="310"/>
      <c r="AJW82" s="310"/>
      <c r="AJX82" s="310"/>
      <c r="AJY82" s="310"/>
      <c r="AJZ82" s="310"/>
      <c r="AKA82" s="310"/>
      <c r="AKB82" s="310"/>
      <c r="AKC82" s="310"/>
      <c r="AKD82" s="310"/>
      <c r="AKE82" s="310"/>
      <c r="AKF82" s="310"/>
      <c r="AKG82" s="310"/>
      <c r="AKH82" s="310"/>
      <c r="AKI82" s="310"/>
      <c r="AKJ82" s="310"/>
      <c r="AKQ82" s="92"/>
      <c r="ALT82" s="310"/>
      <c r="ALU82" s="310"/>
      <c r="ALV82" s="310"/>
      <c r="ALW82" s="310"/>
      <c r="ALX82" s="310"/>
      <c r="ALY82" s="310"/>
      <c r="AMZ82" s="310"/>
      <c r="ANA82" s="310"/>
      <c r="ANB82" s="310"/>
      <c r="ANC82" s="310"/>
      <c r="AND82" s="310"/>
      <c r="AOE82" s="30"/>
      <c r="APK82" s="92"/>
      <c r="AQP82" s="92"/>
      <c r="ARV82" s="191"/>
      <c r="ARW82" s="191"/>
      <c r="ARX82" s="191"/>
      <c r="ARY82" s="191"/>
      <c r="ARZ82" s="191"/>
      <c r="ASA82" s="191"/>
      <c r="ASB82" s="191"/>
      <c r="ASC82" s="191"/>
      <c r="ASD82" s="191"/>
      <c r="ASE82" s="191"/>
      <c r="ASF82" s="191"/>
      <c r="ASG82" s="191"/>
      <c r="ASH82" s="191"/>
      <c r="ASI82" s="191"/>
      <c r="ASJ82" s="191"/>
      <c r="ASK82" s="191"/>
      <c r="ASL82" s="191"/>
      <c r="ASM82" s="191"/>
      <c r="ASN82" s="191"/>
      <c r="ASO82" s="191"/>
      <c r="ASP82" s="191"/>
      <c r="ASQ82" s="191"/>
      <c r="ASR82" s="191"/>
      <c r="ASS82" s="191"/>
      <c r="AST82" s="191"/>
      <c r="ASU82" s="191"/>
      <c r="ASV82" s="191"/>
      <c r="ASW82" s="191"/>
      <c r="ASX82" s="191"/>
      <c r="ASY82" s="191"/>
      <c r="ASZ82" s="191"/>
      <c r="ATA82" s="191"/>
      <c r="ATB82" s="191"/>
      <c r="ATC82" s="191"/>
      <c r="ATD82" s="191"/>
      <c r="ATE82" s="191"/>
      <c r="ATF82" s="191"/>
      <c r="ATG82" s="191"/>
      <c r="ATH82" s="191"/>
      <c r="ATI82" s="191"/>
      <c r="ATJ82" s="191"/>
      <c r="ATK82" s="191"/>
      <c r="ATL82" s="191"/>
      <c r="ATM82" s="191"/>
      <c r="ATN82" s="191"/>
      <c r="ATO82" s="191"/>
      <c r="ATP82" s="191"/>
      <c r="ATQ82" s="191"/>
      <c r="ATR82" s="191"/>
      <c r="ATS82" s="191"/>
      <c r="ATT82" s="191"/>
      <c r="ATU82" s="191"/>
      <c r="ATV82" s="191"/>
      <c r="AUG82" s="191"/>
      <c r="AVM82" s="191"/>
      <c r="AWR82" s="191"/>
      <c r="AXX82" s="191"/>
      <c r="BAE82" s="310"/>
      <c r="BAF82" s="310"/>
      <c r="BAG82" s="310"/>
      <c r="BAH82" s="310"/>
      <c r="BAI82" s="310"/>
      <c r="BAJ82" s="310"/>
      <c r="BAK82" s="310"/>
      <c r="BAL82" s="310"/>
      <c r="BAM82" s="310"/>
      <c r="BAN82" s="310"/>
      <c r="BAO82" s="310"/>
      <c r="BAP82" s="310"/>
      <c r="BAQ82" s="310"/>
      <c r="BAR82" s="310"/>
      <c r="BAS82" s="310"/>
      <c r="BAT82" s="310"/>
      <c r="BAU82" s="310"/>
      <c r="BAV82" s="310"/>
      <c r="BAW82" s="310"/>
      <c r="BAX82" s="310"/>
      <c r="BAY82" s="310"/>
      <c r="BAZ82" s="310"/>
      <c r="BBA82" s="310"/>
      <c r="BBB82" s="310"/>
      <c r="BBC82" s="310"/>
      <c r="BBD82" s="310"/>
      <c r="BBE82" s="310"/>
      <c r="BBF82" s="310"/>
      <c r="BBG82" s="310"/>
      <c r="BBH82" s="310"/>
      <c r="BBI82" s="310"/>
      <c r="BBJ82" s="310"/>
      <c r="BBK82" s="310"/>
      <c r="BBL82" s="310"/>
      <c r="BBM82" s="310"/>
      <c r="BBN82" s="310"/>
      <c r="BBO82" s="310"/>
      <c r="BBP82" s="310"/>
      <c r="BBQ82" s="310"/>
      <c r="BBR82" s="310"/>
      <c r="BBS82" s="310"/>
      <c r="BBT82" s="310"/>
      <c r="BBU82" s="310"/>
      <c r="BBV82" s="310"/>
      <c r="BBW82" s="310"/>
      <c r="BBX82" s="310"/>
      <c r="BBY82" s="310"/>
      <c r="BBZ82" s="310"/>
      <c r="BCA82" s="310"/>
      <c r="BCB82" s="310"/>
      <c r="BCC82" s="310"/>
      <c r="BCD82" s="310"/>
      <c r="BCE82" s="310"/>
      <c r="BCF82" s="310"/>
      <c r="BCG82" s="310"/>
      <c r="BCH82" s="310"/>
      <c r="BCI82" s="310"/>
      <c r="BCJ82" s="310"/>
      <c r="BCK82" s="310"/>
      <c r="BCL82" s="310"/>
      <c r="BCM82" s="310"/>
      <c r="BCN82" s="310"/>
      <c r="BCO82" s="310"/>
      <c r="BCP82" s="310"/>
      <c r="BCQ82" s="310"/>
      <c r="BCR82" s="310"/>
      <c r="BCS82" s="310"/>
      <c r="BCT82" s="310"/>
      <c r="BCU82" s="310"/>
      <c r="BCV82" s="310"/>
      <c r="BCW82" s="310"/>
      <c r="BCX82" s="310"/>
      <c r="BCY82" s="310"/>
      <c r="BCZ82" s="310"/>
      <c r="BDA82" s="310"/>
      <c r="BDB82" s="310"/>
      <c r="BDC82" s="310"/>
      <c r="BDD82" s="310"/>
      <c r="BDE82" s="310"/>
      <c r="BDF82" s="310"/>
      <c r="BDG82" s="310"/>
      <c r="BDH82" s="310"/>
      <c r="BDI82" s="310"/>
      <c r="BDJ82" s="310"/>
      <c r="BDK82" s="310"/>
      <c r="BDL82" s="310"/>
      <c r="BDM82" s="310"/>
      <c r="BDN82" s="310"/>
      <c r="BDO82" s="310"/>
      <c r="BDP82" s="310"/>
      <c r="BDQ82" s="310"/>
      <c r="BDR82" s="310"/>
      <c r="BDS82" s="310"/>
      <c r="BDT82" s="310"/>
      <c r="BDU82" s="310"/>
      <c r="BDV82" s="310"/>
      <c r="BDW82" s="310"/>
      <c r="BDX82" s="310"/>
      <c r="BDY82" s="310"/>
      <c r="BDZ82" s="310"/>
      <c r="BEA82" s="310"/>
      <c r="BEB82" s="310"/>
      <c r="BEC82" s="310"/>
      <c r="BED82" s="310"/>
      <c r="BEE82" s="310"/>
      <c r="BEF82" s="310"/>
      <c r="BEG82" s="310"/>
      <c r="BEH82" s="310"/>
      <c r="BEI82" s="310"/>
      <c r="BEJ82" s="310"/>
      <c r="BEK82" s="310"/>
      <c r="BEL82" s="310"/>
      <c r="BEM82" s="310"/>
      <c r="BEN82" s="310"/>
      <c r="BEO82" s="310"/>
      <c r="BEP82" s="310"/>
      <c r="BEQ82" s="310"/>
      <c r="BER82" s="310"/>
      <c r="BES82" s="310"/>
      <c r="BET82" s="310"/>
      <c r="BEU82" s="310"/>
      <c r="BEV82" s="310"/>
      <c r="BEW82" s="310"/>
      <c r="BEX82" s="310"/>
      <c r="BEY82" s="310"/>
      <c r="BEZ82" s="310"/>
      <c r="BFA82" s="310"/>
      <c r="BFB82" s="310"/>
      <c r="BFC82" s="310"/>
      <c r="BFD82" s="310"/>
      <c r="BFE82" s="310"/>
      <c r="BFF82" s="310"/>
      <c r="BFG82" s="310"/>
      <c r="BFH82" s="310"/>
      <c r="BFI82" s="310"/>
      <c r="BFJ82" s="310"/>
      <c r="BFK82" s="310"/>
      <c r="BFL82" s="310"/>
      <c r="BFM82" s="310"/>
      <c r="BFN82" s="310"/>
      <c r="BFO82" s="310"/>
      <c r="BFP82" s="310"/>
      <c r="BFQ82" s="310"/>
      <c r="BFR82" s="310"/>
      <c r="BFS82" s="310"/>
      <c r="BFT82" s="310"/>
      <c r="BFU82" s="310"/>
      <c r="BFV82" s="310"/>
      <c r="BFW82" s="310"/>
      <c r="BFX82" s="310"/>
      <c r="BFY82" s="310"/>
      <c r="BFZ82" s="310"/>
      <c r="BGA82" s="310"/>
      <c r="BGB82" s="310"/>
      <c r="BGC82" s="310"/>
      <c r="BGD82" s="310"/>
      <c r="BGE82" s="310"/>
      <c r="BGF82" s="310"/>
      <c r="BGG82" s="310"/>
      <c r="BGH82" s="310"/>
      <c r="BGI82" s="310"/>
      <c r="BGJ82" s="310"/>
      <c r="BGK82" s="310"/>
      <c r="BGL82" s="310"/>
      <c r="BGM82" s="310"/>
      <c r="BGN82" s="310"/>
      <c r="BGO82" s="310"/>
      <c r="BGP82" s="310"/>
      <c r="BGQ82" s="310"/>
      <c r="BGR82" s="310"/>
      <c r="BGS82" s="310"/>
      <c r="BGT82" s="310"/>
      <c r="BGU82" s="310"/>
      <c r="BGV82" s="310"/>
      <c r="BGW82" s="310"/>
      <c r="BGX82" s="310"/>
      <c r="BGY82" s="310"/>
      <c r="BGZ82" s="310"/>
      <c r="BHA82" s="310"/>
      <c r="BHB82" s="310"/>
      <c r="BHC82" s="310"/>
      <c r="BHD82" s="310"/>
      <c r="BHE82" s="310"/>
      <c r="BHF82" s="310"/>
      <c r="BHG82" s="310"/>
      <c r="BHH82" s="310"/>
      <c r="BHI82" s="310"/>
      <c r="BHJ82" s="310"/>
      <c r="BHK82" s="310"/>
      <c r="BHL82" s="310"/>
      <c r="BHM82" s="310"/>
      <c r="BHN82" s="310"/>
      <c r="BHO82" s="310"/>
      <c r="BHP82" s="310"/>
      <c r="BHQ82" s="310"/>
      <c r="BHR82" s="310"/>
      <c r="BHS82" s="310"/>
      <c r="BHT82" s="310"/>
      <c r="BHU82" s="310"/>
      <c r="BHV82" s="310"/>
      <c r="BHW82" s="310"/>
    </row>
    <row r="83" spans="2:1583" ht="23.25" customHeight="1" x14ac:dyDescent="0.4">
      <c r="B83" s="12" t="s">
        <v>25</v>
      </c>
      <c r="C83" s="4" t="s">
        <v>80</v>
      </c>
      <c r="D83" s="4"/>
      <c r="E83" s="4"/>
      <c r="F83" s="4"/>
      <c r="G83" s="4"/>
      <c r="H83" s="4"/>
      <c r="I83" s="4"/>
      <c r="J83" s="38" t="s">
        <v>87</v>
      </c>
      <c r="K83" s="32"/>
      <c r="L83" s="39"/>
      <c r="M83" s="39"/>
      <c r="N83" s="39"/>
      <c r="O83" s="39"/>
      <c r="P83" s="39"/>
      <c r="Q83" s="39"/>
      <c r="R83" s="39"/>
      <c r="S83" s="39"/>
      <c r="T83" s="15" t="s">
        <v>66</v>
      </c>
      <c r="U83" s="40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51" t="s">
        <v>25</v>
      </c>
      <c r="AI83" s="23" t="s">
        <v>64</v>
      </c>
      <c r="AJ83" s="15" t="s">
        <v>96</v>
      </c>
      <c r="AK83" s="40"/>
      <c r="AL83" s="37"/>
      <c r="AM83" s="37"/>
      <c r="AN83" s="37"/>
      <c r="AO83" s="37"/>
      <c r="AP83" s="37"/>
      <c r="AQ83" s="731"/>
      <c r="AR83" s="732"/>
      <c r="AS83" s="732"/>
      <c r="AT83" s="732"/>
      <c r="AU83" s="732"/>
      <c r="AV83" s="732"/>
      <c r="AW83" s="732"/>
      <c r="AX83" s="732"/>
      <c r="AY83" s="732"/>
      <c r="AZ83" s="733"/>
      <c r="BA83" s="23" t="s">
        <v>64</v>
      </c>
      <c r="BB83" s="27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12" t="s">
        <v>25</v>
      </c>
      <c r="CN83" s="43"/>
      <c r="CS83" s="12" t="s">
        <v>25</v>
      </c>
      <c r="CW83" s="43"/>
      <c r="CX83" s="43"/>
      <c r="CY83" s="43"/>
      <c r="CZ83" s="43"/>
      <c r="DA83" s="43"/>
      <c r="DB83" s="43"/>
      <c r="DC83" s="43"/>
      <c r="FA83" s="43"/>
      <c r="FB83" s="43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HP83" s="5"/>
      <c r="IS83" s="43"/>
      <c r="IT83" s="5"/>
      <c r="JG83" s="30">
        <v>1300</v>
      </c>
      <c r="JZ83" s="5"/>
      <c r="KB83" s="136"/>
      <c r="KC83" s="136"/>
      <c r="KD83" s="136"/>
      <c r="KE83" s="136">
        <v>400</v>
      </c>
      <c r="KF83" s="136">
        <v>800</v>
      </c>
      <c r="KG83" s="136">
        <v>1200</v>
      </c>
      <c r="KH83" s="136"/>
      <c r="KI83" s="136">
        <v>1200</v>
      </c>
      <c r="KJ83" s="137">
        <v>900</v>
      </c>
      <c r="KK83" s="136">
        <v>300</v>
      </c>
      <c r="KL83" s="136">
        <v>800</v>
      </c>
      <c r="KM83" s="136">
        <v>1200</v>
      </c>
      <c r="KN83" s="136"/>
      <c r="KO83" s="136">
        <v>1200</v>
      </c>
      <c r="KP83" s="136">
        <v>1200</v>
      </c>
      <c r="KQ83" s="137">
        <v>400</v>
      </c>
      <c r="KR83" s="136">
        <v>600</v>
      </c>
      <c r="KS83" s="136">
        <v>1000</v>
      </c>
      <c r="KT83" s="136">
        <v>1200</v>
      </c>
      <c r="KU83" s="136">
        <v>1200</v>
      </c>
      <c r="KV83" s="137">
        <v>700</v>
      </c>
      <c r="LE83" s="5"/>
      <c r="LL83" s="30">
        <f>52500*0.03</f>
        <v>1575</v>
      </c>
      <c r="LM83" s="30">
        <v>34592</v>
      </c>
      <c r="LQ83" s="43"/>
      <c r="MK83" s="5"/>
      <c r="NP83" s="5"/>
      <c r="NQ83" s="31"/>
      <c r="NR83" s="31"/>
      <c r="NS83" s="31"/>
      <c r="NT83" s="31"/>
      <c r="NU83" s="31"/>
      <c r="NV83" s="31"/>
      <c r="NW83" s="136">
        <v>300</v>
      </c>
      <c r="NX83" s="136">
        <v>700</v>
      </c>
      <c r="NY83" s="137">
        <v>1050</v>
      </c>
      <c r="NZ83" s="136">
        <v>300</v>
      </c>
      <c r="OA83" s="136">
        <v>700</v>
      </c>
      <c r="OB83" s="137">
        <v>1050</v>
      </c>
      <c r="OM83" s="136">
        <v>900</v>
      </c>
      <c r="ON83" s="137">
        <v>1140</v>
      </c>
      <c r="OO83" s="201"/>
      <c r="OP83" s="201"/>
      <c r="OQ83" s="201"/>
      <c r="OR83" s="201"/>
      <c r="OS83" s="201"/>
      <c r="OT83" s="201"/>
      <c r="OV83" s="5"/>
      <c r="QB83" s="5"/>
      <c r="QT83" s="310"/>
      <c r="QU83" s="310"/>
      <c r="QV83" s="310"/>
      <c r="QW83" s="310"/>
      <c r="QX83" s="310"/>
      <c r="RG83" s="5"/>
      <c r="SQ83" s="310"/>
      <c r="SR83" s="310"/>
      <c r="SS83" s="310">
        <f>SS82*1768</f>
        <v>172380</v>
      </c>
      <c r="TR83" s="12" t="s">
        <v>25</v>
      </c>
      <c r="UX83" s="12" t="s">
        <v>25</v>
      </c>
      <c r="WD83" s="12" t="s">
        <v>25</v>
      </c>
      <c r="WH83" s="20"/>
      <c r="WI83" s="9"/>
      <c r="WJ83" s="570" t="s">
        <v>2018</v>
      </c>
      <c r="WK83" s="568">
        <v>44243</v>
      </c>
      <c r="WL83" s="20">
        <v>50000</v>
      </c>
      <c r="WM83" s="20"/>
      <c r="WN83" s="20"/>
      <c r="WO83" s="20"/>
      <c r="WP83" s="20"/>
      <c r="WQ83" s="20"/>
      <c r="WR83" s="565"/>
      <c r="WS83" s="20"/>
      <c r="WT83" s="20"/>
      <c r="XG83" s="12" t="s">
        <v>25</v>
      </c>
      <c r="XH83" s="298"/>
      <c r="XI83" s="298"/>
      <c r="XJ83" s="298"/>
      <c r="XK83" s="298"/>
      <c r="XL83" s="298"/>
      <c r="XM83" s="298"/>
      <c r="XN83" s="298"/>
      <c r="XO83" s="298"/>
      <c r="XP83" s="298"/>
      <c r="XQ83" s="298"/>
      <c r="XR83" s="298"/>
      <c r="XS83" s="298"/>
      <c r="XT83" s="298"/>
      <c r="XU83" s="298"/>
      <c r="XV83" s="298"/>
      <c r="XW83" s="298"/>
      <c r="XX83" s="298"/>
      <c r="XY83" s="298"/>
      <c r="XZ83" s="298"/>
      <c r="YA83" s="298"/>
      <c r="YB83" s="298"/>
      <c r="YC83" s="298"/>
      <c r="YD83" s="298"/>
      <c r="YE83" s="298"/>
      <c r="YF83" s="298"/>
      <c r="YG83" s="298"/>
      <c r="YH83" s="298"/>
      <c r="YI83" s="298"/>
      <c r="YJ83" s="298"/>
      <c r="YK83" s="298"/>
      <c r="YL83" s="298"/>
      <c r="YM83" s="12" t="s">
        <v>25</v>
      </c>
      <c r="ZR83" s="12" t="s">
        <v>25</v>
      </c>
      <c r="AAC83" s="310"/>
      <c r="AAX83" s="12" t="s">
        <v>25</v>
      </c>
      <c r="ACC83" s="92"/>
      <c r="ACE83" s="310"/>
      <c r="ACF83" s="310"/>
      <c r="ACG83" s="310"/>
      <c r="ACH83" s="310"/>
      <c r="ACI83" s="310"/>
      <c r="ACJ83" s="310"/>
      <c r="ACK83" s="310"/>
      <c r="ACL83" s="310"/>
      <c r="ACM83" s="310"/>
      <c r="ACN83" s="310"/>
      <c r="ACO83" s="310"/>
      <c r="ACP83" s="310"/>
      <c r="ACQ83" s="310"/>
      <c r="ACR83" s="310"/>
      <c r="ACS83" s="310"/>
      <c r="ACT83" s="310"/>
      <c r="ACU83" s="310"/>
      <c r="ACV83" s="310"/>
      <c r="ACW83" s="310"/>
      <c r="ADI83" s="5"/>
      <c r="ADJ83" s="310"/>
      <c r="ADK83" s="310"/>
      <c r="ADL83" s="310"/>
      <c r="ADM83" s="310"/>
      <c r="ADN83" s="310"/>
      <c r="ADO83" s="310"/>
      <c r="ADP83" s="310"/>
      <c r="ADQ83" s="310"/>
      <c r="ADR83" s="310"/>
      <c r="ADS83" s="310"/>
      <c r="ADT83" s="310"/>
      <c r="ADU83" s="310"/>
      <c r="ADV83" s="310"/>
      <c r="ADW83" s="310"/>
      <c r="ADX83" s="310"/>
      <c r="ADY83" s="310"/>
      <c r="ADZ83" s="310"/>
      <c r="AEA83" s="310"/>
      <c r="AEB83" s="310"/>
      <c r="AEC83" s="310"/>
      <c r="AED83" s="310"/>
      <c r="AEE83" s="310"/>
      <c r="AEF83" s="310"/>
      <c r="AEG83" s="310"/>
      <c r="AEH83" s="310"/>
      <c r="AEI83" s="310"/>
      <c r="AFT83" s="310"/>
      <c r="AFU83" s="310"/>
      <c r="AFV83" s="310"/>
      <c r="AGP83" s="310"/>
      <c r="AGQ83" s="310"/>
      <c r="AGR83" s="310"/>
      <c r="AGS83" s="310"/>
      <c r="AGT83" s="310"/>
      <c r="AGU83" s="310"/>
      <c r="AGV83" s="310"/>
      <c r="AGW83" s="310"/>
      <c r="AGX83" s="310"/>
      <c r="AGY83" s="310"/>
      <c r="AGZ83" s="310"/>
      <c r="AHA83" s="310"/>
      <c r="AHB83" s="310"/>
      <c r="AHC83" s="310"/>
      <c r="AHD83" s="310"/>
      <c r="AHE83" s="310"/>
      <c r="AHF83" s="310"/>
      <c r="AHG83" s="310"/>
      <c r="AHH83" s="310"/>
      <c r="AHI83" s="310"/>
      <c r="AHJ83" s="310"/>
      <c r="AHK83" s="310"/>
      <c r="AHL83" s="310"/>
      <c r="AHM83" s="310"/>
      <c r="AHN83" s="310"/>
      <c r="AHO83" s="136">
        <v>1000</v>
      </c>
      <c r="AHP83" s="136">
        <v>1000</v>
      </c>
      <c r="AHQ83" s="136">
        <v>1060</v>
      </c>
      <c r="AJK83" s="12" t="s">
        <v>25</v>
      </c>
      <c r="AKQ83" s="92"/>
      <c r="ALQ83" s="30">
        <v>400</v>
      </c>
      <c r="ALR83" s="30">
        <v>800</v>
      </c>
      <c r="ALS83" s="30">
        <v>1200</v>
      </c>
      <c r="ALU83" s="30">
        <v>1600</v>
      </c>
      <c r="ALV83" s="30">
        <v>1600</v>
      </c>
      <c r="ALW83" s="30">
        <v>1600</v>
      </c>
      <c r="ALY83" s="30">
        <v>1600</v>
      </c>
      <c r="ALZ83" s="30">
        <v>1600</v>
      </c>
      <c r="AMA83" s="30">
        <v>1600</v>
      </c>
      <c r="AMB83" s="30">
        <v>1600</v>
      </c>
      <c r="AMC83" s="30">
        <v>1600</v>
      </c>
      <c r="AMD83" s="30">
        <v>1600</v>
      </c>
      <c r="AMF83" s="30">
        <v>1600</v>
      </c>
      <c r="AMG83" s="30">
        <v>1600</v>
      </c>
      <c r="AMH83" s="30">
        <v>1600</v>
      </c>
      <c r="AMI83" s="30">
        <v>1600</v>
      </c>
      <c r="ANC83" s="30">
        <v>300</v>
      </c>
      <c r="AND83" s="30">
        <v>700</v>
      </c>
      <c r="ANE83" s="30">
        <v>1100</v>
      </c>
      <c r="ANF83" s="30">
        <v>1350</v>
      </c>
      <c r="ANG83" s="30">
        <v>1350</v>
      </c>
      <c r="ANH83" s="30">
        <v>1350</v>
      </c>
      <c r="ANI83" s="30">
        <v>1350</v>
      </c>
      <c r="ANJ83" s="30">
        <v>1350</v>
      </c>
      <c r="ANK83" s="30">
        <v>1350</v>
      </c>
      <c r="ANL83" s="30">
        <v>1350</v>
      </c>
      <c r="ANM83" s="30">
        <v>1350</v>
      </c>
      <c r="ANP83" s="30">
        <v>1350</v>
      </c>
      <c r="ANQ83" s="30">
        <v>1350</v>
      </c>
      <c r="ANR83" s="30">
        <v>1350</v>
      </c>
      <c r="ANS83" s="30">
        <v>1350</v>
      </c>
      <c r="ANT83" s="30">
        <v>1350</v>
      </c>
      <c r="ANU83" s="30">
        <v>1350</v>
      </c>
      <c r="ANV83" s="30">
        <v>1350</v>
      </c>
      <c r="ANW83" s="30">
        <v>1350</v>
      </c>
      <c r="ANX83" s="30">
        <v>1350</v>
      </c>
      <c r="ANY83" s="30">
        <v>1350</v>
      </c>
      <c r="ANZ83" s="30">
        <v>1350</v>
      </c>
      <c r="AOA83" s="30">
        <v>1350</v>
      </c>
      <c r="AOB83" s="30">
        <v>1350</v>
      </c>
      <c r="AOD83" s="30">
        <v>1350</v>
      </c>
      <c r="APK83" s="12" t="s">
        <v>25</v>
      </c>
      <c r="AQP83" s="12" t="s">
        <v>25</v>
      </c>
      <c r="ARV83" s="364"/>
      <c r="ARW83" s="364"/>
      <c r="ARX83" s="364"/>
      <c r="ARY83" s="364"/>
      <c r="ARZ83" s="364"/>
      <c r="ASA83" s="364"/>
      <c r="ASB83" s="364"/>
      <c r="ASC83" s="364"/>
      <c r="ASD83" s="364"/>
      <c r="ASE83" s="364"/>
      <c r="ASF83" s="364"/>
      <c r="ASG83" s="364"/>
      <c r="ASH83" s="364"/>
      <c r="ASI83" s="364"/>
      <c r="ASJ83" s="364"/>
      <c r="ASK83" s="364"/>
      <c r="ASL83" s="364"/>
      <c r="ASM83" s="364"/>
      <c r="ASN83" s="364"/>
      <c r="ASO83" s="364"/>
      <c r="ASP83" s="364"/>
      <c r="ASQ83" s="364"/>
      <c r="ASR83" s="364"/>
      <c r="ASS83" s="364"/>
      <c r="AST83" s="364"/>
      <c r="ASU83" s="364"/>
      <c r="ASV83" s="364"/>
      <c r="ASW83" s="364"/>
      <c r="ASX83" s="364"/>
      <c r="ASY83" s="364"/>
      <c r="ASZ83" s="364"/>
      <c r="ATA83" s="364"/>
      <c r="ATB83" s="364"/>
      <c r="ATC83" s="364"/>
      <c r="ATD83" s="364"/>
      <c r="ATE83" s="364"/>
      <c r="ATF83" s="364"/>
      <c r="ATG83" s="364"/>
      <c r="ATH83" s="364"/>
      <c r="ATI83" s="364"/>
      <c r="ATJ83" s="364"/>
      <c r="ATK83" s="364"/>
      <c r="ATL83" s="364"/>
      <c r="ATM83" s="364"/>
      <c r="ATN83" s="364"/>
      <c r="ATO83" s="364"/>
      <c r="ATP83" s="364"/>
      <c r="ATQ83" s="364"/>
      <c r="ATR83" s="364"/>
      <c r="ATS83" s="364"/>
      <c r="ATT83" s="364"/>
      <c r="ATU83" s="364"/>
      <c r="ATV83" s="364"/>
      <c r="AUG83" s="364"/>
      <c r="AVM83" s="364"/>
      <c r="AWR83" s="364"/>
      <c r="AXX83" s="364"/>
    </row>
    <row r="84" spans="2:1583" ht="20.25" customHeight="1" thickBot="1" x14ac:dyDescent="0.45">
      <c r="B84" s="14"/>
      <c r="C84" s="43">
        <v>1000</v>
      </c>
      <c r="D84" s="43">
        <v>1000</v>
      </c>
      <c r="E84" s="43">
        <v>1000</v>
      </c>
      <c r="F84" s="43">
        <v>1000</v>
      </c>
      <c r="G84" s="43"/>
      <c r="H84" s="43">
        <v>1000</v>
      </c>
      <c r="I84" s="43">
        <v>1000</v>
      </c>
      <c r="J84" s="43">
        <v>1000</v>
      </c>
      <c r="K84" s="43">
        <v>1000</v>
      </c>
      <c r="L84" s="30">
        <v>1000</v>
      </c>
      <c r="M84" s="30">
        <v>1000</v>
      </c>
      <c r="O84" s="30">
        <v>1000</v>
      </c>
      <c r="P84" s="30">
        <v>1000</v>
      </c>
      <c r="Q84" s="30">
        <v>1000</v>
      </c>
      <c r="R84" s="30">
        <v>1000</v>
      </c>
      <c r="S84" s="30">
        <v>1000</v>
      </c>
      <c r="T84" s="30">
        <v>1000</v>
      </c>
      <c r="V84" s="30">
        <v>1000</v>
      </c>
      <c r="W84" s="30">
        <v>1000</v>
      </c>
      <c r="X84" s="30">
        <v>1000</v>
      </c>
      <c r="Y84" s="30">
        <v>1000</v>
      </c>
      <c r="Z84" s="30">
        <v>1000</v>
      </c>
      <c r="AA84" s="30">
        <v>1000</v>
      </c>
      <c r="AC84" s="30">
        <v>1000</v>
      </c>
      <c r="AD84" s="30">
        <v>1000</v>
      </c>
      <c r="AE84" s="30">
        <v>1000</v>
      </c>
      <c r="AF84" s="30">
        <v>1000</v>
      </c>
      <c r="AG84" s="30">
        <v>1000</v>
      </c>
      <c r="AH84" s="52"/>
      <c r="AI84" s="31"/>
      <c r="AJ84" s="31"/>
      <c r="AK84" s="31"/>
      <c r="AL84" s="31"/>
      <c r="AM84" s="31"/>
      <c r="AN84" s="31"/>
      <c r="AO84" s="31">
        <v>6500</v>
      </c>
      <c r="AP84" s="31"/>
      <c r="AQ84" s="731"/>
      <c r="AR84" s="732"/>
      <c r="AS84" s="732"/>
      <c r="AT84" s="732"/>
      <c r="AU84" s="732"/>
      <c r="AV84" s="732"/>
      <c r="AW84" s="732"/>
      <c r="AX84" s="732"/>
      <c r="AY84" s="732"/>
      <c r="AZ84" s="733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>
        <v>6800</v>
      </c>
      <c r="BM84" s="31"/>
      <c r="BN84" s="14"/>
      <c r="CS84" s="14"/>
      <c r="CW84" s="43"/>
      <c r="CX84" s="43"/>
      <c r="CY84" s="43"/>
      <c r="CZ84" s="43"/>
      <c r="DA84" s="43"/>
      <c r="DB84" s="43"/>
      <c r="DC84" s="43"/>
      <c r="DD84" s="71"/>
      <c r="DE84" s="71"/>
      <c r="DK84" s="71"/>
      <c r="DY84" s="71"/>
      <c r="DZ84" s="71"/>
      <c r="EA84" s="71"/>
      <c r="EB84" s="71"/>
      <c r="EC84" s="71"/>
      <c r="FO84" s="78"/>
      <c r="FR84" s="78"/>
      <c r="FS84" s="78"/>
      <c r="HP84" s="5"/>
      <c r="IT84" s="5"/>
      <c r="JE84" s="126" t="s">
        <v>515</v>
      </c>
      <c r="JF84" s="156"/>
      <c r="JG84" s="122"/>
      <c r="JH84" s="155" t="s">
        <v>526</v>
      </c>
      <c r="JI84" s="155"/>
      <c r="JJ84" s="163"/>
      <c r="JK84" s="163"/>
      <c r="JZ84" s="5"/>
      <c r="KB84" s="187"/>
      <c r="KC84" s="179" t="s">
        <v>646</v>
      </c>
      <c r="KD84" s="204"/>
      <c r="KE84" s="171"/>
      <c r="KF84" s="171"/>
      <c r="KG84" s="171"/>
      <c r="KH84" s="171"/>
      <c r="KM84" s="171"/>
      <c r="KN84" s="171"/>
      <c r="KO84" s="171"/>
      <c r="KP84" s="179" t="s">
        <v>647</v>
      </c>
      <c r="KQ84" s="224"/>
      <c r="KR84" s="171"/>
      <c r="KS84" s="171"/>
      <c r="KT84" s="171"/>
      <c r="LE84" s="5"/>
      <c r="MK84" s="5"/>
      <c r="MS84" s="155" t="s">
        <v>779</v>
      </c>
      <c r="MT84" s="155"/>
      <c r="MV84" s="155" t="s">
        <v>769</v>
      </c>
      <c r="MW84" s="159"/>
      <c r="MX84" s="163"/>
      <c r="MY84" s="163"/>
      <c r="NB84" s="155" t="s">
        <v>781</v>
      </c>
      <c r="NC84" s="155"/>
      <c r="ND84" s="153"/>
      <c r="NF84" s="155" t="s">
        <v>768</v>
      </c>
      <c r="NG84" s="155"/>
      <c r="NH84" s="153"/>
      <c r="NM84" s="155" t="s">
        <v>780</v>
      </c>
      <c r="NN84" s="155"/>
      <c r="NO84" s="153"/>
      <c r="NP84" s="5"/>
      <c r="NQ84" s="155" t="s">
        <v>778</v>
      </c>
      <c r="NR84" s="155"/>
      <c r="NS84" s="153"/>
      <c r="NT84" s="155" t="s">
        <v>782</v>
      </c>
      <c r="NU84" s="155"/>
      <c r="NV84" s="153"/>
      <c r="NW84" s="307" t="s">
        <v>761</v>
      </c>
      <c r="NX84" s="307"/>
      <c r="NY84" s="180" t="s">
        <v>748</v>
      </c>
      <c r="NZ84" s="307" t="s">
        <v>762</v>
      </c>
      <c r="OA84" s="307"/>
      <c r="OB84" s="171"/>
      <c r="OC84" s="155" t="s">
        <v>673</v>
      </c>
      <c r="OD84" s="156"/>
      <c r="OE84" s="158"/>
      <c r="OM84" s="179" t="s">
        <v>786</v>
      </c>
      <c r="ON84" s="179"/>
      <c r="OO84" s="201"/>
      <c r="OP84" s="201"/>
      <c r="OQ84" s="201"/>
      <c r="OR84" s="201"/>
      <c r="OS84" s="201"/>
      <c r="OT84" s="201"/>
      <c r="OV84" s="5"/>
      <c r="PB84" s="126" t="s">
        <v>975</v>
      </c>
      <c r="PC84" s="126"/>
      <c r="PD84" s="123"/>
      <c r="QB84" s="5"/>
      <c r="QV84" s="310"/>
      <c r="QW84" s="310"/>
      <c r="QX84" s="310"/>
      <c r="QY84" s="310"/>
      <c r="RG84" s="5"/>
      <c r="SQ84" s="31"/>
      <c r="SR84" s="31"/>
      <c r="SS84" s="31">
        <v>113730</v>
      </c>
      <c r="TR84" s="14"/>
      <c r="UX84" s="14"/>
      <c r="VU84" s="30">
        <v>212053</v>
      </c>
      <c r="VV84" s="285">
        <v>44215</v>
      </c>
      <c r="WD84" s="14"/>
      <c r="WH84" s="20"/>
      <c r="WI84" s="9"/>
      <c r="WJ84" s="571" t="s">
        <v>2019</v>
      </c>
      <c r="WK84" s="568">
        <v>44234</v>
      </c>
      <c r="WL84" s="20">
        <v>65000</v>
      </c>
      <c r="WM84" s="568">
        <v>44251</v>
      </c>
      <c r="WN84" s="20">
        <v>32000</v>
      </c>
      <c r="WO84" s="20"/>
      <c r="WP84" s="20"/>
      <c r="WQ84" s="20">
        <v>69000</v>
      </c>
      <c r="WR84" s="565">
        <v>50000</v>
      </c>
      <c r="WS84" s="20"/>
      <c r="WT84" s="20"/>
      <c r="XG84" s="14"/>
      <c r="XH84" s="298"/>
      <c r="XI84" s="298"/>
      <c r="XJ84" s="298"/>
      <c r="XK84" s="298"/>
      <c r="XL84" s="298"/>
      <c r="XM84" s="298"/>
      <c r="XN84" s="298"/>
      <c r="XO84" s="298"/>
      <c r="XP84" s="298"/>
      <c r="XQ84" s="298"/>
      <c r="XR84" s="298"/>
      <c r="XS84" s="298"/>
      <c r="XT84" s="298"/>
      <c r="XU84" s="298"/>
      <c r="XV84" s="298"/>
      <c r="XW84" s="298"/>
      <c r="XX84" s="298"/>
      <c r="XY84" s="298"/>
      <c r="XZ84" s="298"/>
      <c r="YA84" s="298"/>
      <c r="YB84" s="298"/>
      <c r="YC84" s="298"/>
      <c r="YD84" s="298"/>
      <c r="YE84" s="298"/>
      <c r="YF84" s="298"/>
      <c r="YG84" s="298"/>
      <c r="YH84" s="298"/>
      <c r="YI84" s="298"/>
      <c r="YJ84" s="298"/>
      <c r="YK84" s="298"/>
      <c r="YL84" s="298"/>
      <c r="YM84" s="14"/>
      <c r="ZR84" s="14"/>
      <c r="AAC84" s="310"/>
      <c r="AAX84" s="20"/>
      <c r="ACC84" s="92"/>
      <c r="ACE84" s="310"/>
      <c r="ACF84" s="310"/>
      <c r="ACG84" s="310"/>
      <c r="ACH84" s="310"/>
      <c r="ACI84" s="310"/>
      <c r="ACJ84" s="310"/>
      <c r="ACK84" s="310"/>
      <c r="ACL84" s="310"/>
      <c r="ACM84" s="310"/>
      <c r="ACN84" s="310"/>
      <c r="ACO84" s="310"/>
      <c r="ACP84" s="310"/>
      <c r="ACQ84" s="310"/>
      <c r="ACR84" s="310"/>
      <c r="ACS84" s="310"/>
      <c r="ACT84" s="310"/>
      <c r="ACU84" s="310"/>
      <c r="ACV84" s="310"/>
      <c r="ACW84" s="310"/>
      <c r="ADI84" s="5"/>
      <c r="ADR84" s="310"/>
      <c r="ADS84" s="310"/>
      <c r="ADT84" s="310"/>
      <c r="ADU84" s="310"/>
      <c r="ADV84" s="310"/>
      <c r="ADW84" s="310"/>
      <c r="AEE84" s="310"/>
      <c r="AEF84" s="310"/>
      <c r="AEG84" s="310"/>
      <c r="AEH84" s="310"/>
      <c r="AEI84" s="310"/>
      <c r="AEK84" s="310"/>
      <c r="AEL84" s="310"/>
      <c r="AEM84" s="310"/>
      <c r="AFT84" s="310"/>
      <c r="AFU84" s="310"/>
      <c r="AGP84" s="310"/>
      <c r="AGQ84" s="310"/>
      <c r="AHD84" s="310"/>
      <c r="AHE84" s="310"/>
      <c r="AHM84" s="210" t="s">
        <v>2576</v>
      </c>
      <c r="AHN84" s="210"/>
      <c r="AHO84" s="180"/>
      <c r="AHT84" s="310"/>
      <c r="AIC84" s="310"/>
      <c r="AID84" s="310"/>
      <c r="AIE84" s="310"/>
      <c r="AIF84" s="310"/>
      <c r="AIG84" s="310"/>
      <c r="AIH84" s="310"/>
      <c r="AII84" s="310"/>
      <c r="AIJ84" s="310"/>
      <c r="AIK84" s="310"/>
      <c r="AIL84" s="310"/>
      <c r="AIM84" s="310"/>
      <c r="AIN84" s="310"/>
      <c r="AIO84" s="310"/>
      <c r="AIP84" s="310"/>
      <c r="AIQ84" s="310"/>
      <c r="AIR84" s="310"/>
      <c r="AIS84" s="310"/>
      <c r="AIT84" s="310"/>
      <c r="AIU84" s="310"/>
      <c r="AIV84" s="310"/>
      <c r="AJK84" s="14"/>
      <c r="AKQ84" s="92"/>
      <c r="ALN84" s="361" t="s">
        <v>2782</v>
      </c>
      <c r="ALO84" s="361"/>
      <c r="ALP84" s="319"/>
      <c r="ALQ84" s="319"/>
      <c r="ALR84" s="319"/>
      <c r="ALS84" s="319"/>
      <c r="ALT84" s="319"/>
      <c r="ALU84" s="319"/>
      <c r="ALV84" s="319"/>
      <c r="ALW84" s="319"/>
      <c r="ALX84" s="319"/>
      <c r="ALY84" s="319"/>
      <c r="ALZ84" s="319"/>
      <c r="AMA84" s="319"/>
      <c r="AMB84" s="319"/>
      <c r="AMC84" s="319"/>
      <c r="AMD84" s="319"/>
      <c r="AME84" s="319"/>
      <c r="AMF84" s="319"/>
      <c r="AMG84" s="319"/>
      <c r="AMH84" s="319"/>
      <c r="AMI84" s="319"/>
      <c r="AMY84" s="361" t="s">
        <v>2782</v>
      </c>
      <c r="AMZ84" s="361"/>
      <c r="ANA84" s="319"/>
      <c r="ANB84" s="319"/>
      <c r="ANC84" s="319"/>
      <c r="AND84" s="319"/>
      <c r="ANE84" s="319"/>
      <c r="ANF84" s="319"/>
      <c r="ANG84" s="319"/>
      <c r="ANH84" s="319"/>
      <c r="ANI84" s="319"/>
      <c r="ANJ84" s="319"/>
      <c r="ANK84" s="319"/>
      <c r="ANL84" s="319"/>
      <c r="ANM84" s="319"/>
      <c r="ANN84" s="319"/>
      <c r="ANO84" s="319"/>
      <c r="ANP84" s="319"/>
      <c r="ANQ84" s="319"/>
      <c r="ANR84" s="319"/>
      <c r="ANS84" s="319"/>
      <c r="ANT84" s="319"/>
      <c r="ANU84" s="319"/>
      <c r="ANV84" s="319"/>
      <c r="ANW84" s="319"/>
      <c r="ANX84" s="319"/>
      <c r="ANY84" s="319"/>
      <c r="ANZ84" s="319"/>
      <c r="AOA84" s="319"/>
      <c r="AOB84" s="319"/>
      <c r="AOC84" s="319"/>
      <c r="AOD84" s="319"/>
      <c r="APK84" s="14"/>
      <c r="AQP84" s="14"/>
      <c r="ARV84" s="364"/>
      <c r="ARW84" s="364"/>
      <c r="ARX84" s="364"/>
      <c r="ARY84" s="364"/>
      <c r="ARZ84" s="364"/>
      <c r="ASA84" s="364"/>
      <c r="ASB84" s="364"/>
      <c r="ASC84" s="364"/>
      <c r="ASD84" s="364"/>
      <c r="ASE84" s="364"/>
      <c r="ASF84" s="364"/>
      <c r="ASG84" s="364"/>
      <c r="ASH84" s="364"/>
      <c r="ASI84" s="364"/>
      <c r="ASJ84" s="364"/>
      <c r="ASK84" s="364"/>
      <c r="ASL84" s="364"/>
      <c r="ASM84" s="364"/>
      <c r="ASN84" s="364"/>
      <c r="ASO84" s="364"/>
      <c r="ASP84" s="364"/>
      <c r="ASQ84" s="364"/>
      <c r="ASR84" s="364"/>
      <c r="ASS84" s="364"/>
      <c r="AST84" s="364"/>
      <c r="ASU84" s="364"/>
      <c r="ASV84" s="364"/>
      <c r="ASW84" s="364"/>
      <c r="ASX84" s="364"/>
      <c r="ASY84" s="364"/>
      <c r="ASZ84" s="364"/>
      <c r="ATA84" s="364"/>
      <c r="ATB84" s="364"/>
      <c r="ATC84" s="364"/>
      <c r="ATD84" s="364"/>
      <c r="ATE84" s="364"/>
      <c r="ATF84" s="364"/>
      <c r="ATG84" s="364"/>
      <c r="ATH84" s="364"/>
      <c r="ATI84" s="364"/>
      <c r="ATJ84" s="364"/>
      <c r="ATK84" s="364"/>
      <c r="ATL84" s="364"/>
      <c r="ATM84" s="364"/>
      <c r="ATN84" s="364"/>
      <c r="ATO84" s="364"/>
      <c r="ATP84" s="364"/>
      <c r="ATQ84" s="364"/>
      <c r="ATR84" s="364"/>
      <c r="ATS84" s="364"/>
      <c r="ATT84" s="364"/>
      <c r="ATU84" s="364"/>
      <c r="ATV84" s="364"/>
      <c r="AUG84" s="364"/>
      <c r="AVM84" s="364"/>
      <c r="AWR84" s="364"/>
      <c r="AXX84" s="364"/>
    </row>
    <row r="85" spans="2:1583" ht="20.100000000000001" customHeight="1" thickTop="1" x14ac:dyDescent="0.4">
      <c r="B85" s="12" t="s">
        <v>26</v>
      </c>
      <c r="C85" s="4" t="s">
        <v>80</v>
      </c>
      <c r="D85" s="4"/>
      <c r="E85" s="4"/>
      <c r="F85" s="4"/>
      <c r="G85" s="4"/>
      <c r="H85" s="4"/>
      <c r="I85" s="4"/>
      <c r="J85" s="15" t="s">
        <v>66</v>
      </c>
      <c r="K85" s="40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51" t="s">
        <v>26</v>
      </c>
      <c r="AI85" s="37" t="s">
        <v>117</v>
      </c>
      <c r="AJ85" s="37"/>
      <c r="AK85" s="37"/>
      <c r="AL85" s="37"/>
      <c r="AM85" s="37"/>
      <c r="AN85" s="37"/>
      <c r="AO85" s="37"/>
      <c r="AP85" s="23" t="s">
        <v>64</v>
      </c>
      <c r="AQ85" s="731"/>
      <c r="AR85" s="732"/>
      <c r="AS85" s="732"/>
      <c r="AT85" s="732"/>
      <c r="AU85" s="732"/>
      <c r="AV85" s="732"/>
      <c r="AW85" s="732"/>
      <c r="AX85" s="732"/>
      <c r="AY85" s="732"/>
      <c r="AZ85" s="733"/>
      <c r="BA85" s="23" t="s">
        <v>64</v>
      </c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12" t="s">
        <v>26</v>
      </c>
      <c r="CS85" s="12" t="s">
        <v>26</v>
      </c>
      <c r="CT85" s="43"/>
      <c r="CU85" s="43"/>
      <c r="CV85" s="43"/>
      <c r="CW85" s="43"/>
      <c r="ES85" s="78"/>
      <c r="ET85" s="78"/>
      <c r="EU85" s="78"/>
      <c r="EW85" s="78"/>
      <c r="EX85" s="78"/>
      <c r="GO85" s="136">
        <v>250</v>
      </c>
      <c r="GP85" s="136">
        <v>500</v>
      </c>
      <c r="GQ85" s="136">
        <v>750</v>
      </c>
      <c r="GR85" s="137">
        <v>820</v>
      </c>
      <c r="HP85" s="5"/>
      <c r="IT85" s="5"/>
      <c r="JG85" s="30">
        <v>2876</v>
      </c>
      <c r="KN85" s="136"/>
      <c r="KP85" s="136">
        <v>1000</v>
      </c>
      <c r="KQ85" s="136">
        <v>1000</v>
      </c>
      <c r="KR85" s="136">
        <v>1200</v>
      </c>
      <c r="KS85" s="136">
        <v>1200</v>
      </c>
      <c r="KU85" s="136">
        <v>400</v>
      </c>
      <c r="KV85" s="136">
        <v>800</v>
      </c>
      <c r="KW85" s="136">
        <v>1200</v>
      </c>
      <c r="KX85" s="136"/>
      <c r="KY85" s="136">
        <v>1000</v>
      </c>
      <c r="KZ85" s="136">
        <v>1000</v>
      </c>
      <c r="LA85" s="136">
        <v>1000</v>
      </c>
      <c r="LB85" s="136">
        <v>1000</v>
      </c>
      <c r="LC85" s="137">
        <v>760</v>
      </c>
      <c r="LE85" s="5"/>
      <c r="LF85" s="75"/>
      <c r="LG85" s="136">
        <v>900</v>
      </c>
      <c r="LH85" s="136">
        <v>1460</v>
      </c>
      <c r="LI85" s="136">
        <v>1550</v>
      </c>
      <c r="LJ85" s="136">
        <v>800</v>
      </c>
      <c r="LK85" s="136">
        <v>1500</v>
      </c>
      <c r="LL85" s="137">
        <v>1500</v>
      </c>
      <c r="MK85" s="5"/>
      <c r="MS85" s="43"/>
      <c r="MT85" s="43"/>
      <c r="MU85" s="43"/>
      <c r="MV85" s="43"/>
      <c r="MW85" s="43"/>
      <c r="NP85" s="5"/>
      <c r="NR85" s="126" t="s">
        <v>695</v>
      </c>
      <c r="NS85" s="126"/>
      <c r="NT85" s="123"/>
      <c r="OV85" s="5"/>
      <c r="PB85" s="126" t="s">
        <v>758</v>
      </c>
      <c r="PC85" s="126"/>
      <c r="PD85" s="122"/>
      <c r="QB85" s="5"/>
      <c r="QT85" s="310"/>
      <c r="QU85" s="310"/>
      <c r="QV85" s="310"/>
      <c r="QW85" s="310"/>
      <c r="QX85" s="310"/>
      <c r="QY85" s="310"/>
      <c r="QZ85" s="310"/>
      <c r="RA85" s="310"/>
      <c r="RG85" s="5"/>
      <c r="SQ85" s="31"/>
      <c r="SR85" s="31"/>
      <c r="SS85" s="31">
        <f>SS83+SS84</f>
        <v>286110</v>
      </c>
      <c r="TR85" s="12" t="s">
        <v>26</v>
      </c>
      <c r="TV85" s="310">
        <v>208</v>
      </c>
      <c r="TW85" s="310">
        <v>172</v>
      </c>
      <c r="TX85" s="310">
        <f>TV85-TW85</f>
        <v>36</v>
      </c>
      <c r="UX85" s="12" t="s">
        <v>26</v>
      </c>
      <c r="VA85" s="310">
        <v>208</v>
      </c>
      <c r="VB85" s="310">
        <v>91</v>
      </c>
      <c r="VC85" s="310">
        <f>VA85-VB85</f>
        <v>117</v>
      </c>
      <c r="VE85" s="30">
        <f>VB85*10/9</f>
        <v>101.11111111111111</v>
      </c>
      <c r="VU85" s="30">
        <v>191550</v>
      </c>
      <c r="WD85" s="12" t="s">
        <v>26</v>
      </c>
      <c r="WH85" s="20"/>
      <c r="WI85" s="9"/>
      <c r="WJ85" s="571" t="s">
        <v>1829</v>
      </c>
      <c r="WK85" s="20"/>
      <c r="WL85" s="20"/>
      <c r="WM85" s="20"/>
      <c r="WN85" s="20"/>
      <c r="WO85" s="20"/>
      <c r="WP85" s="20"/>
      <c r="WQ85" s="20"/>
      <c r="WR85" s="565"/>
      <c r="WS85" s="20"/>
      <c r="WT85" s="20"/>
      <c r="XG85" s="12" t="s">
        <v>26</v>
      </c>
      <c r="YM85" s="12" t="s">
        <v>26</v>
      </c>
      <c r="ZR85" s="12" t="s">
        <v>26</v>
      </c>
      <c r="AAC85" s="310"/>
      <c r="AAX85" s="12" t="s">
        <v>26</v>
      </c>
      <c r="AAY85" s="310"/>
      <c r="AAZ85" s="310"/>
      <c r="ABA85" s="310"/>
      <c r="ABB85" s="310"/>
      <c r="ABC85" s="310"/>
      <c r="ABD85" s="310"/>
      <c r="ABE85" s="310"/>
      <c r="ABF85" s="310"/>
      <c r="ABG85" s="310"/>
      <c r="ABH85" s="310"/>
      <c r="ABI85" s="310"/>
      <c r="ABJ85" s="310"/>
      <c r="ABK85" s="310"/>
      <c r="ABL85" s="310"/>
      <c r="ABM85" s="310"/>
      <c r="ABN85" s="310"/>
      <c r="ABO85" s="310"/>
      <c r="ABP85" s="310"/>
      <c r="ABQ85" s="310"/>
      <c r="ABR85" s="310"/>
      <c r="ABS85" s="310"/>
      <c r="ABT85" s="310"/>
      <c r="ABU85" s="310"/>
      <c r="ABV85" s="310"/>
      <c r="ABW85" s="310"/>
      <c r="ABX85" s="310"/>
      <c r="ABY85" s="310"/>
      <c r="ABZ85" s="310"/>
      <c r="ACA85" s="310"/>
      <c r="ACB85" s="310"/>
      <c r="ACC85" s="92"/>
      <c r="ACE85" s="310"/>
      <c r="ACF85" s="310"/>
      <c r="ACG85" s="310"/>
      <c r="ACH85" s="310"/>
      <c r="ACI85" s="310"/>
      <c r="ACJ85" s="310"/>
      <c r="ACK85" s="310"/>
      <c r="ACL85" s="310"/>
      <c r="ACM85" s="310"/>
      <c r="ACN85" s="310"/>
      <c r="ACO85" s="310"/>
      <c r="ACP85" s="310"/>
      <c r="ACQ85" s="310"/>
      <c r="ACR85" s="310"/>
      <c r="ACS85" s="310"/>
      <c r="ACT85" s="310"/>
      <c r="ACU85" s="310"/>
      <c r="ACV85" s="310"/>
      <c r="ACW85" s="310"/>
      <c r="ADI85" s="5"/>
      <c r="ADR85" s="310"/>
      <c r="ADS85" s="310"/>
      <c r="ADT85" s="310"/>
      <c r="ADU85" s="310"/>
      <c r="ADV85" s="310"/>
      <c r="ADW85" s="310"/>
      <c r="AGI85" s="310"/>
      <c r="AGJ85" s="310"/>
      <c r="AGK85" s="310"/>
      <c r="AGL85" s="310"/>
      <c r="AGM85" s="310"/>
      <c r="AGN85" s="310"/>
      <c r="AGO85" s="310"/>
      <c r="AGP85" s="310"/>
      <c r="AGT85" s="310"/>
      <c r="AGX85" s="310"/>
      <c r="AGY85" s="310"/>
      <c r="AGZ85" s="310"/>
      <c r="AHS85" s="136"/>
      <c r="AHT85" s="314">
        <v>800</v>
      </c>
      <c r="AHU85" s="136">
        <v>570</v>
      </c>
      <c r="AHV85" s="136">
        <v>700</v>
      </c>
      <c r="AHW85" s="124">
        <v>850</v>
      </c>
      <c r="AJK85" s="12" t="s">
        <v>26</v>
      </c>
      <c r="AJL85" s="310"/>
      <c r="AJM85" s="310"/>
      <c r="AJN85" s="310"/>
      <c r="AJO85" s="310"/>
      <c r="AJP85" s="310"/>
      <c r="AJQ85" s="310"/>
      <c r="AJR85" s="310"/>
      <c r="AJS85" s="310"/>
      <c r="AJT85" s="310"/>
      <c r="AJU85" s="310"/>
      <c r="AJV85" s="310"/>
      <c r="AKQ85" s="92"/>
      <c r="APK85" s="12" t="s">
        <v>26</v>
      </c>
      <c r="AQP85" s="12" t="s">
        <v>26</v>
      </c>
      <c r="ARV85" s="364"/>
      <c r="ARW85" s="364"/>
      <c r="ARX85" s="364"/>
      <c r="ARY85" s="364"/>
      <c r="ARZ85" s="364"/>
      <c r="ASA85" s="364"/>
      <c r="ASB85" s="364"/>
      <c r="ASC85" s="364"/>
      <c r="ASD85" s="364"/>
      <c r="ASE85" s="364"/>
      <c r="ASF85" s="364"/>
      <c r="ASG85" s="364"/>
      <c r="ASH85" s="364"/>
      <c r="ASI85" s="364"/>
      <c r="ASJ85" s="364"/>
      <c r="ASK85" s="364"/>
      <c r="ASL85" s="364"/>
      <c r="ASM85" s="364"/>
      <c r="ASN85" s="364"/>
      <c r="ASO85" s="364"/>
      <c r="ASP85" s="364"/>
      <c r="ASQ85" s="364"/>
      <c r="ASR85" s="364"/>
      <c r="ASS85" s="364"/>
      <c r="AST85" s="364"/>
      <c r="ASU85" s="364"/>
      <c r="ASV85" s="364"/>
      <c r="ASW85" s="364"/>
      <c r="ASX85" s="364"/>
      <c r="ASY85" s="364"/>
      <c r="ASZ85" s="364"/>
      <c r="ATA85" s="364"/>
      <c r="ATB85" s="364"/>
      <c r="ATC85" s="364"/>
      <c r="ATD85" s="364"/>
      <c r="ATE85" s="364"/>
      <c r="ATF85" s="364"/>
      <c r="ATG85" s="364"/>
      <c r="ATH85" s="364"/>
      <c r="ATI85" s="364"/>
      <c r="ATJ85" s="364"/>
      <c r="ATK85" s="364"/>
      <c r="ATL85" s="364"/>
      <c r="ATM85" s="364"/>
      <c r="ATN85" s="364"/>
      <c r="ATO85" s="364"/>
      <c r="ATP85" s="364"/>
      <c r="ATQ85" s="364"/>
      <c r="ATR85" s="364"/>
      <c r="ATS85" s="364"/>
      <c r="ATT85" s="364"/>
      <c r="ATU85" s="364"/>
      <c r="ATV85" s="364"/>
      <c r="AUG85" s="364"/>
      <c r="AVM85" s="364"/>
      <c r="AWR85" s="364"/>
      <c r="AXX85" s="364"/>
    </row>
    <row r="86" spans="2:1583" s="43" customFormat="1" ht="16.5" customHeight="1" x14ac:dyDescent="0.4">
      <c r="B86" s="13"/>
      <c r="C86" s="43">
        <v>1000</v>
      </c>
      <c r="D86" s="43">
        <v>1000</v>
      </c>
      <c r="E86" s="43">
        <v>1000</v>
      </c>
      <c r="F86" s="43">
        <v>1000</v>
      </c>
      <c r="H86" s="43">
        <v>1000</v>
      </c>
      <c r="I86" s="43">
        <v>1000</v>
      </c>
      <c r="J86" s="43">
        <v>1000</v>
      </c>
      <c r="K86" s="43">
        <v>1000</v>
      </c>
      <c r="L86" s="30">
        <v>1000</v>
      </c>
      <c r="M86" s="30">
        <v>1000</v>
      </c>
      <c r="N86" s="30"/>
      <c r="O86" s="30">
        <v>1000</v>
      </c>
      <c r="P86" s="30">
        <v>1000</v>
      </c>
      <c r="Q86" s="30">
        <v>1000</v>
      </c>
      <c r="R86" s="30">
        <v>1000</v>
      </c>
      <c r="S86" s="30">
        <v>1000</v>
      </c>
      <c r="T86" s="30">
        <v>1000</v>
      </c>
      <c r="U86" s="30"/>
      <c r="V86" s="30">
        <v>1000</v>
      </c>
      <c r="W86" s="30">
        <v>1000</v>
      </c>
      <c r="X86" s="30">
        <v>1000</v>
      </c>
      <c r="Y86" s="30">
        <v>1000</v>
      </c>
      <c r="Z86" s="30">
        <v>1000</v>
      </c>
      <c r="AA86" s="30">
        <v>1000</v>
      </c>
      <c r="AB86" s="30"/>
      <c r="AC86" s="30">
        <v>1000</v>
      </c>
      <c r="AD86" s="30">
        <v>1000</v>
      </c>
      <c r="AE86" s="30">
        <v>1000</v>
      </c>
      <c r="AF86" s="30">
        <v>1000</v>
      </c>
      <c r="AG86" s="30">
        <v>1000</v>
      </c>
      <c r="AH86" s="31"/>
      <c r="AO86" s="43">
        <v>6500</v>
      </c>
      <c r="AQ86" s="731"/>
      <c r="AR86" s="732"/>
      <c r="AS86" s="732"/>
      <c r="AT86" s="732"/>
      <c r="AU86" s="732"/>
      <c r="AV86" s="732"/>
      <c r="AW86" s="732"/>
      <c r="AX86" s="732"/>
      <c r="AY86" s="732"/>
      <c r="AZ86" s="733"/>
      <c r="BN86" s="13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13"/>
      <c r="CT86" s="30"/>
      <c r="CU86" s="30"/>
      <c r="CV86" s="30"/>
      <c r="CW86" s="30"/>
      <c r="CX86" s="30"/>
      <c r="CY86" s="30"/>
      <c r="CZ86" s="30"/>
      <c r="DB86" s="30"/>
      <c r="DC86" s="30"/>
      <c r="DD86" s="30"/>
      <c r="DE86" s="30"/>
      <c r="DF86" s="30"/>
      <c r="DG86" s="30"/>
      <c r="DY86" s="71"/>
      <c r="DZ86" s="71"/>
      <c r="EA86" s="71"/>
      <c r="EB86" s="71"/>
      <c r="EC86" s="71"/>
      <c r="ED86" s="71"/>
      <c r="EE86" s="71"/>
      <c r="EF86" s="71"/>
      <c r="EG86" s="71"/>
      <c r="EX86" s="78"/>
      <c r="FC86" s="30"/>
      <c r="FR86" s="78"/>
      <c r="FS86" s="78"/>
      <c r="FT86" s="78"/>
      <c r="GB86" s="78"/>
      <c r="GP86" s="158"/>
      <c r="GQ86" s="158"/>
      <c r="HP86" s="5"/>
      <c r="IT86" s="5"/>
      <c r="IU86" s="30"/>
      <c r="IV86" s="30"/>
      <c r="IW86" s="30"/>
      <c r="IX86" s="30"/>
      <c r="JE86" s="126" t="s">
        <v>516</v>
      </c>
      <c r="JF86" s="156"/>
      <c r="JG86" s="122"/>
      <c r="KH86" s="30"/>
      <c r="KX86" s="171"/>
      <c r="KY86" s="171"/>
      <c r="KZ86" s="171"/>
      <c r="LA86" s="171"/>
      <c r="LE86" s="5"/>
      <c r="LF86" s="153"/>
      <c r="LG86" s="155" t="s">
        <v>463</v>
      </c>
      <c r="LH86" s="155" t="s">
        <v>531</v>
      </c>
      <c r="LI86" s="155"/>
      <c r="LJ86" s="153"/>
      <c r="LP86" s="155" t="s">
        <v>529</v>
      </c>
      <c r="LQ86" s="155"/>
      <c r="LR86" s="154"/>
      <c r="LS86" s="154"/>
      <c r="MK86" s="5"/>
      <c r="NG86" s="43">
        <f>27*8</f>
        <v>216</v>
      </c>
      <c r="NH86" s="43">
        <v>103</v>
      </c>
      <c r="NI86" s="43">
        <f>NG86-NH86</f>
        <v>113</v>
      </c>
      <c r="NL86" s="43" t="s">
        <v>582</v>
      </c>
      <c r="NP86" s="5"/>
      <c r="NR86" s="126" t="s">
        <v>693</v>
      </c>
      <c r="NS86" s="126"/>
      <c r="NT86" s="123"/>
      <c r="OG86" s="310"/>
      <c r="OH86" s="310"/>
      <c r="OI86" s="310"/>
      <c r="OJ86" s="310"/>
      <c r="OK86" s="310"/>
      <c r="OL86" s="310"/>
      <c r="OM86" s="310"/>
      <c r="ON86" s="310"/>
      <c r="OO86" s="310"/>
      <c r="OP86" s="310"/>
      <c r="OQ86" s="310"/>
      <c r="OR86" s="310"/>
      <c r="OS86" s="314">
        <v>500</v>
      </c>
      <c r="OV86" s="5"/>
      <c r="PB86" s="126" t="s">
        <v>759</v>
      </c>
      <c r="PC86" s="126"/>
      <c r="PD86" s="122"/>
      <c r="PV86" s="317" t="s">
        <v>880</v>
      </c>
      <c r="PW86" s="317"/>
      <c r="PX86" s="316"/>
      <c r="QB86" s="5"/>
      <c r="QT86" s="310"/>
      <c r="QU86" s="310"/>
      <c r="QV86" s="310"/>
      <c r="QW86" s="310"/>
      <c r="QX86" s="310"/>
      <c r="QY86" s="310"/>
      <c r="QZ86" s="310"/>
      <c r="RA86" s="310"/>
      <c r="RG86" s="5"/>
      <c r="TR86" s="13"/>
      <c r="TV86" s="310">
        <v>104</v>
      </c>
      <c r="TW86" s="310">
        <v>104</v>
      </c>
      <c r="TX86" s="310">
        <f>(TV86-TW86)/2</f>
        <v>0</v>
      </c>
      <c r="UX86" s="13"/>
      <c r="VA86" s="310">
        <v>104</v>
      </c>
      <c r="VB86" s="310">
        <v>40</v>
      </c>
      <c r="VC86" s="310">
        <f>(VA86-VB86)/2</f>
        <v>32</v>
      </c>
      <c r="VE86" s="30">
        <f>VB86*10/9</f>
        <v>44.444444444444443</v>
      </c>
      <c r="VU86" s="43">
        <v>191578</v>
      </c>
      <c r="WD86" s="13"/>
      <c r="WH86" s="9"/>
      <c r="WI86" s="9"/>
      <c r="WJ86" s="569" t="s">
        <v>2020</v>
      </c>
      <c r="WK86" s="9"/>
      <c r="WL86" s="9"/>
      <c r="WM86" s="9"/>
      <c r="WN86" s="9"/>
      <c r="WO86" s="9"/>
      <c r="WP86" s="9"/>
      <c r="WQ86" s="20"/>
      <c r="WR86" s="565"/>
      <c r="WS86" s="9"/>
      <c r="WT86" s="9"/>
      <c r="WX86" s="573" t="s">
        <v>2054</v>
      </c>
      <c r="XG86" s="13"/>
      <c r="YM86" s="13"/>
      <c r="YN86" s="30"/>
      <c r="YO86" s="30"/>
      <c r="YP86" s="30"/>
      <c r="YQ86" s="30"/>
      <c r="YR86" s="30"/>
      <c r="YS86" s="30"/>
      <c r="YT86" s="30"/>
      <c r="YU86" s="30"/>
      <c r="YV86" s="30"/>
      <c r="YW86" s="30"/>
      <c r="YX86" s="30"/>
      <c r="YY86" s="30"/>
      <c r="YZ86" s="30"/>
      <c r="ZA86" s="30"/>
      <c r="ZB86" s="30"/>
      <c r="ZC86" s="30"/>
      <c r="ZD86" s="30"/>
      <c r="ZE86" s="30"/>
      <c r="ZF86" s="30"/>
      <c r="ZG86" s="30"/>
      <c r="ZH86" s="30"/>
      <c r="ZI86" s="30"/>
      <c r="ZJ86" s="30"/>
      <c r="ZK86" s="30"/>
      <c r="ZL86" s="30"/>
      <c r="ZM86" s="30"/>
      <c r="ZN86" s="30"/>
      <c r="ZO86" s="30"/>
      <c r="ZP86" s="30"/>
      <c r="ZQ86" s="30"/>
      <c r="ZR86" s="13"/>
      <c r="AAC86" s="310"/>
      <c r="AAX86" s="9"/>
      <c r="ABJ86" s="30"/>
      <c r="ACC86" s="92"/>
      <c r="ACD86" s="30"/>
      <c r="ACE86" s="310"/>
      <c r="ACF86" s="310"/>
      <c r="ACG86" s="310"/>
      <c r="ACH86" s="310"/>
      <c r="ACI86" s="310"/>
      <c r="ACJ86" s="310"/>
      <c r="ACK86" s="310"/>
      <c r="ACL86" s="310"/>
      <c r="ACM86" s="310"/>
      <c r="ACN86" s="310"/>
      <c r="ACO86" s="310"/>
      <c r="ACP86" s="310"/>
      <c r="ACQ86" s="310"/>
      <c r="ACR86" s="310"/>
      <c r="ACS86" s="310"/>
      <c r="ACT86" s="310"/>
      <c r="ACU86" s="310"/>
      <c r="ACV86" s="310"/>
      <c r="ACW86" s="310"/>
      <c r="ADI86" s="5"/>
      <c r="ADR86" s="310"/>
      <c r="ADS86" s="310"/>
      <c r="ADT86" s="310"/>
      <c r="ADU86" s="310"/>
      <c r="ADV86" s="310"/>
      <c r="ADW86" s="310"/>
      <c r="AFT86" s="310"/>
      <c r="AGZ86" s="310"/>
      <c r="AHR86" s="361" t="s">
        <v>2755</v>
      </c>
      <c r="AHS86" s="361" t="s">
        <v>2751</v>
      </c>
      <c r="AHT86" s="361" t="s">
        <v>2756</v>
      </c>
      <c r="AHU86" s="361"/>
      <c r="AJK86" s="13"/>
      <c r="AKQ86" s="92"/>
      <c r="ALL86" s="364"/>
      <c r="ALM86" s="364"/>
      <c r="ALN86" s="136">
        <v>600</v>
      </c>
      <c r="ALO86" s="136">
        <v>1200</v>
      </c>
      <c r="ALP86" s="603"/>
      <c r="ALQ86" s="603">
        <v>1800</v>
      </c>
      <c r="ALR86" s="603">
        <v>2300</v>
      </c>
      <c r="ALS86" s="603">
        <v>2300</v>
      </c>
      <c r="ALT86" s="7"/>
      <c r="ALU86" s="603">
        <v>2300</v>
      </c>
      <c r="ALV86" s="603">
        <v>2300</v>
      </c>
      <c r="ALW86" s="603">
        <v>2300</v>
      </c>
      <c r="ALX86" s="184"/>
      <c r="ALY86" s="603">
        <v>2300</v>
      </c>
      <c r="ALZ86" s="603">
        <v>2300</v>
      </c>
      <c r="AMA86" s="603">
        <v>2300</v>
      </c>
      <c r="AMB86" s="603">
        <v>2300</v>
      </c>
      <c r="AMC86" s="603">
        <v>2300</v>
      </c>
      <c r="AMD86" s="603">
        <v>2300</v>
      </c>
      <c r="AME86" s="603"/>
      <c r="AMF86" s="603">
        <v>2300</v>
      </c>
      <c r="AMG86" s="603">
        <v>2300</v>
      </c>
      <c r="AMH86" s="603">
        <v>2300</v>
      </c>
      <c r="AMI86" s="604">
        <v>2300</v>
      </c>
      <c r="AOE86" s="30"/>
      <c r="APK86" s="13"/>
      <c r="AQP86" s="13"/>
      <c r="ARV86" s="364"/>
      <c r="ARW86" s="364"/>
      <c r="ARX86" s="364"/>
      <c r="ARY86" s="364"/>
      <c r="ARZ86" s="364"/>
      <c r="ASA86" s="364"/>
      <c r="ASB86" s="364"/>
      <c r="ASC86" s="364"/>
      <c r="ASD86" s="364"/>
      <c r="ASE86" s="364"/>
      <c r="ASF86" s="364"/>
      <c r="ASG86" s="364"/>
      <c r="ASH86" s="364"/>
      <c r="ASI86" s="364"/>
      <c r="ASJ86" s="364"/>
      <c r="ASK86" s="364"/>
      <c r="ASL86" s="364"/>
      <c r="ASM86" s="364"/>
      <c r="ASN86" s="364"/>
      <c r="ASO86" s="364"/>
      <c r="ASP86" s="364"/>
      <c r="ASQ86" s="364"/>
      <c r="ASR86" s="364"/>
      <c r="ASS86" s="364"/>
      <c r="AST86" s="364"/>
      <c r="ASU86" s="364"/>
      <c r="ASV86" s="364"/>
      <c r="ASW86" s="364"/>
      <c r="ASX86" s="364"/>
      <c r="ASY86" s="364"/>
      <c r="ASZ86" s="364"/>
      <c r="ATA86" s="364"/>
      <c r="ATB86" s="364"/>
      <c r="ATC86" s="364"/>
      <c r="ATD86" s="364"/>
      <c r="ATE86" s="364"/>
      <c r="ATF86" s="364"/>
      <c r="ATG86" s="364"/>
      <c r="ATH86" s="364"/>
      <c r="ATI86" s="364"/>
      <c r="ATJ86" s="364"/>
      <c r="ATK86" s="364"/>
      <c r="ATL86" s="364"/>
      <c r="ATM86" s="364"/>
      <c r="ATN86" s="364"/>
      <c r="ATO86" s="364"/>
      <c r="ATP86" s="364"/>
      <c r="ATQ86" s="364"/>
      <c r="ATR86" s="364"/>
      <c r="ATS86" s="364"/>
      <c r="ATT86" s="364"/>
      <c r="ATU86" s="364"/>
      <c r="ATV86" s="364"/>
      <c r="AUG86" s="364"/>
      <c r="AVM86" s="364"/>
      <c r="AWR86" s="364"/>
      <c r="AXX86" s="364"/>
    </row>
    <row r="87" spans="2:1583" s="43" customFormat="1" ht="21" customHeight="1" thickBot="1" x14ac:dyDescent="0.45">
      <c r="B87" s="12" t="s">
        <v>27</v>
      </c>
      <c r="C87" s="4" t="s">
        <v>80</v>
      </c>
      <c r="D87" s="4"/>
      <c r="E87" s="4"/>
      <c r="F87" s="4"/>
      <c r="G87" s="4"/>
      <c r="H87" s="4"/>
      <c r="I87" s="4"/>
      <c r="J87" s="15" t="s">
        <v>66</v>
      </c>
      <c r="K87" s="40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51" t="s">
        <v>27</v>
      </c>
      <c r="AI87" s="15" t="s">
        <v>96</v>
      </c>
      <c r="AJ87" s="40"/>
      <c r="AK87" s="37"/>
      <c r="AL87" s="37"/>
      <c r="AM87" s="37"/>
      <c r="AN87" s="37"/>
      <c r="AO87" s="37"/>
      <c r="AP87" s="18"/>
      <c r="AQ87" s="734"/>
      <c r="AR87" s="735"/>
      <c r="AS87" s="735"/>
      <c r="AT87" s="735"/>
      <c r="AU87" s="735"/>
      <c r="AV87" s="735"/>
      <c r="AW87" s="735"/>
      <c r="AX87" s="735"/>
      <c r="AY87" s="735"/>
      <c r="AZ87" s="736"/>
      <c r="BN87" s="12" t="s">
        <v>27</v>
      </c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5" t="s">
        <v>199</v>
      </c>
      <c r="CJ87" s="41"/>
      <c r="CK87" s="42"/>
      <c r="CL87" s="35" t="s">
        <v>200</v>
      </c>
      <c r="CM87" s="41"/>
      <c r="CN87" s="35" t="s">
        <v>201</v>
      </c>
      <c r="CO87" s="41"/>
      <c r="CP87" s="30"/>
      <c r="CQ87" s="30"/>
      <c r="CR87" s="30"/>
      <c r="CS87" s="12" t="s">
        <v>27</v>
      </c>
      <c r="CT87" s="30"/>
      <c r="CU87" s="30"/>
      <c r="CV87" s="30"/>
      <c r="CW87" s="30"/>
      <c r="CX87" s="30"/>
      <c r="CY87" s="30"/>
      <c r="CZ87" s="30"/>
      <c r="DA87" s="30"/>
      <c r="DY87" s="30"/>
      <c r="DZ87" s="30"/>
      <c r="EA87" s="30"/>
      <c r="EB87" s="30"/>
      <c r="EC87" s="30"/>
      <c r="EL87" s="78"/>
      <c r="EM87" s="78"/>
      <c r="FC87" s="30"/>
      <c r="FI87" s="82"/>
      <c r="FJ87" s="82"/>
      <c r="FK87" s="82"/>
      <c r="FL87" s="82"/>
      <c r="FM87" s="82"/>
      <c r="FN87" s="82"/>
      <c r="FO87" s="82"/>
      <c r="HP87" s="5"/>
      <c r="HX87" s="43">
        <v>92</v>
      </c>
      <c r="HY87" s="43">
        <f>HX87*10</f>
        <v>920</v>
      </c>
      <c r="IU87" s="30"/>
      <c r="IV87" s="30"/>
      <c r="IW87" s="30"/>
      <c r="IX87" s="30"/>
      <c r="IY87" s="30"/>
      <c r="IZ87" s="30"/>
      <c r="JA87" s="30"/>
      <c r="JB87" s="30"/>
      <c r="JV87" s="43" t="s">
        <v>534</v>
      </c>
      <c r="JW87" s="43">
        <v>113232</v>
      </c>
      <c r="JX87" s="43">
        <v>103891</v>
      </c>
      <c r="JY87" s="43">
        <v>85840</v>
      </c>
      <c r="JZ87" s="43">
        <f>JX87-JY87</f>
        <v>18051</v>
      </c>
      <c r="KB87" s="43">
        <f>JW87*1.02</f>
        <v>115496.64</v>
      </c>
      <c r="KC87" s="43">
        <f>KB87-JX87</f>
        <v>11605.64</v>
      </c>
      <c r="KD87" s="285">
        <v>44014</v>
      </c>
      <c r="KE87" s="30"/>
      <c r="KL87" s="136">
        <v>400</v>
      </c>
      <c r="KM87" s="136">
        <v>800</v>
      </c>
      <c r="KN87" s="136"/>
      <c r="KO87" s="136">
        <v>1200</v>
      </c>
      <c r="KP87" s="137">
        <v>1280</v>
      </c>
      <c r="KQ87" s="136">
        <v>250</v>
      </c>
      <c r="KR87" s="136">
        <v>690</v>
      </c>
      <c r="KS87" s="137">
        <v>1100</v>
      </c>
      <c r="KT87" s="136">
        <v>400</v>
      </c>
      <c r="KU87" s="136">
        <v>800</v>
      </c>
      <c r="KV87" s="136">
        <v>1200</v>
      </c>
      <c r="KW87" s="136">
        <v>1200</v>
      </c>
      <c r="KX87" s="136"/>
      <c r="KY87" s="136">
        <v>1000</v>
      </c>
      <c r="KZ87" s="137">
        <v>900</v>
      </c>
      <c r="LE87" s="5"/>
      <c r="LP87" s="155" t="s">
        <v>530</v>
      </c>
      <c r="LQ87" s="155"/>
      <c r="LR87" s="154"/>
      <c r="LS87" s="154"/>
      <c r="MK87" s="5"/>
      <c r="NG87" s="43">
        <f>27*4</f>
        <v>108</v>
      </c>
      <c r="NH87" s="43">
        <v>74</v>
      </c>
      <c r="NI87" s="43">
        <f>(NG87-NH87)/2</f>
        <v>17</v>
      </c>
      <c r="NL87" s="43">
        <f>11*1740</f>
        <v>19140</v>
      </c>
      <c r="NP87" s="5"/>
      <c r="NR87" s="126" t="s">
        <v>696</v>
      </c>
      <c r="NS87" s="126"/>
      <c r="NT87" s="122"/>
      <c r="OG87" s="310"/>
      <c r="OH87" s="310"/>
      <c r="OI87" s="310"/>
      <c r="OJ87" s="310"/>
      <c r="OK87" s="310"/>
      <c r="OL87" s="310"/>
      <c r="OM87" s="310"/>
      <c r="ON87" s="310"/>
      <c r="OO87" s="310"/>
      <c r="OP87" s="310"/>
      <c r="OS87" s="311"/>
      <c r="OV87" s="5"/>
      <c r="PB87" s="126" t="s">
        <v>760</v>
      </c>
      <c r="PC87" s="126"/>
      <c r="PD87" s="122"/>
      <c r="QB87" s="5"/>
      <c r="QT87" s="310"/>
      <c r="QU87" s="310"/>
      <c r="QV87" s="310"/>
      <c r="QW87" s="310"/>
      <c r="QX87" s="310"/>
      <c r="QY87" s="310"/>
      <c r="QZ87" s="310"/>
      <c r="RA87" s="310"/>
      <c r="RG87" s="5"/>
      <c r="TR87" s="12" t="s">
        <v>27</v>
      </c>
      <c r="TV87" s="310"/>
      <c r="TW87" s="310"/>
      <c r="TX87" s="310">
        <f>TX85+TX86</f>
        <v>36</v>
      </c>
      <c r="UX87" s="12" t="s">
        <v>27</v>
      </c>
      <c r="VA87" s="310"/>
      <c r="VB87" s="310"/>
      <c r="VC87" s="310">
        <f>VC85+VC86</f>
        <v>149</v>
      </c>
      <c r="VU87" s="43">
        <v>184731</v>
      </c>
      <c r="WD87" s="12" t="s">
        <v>27</v>
      </c>
      <c r="WH87" s="9"/>
      <c r="WI87" s="9"/>
      <c r="WJ87" s="569" t="s">
        <v>2021</v>
      </c>
      <c r="WK87" s="9"/>
      <c r="WL87" s="9"/>
      <c r="WM87" s="9"/>
      <c r="WN87" s="9"/>
      <c r="WO87" s="9"/>
      <c r="WP87" s="9"/>
      <c r="WQ87" s="20"/>
      <c r="WR87" s="565"/>
      <c r="WS87" s="9"/>
      <c r="WT87" s="9"/>
      <c r="XG87" s="12" t="s">
        <v>27</v>
      </c>
      <c r="YM87" s="12" t="s">
        <v>27</v>
      </c>
      <c r="ZR87" s="12" t="s">
        <v>27</v>
      </c>
      <c r="AAX87" s="12" t="s">
        <v>27</v>
      </c>
      <c r="ACC87" s="92"/>
      <c r="ADI87" s="5"/>
      <c r="ADR87" s="310"/>
      <c r="ADS87" s="310"/>
      <c r="ADT87" s="310"/>
      <c r="ADU87" s="310"/>
      <c r="ADV87" s="310"/>
      <c r="ADW87" s="310"/>
      <c r="AFT87" s="310"/>
      <c r="AGZ87" s="310"/>
      <c r="AJK87" s="12" t="s">
        <v>27</v>
      </c>
      <c r="AKQ87" s="92"/>
      <c r="ALL87" s="345" t="s">
        <v>2846</v>
      </c>
      <c r="ALM87" s="345"/>
      <c r="ALN87" s="352"/>
      <c r="ALO87" s="352"/>
      <c r="ALP87" s="352"/>
      <c r="ALQ87" s="352"/>
      <c r="ALR87" s="352"/>
      <c r="ALS87" s="352"/>
      <c r="ALT87" s="195"/>
      <c r="ALU87" s="352" t="s">
        <v>2846</v>
      </c>
      <c r="ALV87" s="352"/>
      <c r="ALW87" s="352"/>
      <c r="ALX87" s="352"/>
      <c r="ALY87" s="352"/>
      <c r="ALZ87" s="352"/>
      <c r="AMA87" s="352"/>
      <c r="AMB87" s="352"/>
      <c r="AMC87" s="352"/>
      <c r="AMD87" s="352"/>
      <c r="AME87" s="352"/>
      <c r="AMF87" s="352"/>
      <c r="AMG87" s="352"/>
      <c r="AMH87" s="352"/>
      <c r="AMI87" s="352"/>
      <c r="AOE87" s="30"/>
      <c r="APK87" s="12" t="s">
        <v>27</v>
      </c>
      <c r="AQP87" s="12" t="s">
        <v>27</v>
      </c>
      <c r="ARV87" s="364"/>
      <c r="ARW87" s="364"/>
      <c r="ARX87" s="364"/>
      <c r="ARY87" s="364"/>
      <c r="ARZ87" s="364"/>
      <c r="ASA87" s="364"/>
      <c r="ASB87" s="364"/>
      <c r="ASC87" s="364"/>
      <c r="ASD87" s="364"/>
      <c r="ASE87" s="364"/>
      <c r="ASF87" s="364"/>
      <c r="ASG87" s="364"/>
      <c r="ASH87" s="364"/>
      <c r="ASI87" s="364"/>
      <c r="ASJ87" s="364"/>
      <c r="ASK87" s="364"/>
      <c r="ASL87" s="364"/>
      <c r="ASM87" s="364"/>
      <c r="ASN87" s="364"/>
      <c r="ASO87" s="364"/>
      <c r="ASP87" s="364"/>
      <c r="ASQ87" s="364"/>
      <c r="ASR87" s="364"/>
      <c r="ASS87" s="364"/>
      <c r="AST87" s="364"/>
      <c r="ASU87" s="364"/>
      <c r="ASV87" s="364"/>
      <c r="ASW87" s="364"/>
      <c r="ASX87" s="364"/>
      <c r="ASY87" s="364"/>
      <c r="ASZ87" s="364"/>
      <c r="ATA87" s="364"/>
      <c r="ATB87" s="364"/>
      <c r="ATC87" s="364"/>
      <c r="ATD87" s="364"/>
      <c r="ATE87" s="364"/>
      <c r="ATF87" s="364"/>
      <c r="ATG87" s="364"/>
      <c r="ATH87" s="364"/>
      <c r="ATI87" s="364"/>
      <c r="ATJ87" s="364"/>
      <c r="ATK87" s="364"/>
      <c r="ATL87" s="364"/>
      <c r="ATM87" s="364"/>
      <c r="ATN87" s="364"/>
      <c r="ATO87" s="364"/>
      <c r="ATP87" s="364"/>
      <c r="ATQ87" s="364"/>
      <c r="ATR87" s="364"/>
      <c r="ATS87" s="364"/>
      <c r="ATT87" s="364"/>
      <c r="ATU87" s="364"/>
      <c r="ATV87" s="364"/>
      <c r="AUG87" s="364"/>
      <c r="AVM87" s="364"/>
      <c r="AWR87" s="364"/>
      <c r="AXX87" s="364"/>
    </row>
    <row r="88" spans="2:1583" s="43" customFormat="1" ht="21" customHeight="1" x14ac:dyDescent="0.4">
      <c r="B88" s="12"/>
      <c r="C88" s="4"/>
      <c r="D88" s="4"/>
      <c r="E88" s="4"/>
      <c r="F88" s="4"/>
      <c r="G88" s="4"/>
      <c r="H88" s="4"/>
      <c r="I88" s="4"/>
      <c r="J88" s="15"/>
      <c r="K88" s="40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268"/>
      <c r="AI88" s="15"/>
      <c r="AJ88" s="40"/>
      <c r="AK88" s="37"/>
      <c r="AL88" s="37"/>
      <c r="AM88" s="37"/>
      <c r="AN88" s="37"/>
      <c r="AO88" s="37"/>
      <c r="AP88" s="18"/>
      <c r="AQ88" s="308"/>
      <c r="AR88" s="308"/>
      <c r="AS88" s="308"/>
      <c r="AT88" s="308"/>
      <c r="AU88" s="308"/>
      <c r="AV88" s="308"/>
      <c r="AW88" s="308"/>
      <c r="AX88" s="308"/>
      <c r="AY88" s="308"/>
      <c r="AZ88" s="308"/>
      <c r="BN88" s="268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5"/>
      <c r="CJ88" s="41"/>
      <c r="CK88" s="42"/>
      <c r="CL88" s="35"/>
      <c r="CM88" s="41"/>
      <c r="CN88" s="35"/>
      <c r="CO88" s="41"/>
      <c r="CP88" s="30"/>
      <c r="CQ88" s="30"/>
      <c r="CR88" s="30"/>
      <c r="CS88" s="268"/>
      <c r="CT88" s="30"/>
      <c r="CU88" s="30"/>
      <c r="CV88" s="30"/>
      <c r="CW88" s="30"/>
      <c r="CX88" s="30"/>
      <c r="CY88" s="30"/>
      <c r="CZ88" s="30"/>
      <c r="DA88" s="30"/>
      <c r="DY88" s="30"/>
      <c r="DZ88" s="30"/>
      <c r="EA88" s="30"/>
      <c r="EB88" s="30"/>
      <c r="EC88" s="30"/>
      <c r="EL88" s="78"/>
      <c r="EM88" s="78"/>
      <c r="FC88" s="30"/>
      <c r="FI88" s="82"/>
      <c r="FJ88" s="82"/>
      <c r="FK88" s="82"/>
      <c r="FL88" s="82"/>
      <c r="FM88" s="82"/>
      <c r="FN88" s="82"/>
      <c r="FO88" s="82"/>
      <c r="HP88" s="5"/>
      <c r="IU88" s="30"/>
      <c r="IV88" s="30"/>
      <c r="IW88" s="30"/>
      <c r="IX88" s="30"/>
      <c r="IY88" s="30"/>
      <c r="IZ88" s="30"/>
      <c r="JA88" s="30"/>
      <c r="JB88" s="30"/>
      <c r="JO88" s="270"/>
      <c r="JV88" s="43" t="s">
        <v>535</v>
      </c>
      <c r="JW88" s="43">
        <v>76992</v>
      </c>
      <c r="JX88" s="43">
        <v>57806</v>
      </c>
      <c r="JY88" s="43">
        <v>46968</v>
      </c>
      <c r="JZ88" s="43">
        <f t="shared" ref="JZ88:JZ92" si="24">JX88-JY88</f>
        <v>10838</v>
      </c>
      <c r="KA88" s="43">
        <v>4500</v>
      </c>
      <c r="KB88" s="43">
        <f t="shared" ref="KB88:KB92" si="25">JW88*1.02</f>
        <v>78531.839999999997</v>
      </c>
      <c r="KC88" s="43">
        <f>KB88-JY88-KA88</f>
        <v>27063.839999999997</v>
      </c>
      <c r="KD88" s="284">
        <v>43968</v>
      </c>
      <c r="KO88" s="210" t="s">
        <v>648</v>
      </c>
      <c r="KP88" s="210"/>
      <c r="KQ88" s="211"/>
      <c r="KR88" s="179" t="s">
        <v>649</v>
      </c>
      <c r="KS88" s="224"/>
      <c r="KT88" s="171"/>
      <c r="KU88" s="171"/>
      <c r="KV88" s="171"/>
      <c r="KW88" s="171"/>
      <c r="KX88" s="171"/>
      <c r="LE88" s="269"/>
      <c r="LP88" s="155" t="s">
        <v>487</v>
      </c>
      <c r="LQ88" s="41"/>
      <c r="LR88" s="154"/>
      <c r="LS88" s="154"/>
      <c r="MK88" s="269"/>
      <c r="NI88" s="43">
        <f>SUM(NI86:NI87)</f>
        <v>130</v>
      </c>
      <c r="NP88" s="269"/>
      <c r="NR88" s="126" t="s">
        <v>694</v>
      </c>
      <c r="NS88" s="126"/>
      <c r="NT88" s="122"/>
      <c r="OB88" s="43">
        <v>955</v>
      </c>
      <c r="OD88" s="179" t="s">
        <v>903</v>
      </c>
      <c r="OE88" s="179"/>
      <c r="OF88" s="171"/>
      <c r="OG88" s="171"/>
      <c r="OH88" s="310"/>
      <c r="OI88" s="136">
        <v>500</v>
      </c>
      <c r="OJ88" s="136">
        <v>1000</v>
      </c>
      <c r="OK88" s="136">
        <v>1500</v>
      </c>
      <c r="OL88" s="314">
        <v>2100</v>
      </c>
      <c r="OM88" s="314">
        <v>2100</v>
      </c>
      <c r="ON88" s="136"/>
      <c r="OO88" s="136">
        <v>2100</v>
      </c>
      <c r="OP88" s="136">
        <v>2100</v>
      </c>
      <c r="OQ88" s="136">
        <v>2100</v>
      </c>
      <c r="OR88" s="136">
        <v>2100</v>
      </c>
      <c r="OS88" s="136">
        <v>1600</v>
      </c>
      <c r="OV88" s="269"/>
      <c r="PD88" s="314">
        <v>1000</v>
      </c>
      <c r="PE88" s="314">
        <v>1500</v>
      </c>
      <c r="PF88" s="314">
        <v>1900</v>
      </c>
      <c r="PG88" s="314">
        <v>1900</v>
      </c>
      <c r="PH88" s="314">
        <v>1900</v>
      </c>
      <c r="PI88" s="136">
        <v>1900</v>
      </c>
      <c r="PJ88" s="136"/>
      <c r="PK88" s="136"/>
      <c r="PL88" s="136">
        <v>1900</v>
      </c>
      <c r="PM88" s="136">
        <v>1900</v>
      </c>
      <c r="PN88" s="315">
        <v>1900</v>
      </c>
      <c r="PO88" s="31"/>
      <c r="PP88" s="31"/>
      <c r="PQ88" s="31"/>
      <c r="PR88" s="345" t="s">
        <v>1001</v>
      </c>
      <c r="PS88" s="345"/>
      <c r="PT88" s="299"/>
      <c r="PU88" s="299"/>
      <c r="PV88" s="31"/>
      <c r="PW88" s="31"/>
      <c r="PX88" s="31"/>
      <c r="PY88" s="31"/>
      <c r="PZ88" s="31"/>
      <c r="QA88" s="31"/>
      <c r="QB88" s="92"/>
      <c r="QC88" s="31"/>
      <c r="QD88" s="31"/>
      <c r="QE88" s="31"/>
      <c r="RG88" s="269"/>
      <c r="SM88" s="269"/>
      <c r="TR88" s="12"/>
      <c r="TV88" s="310"/>
      <c r="TW88" s="310"/>
      <c r="TX88" s="310">
        <f>TX87*1768</f>
        <v>63648</v>
      </c>
      <c r="UX88" s="12"/>
      <c r="VA88" s="310"/>
      <c r="VB88" s="310"/>
      <c r="VC88" s="310">
        <f>VC87*1768</f>
        <v>263432</v>
      </c>
      <c r="WD88" s="12"/>
      <c r="WH88" s="9"/>
      <c r="WI88" s="9"/>
      <c r="WJ88" s="310"/>
      <c r="WK88" s="310"/>
      <c r="WL88" s="310"/>
      <c r="WM88" s="310"/>
      <c r="WN88" s="310"/>
      <c r="WO88" s="310"/>
      <c r="WP88" s="310"/>
      <c r="WQ88" s="310"/>
      <c r="WR88" s="310"/>
      <c r="WS88" s="9"/>
      <c r="WT88" s="9"/>
      <c r="XG88" s="12"/>
      <c r="YM88" s="12"/>
      <c r="ZR88" s="12"/>
      <c r="AAX88" s="12"/>
      <c r="ACC88" s="92"/>
      <c r="ADI88" s="5"/>
      <c r="ADR88" s="310"/>
      <c r="ADS88" s="310"/>
      <c r="ADT88" s="310"/>
      <c r="ADU88" s="310"/>
      <c r="ADV88" s="310"/>
      <c r="ADW88" s="310"/>
      <c r="AEK88" s="310"/>
      <c r="AEL88" s="310"/>
      <c r="AEM88" s="310"/>
      <c r="AFT88" s="310"/>
      <c r="AGZ88" s="310"/>
      <c r="AJK88" s="12"/>
      <c r="AKQ88" s="92"/>
      <c r="AOE88" s="30"/>
      <c r="APK88" s="12"/>
      <c r="AQP88" s="12"/>
      <c r="ARV88" s="364"/>
      <c r="ARW88" s="364"/>
      <c r="ARX88" s="364"/>
      <c r="ARY88" s="364"/>
      <c r="ARZ88" s="364"/>
      <c r="ASA88" s="364"/>
      <c r="ASB88" s="364"/>
      <c r="ASC88" s="364"/>
      <c r="ASD88" s="364"/>
      <c r="ASE88" s="364"/>
      <c r="ASF88" s="364"/>
      <c r="ASG88" s="364"/>
      <c r="ASH88" s="364"/>
      <c r="ASI88" s="364"/>
      <c r="ASJ88" s="364"/>
      <c r="ASK88" s="364"/>
      <c r="ASL88" s="364"/>
      <c r="ASM88" s="364"/>
      <c r="ASN88" s="364"/>
      <c r="ASO88" s="364"/>
      <c r="ASP88" s="364"/>
      <c r="ASQ88" s="364"/>
      <c r="ASR88" s="364"/>
      <c r="ASS88" s="364"/>
      <c r="AST88" s="364"/>
      <c r="ASU88" s="364"/>
      <c r="ASV88" s="364"/>
      <c r="ASW88" s="364"/>
      <c r="ASX88" s="364"/>
      <c r="ASY88" s="364"/>
      <c r="ASZ88" s="364"/>
      <c r="ATA88" s="364"/>
      <c r="ATB88" s="364"/>
      <c r="ATC88" s="364"/>
      <c r="ATD88" s="364"/>
      <c r="ATE88" s="364"/>
      <c r="ATF88" s="364"/>
      <c r="ATG88" s="364"/>
      <c r="ATH88" s="364"/>
      <c r="ATI88" s="364"/>
      <c r="ATJ88" s="364"/>
      <c r="ATK88" s="364"/>
      <c r="ATL88" s="364"/>
      <c r="ATM88" s="364"/>
      <c r="ATN88" s="364"/>
      <c r="ATO88" s="364"/>
      <c r="ATP88" s="364"/>
      <c r="ATQ88" s="364"/>
      <c r="ATR88" s="364"/>
      <c r="ATS88" s="364"/>
      <c r="ATT88" s="364"/>
      <c r="ATU88" s="364"/>
      <c r="ATV88" s="364"/>
      <c r="AUG88" s="364"/>
      <c r="AVM88" s="364"/>
      <c r="AWR88" s="364"/>
      <c r="AXX88" s="364"/>
    </row>
    <row r="89" spans="2:1583" s="43" customFormat="1" ht="21" customHeight="1" x14ac:dyDescent="0.4">
      <c r="B89" s="12"/>
      <c r="C89" s="4"/>
      <c r="D89" s="4"/>
      <c r="E89" s="4"/>
      <c r="F89" s="4"/>
      <c r="G89" s="4"/>
      <c r="H89" s="4"/>
      <c r="I89" s="4"/>
      <c r="J89" s="15"/>
      <c r="K89" s="40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268"/>
      <c r="AI89" s="15"/>
      <c r="AJ89" s="40"/>
      <c r="AK89" s="37"/>
      <c r="AL89" s="37"/>
      <c r="AM89" s="37"/>
      <c r="AN89" s="37"/>
      <c r="AO89" s="37"/>
      <c r="AP89" s="18"/>
      <c r="AQ89" s="308"/>
      <c r="AR89" s="308"/>
      <c r="AS89" s="308"/>
      <c r="AT89" s="308"/>
      <c r="AU89" s="308"/>
      <c r="AV89" s="308"/>
      <c r="AW89" s="308"/>
      <c r="AX89" s="308"/>
      <c r="AY89" s="308"/>
      <c r="AZ89" s="308"/>
      <c r="BN89" s="268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5"/>
      <c r="CJ89" s="41"/>
      <c r="CK89" s="42"/>
      <c r="CL89" s="35"/>
      <c r="CM89" s="41"/>
      <c r="CN89" s="35"/>
      <c r="CO89" s="41"/>
      <c r="CP89" s="30"/>
      <c r="CQ89" s="30"/>
      <c r="CR89" s="30"/>
      <c r="CS89" s="268"/>
      <c r="CT89" s="30"/>
      <c r="CU89" s="30"/>
      <c r="CV89" s="30"/>
      <c r="CW89" s="30"/>
      <c r="CX89" s="30"/>
      <c r="CY89" s="30"/>
      <c r="CZ89" s="30"/>
      <c r="DA89" s="30"/>
      <c r="DY89" s="30"/>
      <c r="DZ89" s="30"/>
      <c r="EA89" s="30"/>
      <c r="EB89" s="30"/>
      <c r="EC89" s="30"/>
      <c r="EL89" s="78"/>
      <c r="EM89" s="78"/>
      <c r="FC89" s="30"/>
      <c r="FI89" s="82"/>
      <c r="FJ89" s="82"/>
      <c r="FK89" s="82"/>
      <c r="FL89" s="82"/>
      <c r="FM89" s="82"/>
      <c r="FN89" s="82"/>
      <c r="FO89" s="82"/>
      <c r="HP89" s="5"/>
      <c r="IU89" s="30"/>
      <c r="IV89" s="30"/>
      <c r="IW89" s="30"/>
      <c r="IX89" s="30"/>
      <c r="IY89" s="30"/>
      <c r="IZ89" s="30"/>
      <c r="JA89" s="30"/>
      <c r="JB89" s="30"/>
      <c r="JV89" s="43" t="s">
        <v>536</v>
      </c>
      <c r="JW89" s="43">
        <v>87885</v>
      </c>
      <c r="JX89" s="43">
        <v>71619</v>
      </c>
      <c r="JY89" s="43">
        <v>53230</v>
      </c>
      <c r="JZ89" s="43">
        <f t="shared" si="24"/>
        <v>18389</v>
      </c>
      <c r="KB89" s="43">
        <f t="shared" si="25"/>
        <v>89642.7</v>
      </c>
      <c r="KC89" s="43">
        <f>JW89-JX89</f>
        <v>16266</v>
      </c>
      <c r="KD89" s="285">
        <v>43986</v>
      </c>
      <c r="KE89" s="30"/>
      <c r="KF89" s="30"/>
      <c r="LE89" s="269"/>
      <c r="MK89" s="269"/>
      <c r="NP89" s="269"/>
      <c r="NR89" s="126" t="s">
        <v>692</v>
      </c>
      <c r="NS89" s="156"/>
      <c r="NT89" s="122"/>
      <c r="OB89" s="43">
        <f>913*1.04</f>
        <v>949.52</v>
      </c>
      <c r="OG89" s="126" t="s">
        <v>760</v>
      </c>
      <c r="OH89" s="126"/>
      <c r="OI89" s="323"/>
      <c r="OJ89" s="323"/>
      <c r="OK89" s="323"/>
      <c r="OL89" s="323"/>
      <c r="OM89" s="323"/>
      <c r="ON89" s="323"/>
      <c r="OO89" s="323"/>
      <c r="OP89" s="323"/>
      <c r="OQ89" s="323"/>
      <c r="OR89" s="306"/>
      <c r="OS89" s="306"/>
      <c r="OV89" s="269"/>
      <c r="PM89" s="310"/>
      <c r="PN89" s="310"/>
      <c r="PO89" s="310"/>
      <c r="PP89" s="310"/>
      <c r="PQ89" s="310"/>
      <c r="PR89" s="310"/>
      <c r="PS89" s="310"/>
      <c r="PT89" s="310"/>
      <c r="PU89" s="310"/>
      <c r="PV89" s="310"/>
      <c r="PW89" s="310"/>
      <c r="PX89" s="31"/>
      <c r="PY89" s="31"/>
      <c r="PZ89" s="31"/>
      <c r="QA89" s="31"/>
      <c r="QB89" s="92"/>
      <c r="QC89" s="31"/>
      <c r="QD89" s="31"/>
      <c r="QE89" s="31"/>
      <c r="RG89" s="269"/>
      <c r="SM89" s="269"/>
      <c r="TR89" s="12"/>
      <c r="TV89" s="310"/>
      <c r="TW89" s="310"/>
      <c r="TX89" s="310"/>
      <c r="TY89" s="310"/>
      <c r="UX89" s="12"/>
      <c r="VA89" s="310"/>
      <c r="VB89" s="310"/>
      <c r="VC89" s="310">
        <v>56150</v>
      </c>
      <c r="WD89" s="12"/>
      <c r="WI89" s="310"/>
      <c r="WJ89" s="9"/>
      <c r="WK89" s="9"/>
      <c r="WL89" s="9"/>
      <c r="WM89" s="9"/>
      <c r="WN89" s="9"/>
      <c r="WO89" s="9"/>
      <c r="WP89" s="9"/>
      <c r="WQ89" s="20"/>
      <c r="WR89" s="20"/>
      <c r="WS89" s="310"/>
      <c r="XG89" s="12"/>
      <c r="YM89" s="12"/>
      <c r="ZR89" s="12"/>
      <c r="AAX89" s="12"/>
      <c r="ACC89" s="92"/>
      <c r="ADI89" s="5"/>
      <c r="ADR89" s="310"/>
      <c r="ADS89" s="310"/>
      <c r="ADT89" s="310"/>
      <c r="ADU89" s="310"/>
      <c r="ADV89" s="310"/>
      <c r="ADW89" s="310"/>
      <c r="AEK89" s="310"/>
      <c r="AEL89" s="310"/>
      <c r="AEM89" s="310"/>
      <c r="AFT89" s="310"/>
      <c r="AGZ89" s="310"/>
      <c r="AJK89" s="12"/>
      <c r="AKQ89" s="92"/>
      <c r="AOE89" s="30"/>
      <c r="APK89" s="12"/>
      <c r="AQP89" s="12"/>
    </row>
    <row r="90" spans="2:1583" s="43" customFormat="1" ht="21" customHeight="1" x14ac:dyDescent="0.4">
      <c r="B90" s="12"/>
      <c r="C90" s="4"/>
      <c r="D90" s="4"/>
      <c r="E90" s="4"/>
      <c r="F90" s="4"/>
      <c r="G90" s="4"/>
      <c r="H90" s="4"/>
      <c r="I90" s="4"/>
      <c r="J90" s="15"/>
      <c r="K90" s="40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268"/>
      <c r="AI90" s="15"/>
      <c r="AJ90" s="40"/>
      <c r="AK90" s="37"/>
      <c r="AL90" s="37"/>
      <c r="AM90" s="37"/>
      <c r="AN90" s="37"/>
      <c r="AO90" s="37"/>
      <c r="AP90" s="18"/>
      <c r="AQ90" s="308"/>
      <c r="AR90" s="308"/>
      <c r="AS90" s="308"/>
      <c r="AT90" s="308"/>
      <c r="AU90" s="308"/>
      <c r="AV90" s="308"/>
      <c r="AW90" s="308"/>
      <c r="AX90" s="308"/>
      <c r="AY90" s="308"/>
      <c r="AZ90" s="308"/>
      <c r="BN90" s="268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5"/>
      <c r="CJ90" s="41"/>
      <c r="CK90" s="42"/>
      <c r="CL90" s="35"/>
      <c r="CM90" s="41"/>
      <c r="CN90" s="35"/>
      <c r="CO90" s="41"/>
      <c r="CP90" s="30"/>
      <c r="CQ90" s="30"/>
      <c r="CR90" s="30"/>
      <c r="CS90" s="268"/>
      <c r="CT90" s="30"/>
      <c r="CU90" s="30"/>
      <c r="CV90" s="30"/>
      <c r="CW90" s="30"/>
      <c r="CX90" s="30"/>
      <c r="CY90" s="30"/>
      <c r="CZ90" s="30"/>
      <c r="DA90" s="30"/>
      <c r="DY90" s="30"/>
      <c r="DZ90" s="30"/>
      <c r="EA90" s="30"/>
      <c r="EB90" s="30"/>
      <c r="EC90" s="30"/>
      <c r="EL90" s="78"/>
      <c r="EM90" s="78"/>
      <c r="FC90" s="30"/>
      <c r="FI90" s="82"/>
      <c r="FJ90" s="82"/>
      <c r="FK90" s="82"/>
      <c r="FL90" s="82"/>
      <c r="FM90" s="82"/>
      <c r="FN90" s="82"/>
      <c r="FO90" s="82"/>
      <c r="HP90" s="5"/>
      <c r="IU90" s="30"/>
      <c r="IV90" s="30"/>
      <c r="IW90" s="30"/>
      <c r="IX90" s="30"/>
      <c r="IY90" s="30"/>
      <c r="IZ90" s="30"/>
      <c r="JA90" s="30"/>
      <c r="JB90" s="30"/>
      <c r="JV90" s="30" t="s">
        <v>510</v>
      </c>
      <c r="JW90" s="30">
        <v>25668</v>
      </c>
      <c r="JX90" s="30">
        <v>23320</v>
      </c>
      <c r="JY90" s="30">
        <v>23319</v>
      </c>
      <c r="JZ90" s="43">
        <f t="shared" si="24"/>
        <v>1</v>
      </c>
      <c r="KB90" s="43">
        <f t="shared" si="25"/>
        <v>26181.360000000001</v>
      </c>
      <c r="KC90" s="43">
        <f>KB90-JX90</f>
        <v>2861.3600000000006</v>
      </c>
      <c r="KD90" s="285">
        <v>44077</v>
      </c>
      <c r="KE90" s="30"/>
      <c r="KF90" s="30"/>
      <c r="KL90" s="136"/>
      <c r="KM90" s="136"/>
      <c r="KN90" s="136"/>
      <c r="KO90" s="136">
        <v>540</v>
      </c>
      <c r="KP90" s="136">
        <v>1080</v>
      </c>
      <c r="KQ90" s="136">
        <v>1080</v>
      </c>
      <c r="KR90" s="136">
        <v>2160</v>
      </c>
      <c r="KS90" s="137">
        <v>740</v>
      </c>
      <c r="KT90" s="136">
        <v>1440</v>
      </c>
      <c r="KU90" s="136">
        <v>1620</v>
      </c>
      <c r="KV90" s="136">
        <v>2160</v>
      </c>
      <c r="KW90" s="137">
        <v>920</v>
      </c>
      <c r="KX90" s="136"/>
      <c r="KY90" s="136">
        <v>1170</v>
      </c>
      <c r="KZ90" s="136">
        <v>1350</v>
      </c>
      <c r="LA90" s="136">
        <v>1800</v>
      </c>
      <c r="LB90" s="137">
        <v>1480</v>
      </c>
      <c r="LE90" s="269"/>
      <c r="MK90" s="269"/>
      <c r="NP90" s="269"/>
      <c r="OV90" s="269"/>
      <c r="PD90" s="314">
        <v>1600</v>
      </c>
      <c r="PE90" s="136">
        <v>1900</v>
      </c>
      <c r="PF90" s="136">
        <v>1900</v>
      </c>
      <c r="PG90" s="136">
        <v>1900</v>
      </c>
      <c r="PH90" s="136">
        <v>1900</v>
      </c>
      <c r="PI90" s="136">
        <v>1900</v>
      </c>
      <c r="PJ90" s="136"/>
      <c r="PK90" s="136"/>
      <c r="PL90" s="136">
        <v>1900</v>
      </c>
      <c r="PM90" s="136">
        <v>1900</v>
      </c>
      <c r="PN90" s="136">
        <v>1900</v>
      </c>
      <c r="PO90" s="136">
        <v>1900</v>
      </c>
      <c r="PP90" s="136">
        <v>1900</v>
      </c>
      <c r="PQ90" s="136"/>
      <c r="PR90" s="314">
        <v>1900</v>
      </c>
      <c r="PS90" s="314">
        <v>1900</v>
      </c>
      <c r="PT90" s="314">
        <v>1900</v>
      </c>
      <c r="PU90" s="314">
        <v>1900</v>
      </c>
      <c r="PV90" s="314">
        <v>1900</v>
      </c>
      <c r="PW90" s="314">
        <v>1900</v>
      </c>
      <c r="PX90" s="314"/>
      <c r="PY90" s="314">
        <v>1900</v>
      </c>
      <c r="PZ90" s="314">
        <v>1900</v>
      </c>
      <c r="QA90" s="314">
        <v>1900</v>
      </c>
      <c r="QB90" s="92"/>
      <c r="QC90" s="136">
        <v>1900</v>
      </c>
      <c r="QD90" s="314">
        <v>1900</v>
      </c>
      <c r="QE90" s="315">
        <v>1000</v>
      </c>
      <c r="QI90" s="317" t="s">
        <v>946</v>
      </c>
      <c r="RG90" s="269"/>
      <c r="SM90" s="269"/>
      <c r="TR90" s="12"/>
      <c r="TV90" s="310"/>
      <c r="TW90" s="310"/>
      <c r="TX90" s="310"/>
      <c r="TY90" s="310"/>
      <c r="UX90" s="12"/>
      <c r="VA90" s="310"/>
      <c r="VB90" s="310"/>
      <c r="VC90" s="310">
        <f>VC88+VC89</f>
        <v>319582</v>
      </c>
      <c r="WD90" s="12"/>
      <c r="WH90" s="9"/>
      <c r="WI90" s="9"/>
      <c r="WS90" s="9"/>
      <c r="WT90" s="9"/>
      <c r="XG90" s="12"/>
      <c r="YM90" s="12"/>
      <c r="ZR90" s="12"/>
      <c r="AAX90" s="12"/>
      <c r="ACC90" s="92"/>
      <c r="ADI90" s="5"/>
      <c r="AFT90" s="310"/>
      <c r="AGZ90" s="310"/>
      <c r="AJK90" s="12"/>
      <c r="AKQ90" s="92"/>
      <c r="AOE90" s="30"/>
      <c r="APK90" s="12"/>
      <c r="AQP90" s="12"/>
    </row>
    <row r="91" spans="2:1583" s="43" customFormat="1" ht="21" customHeight="1" x14ac:dyDescent="0.4">
      <c r="B91" s="12"/>
      <c r="C91" s="4"/>
      <c r="D91" s="4"/>
      <c r="E91" s="4"/>
      <c r="F91" s="4"/>
      <c r="G91" s="4"/>
      <c r="H91" s="4"/>
      <c r="I91" s="4"/>
      <c r="J91" s="15"/>
      <c r="K91" s="40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268"/>
      <c r="AI91" s="15"/>
      <c r="AJ91" s="40"/>
      <c r="AK91" s="37"/>
      <c r="AL91" s="37"/>
      <c r="AM91" s="37"/>
      <c r="AN91" s="37"/>
      <c r="AO91" s="37"/>
      <c r="AP91" s="18"/>
      <c r="AQ91" s="308"/>
      <c r="AR91" s="308"/>
      <c r="AS91" s="308"/>
      <c r="AT91" s="308"/>
      <c r="AU91" s="308"/>
      <c r="AV91" s="308"/>
      <c r="AW91" s="308"/>
      <c r="AX91" s="308"/>
      <c r="AY91" s="308"/>
      <c r="AZ91" s="308"/>
      <c r="BN91" s="268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5"/>
      <c r="CJ91" s="41"/>
      <c r="CK91" s="42"/>
      <c r="CL91" s="35"/>
      <c r="CM91" s="41"/>
      <c r="CN91" s="35"/>
      <c r="CO91" s="41"/>
      <c r="CP91" s="30"/>
      <c r="CQ91" s="30"/>
      <c r="CR91" s="30"/>
      <c r="CS91" s="268"/>
      <c r="CT91" s="30"/>
      <c r="CU91" s="30"/>
      <c r="CV91" s="30"/>
      <c r="CW91" s="30"/>
      <c r="CX91" s="30"/>
      <c r="CY91" s="30"/>
      <c r="CZ91" s="30"/>
      <c r="DA91" s="30"/>
      <c r="DY91" s="30"/>
      <c r="DZ91" s="30"/>
      <c r="EA91" s="30"/>
      <c r="EB91" s="30"/>
      <c r="EC91" s="30"/>
      <c r="EL91" s="78"/>
      <c r="EM91" s="78"/>
      <c r="FC91" s="30"/>
      <c r="FI91" s="82"/>
      <c r="FJ91" s="82"/>
      <c r="FK91" s="82"/>
      <c r="FL91" s="82"/>
      <c r="FM91" s="82"/>
      <c r="FN91" s="82"/>
      <c r="FO91" s="82"/>
      <c r="HP91" s="5"/>
      <c r="IU91" s="30"/>
      <c r="IV91" s="30"/>
      <c r="IW91" s="30"/>
      <c r="IX91" s="30"/>
      <c r="IY91" s="30"/>
      <c r="IZ91" s="30"/>
      <c r="JA91" s="30"/>
      <c r="JB91" s="30"/>
      <c r="JV91" s="30" t="s">
        <v>538</v>
      </c>
      <c r="JW91" s="30">
        <v>10392</v>
      </c>
      <c r="JX91" s="30">
        <v>10579</v>
      </c>
      <c r="JY91" s="30">
        <v>9411</v>
      </c>
      <c r="JZ91" s="43">
        <f t="shared" si="24"/>
        <v>1168</v>
      </c>
      <c r="KB91" s="43">
        <f t="shared" si="25"/>
        <v>10599.84</v>
      </c>
      <c r="KC91" s="43">
        <f>KB91-JX91</f>
        <v>20.840000000000146</v>
      </c>
      <c r="KD91" s="30"/>
      <c r="KE91" s="30"/>
      <c r="KF91" s="30"/>
      <c r="KL91" s="179" t="s">
        <v>533</v>
      </c>
      <c r="KM91" s="204"/>
      <c r="KN91" s="171"/>
      <c r="KO91" s="171"/>
      <c r="KP91" s="171"/>
      <c r="KQ91" s="171"/>
      <c r="KV91" s="179" t="s">
        <v>532</v>
      </c>
      <c r="KW91" s="204"/>
      <c r="KX91" s="171"/>
      <c r="KY91" s="171"/>
      <c r="KZ91" s="171"/>
      <c r="LA91" s="171"/>
      <c r="LB91" s="171"/>
      <c r="MK91" s="269"/>
      <c r="NC91" s="43" t="s">
        <v>534</v>
      </c>
      <c r="ND91" s="43">
        <v>113232</v>
      </c>
      <c r="NE91" s="43">
        <v>103891</v>
      </c>
      <c r="NF91" s="43">
        <v>85840</v>
      </c>
      <c r="NG91" s="43">
        <f>NE91-NF91</f>
        <v>18051</v>
      </c>
      <c r="NI91" s="43">
        <f>ND91*1.02</f>
        <v>115496.64</v>
      </c>
      <c r="NJ91" s="43">
        <f>NI91-NE91</f>
        <v>11605.64</v>
      </c>
      <c r="NK91" s="285">
        <v>44014</v>
      </c>
      <c r="NP91" s="269"/>
      <c r="OV91" s="269"/>
      <c r="PD91" s="323" t="s">
        <v>760</v>
      </c>
      <c r="PE91" s="306" t="s">
        <v>760</v>
      </c>
      <c r="PF91" s="306"/>
      <c r="PG91" s="306"/>
      <c r="PH91" s="306"/>
      <c r="PI91" s="306"/>
      <c r="PJ91" s="306"/>
      <c r="PK91" s="306"/>
      <c r="PL91" s="306"/>
      <c r="PM91" s="306"/>
      <c r="PN91" s="306"/>
      <c r="PO91" s="323"/>
      <c r="PP91" s="323"/>
      <c r="PQ91" s="323"/>
      <c r="PR91" s="323"/>
      <c r="PS91" s="323"/>
      <c r="PT91" s="323"/>
      <c r="PU91" s="323"/>
      <c r="PV91" s="323"/>
      <c r="PW91" s="323"/>
      <c r="PX91" s="323"/>
      <c r="PY91" s="323"/>
      <c r="PZ91" s="323"/>
      <c r="QA91" s="323"/>
      <c r="QB91" s="92"/>
      <c r="QC91" s="306" t="s">
        <v>760</v>
      </c>
      <c r="QD91" s="324"/>
      <c r="QE91" s="324"/>
      <c r="RG91" s="269"/>
      <c r="SM91" s="269"/>
      <c r="TR91" s="12"/>
      <c r="UX91" s="12"/>
      <c r="WD91" s="12"/>
      <c r="WF91" s="43">
        <f>23*8</f>
        <v>184</v>
      </c>
      <c r="WG91" s="43">
        <v>169</v>
      </c>
      <c r="WH91" s="43">
        <f>WF91-WG91</f>
        <v>15</v>
      </c>
      <c r="WI91" s="43">
        <v>27</v>
      </c>
      <c r="WJ91" s="43">
        <v>155</v>
      </c>
      <c r="WK91" s="43">
        <f>WI91*WJ91*11</f>
        <v>46035</v>
      </c>
      <c r="XG91" s="12"/>
      <c r="YM91" s="12"/>
      <c r="ZR91" s="12"/>
      <c r="AAX91" s="12"/>
      <c r="ACC91" s="92"/>
      <c r="ADI91" s="5"/>
      <c r="AFT91" s="310"/>
      <c r="AGZ91" s="310"/>
      <c r="AJK91" s="12"/>
      <c r="AKQ91" s="92"/>
      <c r="AOE91" s="30"/>
      <c r="APK91" s="12"/>
      <c r="AQP91" s="12"/>
    </row>
    <row r="92" spans="2:1583" s="43" customFormat="1" ht="21" customHeight="1" x14ac:dyDescent="0.4">
      <c r="B92" s="12"/>
      <c r="C92" s="4"/>
      <c r="D92" s="4"/>
      <c r="E92" s="4"/>
      <c r="F92" s="4"/>
      <c r="G92" s="4"/>
      <c r="H92" s="4"/>
      <c r="I92" s="4"/>
      <c r="J92" s="15"/>
      <c r="K92" s="40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268"/>
      <c r="AI92" s="15"/>
      <c r="AJ92" s="40"/>
      <c r="AK92" s="37"/>
      <c r="AL92" s="37"/>
      <c r="AM92" s="37"/>
      <c r="AN92" s="37"/>
      <c r="AO92" s="37"/>
      <c r="AP92" s="18"/>
      <c r="AQ92" s="308"/>
      <c r="AR92" s="308"/>
      <c r="AS92" s="308"/>
      <c r="AT92" s="308"/>
      <c r="AU92" s="308"/>
      <c r="AV92" s="308"/>
      <c r="AW92" s="308"/>
      <c r="AX92" s="308"/>
      <c r="AY92" s="308"/>
      <c r="AZ92" s="308"/>
      <c r="BN92" s="268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5"/>
      <c r="CJ92" s="41"/>
      <c r="CK92" s="42"/>
      <c r="CL92" s="35"/>
      <c r="CM92" s="41"/>
      <c r="CN92" s="35"/>
      <c r="CO92" s="41"/>
      <c r="CP92" s="30"/>
      <c r="CQ92" s="30"/>
      <c r="CR92" s="30"/>
      <c r="CS92" s="268"/>
      <c r="CT92" s="30"/>
      <c r="CU92" s="30"/>
      <c r="CV92" s="30"/>
      <c r="CW92" s="30"/>
      <c r="CX92" s="30"/>
      <c r="CY92" s="30"/>
      <c r="CZ92" s="30"/>
      <c r="DA92" s="30"/>
      <c r="DY92" s="30"/>
      <c r="DZ92" s="30"/>
      <c r="EA92" s="30"/>
      <c r="EB92" s="30"/>
      <c r="EC92" s="30"/>
      <c r="EL92" s="78"/>
      <c r="EM92" s="78"/>
      <c r="FC92" s="30"/>
      <c r="FI92" s="82"/>
      <c r="FJ92" s="82"/>
      <c r="FK92" s="82"/>
      <c r="FL92" s="82"/>
      <c r="FM92" s="82"/>
      <c r="FN92" s="82"/>
      <c r="FO92" s="82"/>
      <c r="HP92" s="5"/>
      <c r="IU92" s="30"/>
      <c r="IV92" s="30"/>
      <c r="IW92" s="30"/>
      <c r="IX92" s="30"/>
      <c r="IY92" s="30"/>
      <c r="IZ92" s="30"/>
      <c r="JA92" s="30"/>
      <c r="JB92" s="30"/>
      <c r="JV92" s="30" t="s">
        <v>537</v>
      </c>
      <c r="JW92" s="30">
        <v>13596</v>
      </c>
      <c r="JX92" s="30">
        <v>12519</v>
      </c>
      <c r="JY92" s="30">
        <v>11128</v>
      </c>
      <c r="JZ92" s="43">
        <f t="shared" si="24"/>
        <v>1391</v>
      </c>
      <c r="KB92" s="43">
        <f t="shared" si="25"/>
        <v>13867.92</v>
      </c>
      <c r="KC92" s="43">
        <f>KB92-JX92</f>
        <v>1348.92</v>
      </c>
      <c r="KD92" s="285">
        <v>43965</v>
      </c>
      <c r="KE92" s="30"/>
      <c r="KF92" s="30"/>
      <c r="LD92" s="136">
        <v>400</v>
      </c>
      <c r="LE92" s="136">
        <v>600</v>
      </c>
      <c r="LF92" s="136">
        <v>1000</v>
      </c>
      <c r="LG92" s="136">
        <v>1000</v>
      </c>
      <c r="LH92" s="137">
        <v>1325</v>
      </c>
      <c r="MK92" s="269"/>
      <c r="NC92" s="43" t="s">
        <v>535</v>
      </c>
      <c r="ND92" s="43">
        <v>76992</v>
      </c>
      <c r="NE92" s="43">
        <v>57806</v>
      </c>
      <c r="NF92" s="43">
        <v>46968</v>
      </c>
      <c r="NG92" s="43">
        <f t="shared" ref="NG92:NG96" si="26">NE92-NF92</f>
        <v>10838</v>
      </c>
      <c r="NH92" s="43">
        <v>4500</v>
      </c>
      <c r="NI92" s="43">
        <f t="shared" ref="NI92:NI96" si="27">ND92*1.02</f>
        <v>78531.839999999997</v>
      </c>
      <c r="NJ92" s="43">
        <f>NI92-NF92-NH92</f>
        <v>27063.839999999997</v>
      </c>
      <c r="NK92" s="284">
        <v>43968</v>
      </c>
      <c r="NP92" s="269"/>
      <c r="OV92" s="269"/>
      <c r="QB92" s="269"/>
      <c r="RG92" s="269"/>
      <c r="SM92" s="269"/>
      <c r="TR92" s="12"/>
      <c r="UX92" s="12"/>
      <c r="WD92" s="12"/>
      <c r="WF92" s="43">
        <f>23*4</f>
        <v>92</v>
      </c>
      <c r="WG92" s="43">
        <v>83</v>
      </c>
      <c r="WH92" s="43">
        <f>WF92-WG92</f>
        <v>9</v>
      </c>
      <c r="WI92" s="43">
        <v>23</v>
      </c>
      <c r="WJ92" s="43">
        <v>90</v>
      </c>
      <c r="WK92" s="43">
        <f>WI92*WJ92*11</f>
        <v>22770</v>
      </c>
      <c r="XG92" s="12"/>
      <c r="YM92" s="12"/>
      <c r="ZA92" s="30"/>
      <c r="ZB92" s="30"/>
      <c r="ZC92" s="30"/>
      <c r="ZD92" s="314">
        <v>700</v>
      </c>
      <c r="ZE92" s="314">
        <v>1400</v>
      </c>
      <c r="ZF92" s="314">
        <v>2250</v>
      </c>
      <c r="ZG92" s="314">
        <v>2250</v>
      </c>
      <c r="ZH92" s="314">
        <v>2250</v>
      </c>
      <c r="ZI92" s="314">
        <v>2250</v>
      </c>
      <c r="ZJ92" s="136"/>
      <c r="ZK92" s="314">
        <v>2250</v>
      </c>
      <c r="ZL92" s="314">
        <v>2250</v>
      </c>
      <c r="ZM92" s="314">
        <v>2250</v>
      </c>
      <c r="ZN92" s="314">
        <v>2250</v>
      </c>
      <c r="ZO92" s="124">
        <v>1200</v>
      </c>
      <c r="ZR92" s="12"/>
      <c r="AAX92" s="12"/>
      <c r="ACC92" s="92"/>
      <c r="ADI92" s="5"/>
      <c r="AFT92" s="310"/>
      <c r="AGZ92" s="310"/>
      <c r="AJK92" s="12"/>
      <c r="AKQ92" s="92"/>
      <c r="AOE92" s="30"/>
      <c r="APK92" s="12"/>
      <c r="AQP92" s="12"/>
    </row>
    <row r="93" spans="2:1583" s="43" customFormat="1" ht="21" customHeight="1" x14ac:dyDescent="0.4">
      <c r="B93" s="9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K93" s="30"/>
      <c r="DL93" s="30"/>
      <c r="DM93" s="30"/>
      <c r="DN93" s="30"/>
      <c r="DO93" s="30"/>
      <c r="DP93" s="30"/>
      <c r="DQ93" s="30"/>
      <c r="DV93" s="30"/>
      <c r="DW93" s="30"/>
      <c r="DY93" s="71"/>
      <c r="DZ93" s="71"/>
      <c r="EA93" s="71"/>
      <c r="EB93" s="71"/>
      <c r="EC93" s="71"/>
      <c r="FC93" s="30"/>
      <c r="HP93" s="72"/>
      <c r="HX93" s="43">
        <f>300-92</f>
        <v>208</v>
      </c>
      <c r="HY93" s="43">
        <f>HX93*11</f>
        <v>2288</v>
      </c>
      <c r="KK93" s="136">
        <v>400</v>
      </c>
      <c r="KL93" s="136">
        <v>800</v>
      </c>
      <c r="KM93" s="136">
        <v>800</v>
      </c>
      <c r="KN93" s="137">
        <v>475</v>
      </c>
      <c r="LE93" s="30"/>
      <c r="LF93" s="30"/>
      <c r="LG93" s="30"/>
      <c r="ME93" s="30"/>
      <c r="MF93" s="30"/>
      <c r="MG93" s="30"/>
      <c r="MH93" s="30"/>
      <c r="MI93" s="30"/>
      <c r="MJ93" s="30"/>
      <c r="MK93" s="30"/>
      <c r="NC93" s="43" t="s">
        <v>536</v>
      </c>
      <c r="ND93" s="43">
        <v>87885</v>
      </c>
      <c r="NE93" s="43">
        <v>71619</v>
      </c>
      <c r="NF93" s="43">
        <v>53230</v>
      </c>
      <c r="NG93" s="43">
        <f t="shared" si="26"/>
        <v>18389</v>
      </c>
      <c r="NI93" s="43">
        <f t="shared" si="27"/>
        <v>89642.7</v>
      </c>
      <c r="NJ93" s="43">
        <f>ND93-NE93</f>
        <v>16266</v>
      </c>
      <c r="NK93" s="285">
        <v>43986</v>
      </c>
      <c r="NS93" s="380"/>
      <c r="NT93" s="381">
        <v>44021</v>
      </c>
      <c r="NU93" s="380"/>
      <c r="NV93" s="381">
        <v>44022</v>
      </c>
      <c r="OM93" s="43">
        <v>52</v>
      </c>
      <c r="ON93" s="43">
        <v>52</v>
      </c>
      <c r="OO93" s="43">
        <f>OM93-ON93</f>
        <v>0</v>
      </c>
      <c r="RA93" s="43">
        <f>SUM(RA86:RA87)</f>
        <v>0</v>
      </c>
      <c r="TR93" s="9"/>
      <c r="UX93" s="9"/>
      <c r="VD93" s="43">
        <v>82180</v>
      </c>
      <c r="WD93" s="9"/>
      <c r="WK93" s="43">
        <f>SUM(WK91:WK92)</f>
        <v>68805</v>
      </c>
      <c r="WN93" s="43">
        <f>29*155*10</f>
        <v>44950</v>
      </c>
      <c r="XG93" s="9"/>
      <c r="YM93" s="9"/>
      <c r="ZA93" s="361" t="s">
        <v>2120</v>
      </c>
      <c r="ZB93" s="361"/>
      <c r="ZC93" s="319"/>
      <c r="ZD93" s="319"/>
      <c r="ZE93" s="319"/>
      <c r="ZF93" s="319"/>
      <c r="ZG93" s="319"/>
      <c r="ZH93" s="319"/>
      <c r="ZI93" s="319"/>
      <c r="ZJ93" s="319"/>
      <c r="ZK93" s="319"/>
      <c r="ZL93" s="319"/>
      <c r="ZM93" s="319"/>
      <c r="ZN93" s="30"/>
      <c r="ZO93" s="30"/>
      <c r="ZR93" s="9"/>
      <c r="AAX93" s="9"/>
      <c r="ACC93" s="92"/>
      <c r="ADI93" s="5"/>
      <c r="AFT93" s="310"/>
      <c r="AGZ93" s="310"/>
      <c r="AJK93" s="9"/>
      <c r="AKQ93" s="92"/>
      <c r="AOE93" s="30"/>
      <c r="APK93" s="9"/>
      <c r="AQP93" s="9"/>
    </row>
    <row r="94" spans="2:1583" ht="21" customHeight="1" x14ac:dyDescent="0.25"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43"/>
      <c r="BP94" s="43"/>
      <c r="BQ94" s="43"/>
      <c r="BR94" s="43"/>
      <c r="BS94" s="43"/>
      <c r="BT94" s="43"/>
      <c r="DC94" s="31" t="s">
        <v>23</v>
      </c>
      <c r="DD94" s="31" t="s">
        <v>20</v>
      </c>
      <c r="DE94" s="31" t="s">
        <v>276</v>
      </c>
      <c r="DI94" s="43"/>
      <c r="DJ94" s="43"/>
      <c r="EI94" s="43"/>
      <c r="EJ94" s="31" t="s">
        <v>23</v>
      </c>
      <c r="EK94" s="31" t="s">
        <v>20</v>
      </c>
      <c r="EL94" s="31" t="s">
        <v>276</v>
      </c>
      <c r="EX94" s="78"/>
      <c r="EY94" s="78"/>
      <c r="EZ94" s="78"/>
      <c r="FA94" s="43"/>
      <c r="FB94" s="43"/>
      <c r="FP94" s="31"/>
      <c r="FQ94" s="31"/>
      <c r="FR94" s="31" t="s">
        <v>23</v>
      </c>
      <c r="FS94" s="31" t="s">
        <v>20</v>
      </c>
      <c r="FT94" s="31" t="s">
        <v>276</v>
      </c>
      <c r="FU94" s="31"/>
      <c r="FV94" s="31"/>
      <c r="FW94" s="31"/>
      <c r="FX94" s="31"/>
      <c r="HQ94" s="43"/>
      <c r="HY94" s="30">
        <f>HY87+HY93</f>
        <v>3208</v>
      </c>
      <c r="IL94" s="136" t="s">
        <v>506</v>
      </c>
      <c r="IM94" s="136">
        <v>36</v>
      </c>
      <c r="IN94" s="136"/>
      <c r="JO94" s="136" t="s">
        <v>506</v>
      </c>
      <c r="JP94" s="136">
        <v>18</v>
      </c>
      <c r="JQ94" s="136">
        <f>IM94+JP94</f>
        <v>54</v>
      </c>
      <c r="KT94" s="136" t="s">
        <v>506</v>
      </c>
      <c r="KU94" s="136">
        <v>28</v>
      </c>
      <c r="KV94" s="136">
        <f>JQ94+KU94</f>
        <v>82</v>
      </c>
      <c r="MN94" s="30">
        <v>848000</v>
      </c>
      <c r="MP94" s="30">
        <v>1105953</v>
      </c>
      <c r="NC94" s="30" t="s">
        <v>510</v>
      </c>
      <c r="ND94" s="30">
        <v>25668</v>
      </c>
      <c r="NE94" s="30">
        <v>23320</v>
      </c>
      <c r="NF94" s="30">
        <v>23319</v>
      </c>
      <c r="NG94" s="43">
        <f t="shared" si="26"/>
        <v>1</v>
      </c>
      <c r="NH94" s="43"/>
      <c r="NI94" s="43">
        <f t="shared" si="27"/>
        <v>26181.360000000001</v>
      </c>
      <c r="NJ94" s="43">
        <f>NI94-NE94</f>
        <v>2861.3600000000006</v>
      </c>
      <c r="NK94" s="285">
        <v>44077</v>
      </c>
      <c r="NS94" s="380">
        <v>88</v>
      </c>
      <c r="NT94" s="380">
        <v>15000</v>
      </c>
      <c r="NU94" s="382" t="s">
        <v>995</v>
      </c>
      <c r="NV94" s="380">
        <v>27700</v>
      </c>
      <c r="NX94" s="30">
        <v>61500</v>
      </c>
      <c r="ON94" s="30">
        <f>SUM(ON90:ON93)</f>
        <v>52</v>
      </c>
      <c r="OO94" s="30">
        <f>SUM(OO90:OO93)</f>
        <v>0</v>
      </c>
      <c r="PT94" s="43"/>
      <c r="PU94" s="43"/>
      <c r="PV94" s="43"/>
      <c r="PW94" s="43"/>
      <c r="PX94" s="43"/>
      <c r="PY94" s="43"/>
      <c r="RA94" s="30">
        <f>RA93*1600</f>
        <v>0</v>
      </c>
      <c r="RW94" s="30">
        <v>63</v>
      </c>
      <c r="RZ94" s="43"/>
      <c r="TC94" s="30">
        <v>72</v>
      </c>
      <c r="UH94" s="30">
        <v>58</v>
      </c>
      <c r="VD94" s="30">
        <v>368</v>
      </c>
      <c r="WH94" s="30">
        <f>25*2200+9*1250</f>
        <v>66250</v>
      </c>
      <c r="WN94" s="30">
        <f>7*85*10</f>
        <v>5950</v>
      </c>
      <c r="XK94" s="577">
        <v>27</v>
      </c>
      <c r="XL94" s="577"/>
      <c r="XM94" s="577"/>
      <c r="XN94" s="577"/>
      <c r="XO94" s="577">
        <f>XV102</f>
        <v>575110</v>
      </c>
      <c r="YQ94" s="577">
        <v>26</v>
      </c>
      <c r="YR94" s="577"/>
      <c r="YS94" s="577"/>
      <c r="YT94" s="577"/>
      <c r="YU94" s="577">
        <f>ZB102</f>
        <v>466275</v>
      </c>
      <c r="YV94" s="43"/>
      <c r="YW94" s="43"/>
      <c r="ZV94" s="577">
        <v>19</v>
      </c>
      <c r="ZW94" s="577"/>
      <c r="ZX94" s="577"/>
      <c r="ZY94" s="577"/>
      <c r="ZZ94" s="577">
        <f>AAG102</f>
        <v>389355</v>
      </c>
      <c r="AAA94" s="43"/>
      <c r="ABB94" s="577">
        <v>28</v>
      </c>
      <c r="ABC94" s="577"/>
      <c r="ABD94" s="577"/>
      <c r="ABE94" s="577"/>
      <c r="ABF94" s="577">
        <f>ABM102</f>
        <v>597055</v>
      </c>
      <c r="ABG94" s="43"/>
      <c r="ABH94" s="43"/>
      <c r="ABI94" s="43"/>
      <c r="ACC94" s="92"/>
      <c r="ACG94" s="577">
        <v>19</v>
      </c>
      <c r="ACH94" s="577"/>
      <c r="ACI94" s="577"/>
      <c r="ACJ94" s="577"/>
      <c r="ACK94" s="577">
        <f>ACR102</f>
        <v>29980</v>
      </c>
      <c r="ADM94" s="577">
        <v>27</v>
      </c>
      <c r="ADN94" s="577"/>
      <c r="ADO94" s="577"/>
      <c r="ADP94" s="577"/>
      <c r="ADQ94" s="577">
        <f>ADX102</f>
        <v>50445</v>
      </c>
      <c r="AFT94" s="310"/>
      <c r="AGZ94" s="310"/>
      <c r="AKQ94" s="92"/>
      <c r="ALY94" s="43"/>
    </row>
    <row r="95" spans="2:1583" ht="21" customHeight="1" x14ac:dyDescent="0.4">
      <c r="AZ95" s="31"/>
      <c r="BA95" s="54"/>
      <c r="BB95" s="31"/>
      <c r="BC95" s="31"/>
      <c r="BD95" s="31"/>
      <c r="BE95" s="55"/>
      <c r="BF95" s="31"/>
      <c r="BG95" s="31"/>
      <c r="BH95" s="31"/>
      <c r="BI95" s="44"/>
      <c r="BJ95" s="45"/>
      <c r="BK95" s="45"/>
      <c r="BL95" s="45"/>
      <c r="BM95" s="45"/>
      <c r="BN95" s="31"/>
      <c r="DC95" s="56" t="s">
        <v>140</v>
      </c>
      <c r="DD95" s="56">
        <v>259940</v>
      </c>
      <c r="DE95" s="56">
        <v>9</v>
      </c>
      <c r="DF95" s="70" t="s">
        <v>274</v>
      </c>
      <c r="DI95" s="43"/>
      <c r="DJ95" s="43"/>
      <c r="ED95" s="43"/>
      <c r="EE95" s="43"/>
      <c r="EF95" s="43"/>
      <c r="EG95" s="43"/>
      <c r="EH95" s="43"/>
      <c r="EI95" s="43"/>
      <c r="EJ95" s="56" t="s">
        <v>140</v>
      </c>
      <c r="EK95" s="56">
        <v>306893</v>
      </c>
      <c r="EL95" s="56">
        <v>12</v>
      </c>
      <c r="EM95" s="70" t="s">
        <v>275</v>
      </c>
      <c r="EX95" s="80"/>
      <c r="EY95" s="80"/>
      <c r="EZ95" s="43"/>
      <c r="FA95" s="43"/>
      <c r="FB95" s="43"/>
      <c r="FR95" s="56" t="s">
        <v>140</v>
      </c>
      <c r="FS95" s="56">
        <v>168775</v>
      </c>
      <c r="FT95" s="56"/>
      <c r="FU95" s="70"/>
      <c r="GV95" s="79"/>
      <c r="GW95" s="79"/>
      <c r="GX95" s="84" t="s">
        <v>23</v>
      </c>
      <c r="GY95" s="84" t="s">
        <v>20</v>
      </c>
      <c r="GZ95" s="84" t="s">
        <v>276</v>
      </c>
      <c r="HA95" s="31"/>
      <c r="HB95" s="79"/>
      <c r="HC95" s="31"/>
      <c r="HD95" s="79"/>
      <c r="HE95" s="31"/>
      <c r="HF95" s="79"/>
      <c r="HG95" s="31"/>
      <c r="HH95" s="79"/>
      <c r="HY95" s="30">
        <f>HY94/25/12</f>
        <v>10.693333333333333</v>
      </c>
      <c r="IE95" s="84" t="s">
        <v>23</v>
      </c>
      <c r="IF95" s="84" t="s">
        <v>20</v>
      </c>
      <c r="IG95" s="84" t="s">
        <v>276</v>
      </c>
      <c r="IH95" s="31"/>
      <c r="IL95" s="136" t="s">
        <v>507</v>
      </c>
      <c r="IM95" s="136">
        <v>36</v>
      </c>
      <c r="IN95" s="136"/>
      <c r="JF95" s="84" t="s">
        <v>23</v>
      </c>
      <c r="JG95" s="84" t="s">
        <v>20</v>
      </c>
      <c r="JH95" s="84" t="s">
        <v>276</v>
      </c>
      <c r="JI95" s="31"/>
      <c r="JO95" s="136" t="s">
        <v>507</v>
      </c>
      <c r="JP95" s="136">
        <v>14</v>
      </c>
      <c r="JQ95" s="136">
        <f t="shared" ref="JQ95:JQ96" si="28">IM95+JP95</f>
        <v>50</v>
      </c>
      <c r="KN95" s="89" t="s">
        <v>23</v>
      </c>
      <c r="KO95" s="89" t="s">
        <v>20</v>
      </c>
      <c r="KP95" s="89" t="s">
        <v>276</v>
      </c>
      <c r="KQ95" s="31"/>
      <c r="KT95" s="136" t="s">
        <v>507</v>
      </c>
      <c r="KU95" s="136">
        <v>9</v>
      </c>
      <c r="KV95" s="136">
        <f t="shared" ref="KV95:KV96" si="29">JQ95+KU95</f>
        <v>59</v>
      </c>
      <c r="LQ95" s="84" t="s">
        <v>23</v>
      </c>
      <c r="LR95" s="84" t="s">
        <v>20</v>
      </c>
      <c r="LS95" s="84" t="s">
        <v>276</v>
      </c>
      <c r="LT95" s="31"/>
      <c r="MN95" s="30">
        <v>290820</v>
      </c>
      <c r="MP95" s="30">
        <v>296856</v>
      </c>
      <c r="MY95" s="89" t="s">
        <v>23</v>
      </c>
      <c r="MZ95" s="89" t="s">
        <v>20</v>
      </c>
      <c r="NA95" s="89" t="s">
        <v>276</v>
      </c>
      <c r="NB95" s="31"/>
      <c r="NC95" s="30" t="s">
        <v>538</v>
      </c>
      <c r="ND95" s="30">
        <v>10392</v>
      </c>
      <c r="NE95" s="30">
        <v>10579</v>
      </c>
      <c r="NF95" s="30">
        <v>9411</v>
      </c>
      <c r="NG95" s="43">
        <f t="shared" si="26"/>
        <v>1168</v>
      </c>
      <c r="NH95" s="43"/>
      <c r="NI95" s="43">
        <f t="shared" si="27"/>
        <v>10599.84</v>
      </c>
      <c r="NJ95" s="43">
        <f>NI95-NE95</f>
        <v>20.840000000000146</v>
      </c>
      <c r="NS95" s="382" t="s">
        <v>995</v>
      </c>
      <c r="NT95" s="380"/>
      <c r="NU95" s="380">
        <v>50</v>
      </c>
      <c r="NV95" s="380"/>
      <c r="NW95" s="30" t="s">
        <v>996</v>
      </c>
      <c r="NX95" s="30">
        <v>12700</v>
      </c>
      <c r="OD95" s="89" t="s">
        <v>23</v>
      </c>
      <c r="OE95" s="89" t="s">
        <v>20</v>
      </c>
      <c r="OF95" s="89" t="s">
        <v>276</v>
      </c>
      <c r="OO95" s="30">
        <f>OO94*1500</f>
        <v>0</v>
      </c>
      <c r="PJ95" s="89" t="s">
        <v>23</v>
      </c>
      <c r="PK95" s="89" t="s">
        <v>20</v>
      </c>
      <c r="PL95" s="89" t="s">
        <v>276</v>
      </c>
      <c r="PT95" s="43"/>
      <c r="PU95" s="43"/>
      <c r="PV95" s="43"/>
      <c r="PW95" s="43"/>
      <c r="PX95" s="43"/>
      <c r="PY95" s="43"/>
      <c r="QF95" s="310">
        <v>208</v>
      </c>
      <c r="QG95" s="310">
        <v>208</v>
      </c>
      <c r="QH95" s="310">
        <f>QF95-QG95</f>
        <v>0</v>
      </c>
      <c r="QP95" s="89" t="s">
        <v>23</v>
      </c>
      <c r="QQ95" s="89" t="s">
        <v>20</v>
      </c>
      <c r="QR95" s="89" t="s">
        <v>276</v>
      </c>
      <c r="RL95" s="31">
        <v>208</v>
      </c>
      <c r="RM95" s="31">
        <v>174</v>
      </c>
      <c r="RN95" s="31">
        <f>RL95-RM95</f>
        <v>34</v>
      </c>
      <c r="RO95" s="31"/>
      <c r="RP95" s="31"/>
      <c r="RU95" s="89" t="s">
        <v>23</v>
      </c>
      <c r="RV95" s="89" t="s">
        <v>20</v>
      </c>
      <c r="RW95" s="89" t="s">
        <v>276</v>
      </c>
      <c r="RZ95" s="43"/>
      <c r="TA95" s="89" t="s">
        <v>23</v>
      </c>
      <c r="TB95" s="89" t="s">
        <v>20</v>
      </c>
      <c r="TC95" s="89" t="s">
        <v>276</v>
      </c>
      <c r="UF95" s="89" t="s">
        <v>23</v>
      </c>
      <c r="UG95" s="89" t="s">
        <v>20</v>
      </c>
      <c r="UH95" s="89" t="s">
        <v>276</v>
      </c>
      <c r="VD95" s="30">
        <f>VD93/VD94</f>
        <v>223.31521739130434</v>
      </c>
      <c r="VL95" s="89" t="s">
        <v>23</v>
      </c>
      <c r="VM95" s="89" t="s">
        <v>20</v>
      </c>
      <c r="VN95" s="89" t="s">
        <v>276</v>
      </c>
      <c r="WR95" s="89" t="s">
        <v>23</v>
      </c>
      <c r="WS95" s="89" t="s">
        <v>20</v>
      </c>
      <c r="WT95" s="89" t="s">
        <v>276</v>
      </c>
      <c r="XK95" s="577">
        <f>XK94*9</f>
        <v>243</v>
      </c>
      <c r="XL95" s="577">
        <v>243</v>
      </c>
      <c r="XM95" s="577">
        <f>XK95-XL95</f>
        <v>0</v>
      </c>
      <c r="XN95" s="577">
        <v>150</v>
      </c>
      <c r="XO95" s="577">
        <f>XM95*XN95*10</f>
        <v>0</v>
      </c>
      <c r="XU95" s="89" t="s">
        <v>23</v>
      </c>
      <c r="XV95" s="89" t="s">
        <v>20</v>
      </c>
      <c r="XW95" s="89" t="s">
        <v>276</v>
      </c>
      <c r="YQ95" s="577">
        <f>YQ94*9</f>
        <v>234</v>
      </c>
      <c r="YR95" s="577">
        <v>234</v>
      </c>
      <c r="YS95" s="577">
        <f>YQ95-YR95</f>
        <v>0</v>
      </c>
      <c r="YT95" s="577">
        <v>150</v>
      </c>
      <c r="YU95" s="577">
        <f>YS95*YT95*10</f>
        <v>0</v>
      </c>
      <c r="YV95" s="43"/>
      <c r="YW95" s="43"/>
      <c r="ZA95" s="89" t="s">
        <v>23</v>
      </c>
      <c r="ZB95" s="89" t="s">
        <v>20</v>
      </c>
      <c r="ZC95" s="89" t="s">
        <v>276</v>
      </c>
      <c r="ZV95" s="577">
        <f>ZV94*9</f>
        <v>171</v>
      </c>
      <c r="ZW95" s="577">
        <v>171</v>
      </c>
      <c r="ZX95" s="577">
        <f>ZV95-ZW95</f>
        <v>0</v>
      </c>
      <c r="ZY95" s="577">
        <v>150</v>
      </c>
      <c r="ZZ95" s="577">
        <f>ZX95*ZY95*10</f>
        <v>0</v>
      </c>
      <c r="AAA95" s="43"/>
      <c r="AAF95" s="89" t="s">
        <v>23</v>
      </c>
      <c r="AAG95" s="89" t="s">
        <v>20</v>
      </c>
      <c r="AAH95" s="89" t="s">
        <v>276</v>
      </c>
      <c r="ABB95" s="577">
        <f>ABB94*9</f>
        <v>252</v>
      </c>
      <c r="ABC95" s="577">
        <v>252</v>
      </c>
      <c r="ABD95" s="577">
        <f>ABB95-ABC95</f>
        <v>0</v>
      </c>
      <c r="ABE95" s="577">
        <v>150</v>
      </c>
      <c r="ABF95" s="577">
        <f>ABD95*ABE95*10</f>
        <v>0</v>
      </c>
      <c r="ABG95" s="43"/>
      <c r="ABH95" s="43"/>
      <c r="ABI95" s="43"/>
      <c r="ABL95" s="89" t="s">
        <v>23</v>
      </c>
      <c r="ABM95" s="89" t="s">
        <v>20</v>
      </c>
      <c r="ABN95" s="89" t="s">
        <v>2001</v>
      </c>
      <c r="ABP95" s="30" t="s">
        <v>2192</v>
      </c>
      <c r="ABQ95" s="30" t="s">
        <v>2193</v>
      </c>
      <c r="ACC95" s="92"/>
      <c r="ACG95" s="577">
        <f>ACG94*9</f>
        <v>171</v>
      </c>
      <c r="ACH95" s="577">
        <v>103</v>
      </c>
      <c r="ACI95" s="577">
        <f>ACG95-ACH95</f>
        <v>68</v>
      </c>
      <c r="ACJ95" s="577">
        <v>150</v>
      </c>
      <c r="ACK95" s="577">
        <f>ACI95*ACJ95*10</f>
        <v>102000</v>
      </c>
      <c r="ACQ95" s="89" t="s">
        <v>23</v>
      </c>
      <c r="ACR95" s="89" t="s">
        <v>20</v>
      </c>
      <c r="ACS95" s="89" t="s">
        <v>2001</v>
      </c>
      <c r="ACT95" s="89" t="s">
        <v>2258</v>
      </c>
      <c r="ACU95" s="89" t="s">
        <v>20</v>
      </c>
      <c r="ACV95" s="89" t="s">
        <v>2001</v>
      </c>
      <c r="ADM95" s="577">
        <f>ADM94*9</f>
        <v>243</v>
      </c>
      <c r="ADN95" s="577">
        <v>124</v>
      </c>
      <c r="ADO95" s="577">
        <f>ADM95-ADN95</f>
        <v>119</v>
      </c>
      <c r="ADP95" s="577">
        <v>150</v>
      </c>
      <c r="ADQ95" s="577">
        <f>ADO95*ADP95*10</f>
        <v>178500</v>
      </c>
      <c r="ADW95" s="89" t="s">
        <v>23</v>
      </c>
      <c r="ADX95" s="89" t="s">
        <v>20</v>
      </c>
      <c r="ADY95" s="89" t="s">
        <v>2001</v>
      </c>
      <c r="ADZ95" s="89" t="s">
        <v>2258</v>
      </c>
      <c r="AEA95" s="89" t="s">
        <v>20</v>
      </c>
      <c r="AEB95" s="89" t="s">
        <v>2001</v>
      </c>
      <c r="AFC95" s="89" t="s">
        <v>23</v>
      </c>
      <c r="AFD95" s="89" t="s">
        <v>20</v>
      </c>
      <c r="AFE95" s="89" t="s">
        <v>2001</v>
      </c>
      <c r="AFF95" s="89" t="s">
        <v>2258</v>
      </c>
      <c r="AFG95" s="89" t="s">
        <v>20</v>
      </c>
      <c r="AFH95" s="89" t="s">
        <v>2001</v>
      </c>
      <c r="AGH95" s="89" t="s">
        <v>23</v>
      </c>
      <c r="AGI95" s="89" t="s">
        <v>20</v>
      </c>
      <c r="AGJ95" s="89" t="s">
        <v>2001</v>
      </c>
      <c r="AGK95" s="89" t="s">
        <v>2258</v>
      </c>
      <c r="AGL95" s="89" t="s">
        <v>20</v>
      </c>
      <c r="AGM95" s="89" t="s">
        <v>2001</v>
      </c>
      <c r="AGZ95" s="310"/>
      <c r="AHN95" s="89" t="s">
        <v>23</v>
      </c>
      <c r="AHO95" s="89" t="s">
        <v>20</v>
      </c>
      <c r="AHP95" s="89" t="s">
        <v>2001</v>
      </c>
      <c r="AHQ95" s="89" t="s">
        <v>2258</v>
      </c>
      <c r="AHR95" s="89" t="s">
        <v>20</v>
      </c>
      <c r="AHS95" s="89" t="s">
        <v>2001</v>
      </c>
      <c r="AIS95" s="89" t="s">
        <v>23</v>
      </c>
      <c r="AIT95" s="89" t="s">
        <v>20</v>
      </c>
      <c r="AIU95" s="89" t="s">
        <v>2001</v>
      </c>
      <c r="AIV95" s="89" t="s">
        <v>2258</v>
      </c>
      <c r="AIW95" s="89" t="s">
        <v>20</v>
      </c>
      <c r="AIX95" s="89" t="s">
        <v>2001</v>
      </c>
      <c r="AJY95" s="89" t="s">
        <v>23</v>
      </c>
      <c r="AJZ95" s="89" t="s">
        <v>20</v>
      </c>
      <c r="AKA95" s="89" t="s">
        <v>2001</v>
      </c>
      <c r="AKB95" s="89" t="s">
        <v>2258</v>
      </c>
      <c r="AKC95" s="89" t="s">
        <v>20</v>
      </c>
      <c r="AKD95" s="89" t="s">
        <v>2001</v>
      </c>
      <c r="AKQ95" s="92"/>
      <c r="ALE95" s="89" t="s">
        <v>23</v>
      </c>
      <c r="ALF95" s="89" t="s">
        <v>20</v>
      </c>
      <c r="ALG95" s="89" t="s">
        <v>2001</v>
      </c>
      <c r="ALH95" s="89" t="s">
        <v>2258</v>
      </c>
      <c r="ALI95" s="89" t="s">
        <v>20</v>
      </c>
      <c r="ALJ95" s="89" t="s">
        <v>2001</v>
      </c>
      <c r="AMH95" s="89" t="s">
        <v>23</v>
      </c>
      <c r="AMI95" s="89" t="s">
        <v>20</v>
      </c>
      <c r="AMJ95" s="89" t="s">
        <v>2001</v>
      </c>
      <c r="AMK95" s="89" t="s">
        <v>2258</v>
      </c>
      <c r="AML95" s="89" t="s">
        <v>20</v>
      </c>
      <c r="AMM95" s="89" t="s">
        <v>2001</v>
      </c>
      <c r="ANN95" s="89" t="s">
        <v>23</v>
      </c>
      <c r="ANO95" s="89" t="s">
        <v>20</v>
      </c>
      <c r="ANP95" s="89" t="s">
        <v>2001</v>
      </c>
      <c r="ANQ95" s="89" t="s">
        <v>2258</v>
      </c>
      <c r="ANR95" s="89" t="s">
        <v>20</v>
      </c>
      <c r="ANS95" s="89" t="s">
        <v>2001</v>
      </c>
    </row>
    <row r="96" spans="2:1583" ht="21" customHeight="1" x14ac:dyDescent="0.3"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45"/>
      <c r="BK96" s="45"/>
      <c r="BL96" s="45"/>
      <c r="BM96" s="45"/>
      <c r="BN96" s="31"/>
      <c r="CF96" s="43"/>
      <c r="CG96" s="43"/>
      <c r="CK96" s="43"/>
      <c r="CL96" s="43"/>
      <c r="CM96" s="43"/>
      <c r="CN96" s="43"/>
      <c r="CO96" s="43"/>
      <c r="CP96" s="43"/>
      <c r="CQ96" s="43"/>
      <c r="DC96" s="56" t="s">
        <v>139</v>
      </c>
      <c r="DD96" s="56">
        <v>70333</v>
      </c>
      <c r="DE96" s="56">
        <v>1</v>
      </c>
      <c r="DI96" s="43"/>
      <c r="DJ96" s="43"/>
      <c r="ED96" s="43"/>
      <c r="EE96" s="43"/>
      <c r="EF96" s="43"/>
      <c r="EG96" s="43"/>
      <c r="EH96" s="43"/>
      <c r="EI96" s="43"/>
      <c r="EJ96" s="56" t="s">
        <v>139</v>
      </c>
      <c r="EK96" s="56">
        <v>4370</v>
      </c>
      <c r="EL96" s="56"/>
      <c r="EZ96" s="43"/>
      <c r="FA96" s="43"/>
      <c r="FB96" s="43"/>
      <c r="FR96" s="56" t="s">
        <v>139</v>
      </c>
      <c r="FS96" s="56">
        <v>6140</v>
      </c>
      <c r="FT96" s="56"/>
      <c r="FU96" s="69"/>
      <c r="GC96" s="78"/>
      <c r="GF96" s="78"/>
      <c r="GG96" s="78"/>
      <c r="GX96" s="85" t="s">
        <v>374</v>
      </c>
      <c r="GY96" s="85">
        <v>111200</v>
      </c>
      <c r="GZ96" s="85"/>
      <c r="HA96" s="70"/>
      <c r="HC96" s="70"/>
      <c r="HE96" s="70"/>
      <c r="IE96" s="85" t="s">
        <v>374</v>
      </c>
      <c r="IF96" s="85">
        <f>153682+1200</f>
        <v>154882</v>
      </c>
      <c r="IG96" s="85"/>
      <c r="IH96" s="85">
        <v>146373</v>
      </c>
      <c r="IL96" s="136" t="s">
        <v>508</v>
      </c>
      <c r="IM96" s="136">
        <v>13</v>
      </c>
      <c r="IN96" s="136"/>
      <c r="JF96" s="85" t="s">
        <v>140</v>
      </c>
      <c r="JG96" s="85">
        <v>344481</v>
      </c>
      <c r="JH96" s="85"/>
      <c r="JI96" s="70"/>
      <c r="JO96" s="136" t="s">
        <v>508</v>
      </c>
      <c r="JP96" s="136">
        <v>37</v>
      </c>
      <c r="JQ96" s="136">
        <f t="shared" si="28"/>
        <v>50</v>
      </c>
      <c r="KN96" s="89" t="s">
        <v>140</v>
      </c>
      <c r="KO96" s="89">
        <v>307940</v>
      </c>
      <c r="KP96" s="89"/>
      <c r="KQ96" s="70"/>
      <c r="KT96" s="136" t="s">
        <v>508</v>
      </c>
      <c r="KU96" s="136">
        <v>24</v>
      </c>
      <c r="KV96" s="136">
        <f t="shared" si="29"/>
        <v>74</v>
      </c>
      <c r="LQ96" s="85" t="s">
        <v>374</v>
      </c>
      <c r="LR96" s="85">
        <v>201190</v>
      </c>
      <c r="LS96" s="85"/>
      <c r="LT96" s="70"/>
      <c r="MN96" s="30">
        <f>MN94-MN95</f>
        <v>557180</v>
      </c>
      <c r="MP96" s="30">
        <f>MP94-MP95</f>
        <v>809097</v>
      </c>
      <c r="MY96" s="85" t="s">
        <v>374</v>
      </c>
      <c r="MZ96" s="85">
        <v>255925</v>
      </c>
      <c r="NA96" s="85"/>
      <c r="NB96" s="70"/>
      <c r="NC96" s="30" t="s">
        <v>537</v>
      </c>
      <c r="ND96" s="30">
        <v>13596</v>
      </c>
      <c r="NE96" s="30">
        <v>12519</v>
      </c>
      <c r="NF96" s="30">
        <v>11128</v>
      </c>
      <c r="NG96" s="43">
        <f t="shared" si="26"/>
        <v>1391</v>
      </c>
      <c r="NH96" s="43"/>
      <c r="NI96" s="43">
        <f t="shared" si="27"/>
        <v>13867.92</v>
      </c>
      <c r="NJ96" s="43">
        <f>NI96-NE96</f>
        <v>1348.92</v>
      </c>
      <c r="NK96" s="285">
        <v>43965</v>
      </c>
      <c r="NS96" s="380">
        <v>50</v>
      </c>
      <c r="NT96" s="380"/>
      <c r="NU96" s="380"/>
      <c r="NV96" s="380"/>
      <c r="OD96" s="85" t="s">
        <v>374</v>
      </c>
      <c r="OE96" s="85">
        <v>251562</v>
      </c>
      <c r="OF96" s="85"/>
      <c r="OH96" s="30">
        <v>249545</v>
      </c>
      <c r="OI96" s="30">
        <f>OH96-OE96</f>
        <v>-2017</v>
      </c>
      <c r="PJ96" s="85" t="s">
        <v>374</v>
      </c>
      <c r="PK96" s="85">
        <v>65250</v>
      </c>
      <c r="PL96" s="85"/>
      <c r="QF96" s="310">
        <v>104</v>
      </c>
      <c r="QG96" s="310">
        <v>104</v>
      </c>
      <c r="QH96" s="310">
        <f>(QF96-QG96)/2</f>
        <v>0</v>
      </c>
      <c r="QP96" s="85" t="s">
        <v>374</v>
      </c>
      <c r="QQ96" s="85">
        <v>126990</v>
      </c>
      <c r="QR96" s="85"/>
      <c r="RL96" s="31">
        <v>104</v>
      </c>
      <c r="RM96" s="31">
        <v>54</v>
      </c>
      <c r="RN96" s="31">
        <f>(RL96-RM96)/2</f>
        <v>25</v>
      </c>
      <c r="RO96" s="31"/>
      <c r="RP96" s="31">
        <f>260*167*10*10</f>
        <v>4342000</v>
      </c>
      <c r="RU96" s="85" t="s">
        <v>374</v>
      </c>
      <c r="RV96" s="85">
        <v>251985</v>
      </c>
      <c r="RW96" s="85"/>
      <c r="TA96" s="85" t="s">
        <v>374</v>
      </c>
      <c r="TB96" s="85">
        <v>261965</v>
      </c>
      <c r="TC96" s="85"/>
      <c r="UF96" s="85" t="s">
        <v>374</v>
      </c>
      <c r="UG96" s="85">
        <v>161319</v>
      </c>
      <c r="UH96" s="85"/>
      <c r="VL96" s="85" t="s">
        <v>374</v>
      </c>
      <c r="VM96" s="85">
        <v>135740</v>
      </c>
      <c r="VN96" s="85">
        <v>15740</v>
      </c>
      <c r="VP96" s="30">
        <v>40800</v>
      </c>
      <c r="VR96" s="85">
        <f>170575-5000</f>
        <v>165575</v>
      </c>
      <c r="WR96" s="85" t="s">
        <v>374</v>
      </c>
      <c r="WS96" s="85">
        <v>106100</v>
      </c>
      <c r="WT96" s="85"/>
      <c r="WV96" s="30">
        <v>18700</v>
      </c>
      <c r="WW96" s="30">
        <v>102400</v>
      </c>
      <c r="WX96" s="30">
        <f>SUM(WV96:WW96)</f>
        <v>121100</v>
      </c>
      <c r="XK96" s="577">
        <f>XK94*4</f>
        <v>108</v>
      </c>
      <c r="XL96" s="577">
        <v>108</v>
      </c>
      <c r="XM96" s="577">
        <f>XK96-XL96</f>
        <v>0</v>
      </c>
      <c r="XN96" s="577">
        <v>85</v>
      </c>
      <c r="XO96" s="577">
        <f>XM96*XN96*10</f>
        <v>0</v>
      </c>
      <c r="XU96" s="85" t="s">
        <v>374</v>
      </c>
      <c r="XV96" s="85">
        <f>179408-1803</f>
        <v>177605</v>
      </c>
      <c r="XW96" s="85"/>
      <c r="YQ96" s="577">
        <f>YQ94*4</f>
        <v>104</v>
      </c>
      <c r="YR96" s="577">
        <v>104</v>
      </c>
      <c r="YS96" s="577">
        <f>YQ96-YR96</f>
        <v>0</v>
      </c>
      <c r="YT96" s="577">
        <v>85</v>
      </c>
      <c r="YU96" s="577">
        <f>YS96*YT96*10</f>
        <v>0</v>
      </c>
      <c r="YV96" s="43"/>
      <c r="YW96" s="43"/>
      <c r="ZA96" s="85" t="s">
        <v>374</v>
      </c>
      <c r="ZB96" s="85">
        <v>163110</v>
      </c>
      <c r="ZC96" s="85"/>
      <c r="ZV96" s="577">
        <f>ZV94*4</f>
        <v>76</v>
      </c>
      <c r="ZW96" s="577">
        <v>76</v>
      </c>
      <c r="ZX96" s="577">
        <f>ZV96-ZW96</f>
        <v>0</v>
      </c>
      <c r="ZY96" s="577">
        <v>85</v>
      </c>
      <c r="ZZ96" s="577">
        <f>ZX96*ZY96*10</f>
        <v>0</v>
      </c>
      <c r="AAA96" s="43"/>
      <c r="AAF96" s="85" t="s">
        <v>374</v>
      </c>
      <c r="AAG96" s="85">
        <v>139130</v>
      </c>
      <c r="AAH96" s="85"/>
      <c r="ABB96" s="577">
        <f>ABB94*4</f>
        <v>112</v>
      </c>
      <c r="ABC96" s="577">
        <v>112</v>
      </c>
      <c r="ABD96" s="577">
        <f>ABB96-ABC96</f>
        <v>0</v>
      </c>
      <c r="ABE96" s="577">
        <v>85</v>
      </c>
      <c r="ABF96" s="577">
        <f>ABD96*ABE96*10</f>
        <v>0</v>
      </c>
      <c r="ABG96" s="43"/>
      <c r="ABH96" s="43"/>
      <c r="ABI96" s="43"/>
      <c r="ABL96" s="85" t="s">
        <v>374</v>
      </c>
      <c r="ABM96" s="85">
        <v>203640</v>
      </c>
      <c r="ABN96" s="85"/>
      <c r="ABP96" s="30">
        <v>48795</v>
      </c>
      <c r="ABQ96" s="30">
        <v>12400</v>
      </c>
      <c r="ACC96" s="92"/>
      <c r="ACG96" s="577">
        <f>ACG94*4</f>
        <v>76</v>
      </c>
      <c r="ACH96" s="577">
        <v>76</v>
      </c>
      <c r="ACI96" s="577">
        <f>ACG96-ACH96</f>
        <v>0</v>
      </c>
      <c r="ACJ96" s="577">
        <v>85</v>
      </c>
      <c r="ACK96" s="577">
        <f>ACI96*ACJ96*10</f>
        <v>0</v>
      </c>
      <c r="ACQ96" s="85" t="s">
        <v>2248</v>
      </c>
      <c r="ACR96" s="85">
        <v>4770</v>
      </c>
      <c r="ACS96" s="85"/>
      <c r="ACT96" s="20"/>
      <c r="ACU96" s="20"/>
      <c r="ACV96" s="20"/>
      <c r="ADM96" s="577">
        <f>ADM94*4</f>
        <v>108</v>
      </c>
      <c r="ADN96" s="577">
        <v>87</v>
      </c>
      <c r="ADO96" s="577">
        <f>ADM96-ADN96</f>
        <v>21</v>
      </c>
      <c r="ADP96" s="577">
        <v>85</v>
      </c>
      <c r="ADQ96" s="577">
        <f>ADO96*ADP96*10</f>
        <v>17850</v>
      </c>
      <c r="ADW96" s="85" t="s">
        <v>2248</v>
      </c>
      <c r="ADX96" s="85">
        <v>900</v>
      </c>
      <c r="ADY96" s="85"/>
      <c r="ADZ96" s="20"/>
      <c r="AEA96" s="20"/>
      <c r="AEB96" s="20"/>
      <c r="AFC96" s="85" t="s">
        <v>2248</v>
      </c>
      <c r="AFD96" s="85">
        <v>28800</v>
      </c>
      <c r="AFE96" s="85"/>
      <c r="AFF96" s="20"/>
      <c r="AFG96" s="20"/>
      <c r="AFH96" s="20"/>
      <c r="AGH96" s="85" t="s">
        <v>2248</v>
      </c>
      <c r="AGI96" s="85">
        <v>31200</v>
      </c>
      <c r="AGJ96" s="85"/>
      <c r="AGK96" s="20"/>
      <c r="AGL96" s="20"/>
      <c r="AGM96" s="20"/>
      <c r="AGZ96" s="310"/>
      <c r="AHN96" s="85" t="s">
        <v>2248</v>
      </c>
      <c r="AHO96" s="85">
        <v>37200</v>
      </c>
      <c r="AHP96" s="85"/>
      <c r="AHQ96" s="20"/>
      <c r="AHR96" s="20"/>
      <c r="AHS96" s="20"/>
      <c r="AIS96" s="85" t="s">
        <v>2248</v>
      </c>
      <c r="AIT96" s="85">
        <v>26400</v>
      </c>
      <c r="AIU96" s="85"/>
      <c r="AIV96" s="20"/>
      <c r="AIW96" s="20"/>
      <c r="AIX96" s="20"/>
      <c r="AJY96" s="85" t="s">
        <v>2248</v>
      </c>
      <c r="AJZ96" s="85">
        <v>100</v>
      </c>
      <c r="AKA96" s="85"/>
      <c r="AKB96" s="20"/>
      <c r="AKC96" s="20"/>
      <c r="AKD96" s="20"/>
      <c r="AKQ96" s="92"/>
      <c r="ALE96" s="85" t="s">
        <v>2248</v>
      </c>
      <c r="ALF96" s="85">
        <v>100</v>
      </c>
      <c r="ALG96" s="85"/>
      <c r="ALH96" s="20"/>
      <c r="ALI96" s="20"/>
      <c r="ALJ96" s="20"/>
      <c r="AMH96" s="85" t="s">
        <v>2248</v>
      </c>
      <c r="AMI96" s="85">
        <v>100</v>
      </c>
      <c r="AMJ96" s="85"/>
      <c r="AMK96" s="20"/>
      <c r="AML96" s="20"/>
      <c r="AMM96" s="20"/>
      <c r="ANN96" s="85" t="s">
        <v>2248</v>
      </c>
      <c r="ANO96" s="85">
        <v>100</v>
      </c>
      <c r="ANP96" s="85"/>
      <c r="ANQ96" s="20"/>
      <c r="ANR96" s="20"/>
      <c r="ANS96" s="20"/>
    </row>
    <row r="97" spans="52:1059" ht="21" customHeight="1" x14ac:dyDescent="0.3"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45"/>
      <c r="BK97" s="45"/>
      <c r="BL97" s="45"/>
      <c r="BM97" s="45"/>
      <c r="BN97" s="31"/>
      <c r="DC97" s="56" t="s">
        <v>141</v>
      </c>
      <c r="DD97" s="56">
        <v>3850</v>
      </c>
      <c r="DE97" s="56">
        <v>2</v>
      </c>
      <c r="DI97" s="43"/>
      <c r="DJ97" s="43"/>
      <c r="EF97" s="43"/>
      <c r="EG97" s="43"/>
      <c r="EH97" s="43"/>
      <c r="EI97" s="43"/>
      <c r="EJ97" s="56" t="s">
        <v>141</v>
      </c>
      <c r="EK97" s="56">
        <v>3400</v>
      </c>
      <c r="EL97" s="56">
        <v>1</v>
      </c>
      <c r="EP97" s="43"/>
      <c r="EQ97" s="43"/>
      <c r="FR97" s="56" t="s">
        <v>141</v>
      </c>
      <c r="FS97" s="56"/>
      <c r="FT97" s="56"/>
      <c r="FU97" s="69"/>
      <c r="GX97" s="85" t="s">
        <v>139</v>
      </c>
      <c r="GY97" s="85">
        <f>50375+1550</f>
        <v>51925</v>
      </c>
      <c r="GZ97" s="85"/>
      <c r="IE97" s="85" t="s">
        <v>139</v>
      </c>
      <c r="IF97" s="85">
        <v>131289</v>
      </c>
      <c r="IG97" s="85"/>
      <c r="IH97" s="85">
        <v>125061</v>
      </c>
      <c r="JF97" s="85" t="s">
        <v>139</v>
      </c>
      <c r="JG97" s="85">
        <v>83300</v>
      </c>
      <c r="JH97" s="85"/>
      <c r="JI97" s="69"/>
      <c r="KN97" s="89" t="s">
        <v>139</v>
      </c>
      <c r="KO97" s="89">
        <v>34540</v>
      </c>
      <c r="KP97" s="89"/>
      <c r="KQ97" s="70"/>
      <c r="LQ97" s="85" t="s">
        <v>139</v>
      </c>
      <c r="LR97" s="85">
        <v>7800</v>
      </c>
      <c r="LS97" s="85"/>
      <c r="LT97" s="69"/>
      <c r="MN97" s="30">
        <v>6050</v>
      </c>
      <c r="MY97" s="85" t="s">
        <v>139</v>
      </c>
      <c r="MZ97" s="85">
        <f>61850+44000</f>
        <v>105850</v>
      </c>
      <c r="NA97" s="85"/>
      <c r="NB97" s="69"/>
      <c r="OD97" s="85" t="s">
        <v>139</v>
      </c>
      <c r="OE97" s="85">
        <v>138031</v>
      </c>
      <c r="OF97" s="85"/>
      <c r="OH97" s="30">
        <v>135485</v>
      </c>
      <c r="OI97" s="30">
        <f t="shared" ref="OI97:OI102" si="30">OH97-OE97</f>
        <v>-2546</v>
      </c>
      <c r="PJ97" s="85" t="s">
        <v>139</v>
      </c>
      <c r="PK97" s="85">
        <v>115265</v>
      </c>
      <c r="PL97" s="85"/>
      <c r="QF97" s="310"/>
      <c r="QG97" s="310"/>
      <c r="QH97" s="310">
        <f>QH95+QH96</f>
        <v>0</v>
      </c>
      <c r="QP97" s="85" t="s">
        <v>139</v>
      </c>
      <c r="QQ97" s="85">
        <v>57600</v>
      </c>
      <c r="QR97" s="85"/>
      <c r="RL97" s="31"/>
      <c r="RM97" s="31"/>
      <c r="RN97" s="31">
        <f>RN95+RN96</f>
        <v>59</v>
      </c>
      <c r="RO97" s="31"/>
      <c r="RP97" s="31"/>
      <c r="RU97" s="85" t="s">
        <v>139</v>
      </c>
      <c r="RV97" s="85">
        <v>113220</v>
      </c>
      <c r="RW97" s="85"/>
      <c r="RX97" s="30">
        <v>103320</v>
      </c>
      <c r="RY97" s="30">
        <v>9900</v>
      </c>
      <c r="TA97" s="85" t="s">
        <v>139</v>
      </c>
      <c r="TB97" s="85">
        <v>2400</v>
      </c>
      <c r="TC97" s="85"/>
      <c r="UF97" s="85" t="s">
        <v>139</v>
      </c>
      <c r="UG97" s="85">
        <v>26400</v>
      </c>
      <c r="UH97" s="85"/>
      <c r="UI97" s="30">
        <v>24000</v>
      </c>
      <c r="UJ97" s="30">
        <v>6300</v>
      </c>
      <c r="VL97" s="85" t="s">
        <v>139</v>
      </c>
      <c r="VM97" s="85">
        <v>112150</v>
      </c>
      <c r="VN97" s="85"/>
      <c r="VP97" s="30">
        <v>71350</v>
      </c>
      <c r="VR97" s="85">
        <f>118750-20000</f>
        <v>98750</v>
      </c>
      <c r="WR97" s="85" t="s">
        <v>139</v>
      </c>
      <c r="WS97" s="85">
        <v>205830</v>
      </c>
      <c r="WT97" s="85"/>
      <c r="WV97" s="30">
        <f>167729-6500</f>
        <v>161229</v>
      </c>
      <c r="WW97" s="30">
        <v>44601</v>
      </c>
      <c r="WX97" s="30">
        <f>SUM(WV97:WW97)</f>
        <v>205830</v>
      </c>
      <c r="XK97" s="577"/>
      <c r="XL97" s="577"/>
      <c r="XM97" s="577"/>
      <c r="XN97" s="577"/>
      <c r="XO97" s="577">
        <f>SUM(XO94:XO96)</f>
        <v>575110</v>
      </c>
      <c r="XU97" s="85" t="s">
        <v>139</v>
      </c>
      <c r="XV97" s="85">
        <f>298931-1490</f>
        <v>297441</v>
      </c>
      <c r="XW97" s="85"/>
      <c r="XY97" s="30">
        <v>122595</v>
      </c>
      <c r="XZ97" s="30">
        <v>111425</v>
      </c>
      <c r="YQ97" s="577"/>
      <c r="YR97" s="577"/>
      <c r="YS97" s="577"/>
      <c r="YT97" s="577"/>
      <c r="YU97" s="577">
        <f>SUM(YU94:YU96)</f>
        <v>466275</v>
      </c>
      <c r="YV97" s="43"/>
      <c r="YW97" s="43"/>
      <c r="ZA97" s="85" t="s">
        <v>139</v>
      </c>
      <c r="ZB97" s="85">
        <v>154525</v>
      </c>
      <c r="ZC97" s="85"/>
      <c r="ZE97" s="30">
        <v>140445</v>
      </c>
      <c r="ZF97" s="30">
        <v>51290</v>
      </c>
      <c r="ZV97" s="577"/>
      <c r="ZW97" s="577"/>
      <c r="ZX97" s="577"/>
      <c r="ZY97" s="577"/>
      <c r="ZZ97" s="577">
        <f>SUM(ZZ94:ZZ96)</f>
        <v>389355</v>
      </c>
      <c r="AAA97" s="43"/>
      <c r="AAF97" s="85" t="s">
        <v>139</v>
      </c>
      <c r="AAG97" s="85">
        <v>170435</v>
      </c>
      <c r="AAH97" s="85"/>
      <c r="AAJ97" s="30">
        <v>142680</v>
      </c>
      <c r="AAK97" s="30">
        <v>18835</v>
      </c>
      <c r="ABB97" s="577"/>
      <c r="ABC97" s="577"/>
      <c r="ABD97" s="577"/>
      <c r="ABE97" s="577"/>
      <c r="ABF97" s="577">
        <f>SUM(ABF94:ABF96)</f>
        <v>597055</v>
      </c>
      <c r="ABG97" s="43"/>
      <c r="ABH97" s="43"/>
      <c r="ABI97" s="43"/>
      <c r="ABL97" s="85" t="s">
        <v>139</v>
      </c>
      <c r="ABM97" s="85">
        <v>200375</v>
      </c>
      <c r="ABN97" s="85"/>
      <c r="ABP97" s="30">
        <v>118870</v>
      </c>
      <c r="ABQ97" s="30">
        <v>20310</v>
      </c>
      <c r="ACC97" s="92"/>
      <c r="ACG97" s="577"/>
      <c r="ACH97" s="577"/>
      <c r="ACI97" s="577"/>
      <c r="ACJ97" s="577"/>
      <c r="ACK97" s="577">
        <f>SUM(ACK94:ACK96)</f>
        <v>131980</v>
      </c>
      <c r="ACQ97" s="85" t="s">
        <v>2249</v>
      </c>
      <c r="ACR97" s="85">
        <v>93775</v>
      </c>
      <c r="ACS97" s="85"/>
      <c r="ACT97" s="20" t="s">
        <v>374</v>
      </c>
      <c r="ACU97" s="9">
        <f>ACR96+ACR97</f>
        <v>98545</v>
      </c>
      <c r="ACV97" s="9"/>
      <c r="ADM97" s="577"/>
      <c r="ADN97" s="577"/>
      <c r="ADO97" s="577"/>
      <c r="ADP97" s="577"/>
      <c r="ADQ97" s="577">
        <f>SUM(ADQ94:ADQ96)</f>
        <v>246795</v>
      </c>
      <c r="ADW97" s="85" t="s">
        <v>2249</v>
      </c>
      <c r="ADX97" s="85">
        <v>133450</v>
      </c>
      <c r="ADY97" s="85"/>
      <c r="ADZ97" s="20" t="s">
        <v>374</v>
      </c>
      <c r="AEA97" s="9">
        <f>ADX96+ADX97</f>
        <v>134350</v>
      </c>
      <c r="AEB97" s="9"/>
      <c r="AFC97" s="85" t="s">
        <v>2249</v>
      </c>
      <c r="AFD97" s="85">
        <v>93150</v>
      </c>
      <c r="AFE97" s="85"/>
      <c r="AFF97" s="20" t="s">
        <v>374</v>
      </c>
      <c r="AFG97" s="9">
        <f>AFD96+AFD97</f>
        <v>121950</v>
      </c>
      <c r="AFH97" s="9"/>
      <c r="AGH97" s="85" t="s">
        <v>2249</v>
      </c>
      <c r="AGI97" s="85">
        <v>114650</v>
      </c>
      <c r="AGJ97" s="85"/>
      <c r="AGK97" s="20" t="s">
        <v>374</v>
      </c>
      <c r="AGL97" s="9">
        <f>AGI96+AGI97</f>
        <v>145850</v>
      </c>
      <c r="AGM97" s="9"/>
      <c r="AGZ97" s="310"/>
      <c r="AHN97" s="85" t="s">
        <v>2249</v>
      </c>
      <c r="AHO97" s="85">
        <v>113150</v>
      </c>
      <c r="AHP97" s="85"/>
      <c r="AHQ97" s="20" t="s">
        <v>374</v>
      </c>
      <c r="AHR97" s="9">
        <f>AHO96+AHO97</f>
        <v>150350</v>
      </c>
      <c r="AHS97" s="9"/>
      <c r="AIS97" s="85" t="s">
        <v>2249</v>
      </c>
      <c r="AIT97" s="85">
        <v>134500</v>
      </c>
      <c r="AIU97" s="85"/>
      <c r="AIV97" s="20" t="s">
        <v>374</v>
      </c>
      <c r="AIW97" s="9">
        <f>AIT96+AIT97</f>
        <v>160900</v>
      </c>
      <c r="AIX97" s="9"/>
      <c r="AJY97" s="85" t="s">
        <v>2249</v>
      </c>
      <c r="AJZ97" s="85"/>
      <c r="AKA97" s="85"/>
      <c r="AKB97" s="20" t="s">
        <v>374</v>
      </c>
      <c r="AKC97" s="9">
        <f>AJZ96+AJZ97</f>
        <v>100</v>
      </c>
      <c r="AKD97" s="9"/>
      <c r="AKQ97" s="92"/>
      <c r="ALE97" s="85" t="s">
        <v>2249</v>
      </c>
      <c r="ALF97" s="85"/>
      <c r="ALG97" s="85"/>
      <c r="ALH97" s="20" t="s">
        <v>374</v>
      </c>
      <c r="ALI97" s="9">
        <f>ALF96+ALF97</f>
        <v>100</v>
      </c>
      <c r="ALJ97" s="9"/>
      <c r="AMH97" s="85" t="s">
        <v>2249</v>
      </c>
      <c r="AMI97" s="85"/>
      <c r="AMJ97" s="85"/>
      <c r="AMK97" s="20" t="s">
        <v>374</v>
      </c>
      <c r="AML97" s="9">
        <f>AMI96+AMI97</f>
        <v>100</v>
      </c>
      <c r="AMM97" s="9"/>
      <c r="ANN97" s="85" t="s">
        <v>2249</v>
      </c>
      <c r="ANO97" s="85"/>
      <c r="ANP97" s="85"/>
      <c r="ANQ97" s="20" t="s">
        <v>374</v>
      </c>
      <c r="ANR97" s="9">
        <f>ANO96+ANO97</f>
        <v>100</v>
      </c>
      <c r="ANS97" s="9"/>
    </row>
    <row r="98" spans="52:1059" ht="21" customHeight="1" x14ac:dyDescent="0.3"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45"/>
      <c r="BK98" s="45"/>
      <c r="BL98" s="45"/>
      <c r="BM98" s="45"/>
      <c r="BN98" s="31"/>
      <c r="CL98" s="43"/>
      <c r="CM98" s="43"/>
      <c r="CN98" s="43"/>
      <c r="CO98" s="43"/>
      <c r="CP98" s="43"/>
      <c r="DC98" s="56" t="s">
        <v>182</v>
      </c>
      <c r="DD98" s="56">
        <v>21660</v>
      </c>
      <c r="DE98" s="56">
        <v>7</v>
      </c>
      <c r="DI98" s="43"/>
      <c r="DJ98" s="43"/>
      <c r="ED98" s="43"/>
      <c r="EE98" s="43"/>
      <c r="EF98" s="43"/>
      <c r="EG98" s="43"/>
      <c r="EH98" s="43"/>
      <c r="EI98" s="43"/>
      <c r="EJ98" s="56" t="s">
        <v>182</v>
      </c>
      <c r="EK98" s="56">
        <v>71642</v>
      </c>
      <c r="EL98" s="56">
        <v>27</v>
      </c>
      <c r="EP98" s="43"/>
      <c r="EQ98" s="43"/>
      <c r="ER98" s="43"/>
      <c r="ES98" s="43"/>
      <c r="ET98" s="43"/>
      <c r="EU98" s="43"/>
      <c r="EV98" s="43"/>
      <c r="FR98" s="56" t="s">
        <v>182</v>
      </c>
      <c r="FS98" s="56">
        <v>122920</v>
      </c>
      <c r="FT98" s="56"/>
      <c r="FU98" s="69"/>
      <c r="FW98" s="78"/>
      <c r="GF98" s="78"/>
      <c r="GG98" s="78"/>
      <c r="GH98" s="78"/>
      <c r="GI98" s="78"/>
      <c r="GJ98" s="78"/>
      <c r="GK98" s="78"/>
      <c r="GL98" s="78"/>
      <c r="GX98" s="85" t="s">
        <v>141</v>
      </c>
      <c r="GY98" s="85"/>
      <c r="GZ98" s="85"/>
      <c r="HA98" s="69"/>
      <c r="HC98" s="69"/>
      <c r="HE98" s="69"/>
      <c r="IE98" s="85" t="s">
        <v>141</v>
      </c>
      <c r="IF98" s="85"/>
      <c r="IG98" s="85"/>
      <c r="IH98" s="70"/>
      <c r="JF98" s="85" t="s">
        <v>141</v>
      </c>
      <c r="JG98" s="85"/>
      <c r="JH98" s="85"/>
      <c r="JI98" s="69"/>
      <c r="KN98" s="89" t="s">
        <v>141</v>
      </c>
      <c r="KO98" s="89"/>
      <c r="KP98" s="89"/>
      <c r="KQ98" s="69"/>
      <c r="LQ98" s="85" t="s">
        <v>141</v>
      </c>
      <c r="LR98" s="85"/>
      <c r="LS98" s="85"/>
      <c r="LT98" s="69"/>
      <c r="MN98" s="30">
        <v>45415</v>
      </c>
      <c r="MY98" s="85" t="s">
        <v>141</v>
      </c>
      <c r="MZ98" s="85"/>
      <c r="NA98" s="85"/>
      <c r="NB98" s="69"/>
      <c r="OD98" s="85" t="s">
        <v>141</v>
      </c>
      <c r="OE98" s="85"/>
      <c r="OF98" s="85"/>
      <c r="OI98" s="30">
        <f t="shared" si="30"/>
        <v>0</v>
      </c>
      <c r="PJ98" s="85" t="s">
        <v>141</v>
      </c>
      <c r="PK98" s="85">
        <v>1250</v>
      </c>
      <c r="PL98" s="85"/>
      <c r="QF98" s="310"/>
      <c r="QG98" s="310"/>
      <c r="QH98" s="310">
        <f>QH97*1768</f>
        <v>0</v>
      </c>
      <c r="QP98" s="85" t="s">
        <v>141</v>
      </c>
      <c r="QQ98" s="85"/>
      <c r="QR98" s="85"/>
      <c r="RL98" s="31"/>
      <c r="RM98" s="31"/>
      <c r="RN98" s="31">
        <f>RN97*1768</f>
        <v>104312</v>
      </c>
      <c r="RO98" s="31"/>
      <c r="RP98" s="31"/>
      <c r="RU98" s="85" t="s">
        <v>141</v>
      </c>
      <c r="RV98" s="85"/>
      <c r="RW98" s="85"/>
      <c r="TA98" s="85" t="s">
        <v>141</v>
      </c>
      <c r="TB98" s="85"/>
      <c r="TC98" s="85"/>
      <c r="UF98" s="85" t="s">
        <v>141</v>
      </c>
      <c r="UG98" s="85"/>
      <c r="UH98" s="85"/>
      <c r="VL98" s="85" t="s">
        <v>141</v>
      </c>
      <c r="VM98" s="85">
        <v>20800</v>
      </c>
      <c r="VN98" s="85"/>
      <c r="VR98" s="85">
        <v>20000</v>
      </c>
      <c r="WR98" s="85" t="s">
        <v>141</v>
      </c>
      <c r="WS98" s="85"/>
      <c r="WT98" s="85"/>
      <c r="XK98" s="577"/>
      <c r="XL98" s="577"/>
      <c r="XM98" s="577"/>
      <c r="XN98" s="577"/>
      <c r="XO98" s="577">
        <f>XO97/XK94/11/10</f>
        <v>193.63973063973063</v>
      </c>
      <c r="XU98" s="85" t="s">
        <v>141</v>
      </c>
      <c r="XV98" s="85"/>
      <c r="XW98" s="85"/>
      <c r="YQ98" s="577"/>
      <c r="YR98" s="577"/>
      <c r="YS98" s="577"/>
      <c r="YT98" s="577"/>
      <c r="YU98" s="577">
        <f>YU97/YQ94/11/10</f>
        <v>163.0332167832168</v>
      </c>
      <c r="YV98" s="43"/>
      <c r="YW98" s="43"/>
      <c r="ZA98" s="85" t="s">
        <v>141</v>
      </c>
      <c r="ZB98" s="85"/>
      <c r="ZC98" s="85"/>
      <c r="ZE98" s="30">
        <v>62580</v>
      </c>
      <c r="ZV98" s="577"/>
      <c r="ZW98" s="577"/>
      <c r="ZX98" s="577"/>
      <c r="ZY98" s="577"/>
      <c r="ZZ98" s="577">
        <f>ZZ97/ZV94/11/10</f>
        <v>186.29425837320574</v>
      </c>
      <c r="AAA98" s="43"/>
      <c r="AAF98" s="85" t="s">
        <v>141</v>
      </c>
      <c r="AAG98" s="85"/>
      <c r="AAH98" s="85"/>
      <c r="AAJ98" s="30">
        <v>18835</v>
      </c>
      <c r="ABB98" s="577"/>
      <c r="ABC98" s="577"/>
      <c r="ABD98" s="577"/>
      <c r="ABE98" s="577"/>
      <c r="ABF98" s="577">
        <f>ABF97/ABB94/11/10</f>
        <v>193.84902597402601</v>
      </c>
      <c r="ABG98" s="43"/>
      <c r="ABH98" s="43"/>
      <c r="ABI98" s="43"/>
      <c r="ABL98" s="85" t="s">
        <v>141</v>
      </c>
      <c r="ABM98" s="85"/>
      <c r="ABN98" s="85"/>
      <c r="ACC98" s="92"/>
      <c r="ACG98" s="577"/>
      <c r="ACH98" s="577"/>
      <c r="ACI98" s="577"/>
      <c r="ACJ98" s="577"/>
      <c r="ACK98" s="577">
        <f>ACK97/ACG94/11/10</f>
        <v>63.148325358851672</v>
      </c>
      <c r="ACQ98" s="85" t="s">
        <v>2250</v>
      </c>
      <c r="ACR98" s="85">
        <f>141825+5225</f>
        <v>147050</v>
      </c>
      <c r="ACS98" s="85"/>
      <c r="ACT98" s="20"/>
      <c r="ACU98" s="20"/>
      <c r="ACV98" s="20"/>
      <c r="ADM98" s="577"/>
      <c r="ADN98" s="577"/>
      <c r="ADO98" s="577"/>
      <c r="ADP98" s="577"/>
      <c r="ADQ98" s="577">
        <f>ADQ97/ADM94/11/10</f>
        <v>83.095959595959584</v>
      </c>
      <c r="ADW98" s="85" t="s">
        <v>2250</v>
      </c>
      <c r="ADX98" s="85">
        <v>140325</v>
      </c>
      <c r="ADY98" s="85"/>
      <c r="ADZ98" s="20"/>
      <c r="AEA98" s="20"/>
      <c r="AEB98" s="20"/>
      <c r="AFC98" s="85" t="s">
        <v>2250</v>
      </c>
      <c r="AFD98" s="87">
        <v>169700</v>
      </c>
      <c r="AFE98" s="85"/>
      <c r="AFF98" s="20"/>
      <c r="AFG98" s="20"/>
      <c r="AFH98" s="20"/>
      <c r="AGH98" s="85" t="s">
        <v>2250</v>
      </c>
      <c r="AGI98" s="87">
        <v>142600</v>
      </c>
      <c r="AGJ98" s="85"/>
      <c r="AGK98" s="20"/>
      <c r="AGL98" s="20"/>
      <c r="AGM98" s="20"/>
      <c r="AGZ98" s="310"/>
      <c r="AHN98" s="85" t="s">
        <v>2250</v>
      </c>
      <c r="AHO98" s="87">
        <v>113100</v>
      </c>
      <c r="AHP98" s="85"/>
      <c r="AHQ98" s="20"/>
      <c r="AHR98" s="20"/>
      <c r="AHS98" s="20"/>
      <c r="AIS98" s="85" t="s">
        <v>2250</v>
      </c>
      <c r="AIT98" s="87">
        <v>90350</v>
      </c>
      <c r="AIU98" s="85"/>
      <c r="AIV98" s="20"/>
      <c r="AIW98" s="20"/>
      <c r="AIX98" s="20"/>
      <c r="AJY98" s="85" t="s">
        <v>2250</v>
      </c>
      <c r="AJZ98" s="85"/>
      <c r="AKA98" s="85"/>
      <c r="AKB98" s="20"/>
      <c r="AKC98" s="20"/>
      <c r="AKD98" s="20"/>
      <c r="AKQ98" s="92"/>
      <c r="ALE98" s="85" t="s">
        <v>2250</v>
      </c>
      <c r="ALF98" s="85"/>
      <c r="ALG98" s="85"/>
      <c r="ALH98" s="20"/>
      <c r="ALI98" s="20"/>
      <c r="ALJ98" s="20"/>
      <c r="AMH98" s="85" t="s">
        <v>2250</v>
      </c>
      <c r="AMI98" s="85"/>
      <c r="AMJ98" s="85"/>
      <c r="AMK98" s="20"/>
      <c r="AML98" s="20"/>
      <c r="AMM98" s="20"/>
      <c r="ANN98" s="85" t="s">
        <v>2250</v>
      </c>
      <c r="ANO98" s="85"/>
      <c r="ANP98" s="85"/>
      <c r="ANQ98" s="20"/>
      <c r="ANR98" s="20"/>
      <c r="ANS98" s="20"/>
    </row>
    <row r="99" spans="52:1059" ht="21" customHeight="1" x14ac:dyDescent="0.4">
      <c r="BJ99" s="45"/>
      <c r="BK99" s="45"/>
      <c r="BL99" s="45"/>
      <c r="BM99" s="45"/>
      <c r="BN99" s="31"/>
      <c r="DC99" s="56" t="s">
        <v>31</v>
      </c>
      <c r="DD99" s="56">
        <v>55236</v>
      </c>
      <c r="DE99" s="56">
        <v>4</v>
      </c>
      <c r="DI99" s="43"/>
      <c r="DJ99" s="43"/>
      <c r="ED99" s="43"/>
      <c r="EE99" s="43"/>
      <c r="EF99" s="43"/>
      <c r="EG99" s="43"/>
      <c r="EH99" s="43"/>
      <c r="EI99" s="43"/>
      <c r="EJ99" s="56" t="s">
        <v>31</v>
      </c>
      <c r="EK99" s="56">
        <v>9585</v>
      </c>
      <c r="EL99" s="56"/>
      <c r="EP99" s="43"/>
      <c r="FE99" s="25"/>
      <c r="FF99" s="25"/>
      <c r="FG99" s="25"/>
      <c r="FH99" s="25"/>
      <c r="FI99" s="25"/>
      <c r="FJ99" s="25"/>
      <c r="FK99" s="25"/>
      <c r="FL99" s="25"/>
      <c r="FM99" s="25"/>
      <c r="FN99" s="25"/>
      <c r="FO99" s="25"/>
      <c r="FP99" s="25"/>
      <c r="FQ99" s="25"/>
      <c r="FR99" s="56" t="s">
        <v>31</v>
      </c>
      <c r="FS99" s="56">
        <v>73650</v>
      </c>
      <c r="FT99" s="56"/>
      <c r="FU99" s="69"/>
      <c r="GX99" s="85" t="s">
        <v>182</v>
      </c>
      <c r="GY99" s="85">
        <v>110385</v>
      </c>
      <c r="GZ99" s="85"/>
      <c r="HA99" s="69"/>
      <c r="IE99" s="85" t="s">
        <v>182</v>
      </c>
      <c r="IF99" s="85">
        <v>90926</v>
      </c>
      <c r="IG99" s="85"/>
      <c r="IH99" s="69">
        <v>89527</v>
      </c>
      <c r="JF99" s="85" t="s">
        <v>182</v>
      </c>
      <c r="JG99" s="85">
        <v>16061</v>
      </c>
      <c r="JH99" s="85">
        <v>3</v>
      </c>
      <c r="JI99" s="69"/>
      <c r="KN99" s="89" t="s">
        <v>182</v>
      </c>
      <c r="KO99" s="89">
        <v>71885</v>
      </c>
      <c r="KP99" s="89"/>
      <c r="KQ99" s="69"/>
      <c r="LQ99" s="85" t="s">
        <v>182</v>
      </c>
      <c r="LR99" s="85">
        <v>72620</v>
      </c>
      <c r="LS99" s="85"/>
      <c r="LT99" s="69"/>
      <c r="MN99" s="30">
        <f>SUM(MN96:MN98)</f>
        <v>608645</v>
      </c>
      <c r="MY99" s="85" t="s">
        <v>182</v>
      </c>
      <c r="MZ99" s="85">
        <v>50785</v>
      </c>
      <c r="NA99" s="85"/>
      <c r="NB99" s="69"/>
      <c r="OD99" s="85" t="s">
        <v>182</v>
      </c>
      <c r="OE99" s="85">
        <v>55275</v>
      </c>
      <c r="OF99" s="85"/>
      <c r="OH99" s="30">
        <v>56320</v>
      </c>
      <c r="OI99" s="30">
        <f t="shared" si="30"/>
        <v>1045</v>
      </c>
      <c r="PJ99" s="85" t="s">
        <v>182</v>
      </c>
      <c r="PK99" s="85">
        <v>54320</v>
      </c>
      <c r="PL99" s="85"/>
      <c r="QF99" s="310"/>
      <c r="QG99" s="310"/>
      <c r="QH99" s="310">
        <v>389235</v>
      </c>
      <c r="QP99" s="85" t="s">
        <v>182</v>
      </c>
      <c r="QQ99" s="85">
        <v>60900</v>
      </c>
      <c r="QR99" s="85"/>
      <c r="RL99" s="31"/>
      <c r="RM99" s="31"/>
      <c r="RN99" s="31">
        <v>59000</v>
      </c>
      <c r="RO99" s="31">
        <f>RN99/24</f>
        <v>2458.3333333333335</v>
      </c>
      <c r="RP99" s="31"/>
      <c r="RU99" s="85" t="s">
        <v>182</v>
      </c>
      <c r="RV99" s="85">
        <v>13790</v>
      </c>
      <c r="RW99" s="85"/>
      <c r="TA99" s="85" t="s">
        <v>182</v>
      </c>
      <c r="TB99" s="85">
        <v>87920</v>
      </c>
      <c r="TC99" s="85"/>
      <c r="UF99" s="85" t="s">
        <v>182</v>
      </c>
      <c r="UG99" s="85">
        <v>112775</v>
      </c>
      <c r="UH99" s="85"/>
      <c r="VL99" s="85" t="s">
        <v>182</v>
      </c>
      <c r="VM99" s="85">
        <v>44960</v>
      </c>
      <c r="VN99" s="85"/>
      <c r="VR99" s="85">
        <v>33028</v>
      </c>
      <c r="WR99" s="85" t="s">
        <v>182</v>
      </c>
      <c r="WS99" s="85">
        <v>60500</v>
      </c>
      <c r="WT99" s="85"/>
      <c r="XU99" s="85" t="s">
        <v>182</v>
      </c>
      <c r="XV99" s="85">
        <v>1000</v>
      </c>
      <c r="XW99" s="85"/>
      <c r="YV99" s="43"/>
      <c r="YW99" s="43"/>
      <c r="ZA99" s="85" t="s">
        <v>182</v>
      </c>
      <c r="ZB99" s="85">
        <v>61170</v>
      </c>
      <c r="ZC99" s="85"/>
      <c r="AAA99" s="43"/>
      <c r="AAF99" s="85" t="s">
        <v>182</v>
      </c>
      <c r="AAG99" s="85">
        <v>70990</v>
      </c>
      <c r="AAH99" s="85"/>
      <c r="ABG99" s="43"/>
      <c r="ABH99" s="43"/>
      <c r="ABI99" s="43"/>
      <c r="ABL99" s="85" t="s">
        <v>182</v>
      </c>
      <c r="ABM99" s="85">
        <v>55670</v>
      </c>
      <c r="ABN99" s="85"/>
      <c r="ABU99" s="30" t="s">
        <v>30</v>
      </c>
      <c r="ACC99" s="92"/>
      <c r="ACQ99" s="85" t="s">
        <v>2251</v>
      </c>
      <c r="ACR99" s="85">
        <v>37645</v>
      </c>
      <c r="ACS99" s="85"/>
      <c r="ACT99" s="20" t="s">
        <v>2256</v>
      </c>
      <c r="ACU99" s="9">
        <f>ACR98+ACR99</f>
        <v>184695</v>
      </c>
      <c r="ACV99" s="9"/>
      <c r="ADW99" s="85" t="s">
        <v>2251</v>
      </c>
      <c r="ADX99" s="85">
        <v>50595</v>
      </c>
      <c r="ADY99" s="85"/>
      <c r="ADZ99" s="20" t="s">
        <v>2256</v>
      </c>
      <c r="AEA99" s="9">
        <f>ADX98+ADX99</f>
        <v>190920</v>
      </c>
      <c r="AEB99" s="9"/>
      <c r="AFC99" s="85" t="s">
        <v>2251</v>
      </c>
      <c r="AFD99" s="85"/>
      <c r="AFE99" s="85"/>
      <c r="AFF99" s="20" t="s">
        <v>2256</v>
      </c>
      <c r="AFG99" s="9">
        <f>AFD98+AFD99</f>
        <v>169700</v>
      </c>
      <c r="AFH99" s="9"/>
      <c r="AGH99" s="85" t="s">
        <v>2251</v>
      </c>
      <c r="AGI99" s="85"/>
      <c r="AGJ99" s="85"/>
      <c r="AGK99" s="20" t="s">
        <v>2256</v>
      </c>
      <c r="AGL99" s="9">
        <f>AGI98+AGI99</f>
        <v>142600</v>
      </c>
      <c r="AGM99" s="9"/>
      <c r="AGZ99" s="310"/>
      <c r="AHN99" s="85" t="s">
        <v>2251</v>
      </c>
      <c r="AHO99" s="85"/>
      <c r="AHP99" s="85"/>
      <c r="AHQ99" s="20" t="s">
        <v>2256</v>
      </c>
      <c r="AHR99" s="9">
        <f>AHO98+AHO99</f>
        <v>113100</v>
      </c>
      <c r="AHS99" s="9"/>
      <c r="AIS99" s="85" t="s">
        <v>2251</v>
      </c>
      <c r="AIT99" s="85"/>
      <c r="AIU99" s="85"/>
      <c r="AIV99" s="20" t="s">
        <v>2256</v>
      </c>
      <c r="AIW99" s="9">
        <f>AIT98+AIT99</f>
        <v>90350</v>
      </c>
      <c r="AIX99" s="9"/>
      <c r="AJY99" s="85" t="s">
        <v>2251</v>
      </c>
      <c r="AJZ99" s="85"/>
      <c r="AKA99" s="85"/>
      <c r="AKB99" s="20" t="s">
        <v>2256</v>
      </c>
      <c r="AKC99" s="9">
        <f>AJZ98+AJZ99</f>
        <v>0</v>
      </c>
      <c r="AKD99" s="9"/>
      <c r="AKQ99" s="92"/>
      <c r="ALE99" s="85" t="s">
        <v>2251</v>
      </c>
      <c r="ALF99" s="85"/>
      <c r="ALG99" s="85"/>
      <c r="ALH99" s="20" t="s">
        <v>2256</v>
      </c>
      <c r="ALI99" s="9">
        <f>ALF98+ALF99</f>
        <v>0</v>
      </c>
      <c r="ALJ99" s="9"/>
      <c r="AMH99" s="85" t="s">
        <v>2251</v>
      </c>
      <c r="AMI99" s="85"/>
      <c r="AMJ99" s="85"/>
      <c r="AMK99" s="20" t="s">
        <v>2256</v>
      </c>
      <c r="AML99" s="9">
        <f>AMI98+AMI99</f>
        <v>0</v>
      </c>
      <c r="AMM99" s="9"/>
      <c r="ANN99" s="85" t="s">
        <v>2251</v>
      </c>
      <c r="ANO99" s="85"/>
      <c r="ANP99" s="85"/>
      <c r="ANQ99" s="20" t="s">
        <v>2256</v>
      </c>
      <c r="ANR99" s="9">
        <f>ANO98+ANO99</f>
        <v>0</v>
      </c>
      <c r="ANS99" s="9"/>
    </row>
    <row r="100" spans="52:1059" ht="23.25" customHeight="1" x14ac:dyDescent="0.4">
      <c r="BJ100" s="45"/>
      <c r="BK100" s="45"/>
      <c r="BL100" s="45"/>
      <c r="BM100" s="45"/>
      <c r="BN100" s="31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DC100" s="56" t="s">
        <v>273</v>
      </c>
      <c r="DD100" s="56">
        <v>2480</v>
      </c>
      <c r="DE100" s="56">
        <v>1</v>
      </c>
      <c r="DI100" s="43"/>
      <c r="DJ100" s="43"/>
      <c r="ED100" s="43"/>
      <c r="EE100" s="43"/>
      <c r="EF100" s="43"/>
      <c r="EG100" s="43"/>
      <c r="EH100" s="43"/>
      <c r="EI100" s="43"/>
      <c r="EJ100" s="56"/>
      <c r="EK100" s="56"/>
      <c r="EL100" s="56"/>
      <c r="EP100" s="43"/>
      <c r="EQ100" s="43"/>
      <c r="FF100" s="25"/>
      <c r="FG100" s="25"/>
      <c r="FH100" s="25"/>
      <c r="FI100" s="25"/>
      <c r="FJ100" s="25"/>
      <c r="FK100" s="25"/>
      <c r="FL100" s="25"/>
      <c r="FM100" s="25"/>
      <c r="FN100" s="25"/>
      <c r="FO100" s="25"/>
      <c r="FP100" s="25"/>
      <c r="FQ100" s="25"/>
      <c r="FR100" s="56"/>
      <c r="FS100" s="56"/>
      <c r="FT100" s="56"/>
      <c r="FU100" s="69"/>
      <c r="GX100" s="85" t="s">
        <v>31</v>
      </c>
      <c r="GY100" s="85">
        <v>104395</v>
      </c>
      <c r="GZ100" s="85"/>
      <c r="HA100" s="69"/>
      <c r="HR100" s="20" t="s">
        <v>486</v>
      </c>
      <c r="HS100" s="20">
        <v>80268</v>
      </c>
      <c r="IE100" s="85" t="s">
        <v>31</v>
      </c>
      <c r="IF100" s="85">
        <v>49682</v>
      </c>
      <c r="IG100" s="85"/>
      <c r="IH100" s="69">
        <v>48939</v>
      </c>
      <c r="JF100" s="85" t="s">
        <v>31</v>
      </c>
      <c r="JG100" s="85">
        <v>26540</v>
      </c>
      <c r="JH100" s="85"/>
      <c r="JI100" s="69"/>
      <c r="KN100" s="89" t="s">
        <v>31</v>
      </c>
      <c r="KO100" s="89">
        <v>87095</v>
      </c>
      <c r="KP100" s="89"/>
      <c r="KQ100" s="69"/>
      <c r="LQ100" s="85" t="s">
        <v>31</v>
      </c>
      <c r="LR100" s="85">
        <v>49200</v>
      </c>
      <c r="LS100" s="85"/>
      <c r="LT100" s="69"/>
      <c r="MN100" s="30">
        <f>MN99/40</f>
        <v>15216.125</v>
      </c>
      <c r="MY100" s="85" t="s">
        <v>31</v>
      </c>
      <c r="MZ100" s="85">
        <v>18260</v>
      </c>
      <c r="NA100" s="85"/>
      <c r="NB100" s="69"/>
      <c r="OD100" s="85" t="s">
        <v>31</v>
      </c>
      <c r="OE100" s="85">
        <v>26100</v>
      </c>
      <c r="OF100" s="85"/>
      <c r="OH100" s="30">
        <v>34650</v>
      </c>
      <c r="OI100" s="30">
        <f t="shared" si="30"/>
        <v>8550</v>
      </c>
      <c r="PJ100" s="85" t="s">
        <v>31</v>
      </c>
      <c r="PK100" s="85">
        <v>130910</v>
      </c>
      <c r="PL100" s="85"/>
      <c r="QF100" s="310"/>
      <c r="QG100" s="310"/>
      <c r="QH100" s="310">
        <f>QH98+QH99</f>
        <v>389235</v>
      </c>
      <c r="QP100" s="85" t="s">
        <v>31</v>
      </c>
      <c r="QQ100" s="85">
        <v>219850</v>
      </c>
      <c r="QR100" s="85"/>
      <c r="RL100" s="31"/>
      <c r="RM100" s="31"/>
      <c r="RN100" s="31">
        <f>RN98+RN99</f>
        <v>163312</v>
      </c>
      <c r="RO100" s="31"/>
      <c r="RP100" s="31"/>
      <c r="RU100" s="85" t="s">
        <v>31</v>
      </c>
      <c r="RV100" s="85">
        <v>65680</v>
      </c>
      <c r="RW100" s="85"/>
      <c r="SC100" s="30">
        <v>1210</v>
      </c>
      <c r="TA100" s="85" t="s">
        <v>31</v>
      </c>
      <c r="TB100" s="85">
        <v>68040</v>
      </c>
      <c r="TC100" s="85">
        <v>72900</v>
      </c>
      <c r="UF100" s="85" t="s">
        <v>31</v>
      </c>
      <c r="UG100" s="85">
        <v>103850</v>
      </c>
      <c r="UH100" s="85"/>
      <c r="VL100" s="85" t="s">
        <v>31</v>
      </c>
      <c r="VM100" s="85">
        <v>142500</v>
      </c>
      <c r="VN100" s="85"/>
      <c r="VR100" s="85">
        <v>141550</v>
      </c>
      <c r="WD100" s="285">
        <v>44192</v>
      </c>
      <c r="WR100" s="85" t="s">
        <v>31</v>
      </c>
      <c r="WS100" s="85">
        <v>75987</v>
      </c>
      <c r="WT100" s="85"/>
      <c r="WV100" s="30">
        <f>WS100-WW100</f>
        <v>45987</v>
      </c>
      <c r="WW100" s="30">
        <v>30000</v>
      </c>
      <c r="XU100" s="85" t="s">
        <v>31</v>
      </c>
      <c r="XV100" s="85">
        <f>99214-150</f>
        <v>99064</v>
      </c>
      <c r="XW100" s="85"/>
      <c r="XY100" s="30">
        <v>82300</v>
      </c>
      <c r="XZ100" s="30">
        <v>62000</v>
      </c>
      <c r="ZA100" s="85" t="s">
        <v>31</v>
      </c>
      <c r="ZB100" s="85">
        <v>87470</v>
      </c>
      <c r="ZC100" s="85"/>
      <c r="ZE100" s="30">
        <v>73590</v>
      </c>
      <c r="ZF100" s="30">
        <v>25750</v>
      </c>
      <c r="AAF100" s="85" t="s">
        <v>31</v>
      </c>
      <c r="AAG100" s="85">
        <v>8800</v>
      </c>
      <c r="AAH100" s="85"/>
      <c r="AAJ100" s="30">
        <v>10400</v>
      </c>
      <c r="AAK100" s="30">
        <v>300</v>
      </c>
      <c r="ABG100" s="43"/>
      <c r="ABH100" s="43"/>
      <c r="ABI100" s="43"/>
      <c r="ABL100" s="85" t="s">
        <v>31</v>
      </c>
      <c r="ABM100" s="85">
        <v>137370</v>
      </c>
      <c r="ABN100" s="85"/>
      <c r="ABP100" s="30">
        <v>103660</v>
      </c>
      <c r="ABQ100" s="30">
        <v>33710</v>
      </c>
      <c r="ABR100" s="30">
        <v>25680</v>
      </c>
      <c r="ACC100" s="92"/>
      <c r="ACQ100" s="85" t="s">
        <v>2252</v>
      </c>
      <c r="ACR100" s="85">
        <v>79940</v>
      </c>
      <c r="ACS100" s="85"/>
      <c r="ACT100" s="20"/>
      <c r="ACU100" s="20"/>
      <c r="ACV100" s="20"/>
      <c r="ADW100" s="85" t="s">
        <v>2252</v>
      </c>
      <c r="ADX100" s="85">
        <v>168800</v>
      </c>
      <c r="ADY100" s="85"/>
      <c r="ADZ100" s="20"/>
      <c r="AEA100" s="20"/>
      <c r="AEB100" s="20"/>
      <c r="AFC100" s="85" t="s">
        <v>2252</v>
      </c>
      <c r="AFD100" s="85">
        <v>161100</v>
      </c>
      <c r="AFE100" s="85"/>
      <c r="AFF100" s="20"/>
      <c r="AFG100" s="20"/>
      <c r="AFH100" s="20"/>
      <c r="AGH100" s="85" t="s">
        <v>2252</v>
      </c>
      <c r="AGI100" s="85">
        <v>110800</v>
      </c>
      <c r="AGJ100" s="85"/>
      <c r="AGK100" s="20"/>
      <c r="AGL100" s="20"/>
      <c r="AGM100" s="20"/>
      <c r="AGZ100" s="310"/>
      <c r="AHN100" s="85" t="s">
        <v>2252</v>
      </c>
      <c r="AHO100" s="85">
        <v>104000</v>
      </c>
      <c r="AHP100" s="85"/>
      <c r="AHQ100" s="20"/>
      <c r="AHR100" s="20"/>
      <c r="AHS100" s="20"/>
      <c r="AIS100" s="85" t="s">
        <v>2252</v>
      </c>
      <c r="AIT100" s="85">
        <v>100000</v>
      </c>
      <c r="AIU100" s="85"/>
      <c r="AIV100" s="20"/>
      <c r="AIW100" s="20"/>
      <c r="AIX100" s="20"/>
      <c r="AJY100" s="85" t="s">
        <v>2252</v>
      </c>
      <c r="AJZ100" s="85"/>
      <c r="AKA100" s="85"/>
      <c r="AKB100" s="20"/>
      <c r="AKC100" s="20"/>
      <c r="AKD100" s="20"/>
      <c r="AKQ100" s="92"/>
      <c r="ALE100" s="85" t="s">
        <v>2252</v>
      </c>
      <c r="ALF100" s="85"/>
      <c r="ALG100" s="85"/>
      <c r="ALH100" s="20"/>
      <c r="ALI100" s="20"/>
      <c r="ALJ100" s="20"/>
      <c r="AMH100" s="85" t="s">
        <v>2252</v>
      </c>
      <c r="AMI100" s="85"/>
      <c r="AMJ100" s="85"/>
      <c r="AMK100" s="20"/>
      <c r="AML100" s="20"/>
      <c r="AMM100" s="20"/>
      <c r="ANN100" s="85" t="s">
        <v>2252</v>
      </c>
      <c r="ANO100" s="85"/>
      <c r="ANP100" s="85"/>
      <c r="ANQ100" s="20"/>
      <c r="ANR100" s="20"/>
      <c r="ANS100" s="20"/>
    </row>
    <row r="101" spans="52:1059" ht="23.25" customHeight="1" x14ac:dyDescent="0.4">
      <c r="BJ101" s="45"/>
      <c r="BK101" s="45"/>
      <c r="BL101" s="45"/>
      <c r="BM101" s="45"/>
      <c r="BN101" s="31"/>
      <c r="DD101" s="30">
        <f>SUM(DD95:DD100)</f>
        <v>413499</v>
      </c>
      <c r="DE101" s="30">
        <f>SUM(DE95:DE100)</f>
        <v>24</v>
      </c>
      <c r="DI101" s="43"/>
      <c r="DJ101" s="43"/>
      <c r="ED101" s="43"/>
      <c r="EE101" s="43"/>
      <c r="EF101" s="43"/>
      <c r="EG101" s="43"/>
      <c r="EH101" s="43"/>
      <c r="EI101" s="43"/>
      <c r="EK101" s="30">
        <f>SUM(EK95:EK100)</f>
        <v>395890</v>
      </c>
      <c r="EL101" s="30">
        <f>SUM(EL95:EL100)</f>
        <v>40</v>
      </c>
      <c r="EP101" s="43"/>
      <c r="EQ101" s="43"/>
      <c r="FF101" s="25"/>
      <c r="FG101" s="25"/>
      <c r="FH101" s="25"/>
      <c r="FI101" s="25"/>
      <c r="FJ101" s="25"/>
      <c r="FK101" s="25"/>
      <c r="FL101" s="25"/>
      <c r="FM101" s="25"/>
      <c r="FN101" s="25"/>
      <c r="FO101" s="25"/>
      <c r="FP101" s="25"/>
      <c r="FQ101" s="25"/>
      <c r="FS101" s="30">
        <f>SUM(FS95:FS100)</f>
        <v>371485</v>
      </c>
      <c r="GX101" s="85"/>
      <c r="GY101" s="85"/>
      <c r="GZ101" s="85"/>
      <c r="HA101" s="69"/>
      <c r="HR101" s="20" t="s">
        <v>24</v>
      </c>
      <c r="HS101" s="20">
        <v>58020</v>
      </c>
      <c r="IE101" s="85"/>
      <c r="IF101" s="85"/>
      <c r="IG101" s="85"/>
      <c r="IH101" s="69"/>
      <c r="JF101" s="85"/>
      <c r="JG101" s="85"/>
      <c r="JH101" s="85"/>
      <c r="JI101" s="69"/>
      <c r="KA101" s="157" t="s">
        <v>641</v>
      </c>
      <c r="KB101" s="157"/>
      <c r="KC101" s="158"/>
      <c r="KD101" s="158"/>
      <c r="KE101" s="158"/>
      <c r="KF101" s="158"/>
      <c r="KG101" s="158"/>
      <c r="KH101" s="158"/>
      <c r="KI101" s="158"/>
      <c r="KJ101" s="158"/>
      <c r="KK101" s="158"/>
      <c r="KN101" s="89"/>
      <c r="KO101" s="89"/>
      <c r="KP101" s="89"/>
      <c r="KQ101" s="69"/>
      <c r="LQ101" s="85"/>
      <c r="LR101" s="85"/>
      <c r="LS101" s="85"/>
      <c r="LT101" s="69"/>
      <c r="MY101" s="85"/>
      <c r="MZ101" s="85"/>
      <c r="NA101" s="85"/>
      <c r="NB101" s="69"/>
      <c r="OD101" s="85"/>
      <c r="OE101" s="85"/>
      <c r="OF101" s="85"/>
      <c r="OI101" s="30">
        <f t="shared" si="30"/>
        <v>0</v>
      </c>
      <c r="PJ101" s="85"/>
      <c r="PK101" s="85"/>
      <c r="PL101" s="85"/>
      <c r="QP101" s="85"/>
      <c r="QQ101" s="85"/>
      <c r="QR101" s="85"/>
      <c r="RU101" s="85"/>
      <c r="RV101" s="85"/>
      <c r="RW101" s="85"/>
      <c r="SC101" s="30">
        <v>1210</v>
      </c>
      <c r="TA101" s="85"/>
      <c r="TB101" s="85"/>
      <c r="TC101" s="85"/>
      <c r="UF101" s="85"/>
      <c r="UG101" s="85"/>
      <c r="UH101" s="85"/>
      <c r="VL101" s="85"/>
      <c r="VM101" s="85"/>
      <c r="VN101" s="85"/>
      <c r="VR101" s="85"/>
      <c r="WD101" s="285">
        <f>WD100+50</f>
        <v>44242</v>
      </c>
      <c r="WR101" s="85"/>
      <c r="WS101" s="85"/>
      <c r="WT101" s="85"/>
      <c r="XU101" s="85"/>
      <c r="XV101" s="85"/>
      <c r="XW101" s="85"/>
      <c r="ZA101" s="85"/>
      <c r="ZB101" s="85"/>
      <c r="ZC101" s="85"/>
      <c r="AAF101" s="85"/>
      <c r="AAG101" s="85"/>
      <c r="AAH101" s="85"/>
      <c r="ABL101" s="85"/>
      <c r="ABM101" s="85"/>
      <c r="ABN101" s="85"/>
      <c r="ACC101" s="92"/>
      <c r="ACQ101" s="85" t="s">
        <v>2253</v>
      </c>
      <c r="ACR101" s="85">
        <v>27720</v>
      </c>
      <c r="ACS101" s="85"/>
      <c r="ACT101" s="20" t="s">
        <v>31</v>
      </c>
      <c r="ACU101" s="9">
        <f>ACR100+ACR101</f>
        <v>107660</v>
      </c>
      <c r="ACV101" s="9"/>
      <c r="ADW101" s="85" t="s">
        <v>2253</v>
      </c>
      <c r="ADX101" s="85">
        <v>64600</v>
      </c>
      <c r="ADY101" s="85"/>
      <c r="ADZ101" s="20" t="s">
        <v>31</v>
      </c>
      <c r="AEA101" s="9">
        <f>ADX100+ADX101</f>
        <v>233400</v>
      </c>
      <c r="AEB101" s="9"/>
      <c r="AFC101" s="85" t="s">
        <v>2253</v>
      </c>
      <c r="AFD101" s="85">
        <v>72800</v>
      </c>
      <c r="AFE101" s="85"/>
      <c r="AFF101" s="20" t="s">
        <v>31</v>
      </c>
      <c r="AFG101" s="9">
        <f>AFD100+AFD101</f>
        <v>233900</v>
      </c>
      <c r="AFH101" s="9"/>
      <c r="AGH101" s="85" t="s">
        <v>2253</v>
      </c>
      <c r="AGI101" s="85">
        <v>72800</v>
      </c>
      <c r="AGJ101" s="85"/>
      <c r="AGK101" s="20" t="s">
        <v>31</v>
      </c>
      <c r="AGL101" s="9">
        <f>AGI100+AGI101</f>
        <v>183600</v>
      </c>
      <c r="AGM101" s="9"/>
      <c r="AHN101" s="85" t="s">
        <v>2253</v>
      </c>
      <c r="AHO101" s="85">
        <v>76200</v>
      </c>
      <c r="AHP101" s="85"/>
      <c r="AHQ101" s="20" t="s">
        <v>31</v>
      </c>
      <c r="AHR101" s="9">
        <f>AHO100+AHO101</f>
        <v>180200</v>
      </c>
      <c r="AHS101" s="9"/>
      <c r="AIS101" s="85" t="s">
        <v>2253</v>
      </c>
      <c r="AIT101" s="85">
        <v>75000</v>
      </c>
      <c r="AIU101" s="85"/>
      <c r="AIV101" s="20" t="s">
        <v>31</v>
      </c>
      <c r="AIW101" s="9">
        <f>AIT100+AIT101</f>
        <v>175000</v>
      </c>
      <c r="AIX101" s="9"/>
      <c r="AJY101" s="85" t="s">
        <v>2253</v>
      </c>
      <c r="AJZ101" s="85"/>
      <c r="AKA101" s="85"/>
      <c r="AKB101" s="20" t="s">
        <v>31</v>
      </c>
      <c r="AKC101" s="9">
        <f>AJZ100+AJZ101</f>
        <v>0</v>
      </c>
      <c r="AKD101" s="9"/>
      <c r="AKQ101" s="92"/>
      <c r="ALE101" s="85" t="s">
        <v>2253</v>
      </c>
      <c r="ALF101" s="85"/>
      <c r="ALG101" s="85"/>
      <c r="ALH101" s="20" t="s">
        <v>31</v>
      </c>
      <c r="ALI101" s="9">
        <f>ALF100+ALF101</f>
        <v>0</v>
      </c>
      <c r="ALJ101" s="9"/>
      <c r="AMH101" s="85" t="s">
        <v>2253</v>
      </c>
      <c r="AMI101" s="85"/>
      <c r="AMJ101" s="85"/>
      <c r="AMK101" s="20" t="s">
        <v>31</v>
      </c>
      <c r="AML101" s="9">
        <f>AMI100+AMI101</f>
        <v>0</v>
      </c>
      <c r="AMM101" s="9"/>
      <c r="ANN101" s="85" t="s">
        <v>2253</v>
      </c>
      <c r="ANO101" s="85"/>
      <c r="ANP101" s="85"/>
      <c r="ANQ101" s="20" t="s">
        <v>31</v>
      </c>
      <c r="ANR101" s="9">
        <f>ANO100+ANO101</f>
        <v>0</v>
      </c>
      <c r="ANS101" s="9"/>
    </row>
    <row r="102" spans="52:1059" ht="21" customHeight="1" x14ac:dyDescent="0.3">
      <c r="BJ102" s="45"/>
      <c r="BK102" s="45"/>
      <c r="BL102" s="45"/>
      <c r="BM102" s="45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DI102" s="43"/>
      <c r="DJ102" s="43"/>
      <c r="ED102" s="43"/>
      <c r="EE102" s="43"/>
      <c r="EF102" s="43"/>
      <c r="EG102" s="43"/>
      <c r="EH102" s="43"/>
      <c r="EI102" s="43"/>
      <c r="EK102" s="30">
        <v>383176</v>
      </c>
      <c r="EP102" s="43"/>
      <c r="EQ102" s="43"/>
      <c r="GX102" s="86" t="s">
        <v>375</v>
      </c>
      <c r="GY102" s="88">
        <f>SUM(GY96:GY101)</f>
        <v>377905</v>
      </c>
      <c r="GZ102" s="87"/>
      <c r="HC102" s="91"/>
      <c r="HD102" s="91"/>
      <c r="HR102" s="20" t="s">
        <v>485</v>
      </c>
      <c r="HS102" s="20">
        <v>70659</v>
      </c>
      <c r="IE102" s="87" t="s">
        <v>376</v>
      </c>
      <c r="IF102" s="87">
        <f>SUM(IF96:IF101)</f>
        <v>426779</v>
      </c>
      <c r="IG102" s="87">
        <f>SUM(IG96:IG101)</f>
        <v>0</v>
      </c>
      <c r="JF102" s="87" t="s">
        <v>377</v>
      </c>
      <c r="JG102" s="87">
        <f>SUM(JG96:JG101)</f>
        <v>470382</v>
      </c>
      <c r="JH102" s="87">
        <f>SUM(JH96:JH101)</f>
        <v>3</v>
      </c>
      <c r="KN102" s="87" t="s">
        <v>378</v>
      </c>
      <c r="KO102" s="87">
        <f>SUM(KO96:KO101)</f>
        <v>501460</v>
      </c>
      <c r="KP102" s="87">
        <f>SUM(KP96:KP101)</f>
        <v>0</v>
      </c>
      <c r="LQ102" s="87" t="s">
        <v>378</v>
      </c>
      <c r="LR102" s="87">
        <f>SUM(LR96:LR101)</f>
        <v>330810</v>
      </c>
      <c r="LS102" s="87">
        <f>SUM(LS96:LS101)</f>
        <v>0</v>
      </c>
      <c r="MY102" s="87" t="s">
        <v>378</v>
      </c>
      <c r="MZ102" s="87">
        <f>SUM(MZ96:MZ101)</f>
        <v>430820</v>
      </c>
      <c r="NA102" s="87">
        <f>SUM(NA96:NA101)</f>
        <v>0</v>
      </c>
      <c r="OD102" s="87" t="s">
        <v>378</v>
      </c>
      <c r="OE102" s="87">
        <f>SUM(OE96:OE101)</f>
        <v>470968</v>
      </c>
      <c r="OF102" s="87">
        <f>SUM(OF96:OF101)</f>
        <v>0</v>
      </c>
      <c r="OH102" s="30">
        <f>SUM(OH96:OH101)</f>
        <v>476000</v>
      </c>
      <c r="OI102" s="30">
        <f t="shared" si="30"/>
        <v>5032</v>
      </c>
      <c r="PJ102" s="87" t="s">
        <v>378</v>
      </c>
      <c r="PK102" s="87">
        <f>SUM(PK96:PK101)</f>
        <v>366995</v>
      </c>
      <c r="PL102" s="87">
        <f>SUM(PL96:PL101)</f>
        <v>0</v>
      </c>
      <c r="QP102" s="87" t="s">
        <v>378</v>
      </c>
      <c r="QQ102" s="87">
        <f>SUM(QQ96:QQ101)</f>
        <v>465340</v>
      </c>
      <c r="QR102" s="87">
        <f>SUM(QR96:QR101)</f>
        <v>0</v>
      </c>
      <c r="RU102" s="87" t="s">
        <v>378</v>
      </c>
      <c r="RV102" s="87">
        <f>SUM(RV96:RV101)</f>
        <v>444675</v>
      </c>
      <c r="RW102" s="87">
        <f>SUM(RW96:RW101)</f>
        <v>0</v>
      </c>
      <c r="SC102" s="30">
        <v>1210</v>
      </c>
      <c r="TA102" s="87" t="s">
        <v>378</v>
      </c>
      <c r="TB102" s="87">
        <f>SUM(TB96:TB101)</f>
        <v>420325</v>
      </c>
      <c r="TC102" s="87">
        <f>SUM(TC96:TC101)</f>
        <v>72900</v>
      </c>
      <c r="UF102" s="87" t="s">
        <v>378</v>
      </c>
      <c r="UG102" s="87">
        <f>SUM(UG96:UG101)</f>
        <v>404344</v>
      </c>
      <c r="UH102" s="87">
        <f>SUM(UH96:UH101)</f>
        <v>0</v>
      </c>
      <c r="VL102" s="87" t="s">
        <v>378</v>
      </c>
      <c r="VM102" s="87">
        <f>SUM(VM96:VM101)</f>
        <v>456150</v>
      </c>
      <c r="VN102" s="87">
        <f>SUM(VN96:VN101)</f>
        <v>15740</v>
      </c>
      <c r="VR102" s="87">
        <f>SUM(VR96:VR101)</f>
        <v>458903</v>
      </c>
      <c r="WR102" s="87" t="s">
        <v>378</v>
      </c>
      <c r="WS102" s="87">
        <f>SUM(WS96:WS101)</f>
        <v>448417</v>
      </c>
      <c r="WT102" s="87">
        <f>SUM(WT96:WT101)</f>
        <v>0</v>
      </c>
      <c r="XU102" s="87" t="s">
        <v>378</v>
      </c>
      <c r="XV102" s="87">
        <f>SUM(XV96:XV101)</f>
        <v>575110</v>
      </c>
      <c r="XW102" s="87">
        <f>SUM(XW96:XW101)</f>
        <v>0</v>
      </c>
      <c r="ZA102" s="87" t="s">
        <v>378</v>
      </c>
      <c r="ZB102" s="87">
        <f>SUM(ZB96:ZB101)</f>
        <v>466275</v>
      </c>
      <c r="ZC102" s="87">
        <f>SUM(ZC96:ZC101)</f>
        <v>0</v>
      </c>
      <c r="AAF102" s="87" t="s">
        <v>378</v>
      </c>
      <c r="AAG102" s="87">
        <f>SUM(AAG96:AAG101)</f>
        <v>389355</v>
      </c>
      <c r="AAH102" s="87">
        <f>SUM(AAH96:AAH101)</f>
        <v>0</v>
      </c>
      <c r="ABL102" s="87" t="s">
        <v>378</v>
      </c>
      <c r="ABM102" s="87">
        <f>SUM(ABM96:ABM101)</f>
        <v>597055</v>
      </c>
      <c r="ABN102" s="87">
        <f>SUM(ABN96:ABN101)</f>
        <v>0</v>
      </c>
      <c r="ACQ102" s="20" t="s">
        <v>2254</v>
      </c>
      <c r="ACR102" s="20">
        <v>29980</v>
      </c>
      <c r="ACS102" s="20"/>
      <c r="ACT102" s="20" t="s">
        <v>2254</v>
      </c>
      <c r="ACU102" s="20">
        <f>ACR102</f>
        <v>29980</v>
      </c>
      <c r="ACV102" s="20"/>
      <c r="ADW102" s="20" t="s">
        <v>2254</v>
      </c>
      <c r="ADX102" s="20">
        <v>50445</v>
      </c>
      <c r="ADY102" s="20"/>
      <c r="ADZ102" s="20" t="s">
        <v>2254</v>
      </c>
      <c r="AEA102" s="20">
        <f>ADX102</f>
        <v>50445</v>
      </c>
      <c r="AEB102" s="20"/>
      <c r="AFC102" s="20" t="s">
        <v>2254</v>
      </c>
      <c r="AFD102" s="20">
        <v>34870</v>
      </c>
      <c r="AFE102" s="20"/>
      <c r="AFF102" s="20" t="s">
        <v>2254</v>
      </c>
      <c r="AFG102" s="20">
        <f>AFD102</f>
        <v>34870</v>
      </c>
      <c r="AFH102" s="20"/>
      <c r="AGH102" s="20" t="s">
        <v>2254</v>
      </c>
      <c r="AGI102" s="20">
        <v>55900</v>
      </c>
      <c r="AGJ102" s="20"/>
      <c r="AGK102" s="20" t="s">
        <v>2254</v>
      </c>
      <c r="AGL102" s="20">
        <f>AGI102</f>
        <v>55900</v>
      </c>
      <c r="AGM102" s="20"/>
      <c r="AHN102" s="20" t="s">
        <v>2254</v>
      </c>
      <c r="AHO102" s="20">
        <v>78000</v>
      </c>
      <c r="AHP102" s="20"/>
      <c r="AHQ102" s="20" t="s">
        <v>2254</v>
      </c>
      <c r="AHR102" s="20">
        <f>AHO102</f>
        <v>78000</v>
      </c>
      <c r="AHS102" s="20"/>
      <c r="AIS102" s="20" t="s">
        <v>2254</v>
      </c>
      <c r="AIT102" s="85">
        <v>75000</v>
      </c>
      <c r="AIU102" s="20"/>
      <c r="AIV102" s="20" t="s">
        <v>2254</v>
      </c>
      <c r="AIW102" s="20">
        <f>AIT102</f>
        <v>75000</v>
      </c>
      <c r="AIX102" s="20"/>
      <c r="AJY102" s="20" t="s">
        <v>2254</v>
      </c>
      <c r="AJZ102" s="20"/>
      <c r="AKA102" s="20"/>
      <c r="AKB102" s="20" t="s">
        <v>2254</v>
      </c>
      <c r="AKC102" s="20">
        <f>AJZ102</f>
        <v>0</v>
      </c>
      <c r="AKD102" s="20"/>
      <c r="ALE102" s="20" t="s">
        <v>2254</v>
      </c>
      <c r="ALF102" s="20"/>
      <c r="ALG102" s="20"/>
      <c r="ALH102" s="20" t="s">
        <v>2254</v>
      </c>
      <c r="ALI102" s="20">
        <f>ALF102</f>
        <v>0</v>
      </c>
      <c r="ALJ102" s="20"/>
      <c r="AMH102" s="20" t="s">
        <v>2254</v>
      </c>
      <c r="AMI102" s="20"/>
      <c r="AMJ102" s="20"/>
      <c r="AMK102" s="20" t="s">
        <v>2254</v>
      </c>
      <c r="AML102" s="20">
        <f>AMI102</f>
        <v>0</v>
      </c>
      <c r="AMM102" s="20"/>
      <c r="ANN102" s="20" t="s">
        <v>2254</v>
      </c>
      <c r="ANO102" s="20"/>
      <c r="ANP102" s="20"/>
      <c r="ANQ102" s="20" t="s">
        <v>2254</v>
      </c>
      <c r="ANR102" s="20">
        <f>ANO102</f>
        <v>0</v>
      </c>
      <c r="ANS102" s="20"/>
    </row>
    <row r="103" spans="52:1059" ht="21" customHeight="1" thickBot="1" x14ac:dyDescent="0.35">
      <c r="BJ103" s="45"/>
      <c r="BK103" s="45"/>
      <c r="BL103" s="45"/>
      <c r="BM103" s="45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U103" s="59"/>
      <c r="CV103" s="64"/>
      <c r="CW103" s="59"/>
      <c r="CX103" s="59"/>
      <c r="CY103" s="59"/>
      <c r="CZ103" s="59"/>
      <c r="DA103" s="59"/>
      <c r="DB103" s="59"/>
      <c r="DC103" s="59"/>
      <c r="DD103" s="58" t="s">
        <v>33</v>
      </c>
      <c r="DE103" s="58" t="s">
        <v>34</v>
      </c>
      <c r="DF103" s="58" t="s">
        <v>35</v>
      </c>
      <c r="DG103" s="58" t="s">
        <v>36</v>
      </c>
      <c r="DH103" s="58" t="s">
        <v>37</v>
      </c>
      <c r="DI103" s="58" t="s">
        <v>38</v>
      </c>
      <c r="DJ103" s="58" t="s">
        <v>39</v>
      </c>
      <c r="DK103" s="67"/>
      <c r="ED103" s="43"/>
      <c r="EE103" s="43"/>
      <c r="EF103" s="43"/>
      <c r="EG103" s="43"/>
      <c r="EH103" s="43"/>
      <c r="EI103" s="43"/>
      <c r="EP103" s="43"/>
      <c r="EQ103" s="43"/>
      <c r="SC103" s="30">
        <v>1210</v>
      </c>
      <c r="UD103" s="59"/>
      <c r="UE103" s="59"/>
      <c r="UF103" s="59"/>
      <c r="UG103" s="59"/>
      <c r="UH103" s="59"/>
      <c r="UI103" s="59"/>
      <c r="UJ103" s="59"/>
      <c r="UK103" s="58" t="s">
        <v>33</v>
      </c>
      <c r="UL103" s="58" t="s">
        <v>34</v>
      </c>
      <c r="UM103" s="58" t="s">
        <v>35</v>
      </c>
      <c r="UN103" s="58" t="s">
        <v>36</v>
      </c>
      <c r="UO103" s="58" t="s">
        <v>37</v>
      </c>
      <c r="UP103" s="58" t="s">
        <v>38</v>
      </c>
      <c r="UQ103" s="58" t="s">
        <v>39</v>
      </c>
      <c r="ACQ103" s="20" t="s">
        <v>32</v>
      </c>
      <c r="ACR103" s="20"/>
      <c r="ACS103" s="20"/>
      <c r="ACT103" s="20" t="s">
        <v>32</v>
      </c>
      <c r="ACU103" s="20">
        <f>ACR103</f>
        <v>0</v>
      </c>
      <c r="ACV103" s="20"/>
      <c r="ADW103" s="20" t="s">
        <v>32</v>
      </c>
      <c r="ADX103" s="20"/>
      <c r="ADY103" s="20"/>
      <c r="ADZ103" s="20" t="s">
        <v>32</v>
      </c>
      <c r="AEA103" s="20">
        <f>ADX103</f>
        <v>0</v>
      </c>
      <c r="AEB103" s="20"/>
      <c r="AFC103" s="20" t="s">
        <v>32</v>
      </c>
      <c r="AFD103" s="20"/>
      <c r="AFE103" s="20"/>
      <c r="AFF103" s="20" t="s">
        <v>32</v>
      </c>
      <c r="AFG103" s="20">
        <f>AFD103</f>
        <v>0</v>
      </c>
      <c r="AFH103" s="20"/>
      <c r="AGH103" s="20" t="s">
        <v>32</v>
      </c>
      <c r="AGI103" s="20"/>
      <c r="AGJ103" s="20"/>
      <c r="AGK103" s="20" t="s">
        <v>32</v>
      </c>
      <c r="AGL103" s="20">
        <f>AGI103</f>
        <v>0</v>
      </c>
      <c r="AGM103" s="20"/>
      <c r="AHN103" s="20" t="s">
        <v>32</v>
      </c>
      <c r="AHO103" s="20"/>
      <c r="AHP103" s="20"/>
      <c r="AHQ103" s="20" t="s">
        <v>32</v>
      </c>
      <c r="AHR103" s="20">
        <f>AHO103</f>
        <v>0</v>
      </c>
      <c r="AHS103" s="20"/>
      <c r="AIS103" s="20" t="s">
        <v>32</v>
      </c>
      <c r="AIT103" s="85"/>
      <c r="AIU103" s="20"/>
      <c r="AIV103" s="20" t="s">
        <v>32</v>
      </c>
      <c r="AIW103" s="20">
        <f>AIT103</f>
        <v>0</v>
      </c>
      <c r="AIX103" s="20"/>
      <c r="AJY103" s="20" t="s">
        <v>32</v>
      </c>
      <c r="AJZ103" s="20"/>
      <c r="AKA103" s="20"/>
      <c r="AKB103" s="20" t="s">
        <v>32</v>
      </c>
      <c r="AKC103" s="20">
        <f>AJZ103</f>
        <v>0</v>
      </c>
      <c r="AKD103" s="20"/>
      <c r="ALE103" s="20" t="s">
        <v>32</v>
      </c>
      <c r="ALF103" s="20"/>
      <c r="ALG103" s="20"/>
      <c r="ALH103" s="20" t="s">
        <v>32</v>
      </c>
      <c r="ALI103" s="20">
        <f>ALF103</f>
        <v>0</v>
      </c>
      <c r="ALJ103" s="20"/>
      <c r="AMH103" s="20" t="s">
        <v>32</v>
      </c>
      <c r="AMI103" s="20"/>
      <c r="AMJ103" s="20"/>
      <c r="AMK103" s="20" t="s">
        <v>32</v>
      </c>
      <c r="AML103" s="20">
        <f>AMI103</f>
        <v>0</v>
      </c>
      <c r="AMM103" s="20"/>
      <c r="ANN103" s="20" t="s">
        <v>32</v>
      </c>
      <c r="ANO103" s="20"/>
      <c r="ANP103" s="20"/>
      <c r="ANQ103" s="20" t="s">
        <v>32</v>
      </c>
      <c r="ANR103" s="20">
        <f>ANO103</f>
        <v>0</v>
      </c>
      <c r="ANS103" s="20"/>
    </row>
    <row r="104" spans="52:1059" ht="21" customHeight="1" thickBot="1" x14ac:dyDescent="0.35">
      <c r="BJ104" s="45"/>
      <c r="BK104" s="45"/>
      <c r="BL104" s="45"/>
      <c r="BM104" s="45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U104" s="65" t="s">
        <v>40</v>
      </c>
      <c r="CV104" s="57">
        <v>180</v>
      </c>
      <c r="CW104" s="63" t="s">
        <v>41</v>
      </c>
      <c r="CX104" s="62">
        <v>4</v>
      </c>
      <c r="CY104" s="60" t="s">
        <v>42</v>
      </c>
      <c r="CZ104" s="61"/>
      <c r="DA104" s="66">
        <v>10</v>
      </c>
      <c r="DB104" s="59" t="s">
        <v>30</v>
      </c>
      <c r="DC104" s="59"/>
      <c r="DD104" s="68">
        <f>IF(CX104=3,(CV104*25%*DA104),IF(CX104=4,(CV104*25%*DA104),IF(CX104=5,(CV104*25%*DA104),IF(CX104=6,(CV104*20%*DA104),IF(CX104=7,(CV104*15%*DA104)*0)))))</f>
        <v>450</v>
      </c>
      <c r="DE104" s="68">
        <f>IF(CX104=3,(CV104*50%*DA104), IF(CX104=4,(CV104*50%*DA104),IF(CX104=5,(CV104*45%*DA104),IF(CX104=6,(CV104*40%*DA104),0))))</f>
        <v>900</v>
      </c>
      <c r="DF104" s="68">
        <f>IF(CX104=3,(CV104*75%*DA104), IF(CX104=4,(CV104*65%*DA104),IF(CX104=5,(CV104*60%*DA104),IF(CX104=6,(CV104*50%*DA104),0))))</f>
        <v>1170</v>
      </c>
      <c r="DG104" s="68">
        <f>IF(CX104=3,(CV104*100%*DA104), IF(CX104=4,(CV104*85%*DA104),IF(CX104=5,(CV104*70%*DA104),IF(CX104=6,(CV104*65%*DA104),0))))</f>
        <v>1530</v>
      </c>
      <c r="DH104" s="68">
        <f xml:space="preserve"> IF(CX104=3,(CV104*100%*DA104),IF(CX104=4,(CV104*100%*DA104),IF(CX104=5,(CV104*80%*DA104),IF(CX104=6,(CV104*75%*DA104),IF(CX104=7,(CV104*100%*DA104),0)))))</f>
        <v>1800</v>
      </c>
      <c r="DI104" s="68">
        <f xml:space="preserve"> IF(CX104=3,(CV104*100%*DA104),IF(CX104=4,(CV104*100%*DA104),IF(CX104=5,(CV104*100%*DA104),IF(CX104=6,(CV104*85%*DA104),0))))</f>
        <v>1800</v>
      </c>
      <c r="DJ104" s="68">
        <f xml:space="preserve"> IF(CX104=3,(CV104*100%*DA104),IF(CX104=4,(CV104*100%*DA104),IF(CX104=5,(CV104*100%*DA104),IF(CX104=6,(CV104*100%*DA104),0))))</f>
        <v>1800</v>
      </c>
      <c r="DK104" s="68"/>
      <c r="EC104" s="59"/>
      <c r="ED104" s="64"/>
      <c r="EE104" s="59"/>
      <c r="EF104" s="59"/>
      <c r="EG104" s="59"/>
      <c r="EH104" s="59"/>
      <c r="EI104" s="59"/>
      <c r="EJ104" s="59"/>
      <c r="EK104" s="59"/>
      <c r="EL104" s="58" t="s">
        <v>33</v>
      </c>
      <c r="EM104" s="58" t="s">
        <v>34</v>
      </c>
      <c r="EN104" s="58" t="s">
        <v>35</v>
      </c>
      <c r="EO104" s="58" t="s">
        <v>36</v>
      </c>
      <c r="EP104" s="58" t="s">
        <v>37</v>
      </c>
      <c r="EQ104" s="58" t="s">
        <v>38</v>
      </c>
      <c r="ER104" s="58" t="s">
        <v>39</v>
      </c>
      <c r="FB104" s="59"/>
      <c r="FC104" s="64"/>
      <c r="FD104" s="59"/>
      <c r="FE104" s="59"/>
      <c r="FF104" s="59"/>
      <c r="FG104" s="59"/>
      <c r="FH104" s="59"/>
      <c r="FI104" s="59"/>
      <c r="FJ104" s="59"/>
      <c r="FK104" s="58" t="s">
        <v>33</v>
      </c>
      <c r="FL104" s="58" t="s">
        <v>34</v>
      </c>
      <c r="FM104" s="58" t="s">
        <v>35</v>
      </c>
      <c r="FN104" s="58" t="s">
        <v>36</v>
      </c>
      <c r="FO104" s="58" t="s">
        <v>37</v>
      </c>
      <c r="FP104" s="58" t="s">
        <v>38</v>
      </c>
      <c r="FQ104" s="58" t="s">
        <v>39</v>
      </c>
      <c r="GM104" s="59"/>
      <c r="GN104" s="64"/>
      <c r="GO104" s="59"/>
      <c r="GP104" s="59"/>
      <c r="GQ104" s="59"/>
      <c r="GR104" s="59"/>
      <c r="GS104" s="59"/>
      <c r="GT104" s="59"/>
      <c r="GU104" s="59"/>
      <c r="GV104" s="58" t="s">
        <v>33</v>
      </c>
      <c r="GW104" s="58" t="s">
        <v>34</v>
      </c>
      <c r="GX104" s="58" t="s">
        <v>35</v>
      </c>
      <c r="GY104" s="58" t="s">
        <v>36</v>
      </c>
      <c r="GZ104" s="58" t="s">
        <v>37</v>
      </c>
      <c r="HA104" s="58" t="s">
        <v>38</v>
      </c>
      <c r="HB104" s="58" t="s">
        <v>39</v>
      </c>
      <c r="HW104" s="59"/>
      <c r="HX104" s="64"/>
      <c r="HY104" s="59"/>
      <c r="HZ104" s="59"/>
      <c r="IA104" s="59"/>
      <c r="IB104" s="59"/>
      <c r="IC104" s="59"/>
      <c r="ID104" s="59"/>
      <c r="IE104" s="59"/>
      <c r="IF104" s="58" t="s">
        <v>33</v>
      </c>
      <c r="IG104" s="58" t="s">
        <v>34</v>
      </c>
      <c r="IH104" s="58" t="s">
        <v>35</v>
      </c>
      <c r="II104" s="58" t="s">
        <v>36</v>
      </c>
      <c r="IJ104" s="58" t="s">
        <v>37</v>
      </c>
      <c r="IK104" s="58" t="s">
        <v>38</v>
      </c>
      <c r="IL104" s="58" t="s">
        <v>39</v>
      </c>
      <c r="JA104" s="59"/>
      <c r="JB104" s="64"/>
      <c r="JC104" s="59"/>
      <c r="JD104" s="59"/>
      <c r="JE104" s="59"/>
      <c r="JF104" s="59"/>
      <c r="JG104" s="59"/>
      <c r="JH104" s="59"/>
      <c r="JI104" s="59"/>
      <c r="JJ104" s="58" t="s">
        <v>33</v>
      </c>
      <c r="JK104" s="58" t="s">
        <v>34</v>
      </c>
      <c r="JL104" s="58" t="s">
        <v>35</v>
      </c>
      <c r="JM104" s="58" t="s">
        <v>36</v>
      </c>
      <c r="JN104" s="58" t="s">
        <v>37</v>
      </c>
      <c r="JO104" s="58" t="s">
        <v>38</v>
      </c>
      <c r="JP104" s="58" t="s">
        <v>39</v>
      </c>
      <c r="KJ104" s="59"/>
      <c r="KK104" s="64"/>
      <c r="KL104" s="59"/>
      <c r="KM104" s="59"/>
      <c r="KN104" s="59"/>
      <c r="KO104" s="59"/>
      <c r="KP104" s="59"/>
      <c r="KQ104" s="59"/>
      <c r="KR104" s="59"/>
      <c r="KS104" s="58" t="s">
        <v>33</v>
      </c>
      <c r="KT104" s="58" t="s">
        <v>34</v>
      </c>
      <c r="KU104" s="58" t="s">
        <v>35</v>
      </c>
      <c r="KV104" s="58" t="s">
        <v>36</v>
      </c>
      <c r="KW104" s="58" t="s">
        <v>37</v>
      </c>
      <c r="KX104" s="58" t="s">
        <v>38</v>
      </c>
      <c r="KY104" s="58" t="s">
        <v>39</v>
      </c>
      <c r="LL104" s="59"/>
      <c r="LM104" s="64"/>
      <c r="LN104" s="59"/>
      <c r="LO104" s="59"/>
      <c r="LP104" s="59"/>
      <c r="LQ104" s="59"/>
      <c r="LR104" s="59"/>
      <c r="LS104" s="59"/>
      <c r="LT104" s="59"/>
      <c r="LU104" s="58" t="s">
        <v>33</v>
      </c>
      <c r="LV104" s="58" t="s">
        <v>34</v>
      </c>
      <c r="LW104" s="58" t="s">
        <v>35</v>
      </c>
      <c r="LX104" s="58" t="s">
        <v>36</v>
      </c>
      <c r="LY104" s="58" t="s">
        <v>37</v>
      </c>
      <c r="LZ104" s="58" t="s">
        <v>38</v>
      </c>
      <c r="MA104" s="58" t="s">
        <v>39</v>
      </c>
      <c r="MR104" s="59"/>
      <c r="MS104" s="59"/>
      <c r="MT104" s="59"/>
      <c r="MU104" s="59"/>
      <c r="MV104" s="59"/>
      <c r="MW104" s="59"/>
      <c r="MX104" s="59"/>
      <c r="MY104" s="58" t="s">
        <v>33</v>
      </c>
      <c r="MZ104" s="58" t="s">
        <v>34</v>
      </c>
      <c r="NA104" s="58" t="s">
        <v>35</v>
      </c>
      <c r="NB104" s="58" t="s">
        <v>36</v>
      </c>
      <c r="NC104" s="58" t="s">
        <v>37</v>
      </c>
      <c r="ND104" s="58" t="s">
        <v>38</v>
      </c>
      <c r="NE104" s="58" t="s">
        <v>39</v>
      </c>
      <c r="NY104" s="59"/>
      <c r="NZ104" s="59"/>
      <c r="OA104" s="59"/>
      <c r="OB104" s="59"/>
      <c r="OC104" s="59"/>
      <c r="OD104" s="59"/>
      <c r="OE104" s="59"/>
      <c r="OF104" s="58" t="s">
        <v>33</v>
      </c>
      <c r="OG104" s="58" t="s">
        <v>34</v>
      </c>
      <c r="OH104" s="58" t="s">
        <v>35</v>
      </c>
      <c r="OI104" s="58" t="s">
        <v>36</v>
      </c>
      <c r="OJ104" s="58" t="s">
        <v>37</v>
      </c>
      <c r="OK104" s="58" t="s">
        <v>38</v>
      </c>
      <c r="OL104" s="58" t="s">
        <v>39</v>
      </c>
      <c r="PD104" s="59"/>
      <c r="PE104" s="59"/>
      <c r="PF104" s="59"/>
      <c r="PG104" s="59"/>
      <c r="PH104" s="59"/>
      <c r="PI104" s="59"/>
      <c r="PJ104" s="59"/>
      <c r="PK104" s="58" t="s">
        <v>33</v>
      </c>
      <c r="PL104" s="58" t="s">
        <v>34</v>
      </c>
      <c r="PM104" s="58" t="s">
        <v>35</v>
      </c>
      <c r="PN104" s="58" t="s">
        <v>36</v>
      </c>
      <c r="PO104" s="58" t="s">
        <v>37</v>
      </c>
      <c r="PP104" s="58" t="s">
        <v>38</v>
      </c>
      <c r="PQ104" s="58" t="s">
        <v>39</v>
      </c>
      <c r="QN104" s="59"/>
      <c r="QO104" s="59"/>
      <c r="QP104" s="59"/>
      <c r="QQ104" s="59"/>
      <c r="QR104" s="59"/>
      <c r="QS104" s="59"/>
      <c r="QT104" s="59"/>
      <c r="QU104" s="58" t="s">
        <v>33</v>
      </c>
      <c r="QV104" s="58" t="s">
        <v>34</v>
      </c>
      <c r="QW104" s="58" t="s">
        <v>35</v>
      </c>
      <c r="QX104" s="58" t="s">
        <v>36</v>
      </c>
      <c r="QY104" s="58" t="s">
        <v>37</v>
      </c>
      <c r="QZ104" s="58" t="s">
        <v>38</v>
      </c>
      <c r="RA104" s="58" t="s">
        <v>39</v>
      </c>
      <c r="RR104" s="59"/>
      <c r="RS104" s="59"/>
      <c r="RT104" s="59"/>
      <c r="RU104" s="59"/>
      <c r="RV104" s="59"/>
      <c r="RW104" s="59"/>
      <c r="RX104" s="59"/>
      <c r="RY104" s="58" t="s">
        <v>33</v>
      </c>
      <c r="RZ104" s="58" t="s">
        <v>34</v>
      </c>
      <c r="SA104" s="58" t="s">
        <v>35</v>
      </c>
      <c r="SB104" s="58" t="s">
        <v>36</v>
      </c>
      <c r="SC104" s="58" t="s">
        <v>37</v>
      </c>
      <c r="SD104" s="58" t="s">
        <v>38</v>
      </c>
      <c r="SE104" s="58" t="s">
        <v>39</v>
      </c>
      <c r="SW104" s="59"/>
      <c r="SX104" s="59"/>
      <c r="SY104" s="59"/>
      <c r="SZ104" s="59"/>
      <c r="TA104" s="59"/>
      <c r="TB104" s="59"/>
      <c r="TC104" s="59"/>
      <c r="TD104" s="58" t="s">
        <v>33</v>
      </c>
      <c r="TE104" s="58" t="s">
        <v>34</v>
      </c>
      <c r="TF104" s="58" t="s">
        <v>35</v>
      </c>
      <c r="TG104" s="58" t="s">
        <v>36</v>
      </c>
      <c r="TH104" s="58" t="s">
        <v>37</v>
      </c>
      <c r="TI104" s="58" t="s">
        <v>38</v>
      </c>
      <c r="TJ104" s="58" t="s">
        <v>39</v>
      </c>
      <c r="TS104" s="136">
        <v>400</v>
      </c>
      <c r="TT104" s="136">
        <v>800</v>
      </c>
      <c r="TU104" s="136">
        <v>1200</v>
      </c>
      <c r="TV104" s="136"/>
      <c r="TW104" s="136">
        <v>1650</v>
      </c>
      <c r="TX104" s="136">
        <v>1650</v>
      </c>
      <c r="TY104" s="136">
        <v>1650</v>
      </c>
      <c r="TZ104" s="136">
        <v>1650</v>
      </c>
      <c r="UA104" s="365">
        <v>1400</v>
      </c>
      <c r="UB104" s="65" t="s">
        <v>40</v>
      </c>
      <c r="UC104" s="57">
        <v>85</v>
      </c>
      <c r="UD104" s="63" t="s">
        <v>41</v>
      </c>
      <c r="UE104" s="62">
        <v>3</v>
      </c>
      <c r="UF104" s="60" t="s">
        <v>42</v>
      </c>
      <c r="UG104" s="61"/>
      <c r="UH104" s="66">
        <v>11</v>
      </c>
      <c r="UI104" s="59" t="s">
        <v>30</v>
      </c>
      <c r="UJ104" s="59"/>
      <c r="UK104" s="68">
        <f>IF(UE104=3,(UC104*25%*UH104),IF(UE104=4,(UC104*25%*UH104),IF(UE104=5,(UC104*25%*UH104),IF(UE104=6,(UC104*20%*UH104),IF(UE104=7,(UC104*15%*UH104)*0)))))</f>
        <v>233.75</v>
      </c>
      <c r="UL104" s="68">
        <f>IF(UE104=3,(UC104*50%*UH104), IF(UE104=4,(UC104*50%*UH104),IF(UE104=5,(UC104*45%*UH104),IF(UE104=6,(UC104*40%*UH104),0))))</f>
        <v>467.5</v>
      </c>
      <c r="UM104" s="68">
        <f>IF(UE104=3,(UC104*75%*UH104), IF(UE104=4,(UC104*65%*UH104),IF(UE104=5,(UC104*60%*UH104),IF(UE104=6,(UC104*50%*UH104),0))))</f>
        <v>701.25</v>
      </c>
      <c r="UN104" s="68">
        <f>IF(UE104=3,(UC104*100%*UH104), IF(UE104=4,(UC104*85%*UH104),IF(UE104=5,(UC104*70%*UH104),IF(UE104=6,(UC104*65%*UH104),0))))</f>
        <v>935</v>
      </c>
      <c r="UO104" s="68">
        <f xml:space="preserve"> IF(UE104=3,(UC104*100%*UH104),IF(UE104=4,(UC104*100%*UH104),IF(UE104=5,(UC104*80%*UH104),IF(UE104=6,(UC104*75%*UH104),IF(UE104=7,(UC104*100%*UH104),0)))))</f>
        <v>935</v>
      </c>
      <c r="UP104" s="68">
        <f xml:space="preserve"> IF(UE104=3,(UC104*100%*UH104),IF(UE104=4,(UC104*100%*UH104),IF(UE104=5,(UC104*100%*UH104),IF(UE104=6,(UC104*85%*UH104),0))))</f>
        <v>935</v>
      </c>
      <c r="UQ104" s="68">
        <f xml:space="preserve"> IF(UE104=3,(UC104*100%*UH104),IF(UE104=4,(UC104*100%*UH104),IF(UE104=5,(UC104*100%*UH104),IF(UE104=6,(UC104*100%*UH104),0))))</f>
        <v>935</v>
      </c>
      <c r="VH104" s="59"/>
      <c r="VI104" s="59"/>
      <c r="VJ104" s="59"/>
      <c r="VK104" s="59"/>
      <c r="VL104" s="59"/>
      <c r="VM104" s="59"/>
      <c r="VN104" s="59"/>
      <c r="VO104" s="58" t="s">
        <v>33</v>
      </c>
      <c r="VP104" s="58" t="s">
        <v>34</v>
      </c>
      <c r="VQ104" s="58" t="s">
        <v>35</v>
      </c>
      <c r="VR104" s="58" t="s">
        <v>36</v>
      </c>
      <c r="VS104" s="58" t="s">
        <v>37</v>
      </c>
      <c r="VT104" s="58" t="s">
        <v>38</v>
      </c>
      <c r="VU104" s="58" t="s">
        <v>39</v>
      </c>
      <c r="WM104" s="59"/>
      <c r="WN104" s="59"/>
      <c r="WO104" s="59"/>
      <c r="WP104" s="59"/>
      <c r="WQ104" s="59"/>
      <c r="WR104" s="59"/>
      <c r="WS104" s="59"/>
      <c r="WT104" s="58" t="s">
        <v>33</v>
      </c>
      <c r="WU104" s="58" t="s">
        <v>34</v>
      </c>
      <c r="WV104" s="58" t="s">
        <v>35</v>
      </c>
      <c r="WW104" s="58" t="s">
        <v>36</v>
      </c>
      <c r="WX104" s="58" t="s">
        <v>37</v>
      </c>
      <c r="WY104" s="58" t="s">
        <v>38</v>
      </c>
      <c r="WZ104" s="58" t="s">
        <v>39</v>
      </c>
      <c r="XO104" s="59"/>
      <c r="XP104" s="59"/>
      <c r="XQ104" s="59"/>
      <c r="XR104" s="59"/>
      <c r="XS104" s="59"/>
      <c r="XT104" s="59"/>
      <c r="XU104" s="59"/>
      <c r="XV104" s="58" t="s">
        <v>33</v>
      </c>
      <c r="XW104" s="58" t="s">
        <v>34</v>
      </c>
      <c r="XX104" s="58" t="s">
        <v>35</v>
      </c>
      <c r="XY104" s="58" t="s">
        <v>36</v>
      </c>
      <c r="XZ104" s="58" t="s">
        <v>37</v>
      </c>
      <c r="YA104" s="58" t="s">
        <v>38</v>
      </c>
      <c r="YB104" s="58" t="s">
        <v>39</v>
      </c>
      <c r="ACQ104" s="20" t="s">
        <v>293</v>
      </c>
      <c r="ACR104" s="20">
        <f>SUM(ACR96:ACR103)</f>
        <v>420880</v>
      </c>
      <c r="ACS104" s="20"/>
      <c r="ACT104" s="20" t="s">
        <v>2257</v>
      </c>
      <c r="ACU104" s="20">
        <f>SUM(ACU96:ACU103)</f>
        <v>420880</v>
      </c>
      <c r="ACV104" s="20"/>
      <c r="ADW104" s="20" t="s">
        <v>293</v>
      </c>
      <c r="ADX104" s="20">
        <f>SUM(ADX96:ADX103)</f>
        <v>609115</v>
      </c>
      <c r="ADY104" s="20"/>
      <c r="ADZ104" s="20" t="s">
        <v>2257</v>
      </c>
      <c r="AEA104" s="20">
        <f>SUM(AEA96:AEA103)</f>
        <v>609115</v>
      </c>
      <c r="AEB104" s="20"/>
      <c r="AFC104" s="20" t="s">
        <v>293</v>
      </c>
      <c r="AFD104" s="20">
        <f>SUM(AFD96:AFD103)</f>
        <v>560420</v>
      </c>
      <c r="AFE104" s="20"/>
      <c r="AFF104" s="20" t="s">
        <v>2257</v>
      </c>
      <c r="AFG104" s="20">
        <f>SUM(AFG96:AFG103)</f>
        <v>560420</v>
      </c>
      <c r="AFH104" s="20"/>
      <c r="AGH104" s="20" t="s">
        <v>293</v>
      </c>
      <c r="AGI104" s="20">
        <f>SUM(AGI96:AGI103)</f>
        <v>527950</v>
      </c>
      <c r="AGJ104" s="20"/>
      <c r="AGK104" s="20" t="s">
        <v>2257</v>
      </c>
      <c r="AGL104" s="20">
        <f>SUM(AGL96:AGL103)</f>
        <v>527950</v>
      </c>
      <c r="AGM104" s="20"/>
      <c r="AHN104" s="20" t="s">
        <v>293</v>
      </c>
      <c r="AHO104" s="20">
        <f>SUM(AHO96:AHO103)</f>
        <v>521650</v>
      </c>
      <c r="AHP104" s="20"/>
      <c r="AHQ104" s="20" t="s">
        <v>2257</v>
      </c>
      <c r="AHR104" s="20">
        <f>SUM(AHR96:AHR103)</f>
        <v>521650</v>
      </c>
      <c r="AHS104" s="20"/>
      <c r="AIS104" s="20" t="s">
        <v>293</v>
      </c>
      <c r="AIT104" s="85">
        <f>SUM(AIT96:AIT103)</f>
        <v>501250</v>
      </c>
      <c r="AIU104" s="20"/>
      <c r="AIV104" s="20" t="s">
        <v>2257</v>
      </c>
      <c r="AIW104" s="20">
        <f>SUM(AIW96:AIW103)</f>
        <v>501250</v>
      </c>
      <c r="AIX104" s="20"/>
      <c r="AJY104" s="20" t="s">
        <v>293</v>
      </c>
      <c r="AJZ104" s="20">
        <f>SUM(AJZ96:AJZ103)</f>
        <v>100</v>
      </c>
      <c r="AKA104" s="20"/>
      <c r="AKB104" s="20" t="s">
        <v>2257</v>
      </c>
      <c r="AKC104" s="20">
        <f>SUM(AKC96:AKC103)</f>
        <v>100</v>
      </c>
      <c r="AKD104" s="20"/>
      <c r="ALE104" s="20" t="s">
        <v>293</v>
      </c>
      <c r="ALF104" s="20">
        <f>SUM(ALF96:ALF103)</f>
        <v>100</v>
      </c>
      <c r="ALG104" s="20"/>
      <c r="ALH104" s="20" t="s">
        <v>2257</v>
      </c>
      <c r="ALI104" s="20">
        <f>SUM(ALI96:ALI103)</f>
        <v>100</v>
      </c>
      <c r="ALJ104" s="20"/>
      <c r="AMH104" s="20" t="s">
        <v>293</v>
      </c>
      <c r="AMI104" s="20">
        <f>SUM(AMI96:AMI103)</f>
        <v>100</v>
      </c>
      <c r="AMJ104" s="20"/>
      <c r="AMK104" s="20" t="s">
        <v>2257</v>
      </c>
      <c r="AML104" s="20">
        <f>SUM(AML96:AML103)</f>
        <v>100</v>
      </c>
      <c r="AMM104" s="20"/>
      <c r="ANN104" s="20" t="s">
        <v>293</v>
      </c>
      <c r="ANO104" s="20">
        <f>SUM(ANO96:ANO103)</f>
        <v>100</v>
      </c>
      <c r="ANP104" s="20"/>
      <c r="ANQ104" s="20" t="s">
        <v>2257</v>
      </c>
      <c r="ANR104" s="20">
        <f>SUM(ANR96:ANR103)</f>
        <v>100</v>
      </c>
      <c r="ANS104" s="20"/>
    </row>
    <row r="105" spans="52:1059" ht="21" customHeight="1" thickBot="1" x14ac:dyDescent="0.3">
      <c r="BJ105" s="45"/>
      <c r="BK105" s="45"/>
      <c r="BL105" s="45"/>
      <c r="BM105" s="45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EC105" s="65" t="s">
        <v>40</v>
      </c>
      <c r="ED105" s="57">
        <v>180</v>
      </c>
      <c r="EE105" s="63" t="s">
        <v>41</v>
      </c>
      <c r="EF105" s="62">
        <v>4</v>
      </c>
      <c r="EG105" s="60" t="s">
        <v>42</v>
      </c>
      <c r="EH105" s="61"/>
      <c r="EI105" s="66">
        <v>10</v>
      </c>
      <c r="EJ105" s="59" t="s">
        <v>30</v>
      </c>
      <c r="EK105" s="59"/>
      <c r="EL105" s="68">
        <f>IF(EF105=3,(ED105*25%*EI105),IF(EF105=4,(ED105*25%*EI105),IF(EF105=5,(ED105*25%*EI105),IF(EF105=6,(ED105*20%*EI105),IF(EF105=7,(ED105*15%*EI105)*0)))))</f>
        <v>450</v>
      </c>
      <c r="EM105" s="68">
        <f>IF(EF105=3,(ED105*50%*EI105), IF(EF105=4,(ED105*50%*EI105),IF(EF105=5,(ED105*45%*EI105),IF(EF105=6,(ED105*40%*EI105),0))))</f>
        <v>900</v>
      </c>
      <c r="EN105" s="68">
        <f>IF(EF105=3,(ED105*75%*EI105), IF(EF105=4,(ED105*65%*EI105),IF(EF105=5,(ED105*60%*EI105),IF(EF105=6,(ED105*50%*EI105),0))))</f>
        <v>1170</v>
      </c>
      <c r="EO105" s="68">
        <f>IF(EF105=3,(ED105*100%*EI105), IF(EF105=4,(ED105*85%*EI105),IF(EF105=5,(ED105*70%*EI105),IF(EF105=6,(ED105*65%*EI105),0))))</f>
        <v>1530</v>
      </c>
      <c r="EP105" s="68">
        <f xml:space="preserve"> IF(EF105=3,(ED105*100%*EI105),IF(EF105=4,(ED105*100%*EI105),IF(EF105=5,(ED105*80%*EI105),IF(EF105=6,(ED105*75%*EI105),IF(EF105=7,(ED105*100%*EI105),0)))))</f>
        <v>1800</v>
      </c>
      <c r="EQ105" s="68">
        <f xml:space="preserve"> IF(EF105=3,(ED105*100%*EI105),IF(EF105=4,(ED105*100%*EI105),IF(EF105=5,(ED105*100%*EI105),IF(EF105=6,(ED105*85%*EI105),0))))</f>
        <v>1800</v>
      </c>
      <c r="ER105" s="68">
        <f xml:space="preserve"> IF(EF105=3,(ED105*100%*EI105),IF(EF105=4,(ED105*100%*EI105),IF(EF105=5,(ED105*100%*EI105),IF(EF105=6,(ED105*100%*EI105),0))))</f>
        <v>1800</v>
      </c>
      <c r="FB105" s="65" t="s">
        <v>40</v>
      </c>
      <c r="FC105" s="57">
        <v>140</v>
      </c>
      <c r="FD105" s="63" t="s">
        <v>41</v>
      </c>
      <c r="FE105" s="62">
        <v>5</v>
      </c>
      <c r="FF105" s="60" t="s">
        <v>42</v>
      </c>
      <c r="FG105" s="61"/>
      <c r="FH105" s="66">
        <v>10</v>
      </c>
      <c r="FI105" s="59" t="s">
        <v>30</v>
      </c>
      <c r="FJ105" s="59"/>
      <c r="FK105" s="68">
        <f>IF(FE105=3,(FC105*25%*FH105),IF(FE105=4,(FC105*25%*FH105),IF(FE105=5,(FC105*25%*FH105),IF(FE105=6,(FC105*20%*FH105),IF(FE105=7,(FC105*15%*FH105)*0)))))</f>
        <v>350</v>
      </c>
      <c r="FL105" s="68">
        <f>IF(FE105=3,(FC105*50%*FH105), IF(FE105=4,(FC105*50%*FH105),IF(FE105=5,(FC105*45%*FH105),IF(FE105=6,(FC105*40%*FH105),0))))</f>
        <v>630</v>
      </c>
      <c r="FM105" s="68">
        <f>IF(FE105=3,(FC105*75%*FH105), IF(FE105=4,(FC105*65%*FH105),IF(FE105=5,(FC105*60%*FH105),IF(FE105=6,(FC105*50%*FH105),0))))</f>
        <v>840</v>
      </c>
      <c r="FN105" s="68">
        <f>IF(FE105=3,(FC105*100%*FH105), IF(FE105=4,(FC105*85%*FH105),IF(FE105=5,(FC105*70%*FH105),IF(FE105=6,(FC105*65%*FH105),0))))</f>
        <v>980</v>
      </c>
      <c r="FO105" s="68">
        <f xml:space="preserve"> IF(FE105=3,(FC105*100%*FH105),IF(FE105=4,(FC105*100%*FH105),IF(FE105=5,(FC105*80%*FH105),IF(FE105=6,(FC105*75%*FH105),IF(FE105=7,(FC105*100%*FH105),0)))))</f>
        <v>1120</v>
      </c>
      <c r="FP105" s="68">
        <f xml:space="preserve"> IF(FE105=3,(FC105*100%*FH105),IF(FE105=4,(FC105*100%*FH105),IF(FE105=5,(FC105*100%*FH105),IF(FE105=6,(FC105*85%*FH105),0))))</f>
        <v>1400</v>
      </c>
      <c r="FQ105" s="68">
        <f xml:space="preserve"> IF(FE105=3,(FC105*100%*FH105),IF(FE105=4,(FC105*100%*FH105),IF(FE105=5,(FC105*100%*FH105),IF(FE105=6,(FC105*100%*FH105),0))))</f>
        <v>1400</v>
      </c>
      <c r="GM105" s="65" t="s">
        <v>40</v>
      </c>
      <c r="GN105" s="57">
        <v>110</v>
      </c>
      <c r="GO105" s="63" t="s">
        <v>41</v>
      </c>
      <c r="GP105" s="62">
        <v>5</v>
      </c>
      <c r="GQ105" s="60" t="s">
        <v>42</v>
      </c>
      <c r="GR105" s="61"/>
      <c r="GS105" s="66">
        <v>10</v>
      </c>
      <c r="GT105" s="59" t="s">
        <v>30</v>
      </c>
      <c r="GU105" s="59"/>
      <c r="GV105" s="68">
        <f>IF(GP105=3,(GN105*25%*GS105),IF(GP105=4,(GN105*25%*GS105),IF(GP105=5,(GN105*25%*GS105),IF(GP105=6,(GN105*20%*GS105),IF(GP105=7,(GN105*15%*GS105)*0)))))</f>
        <v>275</v>
      </c>
      <c r="GW105" s="68">
        <f>IF(GP105=3,(GN105*50%*GS105), IF(GP105=4,(GN105*50%*GS105),IF(GP105=5,(GN105*45%*GS105),IF(GP105=6,(GN105*40%*GS105),0))))</f>
        <v>495</v>
      </c>
      <c r="GX105" s="68">
        <f>IF(GP105=3,(GN105*75%*GS105), IF(GP105=4,(GN105*65%*GS105),IF(GP105=5,(GN105*60%*GS105),IF(GP105=6,(GN105*50%*GS105),0))))</f>
        <v>660</v>
      </c>
      <c r="GY105" s="68">
        <f>IF(GP105=3,(GN105*100%*GS105), IF(GP105=4,(GN105*85%*GS105),IF(GP105=5,(GN105*70%*GS105),IF(GP105=6,(GN105*65%*GS105),0))))</f>
        <v>770</v>
      </c>
      <c r="GZ105" s="68">
        <f xml:space="preserve"> IF(GP105=3,(GN105*100%*GS105),IF(GP105=4,(GN105*100%*GS105),IF(GP105=5,(GN105*80%*GS105),IF(GP105=6,(GN105*75%*GS105),IF(GP105=7,(GN105*100%*GS105),0)))))</f>
        <v>880</v>
      </c>
      <c r="HA105" s="68">
        <f xml:space="preserve"> IF(GP105=3,(GN105*100%*GS105),IF(GP105=4,(GN105*100%*GS105),IF(GP105=5,(GN105*100%*GS105),IF(GP105=6,(GN105*85%*GS105),0))))</f>
        <v>1100</v>
      </c>
      <c r="HB105" s="68">
        <f xml:space="preserve"> IF(GP105=3,(GN105*100%*GS105),IF(GP105=4,(GN105*100%*GS105),IF(GP105=5,(GN105*100%*GS105),IF(GP105=6,(GN105*100%*GS105),0))))</f>
        <v>1100</v>
      </c>
      <c r="HW105" s="65" t="s">
        <v>40</v>
      </c>
      <c r="HX105" s="57">
        <v>240</v>
      </c>
      <c r="HY105" s="63" t="s">
        <v>41</v>
      </c>
      <c r="HZ105" s="62">
        <v>3</v>
      </c>
      <c r="IA105" s="60" t="s">
        <v>42</v>
      </c>
      <c r="IB105" s="61"/>
      <c r="IC105" s="66">
        <v>11</v>
      </c>
      <c r="ID105" s="59" t="s">
        <v>30</v>
      </c>
      <c r="IE105" s="59"/>
      <c r="IF105" s="68">
        <f>IF(HZ105=3,(HX105*25%*IC105),IF(HZ105=4,(HX105*25%*IC105),IF(HZ105=5,(HX105*25%*IC105),IF(HZ105=6,(HX105*20%*IC105),IF(HZ105=7,(HX105*15%*IC105)*0)))))</f>
        <v>660</v>
      </c>
      <c r="IG105" s="68">
        <f>IF(HZ105=3,(HX105*50%*IC105), IF(HZ105=4,(HX105*50%*IC105),IF(HZ105=5,(HX105*45%*IC105),IF(HZ105=6,(HX105*40%*IC105),0))))</f>
        <v>1320</v>
      </c>
      <c r="IH105" s="68">
        <f>IF(HZ105=3,(HX105*75%*IC105), IF(HZ105=4,(HX105*65%*IC105),IF(HZ105=5,(HX105*60%*IC105),IF(HZ105=6,(HX105*50%*IC105),0))))</f>
        <v>1980</v>
      </c>
      <c r="II105" s="68">
        <f>IF(HZ105=3,(HX105*100%*IC105), IF(HZ105=4,(HX105*85%*IC105),IF(HZ105=5,(HX105*70%*IC105),IF(HZ105=6,(HX105*65%*IC105),0))))</f>
        <v>2640</v>
      </c>
      <c r="IJ105" s="68">
        <f xml:space="preserve"> IF(HZ105=3,(HX105*100%*IC105),IF(HZ105=4,(HX105*100%*IC105),IF(HZ105=5,(HX105*80%*IC105),IF(HZ105=6,(HX105*75%*IC105),IF(HZ105=7,(HX105*100%*IC105),0)))))</f>
        <v>2640</v>
      </c>
      <c r="IK105" s="68">
        <f xml:space="preserve"> IF(HZ105=3,(HX105*100%*IC105),IF(HZ105=4,(HX105*100%*IC105),IF(HZ105=5,(HX105*100%*IC105),IF(HZ105=6,(HX105*85%*IC105),0))))</f>
        <v>2640</v>
      </c>
      <c r="IL105" s="68">
        <f xml:space="preserve"> IF(HZ105=3,(HX105*100%*IC105),IF(HZ105=4,(HX105*100%*IC105),IF(HZ105=5,(HX105*100%*IC105),IF(HZ105=6,(HX105*100%*IC105),0))))</f>
        <v>2640</v>
      </c>
      <c r="JA105" s="65" t="s">
        <v>40</v>
      </c>
      <c r="JB105" s="57">
        <v>160</v>
      </c>
      <c r="JC105" s="63" t="s">
        <v>41</v>
      </c>
      <c r="JD105" s="62">
        <v>3</v>
      </c>
      <c r="JE105" s="60" t="s">
        <v>42</v>
      </c>
      <c r="JF105" s="61"/>
      <c r="JG105" s="66">
        <v>11</v>
      </c>
      <c r="JH105" s="59" t="s">
        <v>30</v>
      </c>
      <c r="JI105" s="59"/>
      <c r="JJ105" s="68">
        <f>IF(JD105=3,(JB105*25%*JG105),IF(JD105=4,(JB105*25%*JG105),IF(JD105=5,(JB105*25%*JG105),IF(JD105=6,(JB105*20%*JG105),IF(JD105=7,(JB105*15%*JG105)*0)))))</f>
        <v>440</v>
      </c>
      <c r="JK105" s="68">
        <f>IF(JD105=3,(JB105*50%*JG105), IF(JD105=4,(JB105*50%*JG105),IF(JD105=5,(JB105*45%*JG105),IF(JD105=6,(JB105*40%*JG105),0))))</f>
        <v>880</v>
      </c>
      <c r="JL105" s="68">
        <f>IF(JD105=3,(JB105*75%*JG105), IF(JD105=4,(JB105*65%*JG105),IF(JD105=5,(JB105*60%*JG105),IF(JD105=6,(JB105*50%*JG105),0))))</f>
        <v>1320</v>
      </c>
      <c r="JM105" s="68">
        <f>IF(JD105=3,(JB105*100%*JG105), IF(JD105=4,(JB105*85%*JG105),IF(JD105=5,(JB105*70%*JG105),IF(JD105=6,(JB105*65%*JG105),0))))</f>
        <v>1760</v>
      </c>
      <c r="JN105" s="68">
        <f xml:space="preserve"> IF(JD105=3,(JB105*100%*JG105),IF(JD105=4,(JB105*100%*JG105),IF(JD105=5,(JB105*80%*JG105),IF(JD105=6,(JB105*75%*JG105),IF(JD105=7,(JB105*100%*JG105),0)))))</f>
        <v>1760</v>
      </c>
      <c r="JO105" s="68">
        <f xml:space="preserve"> IF(JD105=3,(JB105*100%*JG105),IF(JD105=4,(JB105*100%*JG105),IF(JD105=5,(JB105*100%*JG105),IF(JD105=6,(JB105*85%*JG105),0))))</f>
        <v>1760</v>
      </c>
      <c r="JP105" s="68">
        <f xml:space="preserve"> IF(JD105=3,(JB105*100%*JG105),IF(JD105=4,(JB105*100%*JG105),IF(JD105=5,(JB105*100%*JG105),IF(JD105=6,(JB105*100%*JG105),0))))</f>
        <v>1760</v>
      </c>
      <c r="JQ105" s="30">
        <v>1920</v>
      </c>
      <c r="KJ105" s="65" t="s">
        <v>40</v>
      </c>
      <c r="KK105" s="57">
        <v>230</v>
      </c>
      <c r="KL105" s="63" t="s">
        <v>41</v>
      </c>
      <c r="KM105" s="62">
        <v>3</v>
      </c>
      <c r="KN105" s="60" t="s">
        <v>42</v>
      </c>
      <c r="KO105" s="61"/>
      <c r="KP105" s="66">
        <v>12</v>
      </c>
      <c r="KQ105" s="59" t="s">
        <v>30</v>
      </c>
      <c r="KR105" s="59"/>
      <c r="KS105" s="68">
        <f>IF(KM105=3,(KK105*25%*KP105),IF(KM105=4,(KK105*25%*KP105),IF(KM105=5,(KK105*25%*KP105),IF(KM105=6,(KK105*20%*KP105),IF(KM105=7,(KK105*15%*KP105)*0)))))</f>
        <v>690</v>
      </c>
      <c r="KT105" s="68">
        <f>IF(KM105=3,(KK105*50%*KP105), IF(KM105=4,(KK105*50%*KP105),IF(KM105=5,(KK105*45%*KP105),IF(KM105=6,(KK105*40%*KP105),0))))</f>
        <v>1380</v>
      </c>
      <c r="KU105" s="68">
        <f>IF(KM105=3,(KK105*75%*KP105), IF(KM105=4,(KK105*65%*KP105),IF(KM105=5,(KK105*60%*KP105),IF(KM105=6,(KK105*50%*KP105),0))))</f>
        <v>2070</v>
      </c>
      <c r="KV105" s="68">
        <f>IF(KM105=3,(KK105*100%*KP105), IF(KM105=4,(KK105*85%*KP105),IF(KM105=5,(KK105*70%*KP105),IF(KM105=6,(KK105*65%*KP105),0))))</f>
        <v>2760</v>
      </c>
      <c r="KW105" s="68">
        <f xml:space="preserve"> IF(KM105=3,(KK105*100%*KP105),IF(KM105=4,(KK105*100%*KP105),IF(KM105=5,(KK105*80%*KP105),IF(KM105=6,(KK105*75%*KP105),IF(KM105=7,(KK105*100%*KP105),0)))))</f>
        <v>2760</v>
      </c>
      <c r="KX105" s="68">
        <f xml:space="preserve"> IF(KM105=3,(KK105*100%*KP105),IF(KM105=4,(KK105*100%*KP105),IF(KM105=5,(KK105*100%*KP105),IF(KM105=6,(KK105*85%*KP105),0))))</f>
        <v>2760</v>
      </c>
      <c r="KY105" s="68">
        <f xml:space="preserve"> IF(KM105=3,(KK105*100%*KP105),IF(KM105=4,(KK105*100%*KP105),IF(KM105=5,(KK105*100%*KP105),IF(KM105=6,(KK105*100%*KP105),0))))</f>
        <v>2760</v>
      </c>
      <c r="LL105" s="65" t="s">
        <v>40</v>
      </c>
      <c r="LM105" s="57">
        <v>180</v>
      </c>
      <c r="LN105" s="63" t="s">
        <v>41</v>
      </c>
      <c r="LO105" s="62">
        <v>3</v>
      </c>
      <c r="LP105" s="60" t="s">
        <v>42</v>
      </c>
      <c r="LQ105" s="61"/>
      <c r="LR105" s="66">
        <v>8</v>
      </c>
      <c r="LS105" s="59" t="s">
        <v>30</v>
      </c>
      <c r="LT105" s="59"/>
      <c r="LU105" s="68">
        <f>IF(LO105=3,(LM105*25%*LR105),IF(LO105=4,(LM105*25%*LR105),IF(LO105=5,(LM105*25%*LR105),IF(LO105=6,(LM105*20%*LR105),IF(LO105=7,(LM105*15%*LR105)*0)))))</f>
        <v>360</v>
      </c>
      <c r="LV105" s="68">
        <f>IF(LO105=3,(LM105*50%*LR105), IF(LO105=4,(LM105*50%*LR105),IF(LO105=5,(LM105*45%*LR105),IF(LO105=6,(LM105*40%*LR105),0))))</f>
        <v>720</v>
      </c>
      <c r="LW105" s="68">
        <f>IF(LO105=3,(LM105*75%*LR105), IF(LO105=4,(LM105*65%*LR105),IF(LO105=5,(LM105*60%*LR105),IF(LO105=6,(LM105*50%*LR105),0))))</f>
        <v>1080</v>
      </c>
      <c r="LX105" s="68">
        <f>IF(LO105=3,(LM105*100%*LR105), IF(LO105=4,(LM105*85%*LR105),IF(LO105=5,(LM105*70%*LR105),IF(LO105=6,(LM105*65%*LR105),0))))</f>
        <v>1440</v>
      </c>
      <c r="LY105" s="68">
        <f xml:space="preserve"> IF(LO105=3,(LM105*100%*LR105),IF(LO105=4,(LM105*100%*LR105),IF(LO105=5,(LM105*80%*LR105),IF(LO105=6,(LM105*75%*LR105),IF(LO105=7,(LM105*100%*LR105),0)))))</f>
        <v>1440</v>
      </c>
      <c r="LZ105" s="68">
        <f xml:space="preserve"> IF(LO105=3,(LM105*100%*LR105),IF(LO105=4,(LM105*100%*LR105),IF(LO105=5,(LM105*100%*LR105),IF(LO105=6,(LM105*85%*LR105),0))))</f>
        <v>1440</v>
      </c>
      <c r="MA105" s="68">
        <f xml:space="preserve"> IF(LO105=3,(LM105*100%*LR105),IF(LO105=4,(LM105*100%*LR105),IF(LO105=5,(LM105*100%*LR105),IF(LO105=6,(LM105*100%*LR105),0))))</f>
        <v>1440</v>
      </c>
      <c r="MP105" s="65" t="s">
        <v>40</v>
      </c>
      <c r="MQ105" s="57">
        <v>120</v>
      </c>
      <c r="MR105" s="63" t="s">
        <v>41</v>
      </c>
      <c r="MS105" s="62">
        <v>4</v>
      </c>
      <c r="MT105" s="60" t="s">
        <v>42</v>
      </c>
      <c r="MU105" s="61"/>
      <c r="MV105" s="66">
        <v>11</v>
      </c>
      <c r="MW105" s="59" t="s">
        <v>30</v>
      </c>
      <c r="MX105" s="59"/>
      <c r="MY105" s="68">
        <f>IF(MS105=3,(MQ105*25%*MV105),IF(MS105=4,(MQ105*25%*MV105),IF(MS105=5,(MQ105*25%*MV105),IF(MS105=6,(MQ105*20%*MV105),IF(MS105=7,(MQ105*15%*MV105)*0)))))</f>
        <v>330</v>
      </c>
      <c r="MZ105" s="68">
        <f>IF(MS105=3,(MQ105*50%*MV105), IF(MS105=4,(MQ105*50%*MV105),IF(MS105=5,(MQ105*45%*MV105),IF(MS105=6,(MQ105*40%*MV105),0))))</f>
        <v>660</v>
      </c>
      <c r="NA105" s="68">
        <f>IF(MS105=3,(MQ105*75%*MV105), IF(MS105=4,(MQ105*65%*MV105),IF(MS105=5,(MQ105*60%*MV105),IF(MS105=6,(MQ105*50%*MV105),0))))</f>
        <v>858</v>
      </c>
      <c r="NB105" s="68">
        <f>IF(MS105=3,(MQ105*100%*MV105), IF(MS105=4,(MQ105*85%*MV105),IF(MS105=5,(MQ105*70%*MV105),IF(MS105=6,(MQ105*65%*MV105),0))))</f>
        <v>1122</v>
      </c>
      <c r="NC105" s="68">
        <f xml:space="preserve"> IF(MS105=3,(MQ105*100%*MV105),IF(MS105=4,(MQ105*100%*MV105),IF(MS105=5,(MQ105*80%*MV105),IF(MS105=6,(MQ105*75%*MV105),IF(MS105=7,(MQ105*100%*MV105),0)))))</f>
        <v>1320</v>
      </c>
      <c r="ND105" s="68">
        <f xml:space="preserve"> IF(MS105=3,(MQ105*100%*MV105),IF(MS105=4,(MQ105*100%*MV105),IF(MS105=5,(MQ105*100%*MV105),IF(MS105=6,(MQ105*85%*MV105),0))))</f>
        <v>1320</v>
      </c>
      <c r="NE105" s="68">
        <f xml:space="preserve"> IF(MS105=3,(MQ105*100%*MV105),IF(MS105=4,(MQ105*100%*MV105),IF(MS105=5,(MQ105*100%*MV105),IF(MS105=6,(MQ105*100%*MV105),0))))</f>
        <v>1320</v>
      </c>
      <c r="NW105" s="65" t="s">
        <v>40</v>
      </c>
      <c r="NX105" s="57">
        <v>160</v>
      </c>
      <c r="NY105" s="63" t="s">
        <v>41</v>
      </c>
      <c r="NZ105" s="62">
        <v>4</v>
      </c>
      <c r="OA105" s="60" t="s">
        <v>42</v>
      </c>
      <c r="OB105" s="61"/>
      <c r="OC105" s="66">
        <v>11</v>
      </c>
      <c r="OD105" s="59" t="s">
        <v>30</v>
      </c>
      <c r="OE105" s="59"/>
      <c r="OF105" s="68">
        <f>IF(NZ105=3,(NX105*25%*OC105),IF(NZ105=4,(NX105*25%*OC105),IF(NZ105=5,(NX105*25%*OC105),IF(NZ105=6,(NX105*20%*OC105),IF(NZ105=7,(NX105*15%*OC105)*0)))))</f>
        <v>440</v>
      </c>
      <c r="OG105" s="68">
        <f>IF(NZ105=3,(NX105*50%*OC105), IF(NZ105=4,(NX105*50%*OC105),IF(NZ105=5,(NX105*45%*OC105),IF(NZ105=6,(NX105*40%*OC105),0))))</f>
        <v>880</v>
      </c>
      <c r="OH105" s="68">
        <f>IF(NZ105=3,(NX105*75%*OC105), IF(NZ105=4,(NX105*65%*OC105),IF(NZ105=5,(NX105*60%*OC105),IF(NZ105=6,(NX105*50%*OC105),0))))</f>
        <v>1144</v>
      </c>
      <c r="OI105" s="68">
        <f>IF(NZ105=3,(NX105*100%*OC105), IF(NZ105=4,(NX105*85%*OC105),IF(NZ105=5,(NX105*70%*OC105),IF(NZ105=6,(NX105*65%*OC105),0))))</f>
        <v>1496</v>
      </c>
      <c r="OJ105" s="68">
        <f xml:space="preserve"> IF(NZ105=3,(NX105*100%*OC105),IF(NZ105=4,(NX105*100%*OC105),IF(NZ105=5,(NX105*80%*OC105),IF(NZ105=6,(NX105*75%*OC105),IF(NZ105=7,(NX105*100%*OC105),0)))))</f>
        <v>1760</v>
      </c>
      <c r="OK105" s="68">
        <f xml:space="preserve"> IF(NZ105=3,(NX105*100%*OC105),IF(NZ105=4,(NX105*100%*OC105),IF(NZ105=5,(NX105*100%*OC105),IF(NZ105=6,(NX105*85%*OC105),0))))</f>
        <v>1760</v>
      </c>
      <c r="OL105" s="68">
        <f xml:space="preserve"> IF(NZ105=3,(NX105*100%*OC105),IF(NZ105=4,(NX105*100%*OC105),IF(NZ105=5,(NX105*100%*OC105),IF(NZ105=6,(NX105*100%*OC105),0))))</f>
        <v>1760</v>
      </c>
      <c r="PB105" s="65" t="s">
        <v>40</v>
      </c>
      <c r="PC105" s="57">
        <v>210</v>
      </c>
      <c r="PD105" s="63" t="s">
        <v>41</v>
      </c>
      <c r="PE105" s="62">
        <v>3</v>
      </c>
      <c r="PF105" s="60" t="s">
        <v>42</v>
      </c>
      <c r="PG105" s="61"/>
      <c r="PH105" s="66">
        <v>8</v>
      </c>
      <c r="PI105" s="59" t="s">
        <v>30</v>
      </c>
      <c r="PJ105" s="59"/>
      <c r="PK105" s="68">
        <f>IF(PE105=3,(PC105*25%*PH105),IF(PE105=4,(PC105*25%*PH105),IF(PE105=5,(PC105*25%*PH105),IF(PE105=6,(PC105*20%*PH105),IF(PE105=7,(PC105*15%*PH105)*0)))))</f>
        <v>420</v>
      </c>
      <c r="PL105" s="68">
        <f>IF(PE105=3,(PC105*50%*PH105), IF(PE105=4,(PC105*50%*PH105),IF(PE105=5,(PC105*45%*PH105),IF(PE105=6,(PC105*40%*PH105),0))))</f>
        <v>840</v>
      </c>
      <c r="PM105" s="68">
        <f>IF(PE105=3,(PC105*75%*PH105), IF(PE105=4,(PC105*65%*PH105),IF(PE105=5,(PC105*60%*PH105),IF(PE105=6,(PC105*50%*PH105),0))))</f>
        <v>1260</v>
      </c>
      <c r="PN105" s="68">
        <f>IF(PE105=3,(PC105*100%*PH105), IF(PE105=4,(PC105*85%*PH105),IF(PE105=5,(PC105*70%*PH105),IF(PE105=6,(PC105*65%*PH105),0))))</f>
        <v>1680</v>
      </c>
      <c r="PO105" s="68">
        <f xml:space="preserve"> IF(PE105=3,(PC105*100%*PH105),IF(PE105=4,(PC105*100%*PH105),IF(PE105=5,(PC105*80%*PH105),IF(PE105=6,(PC105*75%*PH105),IF(PE105=7,(PC105*100%*PH105),0)))))</f>
        <v>1680</v>
      </c>
      <c r="PP105" s="68">
        <f xml:space="preserve"> IF(PE105=3,(PC105*100%*PH105),IF(PE105=4,(PC105*100%*PH105),IF(PE105=5,(PC105*100%*PH105),IF(PE105=6,(PC105*85%*PH105),0))))</f>
        <v>1680</v>
      </c>
      <c r="PQ105" s="68">
        <f xml:space="preserve"> IF(PE105=3,(PC105*100%*PH105),IF(PE105=4,(PC105*100%*PH105),IF(PE105=5,(PC105*100%*PH105),IF(PE105=6,(PC105*100%*PH105),0))))</f>
        <v>1680</v>
      </c>
      <c r="QL105" s="65" t="s">
        <v>40</v>
      </c>
      <c r="QM105" s="57">
        <v>130</v>
      </c>
      <c r="QN105" s="63" t="s">
        <v>41</v>
      </c>
      <c r="QO105" s="62">
        <v>4</v>
      </c>
      <c r="QP105" s="60" t="s">
        <v>42</v>
      </c>
      <c r="QQ105" s="61"/>
      <c r="QR105" s="66">
        <v>11</v>
      </c>
      <c r="QS105" s="59" t="s">
        <v>30</v>
      </c>
      <c r="QT105" s="59"/>
      <c r="QU105" s="68">
        <f>IF(QO105=3,(QM105*25%*QR105),IF(QO105=4,(QM105*25%*QR105),IF(QO105=5,(QM105*25%*QR105),IF(QO105=6,(QM105*20%*QR105),IF(QO105=7,(QM105*15%*QR105)*0)))))</f>
        <v>357.5</v>
      </c>
      <c r="QV105" s="68">
        <f>IF(QO105=3,(QM105*50%*QR105), IF(QO105=4,(QM105*50%*QR105),IF(QO105=5,(QM105*45%*QR105),IF(QO105=6,(QM105*40%*QR105),0))))</f>
        <v>715</v>
      </c>
      <c r="QW105" s="68">
        <f>IF(QO105=3,(QM105*75%*QR105), IF(QO105=4,(QM105*65%*QR105),IF(QO105=5,(QM105*60%*QR105),IF(QO105=6,(QM105*50%*QR105),0))))</f>
        <v>929.5</v>
      </c>
      <c r="QX105" s="68">
        <f>IF(QO105=3,(QM105*100%*QR105), IF(QO105=4,(QM105*85%*QR105),IF(QO105=5,(QM105*70%*QR105),IF(QO105=6,(QM105*65%*QR105),0))))</f>
        <v>1215.5</v>
      </c>
      <c r="QY105" s="68">
        <f xml:space="preserve"> IF(QO105=3,(QM105*100%*QR105),IF(QO105=4,(QM105*100%*QR105),IF(QO105=5,(QM105*80%*QR105),IF(QO105=6,(QM105*75%*QR105),IF(QO105=7,(QM105*100%*QR105),0)))))</f>
        <v>1430</v>
      </c>
      <c r="QZ105" s="68">
        <f xml:space="preserve"> IF(QO105=3,(QM105*100%*QR105),IF(QO105=4,(QM105*100%*QR105),IF(QO105=5,(QM105*100%*QR105),IF(QO105=6,(QM105*85%*QR105),0))))</f>
        <v>1430</v>
      </c>
      <c r="RA105" s="68">
        <f xml:space="preserve"> IF(QO105=3,(QM105*100%*QR105),IF(QO105=4,(QM105*100%*QR105),IF(QO105=5,(QM105*100%*QR105),IF(QO105=6,(QM105*100%*QR105),0))))</f>
        <v>1430</v>
      </c>
      <c r="RP105" s="65" t="s">
        <v>40</v>
      </c>
      <c r="RQ105" s="57">
        <v>215</v>
      </c>
      <c r="RR105" s="63" t="s">
        <v>41</v>
      </c>
      <c r="RS105" s="62">
        <v>4</v>
      </c>
      <c r="RT105" s="60" t="s">
        <v>42</v>
      </c>
      <c r="RU105" s="61"/>
      <c r="RV105" s="66">
        <v>11</v>
      </c>
      <c r="RW105" s="59" t="s">
        <v>30</v>
      </c>
      <c r="RX105" s="59"/>
      <c r="RY105" s="68">
        <f>IF(RS105=3,(RQ105*25%*RV105),IF(RS105=4,(RQ105*25%*RV105),IF(RS105=5,(RQ105*25%*RV105),IF(RS105=6,(RQ105*20%*RV105),IF(RS105=7,(RQ105*15%*RV105)*0)))))</f>
        <v>591.25</v>
      </c>
      <c r="RZ105" s="68">
        <f>IF(RS105=3,(RQ105*50%*RV105), IF(RS105=4,(RQ105*50%*RV105),IF(RS105=5,(RQ105*45%*RV105),IF(RS105=6,(RQ105*40%*RV105),0))))</f>
        <v>1182.5</v>
      </c>
      <c r="SA105" s="68">
        <f>IF(RS105=3,(RQ105*75%*RV105), IF(RS105=4,(RQ105*65%*RV105),IF(RS105=5,(RQ105*60%*RV105),IF(RS105=6,(RQ105*50%*RV105),0))))</f>
        <v>1537.25</v>
      </c>
      <c r="SB105" s="68">
        <f>IF(RS105=3,(RQ105*100%*RV105), IF(RS105=4,(RQ105*85%*RV105),IF(RS105=5,(RQ105*70%*RV105),IF(RS105=6,(RQ105*65%*RV105),0))))</f>
        <v>2010.25</v>
      </c>
      <c r="SC105" s="68">
        <f xml:space="preserve"> IF(RS105=3,(RQ105*100%*RV105),IF(RS105=4,(RQ105*100%*RV105),IF(RS105=5,(RQ105*80%*RV105),IF(RS105=6,(RQ105*75%*RV105),IF(RS105=7,(RQ105*100%*RV105),0)))))</f>
        <v>2365</v>
      </c>
      <c r="SD105" s="68">
        <f xml:space="preserve"> IF(RS105=3,(RQ105*100%*RV105),IF(RS105=4,(RQ105*100%*RV105),IF(RS105=5,(RQ105*100%*RV105),IF(RS105=6,(RQ105*85%*RV105),0))))</f>
        <v>2365</v>
      </c>
      <c r="SE105" s="68">
        <f xml:space="preserve"> IF(RS105=3,(RQ105*100%*RV105),IF(RS105=4,(RQ105*100%*RV105),IF(RS105=5,(RQ105*100%*RV105),IF(RS105=6,(RQ105*100%*RV105),0))))</f>
        <v>2365</v>
      </c>
      <c r="SF105" s="361" t="s">
        <v>1028</v>
      </c>
      <c r="SG105" s="361"/>
      <c r="SH105" s="319"/>
      <c r="SI105" s="319"/>
      <c r="SU105" s="65" t="s">
        <v>40</v>
      </c>
      <c r="SV105" s="57">
        <v>180</v>
      </c>
      <c r="SW105" s="63" t="s">
        <v>41</v>
      </c>
      <c r="SX105" s="62">
        <v>3</v>
      </c>
      <c r="SY105" s="60" t="s">
        <v>42</v>
      </c>
      <c r="SZ105" s="61"/>
      <c r="TA105" s="66">
        <v>11</v>
      </c>
      <c r="TB105" s="59" t="s">
        <v>30</v>
      </c>
      <c r="TC105" s="59"/>
      <c r="TD105" s="68">
        <f>IF(SX105=3,(SV105*25%*TA105),IF(SX105=4,(SV105*25%*TA105),IF(SX105=5,(SV105*25%*TA105),IF(SX105=6,(SV105*20%*TA105),IF(SX105=7,(SV105*15%*TA105)*0)))))</f>
        <v>495</v>
      </c>
      <c r="TE105" s="68">
        <f>IF(SX105=3,(SV105*50%*TA105), IF(SX105=4,(SV105*50%*TA105),IF(SX105=5,(SV105*45%*TA105),IF(SX105=6,(SV105*40%*TA105),0))))</f>
        <v>990</v>
      </c>
      <c r="TF105" s="68">
        <f>IF(SX105=3,(SV105*75%*TA105), IF(SX105=4,(SV105*65%*TA105),IF(SX105=5,(SV105*60%*TA105),IF(SX105=6,(SV105*50%*TA105),0))))</f>
        <v>1485</v>
      </c>
      <c r="TG105" s="68">
        <f>IF(SX105=3,(SV105*100%*TA105), IF(SX105=4,(SV105*85%*TA105),IF(SX105=5,(SV105*70%*TA105),IF(SX105=6,(SV105*65%*TA105),0))))</f>
        <v>1980</v>
      </c>
      <c r="TH105" s="68">
        <f xml:space="preserve"> IF(SX105=3,(SV105*100%*TA105),IF(SX105=4,(SV105*100%*TA105),IF(SX105=5,(SV105*80%*TA105),IF(SX105=6,(SV105*75%*TA105),IF(SX105=7,(SV105*100%*TA105),0)))))</f>
        <v>1980</v>
      </c>
      <c r="TI105" s="68">
        <f xml:space="preserve"> IF(SX105=3,(SV105*100%*TA105),IF(SX105=4,(SV105*100%*TA105),IF(SX105=5,(SV105*100%*TA105),IF(SX105=6,(SV105*85%*TA105),0))))</f>
        <v>1980</v>
      </c>
      <c r="TJ105" s="68">
        <f xml:space="preserve"> IF(SX105=3,(SV105*100%*TA105),IF(SX105=4,(SV105*100%*TA105),IF(SX105=5,(SV105*100%*TA105),IF(SX105=6,(SV105*100%*TA105),0))))</f>
        <v>1980</v>
      </c>
      <c r="TS105" s="361" t="s">
        <v>982</v>
      </c>
      <c r="TT105" s="318"/>
      <c r="TU105" s="319"/>
      <c r="TV105" s="319"/>
      <c r="TW105" s="319"/>
      <c r="TX105" s="319"/>
      <c r="TY105" s="319"/>
      <c r="TZ105" s="319"/>
      <c r="UA105" s="319"/>
      <c r="UB105" s="31"/>
      <c r="UC105" s="31"/>
      <c r="UD105" s="31"/>
      <c r="UE105" s="31"/>
      <c r="VF105" s="65" t="s">
        <v>40</v>
      </c>
      <c r="VG105" s="57">
        <v>140</v>
      </c>
      <c r="VH105" s="63" t="s">
        <v>41</v>
      </c>
      <c r="VI105" s="62">
        <v>6</v>
      </c>
      <c r="VJ105" s="60" t="s">
        <v>42</v>
      </c>
      <c r="VK105" s="61"/>
      <c r="VL105" s="66">
        <v>11</v>
      </c>
      <c r="VM105" s="59" t="s">
        <v>30</v>
      </c>
      <c r="VN105" s="59"/>
      <c r="VO105" s="68">
        <f>IF(VI105=3,(VG105*25%*VL105),IF(VI105=4,(VG105*25%*VL105),IF(VI105=5,(VG105*25%*VL105),IF(VI105=6,(VG105*20%*VL105),IF(VI105=7,(VG105*15%*VL105)*0)))))</f>
        <v>308</v>
      </c>
      <c r="VP105" s="68">
        <f>IF(VI105=3,(VG105*50%*VL105), IF(VI105=4,(VG105*50%*VL105),IF(VI105=5,(VG105*45%*VL105),IF(VI105=6,(VG105*40%*VL105),0))))</f>
        <v>616</v>
      </c>
      <c r="VQ105" s="68">
        <f>IF(VI105=3,(VG105*75%*VL105), IF(VI105=4,(VG105*65%*VL105),IF(VI105=5,(VG105*60%*VL105),IF(VI105=6,(VG105*50%*VL105),0))))</f>
        <v>770</v>
      </c>
      <c r="VR105" s="68">
        <f>IF(VI105=3,(VG105*100%*VL105), IF(VI105=4,(VG105*85%*VL105),IF(VI105=5,(VG105*70%*VL105),IF(VI105=6,(VG105*65%*VL105),0))))</f>
        <v>1001</v>
      </c>
      <c r="VS105" s="68">
        <f xml:space="preserve"> IF(VI105=3,(VG105*100%*VL105),IF(VI105=4,(VG105*100%*VL105),IF(VI105=5,(VG105*80%*VL105),IF(VI105=6,(VG105*75%*VL105),IF(VI105=7,(VG105*100%*VL105),0)))))</f>
        <v>1155</v>
      </c>
      <c r="VT105" s="68">
        <f xml:space="preserve"> IF(VI105=3,(VG105*100%*VL105),IF(VI105=4,(VG105*100%*VL105),IF(VI105=5,(VG105*100%*VL105),IF(VI105=6,(VG105*85%*VL105),0))))</f>
        <v>1309</v>
      </c>
      <c r="VU105" s="68">
        <f xml:space="preserve"> IF(VI105=3,(VG105*100%*VL105),IF(VI105=4,(VG105*100%*VL105),IF(VI105=5,(VG105*100%*VL105),IF(VI105=6,(VG105*100%*VL105),0))))</f>
        <v>1540</v>
      </c>
      <c r="WK105" s="65" t="s">
        <v>40</v>
      </c>
      <c r="WL105" s="57">
        <v>160</v>
      </c>
      <c r="WM105" s="63" t="s">
        <v>41</v>
      </c>
      <c r="WN105" s="62">
        <v>4</v>
      </c>
      <c r="WO105" s="60" t="s">
        <v>42</v>
      </c>
      <c r="WP105" s="61"/>
      <c r="WQ105" s="66">
        <v>11</v>
      </c>
      <c r="WR105" s="59" t="s">
        <v>30</v>
      </c>
      <c r="WS105" s="59"/>
      <c r="WT105" s="68">
        <f>IF(WN105=3,(WL105*25%*WQ105),IF(WN105=4,(WL105*25%*WQ105),IF(WN105=5,(WL105*25%*WQ105),IF(WN105=6,(WL105*20%*WQ105),IF(WN105=7,(WL105*15%*WQ105)*0)))))</f>
        <v>440</v>
      </c>
      <c r="WU105" s="68">
        <f>IF(WN105=3,(WL105*50%*WQ105), IF(WN105=4,(WL105*50%*WQ105),IF(WN105=5,(WL105*45%*WQ105),IF(WN105=6,(WL105*40%*WQ105),0))))</f>
        <v>880</v>
      </c>
      <c r="WV105" s="68">
        <f>IF(WN105=3,(WL105*75%*WQ105), IF(WN105=4,(WL105*65%*WQ105),IF(WN105=5,(WL105*60%*WQ105),IF(WN105=6,(WL105*50%*WQ105),0))))</f>
        <v>1144</v>
      </c>
      <c r="WW105" s="68">
        <f>IF(WN105=3,(WL105*100%*WQ105), IF(WN105=4,(WL105*85%*WQ105),IF(WN105=5,(WL105*70%*WQ105),IF(WN105=6,(WL105*65%*WQ105),0))))</f>
        <v>1496</v>
      </c>
      <c r="WX105" s="68">
        <f xml:space="preserve"> IF(WN105=3,(WL105*100%*WQ105),IF(WN105=4,(WL105*100%*WQ105),IF(WN105=5,(WL105*80%*WQ105),IF(WN105=6,(WL105*75%*WQ105),IF(WN105=7,(WL105*100%*WQ105),0)))))</f>
        <v>1760</v>
      </c>
      <c r="WY105" s="68">
        <f xml:space="preserve"> IF(WN105=3,(WL105*100%*WQ105),IF(WN105=4,(WL105*100%*WQ105),IF(WN105=5,(WL105*100%*WQ105),IF(WN105=6,(WL105*85%*WQ105),0))))</f>
        <v>1760</v>
      </c>
      <c r="WZ105" s="68">
        <f xml:space="preserve"> IF(WN105=3,(WL105*100%*WQ105),IF(WN105=4,(WL105*100%*WQ105),IF(WN105=5,(WL105*100%*WQ105),IF(WN105=6,(WL105*100%*WQ105),0))))</f>
        <v>1760</v>
      </c>
      <c r="XM105" s="65" t="s">
        <v>40</v>
      </c>
      <c r="XN105" s="57">
        <v>160</v>
      </c>
      <c r="XO105" s="63" t="s">
        <v>41</v>
      </c>
      <c r="XP105" s="62">
        <v>4</v>
      </c>
      <c r="XQ105" s="60" t="s">
        <v>42</v>
      </c>
      <c r="XR105" s="61"/>
      <c r="XS105" s="66">
        <v>11</v>
      </c>
      <c r="XT105" s="59" t="s">
        <v>30</v>
      </c>
      <c r="XU105" s="59"/>
      <c r="XV105" s="68">
        <f>IF(XP105=3,(XN105*25%*XS105),IF(XP105=4,(XN105*25%*XS105),IF(XP105=5,(XN105*25%*XS105),IF(XP105=6,(XN105*20%*XS105),IF(XP105=7,(XN105*15%*XS105)*0)))))</f>
        <v>440</v>
      </c>
      <c r="XW105" s="68">
        <f>IF(XP105=3,(XN105*50%*XS105), IF(XP105=4,(XN105*50%*XS105),IF(XP105=5,(XN105*45%*XS105),IF(XP105=6,(XN105*40%*XS105),0))))</f>
        <v>880</v>
      </c>
      <c r="XX105" s="68">
        <f>IF(XP105=3,(XN105*75%*XS105), IF(XP105=4,(XN105*65%*XS105),IF(XP105=5,(XN105*60%*XS105),IF(XP105=6,(XN105*50%*XS105),0))))</f>
        <v>1144</v>
      </c>
      <c r="XY105" s="68">
        <f>IF(XP105=3,(XN105*100%*XS105), IF(XP105=4,(XN105*85%*XS105),IF(XP105=5,(XN105*70%*XS105),IF(XP105=6,(XN105*65%*XS105),0))))</f>
        <v>1496</v>
      </c>
      <c r="XZ105" s="68">
        <f xml:space="preserve"> IF(XP105=3,(XN105*100%*XS105),IF(XP105=4,(XN105*100%*XS105),IF(XP105=5,(XN105*80%*XS105),IF(XP105=6,(XN105*75%*XS105),IF(XP105=7,(XN105*100%*XS105),0)))))</f>
        <v>1760</v>
      </c>
      <c r="YA105" s="68">
        <f xml:space="preserve"> IF(XP105=3,(XN105*100%*XS105),IF(XP105=4,(XN105*100%*XS105),IF(XP105=5,(XN105*100%*XS105),IF(XP105=6,(XN105*85%*XS105),0))))</f>
        <v>1760</v>
      </c>
      <c r="YB105" s="68">
        <f xml:space="preserve"> IF(XP105=3,(XN105*100%*XS105),IF(XP105=4,(XN105*100%*XS105),IF(XP105=5,(XN105*100%*XS105),IF(XP105=6,(XN105*100%*XS105),0))))</f>
        <v>1760</v>
      </c>
      <c r="ACQ105" s="20" t="s">
        <v>2255</v>
      </c>
      <c r="ACR105" s="20"/>
      <c r="ACS105" s="20"/>
      <c r="ACT105" s="20"/>
      <c r="ACU105" s="20"/>
      <c r="ACV105" s="20"/>
      <c r="ADW105" s="20" t="s">
        <v>2255</v>
      </c>
      <c r="ADX105" s="20"/>
      <c r="ADY105" s="20"/>
      <c r="ADZ105" s="20"/>
      <c r="AEA105" s="20"/>
      <c r="AEB105" s="20"/>
      <c r="AFC105" s="20" t="s">
        <v>2255</v>
      </c>
      <c r="AFD105" s="20"/>
      <c r="AFE105" s="20"/>
      <c r="AFF105" s="20"/>
      <c r="AFG105" s="20"/>
      <c r="AFH105" s="20"/>
      <c r="AGH105" s="20" t="s">
        <v>2255</v>
      </c>
      <c r="AGI105" s="20"/>
      <c r="AGJ105" s="20"/>
      <c r="AGK105" s="20"/>
      <c r="AGL105" s="20"/>
      <c r="AGM105" s="20"/>
      <c r="AHN105" s="20" t="s">
        <v>2255</v>
      </c>
      <c r="AHO105" s="20"/>
      <c r="AHP105" s="20"/>
      <c r="AHQ105" s="20"/>
      <c r="AHR105" s="20"/>
      <c r="AHS105" s="20"/>
      <c r="AIS105" s="20" t="s">
        <v>2255</v>
      </c>
      <c r="AIT105" s="20"/>
      <c r="AIU105" s="20"/>
      <c r="AIV105" s="20"/>
      <c r="AIW105" s="20"/>
      <c r="AIX105" s="20"/>
      <c r="AJY105" s="20" t="s">
        <v>2255</v>
      </c>
      <c r="AJZ105" s="20"/>
      <c r="AKA105" s="20"/>
      <c r="AKB105" s="20"/>
      <c r="AKC105" s="20"/>
      <c r="AKD105" s="20"/>
      <c r="ALE105" s="20" t="s">
        <v>2255</v>
      </c>
      <c r="ALF105" s="20"/>
      <c r="ALG105" s="20"/>
      <c r="ALH105" s="20"/>
      <c r="ALI105" s="20"/>
      <c r="ALJ105" s="20"/>
      <c r="AMH105" s="20" t="s">
        <v>2255</v>
      </c>
      <c r="AMI105" s="20"/>
      <c r="AMJ105" s="20"/>
      <c r="AMK105" s="20"/>
      <c r="AML105" s="20"/>
      <c r="AMM105" s="20"/>
      <c r="ANN105" s="20" t="s">
        <v>2255</v>
      </c>
      <c r="ANO105" s="20"/>
      <c r="ANP105" s="20"/>
      <c r="ANQ105" s="20"/>
      <c r="ANR105" s="20"/>
      <c r="ANS105" s="20"/>
    </row>
    <row r="106" spans="52:1059" ht="30" customHeight="1" x14ac:dyDescent="0.25">
      <c r="BJ106" s="45"/>
      <c r="BK106" s="45"/>
      <c r="BL106" s="45"/>
      <c r="BM106" s="45"/>
      <c r="BN106" s="31"/>
      <c r="BO106" s="43"/>
      <c r="LU106" s="30">
        <f>LU105*0.8</f>
        <v>288</v>
      </c>
      <c r="LV106" s="30">
        <f t="shared" ref="LV106:MA106" si="31">LV105*0.8</f>
        <v>576</v>
      </c>
      <c r="LW106" s="30">
        <f t="shared" si="31"/>
        <v>864</v>
      </c>
      <c r="LX106" s="30">
        <f t="shared" si="31"/>
        <v>1152</v>
      </c>
      <c r="LY106" s="30">
        <f t="shared" si="31"/>
        <v>1152</v>
      </c>
      <c r="LZ106" s="30">
        <f t="shared" si="31"/>
        <v>1152</v>
      </c>
      <c r="MA106" s="30">
        <f t="shared" si="31"/>
        <v>1152</v>
      </c>
      <c r="SF106" s="361" t="s">
        <v>1029</v>
      </c>
      <c r="SG106" s="361"/>
      <c r="SH106" s="319"/>
      <c r="SI106" s="319"/>
      <c r="SZ106" s="345" t="s">
        <v>1034</v>
      </c>
      <c r="TA106" s="318"/>
      <c r="TB106" s="311"/>
      <c r="TC106" s="311"/>
      <c r="TS106" s="314">
        <v>500</v>
      </c>
      <c r="TT106" s="314">
        <v>1000</v>
      </c>
      <c r="TU106" s="314">
        <v>1500</v>
      </c>
      <c r="TV106" s="136"/>
      <c r="TW106" s="136">
        <v>2250</v>
      </c>
      <c r="TX106" s="136">
        <v>2250</v>
      </c>
      <c r="TY106" s="314">
        <v>2250</v>
      </c>
      <c r="TZ106" s="314">
        <v>2250</v>
      </c>
      <c r="UA106" s="136">
        <v>2250</v>
      </c>
      <c r="UB106" s="136">
        <v>2250</v>
      </c>
      <c r="UC106" s="136"/>
      <c r="UD106" s="136">
        <v>2250</v>
      </c>
      <c r="UE106" s="365">
        <v>2050</v>
      </c>
      <c r="UF106" s="31"/>
      <c r="UG106" s="314">
        <v>1000</v>
      </c>
      <c r="UH106" s="136"/>
      <c r="UI106" s="314">
        <v>1000</v>
      </c>
      <c r="UJ106" s="314">
        <v>1000</v>
      </c>
      <c r="UK106" s="314">
        <v>570</v>
      </c>
      <c r="XL106" s="314">
        <v>400</v>
      </c>
      <c r="XM106" s="314">
        <v>800</v>
      </c>
      <c r="XN106" s="314">
        <v>1200</v>
      </c>
      <c r="XO106" s="314">
        <v>1500</v>
      </c>
      <c r="XP106" s="314">
        <v>2000</v>
      </c>
      <c r="XQ106" s="136"/>
      <c r="XR106" s="314">
        <v>2200</v>
      </c>
      <c r="XS106" s="314">
        <v>2200</v>
      </c>
      <c r="XT106" s="314">
        <v>2200</v>
      </c>
      <c r="XU106" s="314">
        <v>2200</v>
      </c>
      <c r="XV106" s="314">
        <v>2200</v>
      </c>
      <c r="XW106" s="314">
        <v>2200</v>
      </c>
      <c r="XX106" s="136"/>
      <c r="XY106" s="314">
        <v>2200</v>
      </c>
      <c r="XZ106" s="314">
        <v>2200</v>
      </c>
      <c r="YA106" s="314">
        <v>2200</v>
      </c>
      <c r="YB106" s="314">
        <v>2200</v>
      </c>
      <c r="YC106" s="314">
        <v>2200</v>
      </c>
      <c r="YD106" s="365">
        <v>2200</v>
      </c>
      <c r="AAQ106" s="310"/>
      <c r="AAR106" s="314">
        <v>800</v>
      </c>
      <c r="AAS106" s="314">
        <v>1600</v>
      </c>
      <c r="AAT106" s="314"/>
      <c r="AAU106" s="314">
        <v>2000</v>
      </c>
      <c r="AAV106" s="314">
        <v>2400</v>
      </c>
      <c r="AAW106" s="136">
        <v>2400</v>
      </c>
      <c r="AAX106" s="92"/>
      <c r="AAY106" s="124">
        <v>1200</v>
      </c>
      <c r="ABG106" s="31"/>
      <c r="ABH106" s="31"/>
      <c r="ABI106" s="314">
        <v>600</v>
      </c>
      <c r="ABJ106" s="314">
        <v>1200</v>
      </c>
      <c r="ABK106" s="314">
        <v>1800</v>
      </c>
      <c r="ABL106" s="314">
        <v>2500</v>
      </c>
      <c r="ABM106" s="314">
        <v>2500</v>
      </c>
      <c r="ABN106" s="136">
        <v>2500</v>
      </c>
      <c r="ABO106" s="314"/>
      <c r="ABP106" s="314">
        <v>2500</v>
      </c>
      <c r="ABQ106" s="314">
        <v>2500</v>
      </c>
      <c r="ABR106" s="314">
        <v>2500</v>
      </c>
      <c r="ABS106" s="314">
        <v>2500</v>
      </c>
      <c r="ABT106" s="136">
        <v>2500</v>
      </c>
      <c r="ABU106" s="314">
        <v>2500</v>
      </c>
      <c r="ABV106" s="124">
        <v>1300</v>
      </c>
      <c r="ABW106" s="31"/>
      <c r="ABX106" s="31"/>
      <c r="ABY106" s="31"/>
    </row>
    <row r="107" spans="52:1059" ht="30" customHeight="1" x14ac:dyDescent="0.25">
      <c r="BJ107" s="45"/>
      <c r="BK107" s="45"/>
      <c r="BL107" s="45"/>
      <c r="BM107" s="45"/>
      <c r="BN107" s="31"/>
      <c r="JE107" s="74" t="s">
        <v>381</v>
      </c>
      <c r="JF107" s="74">
        <v>286700</v>
      </c>
      <c r="SZ107" s="345" t="s">
        <v>1035</v>
      </c>
      <c r="TA107" s="318"/>
      <c r="TB107" s="311"/>
      <c r="TC107" s="311"/>
      <c r="TS107" s="361" t="s">
        <v>983</v>
      </c>
      <c r="TT107" s="318"/>
      <c r="TU107" s="319"/>
      <c r="TV107" s="319"/>
      <c r="TW107" s="319"/>
      <c r="TX107" s="319"/>
      <c r="TY107" s="319"/>
      <c r="TZ107" s="319"/>
      <c r="UA107" s="319"/>
      <c r="UB107" s="319"/>
      <c r="UC107" s="319"/>
      <c r="UD107" s="319"/>
      <c r="UE107" s="319"/>
      <c r="UF107" s="210" t="s">
        <v>1195</v>
      </c>
      <c r="UG107" s="210"/>
      <c r="UH107" s="180"/>
      <c r="UI107" s="180"/>
      <c r="UJ107" s="180"/>
      <c r="UK107" s="180"/>
      <c r="XL107" s="361" t="s">
        <v>2038</v>
      </c>
      <c r="XM107" s="318"/>
      <c r="XN107" s="319"/>
      <c r="XO107" s="319"/>
      <c r="XP107" s="319"/>
      <c r="XQ107" s="319"/>
      <c r="XR107" s="319"/>
      <c r="XS107" s="319"/>
      <c r="XT107" s="319"/>
      <c r="XU107" s="319"/>
      <c r="XV107" s="319"/>
      <c r="XW107" s="319"/>
      <c r="XX107" s="319"/>
      <c r="XY107" s="319"/>
      <c r="XZ107" s="319"/>
      <c r="YA107" s="319"/>
      <c r="YB107" s="319"/>
      <c r="YC107" s="319"/>
      <c r="YD107" s="319"/>
      <c r="ZH107" s="310"/>
      <c r="ZI107" s="136">
        <v>450</v>
      </c>
      <c r="ZJ107" s="365">
        <v>600</v>
      </c>
      <c r="ZU107" s="31"/>
      <c r="ZV107" s="31"/>
      <c r="ZW107" s="314">
        <v>600</v>
      </c>
      <c r="ZX107" s="136"/>
      <c r="ZY107" s="136">
        <v>1200</v>
      </c>
      <c r="ZZ107" s="136">
        <v>1800</v>
      </c>
      <c r="AAA107" s="314">
        <v>2250</v>
      </c>
      <c r="AAB107" s="314">
        <v>1500</v>
      </c>
      <c r="AAC107" s="314">
        <v>1800</v>
      </c>
      <c r="AAD107" s="314">
        <v>2750</v>
      </c>
      <c r="AAE107" s="314">
        <v>2750</v>
      </c>
      <c r="AAF107" s="314">
        <v>2750</v>
      </c>
      <c r="AAG107" s="314"/>
      <c r="AAH107" s="314">
        <v>2750</v>
      </c>
      <c r="AAI107" s="124">
        <v>1000</v>
      </c>
      <c r="AAQ107" s="361" t="s">
        <v>2225</v>
      </c>
      <c r="AAR107" s="318"/>
      <c r="AAS107" s="319"/>
      <c r="AAT107" s="319"/>
      <c r="AAU107" s="319"/>
      <c r="AAV107" s="319"/>
      <c r="AAW107" s="319"/>
      <c r="AAX107" s="92"/>
      <c r="AAY107" s="310"/>
      <c r="ABG107" s="361" t="s">
        <v>2082</v>
      </c>
      <c r="ABH107" s="361"/>
      <c r="ABI107" s="319"/>
      <c r="ABJ107" s="319"/>
      <c r="ABK107" s="319"/>
      <c r="ABL107" s="319"/>
      <c r="ABM107" s="319"/>
      <c r="ABN107" s="319"/>
      <c r="ABO107" s="319"/>
      <c r="ABP107" s="319"/>
      <c r="ABQ107" s="319"/>
      <c r="ABR107" s="319"/>
      <c r="ABS107" s="319"/>
      <c r="ABT107" s="319"/>
      <c r="ABU107" s="319"/>
      <c r="ABV107" s="319"/>
      <c r="ABW107" s="31"/>
      <c r="ABX107" s="31"/>
      <c r="ABY107" s="31"/>
    </row>
    <row r="108" spans="52:1059" ht="30" customHeight="1" x14ac:dyDescent="0.25">
      <c r="BJ108" s="45"/>
      <c r="BK108" s="45"/>
      <c r="BL108" s="45"/>
      <c r="BM108" s="45"/>
      <c r="BN108" s="31"/>
      <c r="JE108" s="74" t="s">
        <v>383</v>
      </c>
      <c r="JF108" s="74">
        <v>129000</v>
      </c>
      <c r="KK108" s="74" t="s">
        <v>381</v>
      </c>
      <c r="KL108" s="74">
        <f>225720-30375</f>
        <v>195345</v>
      </c>
      <c r="SG108" s="298"/>
      <c r="SH108" s="298"/>
      <c r="SI108" s="314">
        <v>700</v>
      </c>
      <c r="SJ108" s="136">
        <v>1400</v>
      </c>
      <c r="SK108" s="136">
        <v>2100</v>
      </c>
      <c r="SL108" s="136"/>
      <c r="SM108" s="314">
        <v>2800</v>
      </c>
      <c r="SN108" s="11"/>
      <c r="SO108" s="136">
        <v>2800</v>
      </c>
      <c r="SP108" s="365">
        <v>600</v>
      </c>
      <c r="SQ108" s="136">
        <v>800</v>
      </c>
      <c r="SR108" s="136">
        <v>1500</v>
      </c>
      <c r="SS108" s="136">
        <v>2300</v>
      </c>
      <c r="ST108" s="314"/>
      <c r="SU108" s="136">
        <v>2900</v>
      </c>
      <c r="SV108" s="365">
        <v>2900</v>
      </c>
      <c r="SZ108" s="345" t="s">
        <v>1036</v>
      </c>
      <c r="TA108" s="318"/>
      <c r="TB108" s="311"/>
      <c r="TC108" s="311"/>
      <c r="TS108" s="136"/>
      <c r="TT108" s="136"/>
      <c r="TU108" s="314">
        <v>600</v>
      </c>
      <c r="TV108" s="314">
        <v>1200</v>
      </c>
      <c r="TW108" s="136"/>
      <c r="TX108" s="314">
        <v>1800</v>
      </c>
      <c r="TY108" s="136"/>
      <c r="TZ108" s="314">
        <v>2400</v>
      </c>
      <c r="UA108" s="314">
        <v>2400</v>
      </c>
      <c r="UB108" s="365">
        <v>2000</v>
      </c>
      <c r="UC108" s="31"/>
      <c r="UD108" s="314">
        <v>800</v>
      </c>
      <c r="UE108" s="314">
        <v>1200</v>
      </c>
      <c r="UF108" s="136"/>
      <c r="UG108" s="314">
        <v>1800</v>
      </c>
      <c r="UH108" s="136"/>
      <c r="UI108" s="314">
        <v>1800</v>
      </c>
      <c r="UJ108" s="314">
        <v>1800</v>
      </c>
      <c r="UK108" s="314">
        <v>1800</v>
      </c>
      <c r="UL108" s="314">
        <v>1800</v>
      </c>
      <c r="UM108" s="314">
        <v>1800</v>
      </c>
      <c r="UN108" s="314">
        <v>1800</v>
      </c>
      <c r="UO108" s="136"/>
      <c r="UP108" s="314">
        <v>1800</v>
      </c>
      <c r="UQ108" s="314">
        <v>1800</v>
      </c>
      <c r="UR108" s="365">
        <v>2200</v>
      </c>
      <c r="ZH108" s="361" t="s">
        <v>2023</v>
      </c>
      <c r="ZI108" s="318"/>
      <c r="ZJ108" s="319"/>
      <c r="ZU108" s="361" t="s">
        <v>2120</v>
      </c>
      <c r="ZV108" s="361"/>
      <c r="ZW108" s="319"/>
      <c r="ZX108" s="319"/>
      <c r="ZY108" s="319"/>
      <c r="ZZ108" s="319"/>
      <c r="AAA108" s="319"/>
      <c r="AAB108" s="319"/>
      <c r="AAC108" s="319" t="s">
        <v>2120</v>
      </c>
      <c r="AAD108" s="319"/>
      <c r="AAE108" s="319"/>
      <c r="AAF108" s="319"/>
      <c r="AAG108" s="319"/>
      <c r="AAH108" s="319"/>
      <c r="AAI108" s="319"/>
      <c r="ABG108" s="31"/>
      <c r="ABH108" s="31"/>
      <c r="ABI108" s="310"/>
      <c r="ABJ108" s="310"/>
      <c r="ABK108" s="310"/>
      <c r="ABL108" s="310"/>
      <c r="ABM108" s="310"/>
      <c r="ABN108" s="310"/>
      <c r="ABO108" s="31"/>
      <c r="ABP108" s="31"/>
      <c r="ABQ108" s="136">
        <v>300</v>
      </c>
      <c r="ABR108" s="136">
        <v>600</v>
      </c>
      <c r="ABS108" s="136">
        <v>900</v>
      </c>
      <c r="ABT108" s="136">
        <v>1200</v>
      </c>
      <c r="ABU108" s="136">
        <v>1600</v>
      </c>
      <c r="ABV108" s="136">
        <v>960</v>
      </c>
      <c r="ABW108" s="136">
        <v>1600</v>
      </c>
      <c r="ABX108" s="314">
        <v>1600</v>
      </c>
      <c r="ABY108" s="124">
        <v>1600</v>
      </c>
      <c r="ALU108" s="603">
        <v>700</v>
      </c>
      <c r="ALV108" s="136"/>
      <c r="ALW108" s="603">
        <v>1400</v>
      </c>
      <c r="ALX108" s="603">
        <v>2150</v>
      </c>
      <c r="ALY108" s="603">
        <v>2150</v>
      </c>
      <c r="ALZ108" s="603">
        <v>2150</v>
      </c>
      <c r="AMA108" s="603">
        <v>2150</v>
      </c>
      <c r="AMB108" s="603">
        <v>2150</v>
      </c>
      <c r="AMC108" s="136"/>
      <c r="AMD108" s="603">
        <v>2150</v>
      </c>
      <c r="AME108" s="603">
        <v>2150</v>
      </c>
      <c r="AMF108" s="603">
        <v>2150</v>
      </c>
      <c r="AMG108" s="604">
        <v>1500</v>
      </c>
    </row>
    <row r="109" spans="52:1059" ht="30" customHeight="1" x14ac:dyDescent="0.25">
      <c r="BJ109" s="45"/>
      <c r="BK109" s="45"/>
      <c r="BL109" s="45"/>
      <c r="BM109" s="45"/>
      <c r="BN109" s="31"/>
      <c r="JE109" s="74" t="s">
        <v>382</v>
      </c>
      <c r="JF109" s="74">
        <v>79200</v>
      </c>
      <c r="KK109" s="74" t="s">
        <v>383</v>
      </c>
      <c r="KL109" s="74">
        <v>113520</v>
      </c>
      <c r="SN109" s="9"/>
      <c r="SO109" s="361" t="s">
        <v>1243</v>
      </c>
      <c r="SP109" s="318"/>
      <c r="SQ109" s="319"/>
      <c r="SR109" s="361" t="s">
        <v>1244</v>
      </c>
      <c r="SS109" s="318"/>
      <c r="ST109" s="319"/>
      <c r="SU109" s="31"/>
      <c r="SV109" s="31"/>
      <c r="TS109" s="317" t="s">
        <v>916</v>
      </c>
      <c r="TT109" s="318"/>
      <c r="TU109" s="319"/>
      <c r="TV109" s="319"/>
      <c r="TW109" s="319"/>
      <c r="TX109" s="319"/>
      <c r="TY109" s="319"/>
      <c r="TZ109" s="319"/>
      <c r="UA109" s="319"/>
      <c r="UB109" s="319"/>
      <c r="UC109" s="31"/>
      <c r="UD109" s="361" t="s">
        <v>1612</v>
      </c>
      <c r="UE109" s="361"/>
      <c r="UF109" s="319"/>
      <c r="UG109" s="319"/>
      <c r="UH109" s="319"/>
      <c r="UI109" s="319"/>
      <c r="UJ109" s="319"/>
      <c r="UK109" s="319"/>
      <c r="UL109" s="319"/>
      <c r="UM109" s="319"/>
      <c r="UN109" s="319"/>
      <c r="UO109" s="319"/>
      <c r="UP109" s="319"/>
      <c r="UQ109" s="319"/>
      <c r="UR109" s="319"/>
      <c r="ABG109" s="310"/>
      <c r="ABH109" s="310"/>
      <c r="ABI109" s="310"/>
      <c r="ABJ109" s="310"/>
      <c r="ABK109" s="310"/>
      <c r="ABL109" s="310"/>
      <c r="ABM109" s="310"/>
      <c r="ABN109" s="310"/>
      <c r="ABO109" s="361" t="s">
        <v>2083</v>
      </c>
      <c r="ABP109" s="318"/>
      <c r="ABQ109" s="319"/>
      <c r="ABR109" s="319"/>
      <c r="ABS109" s="319"/>
      <c r="ABT109" s="319"/>
      <c r="ABU109" s="319"/>
      <c r="ABV109" s="319"/>
      <c r="ABW109" s="319"/>
      <c r="ABX109" s="31"/>
      <c r="ABY109" s="31"/>
      <c r="ALU109" s="361" t="s">
        <v>2609</v>
      </c>
      <c r="ALV109" s="361"/>
      <c r="ALW109" s="319"/>
      <c r="ALX109" s="319"/>
      <c r="ALY109" s="319"/>
      <c r="ALZ109" s="319"/>
      <c r="AMA109" s="361" t="s">
        <v>2610</v>
      </c>
      <c r="AMB109" s="318"/>
      <c r="AMC109" s="319"/>
      <c r="AMD109" s="319"/>
      <c r="AME109" s="319"/>
      <c r="AMF109" s="319"/>
      <c r="AMG109" s="319"/>
    </row>
    <row r="110" spans="52:1059" ht="30" customHeight="1" thickBot="1" x14ac:dyDescent="0.3">
      <c r="BJ110" s="45"/>
      <c r="BK110" s="45"/>
      <c r="BL110" s="45"/>
      <c r="BM110" s="45"/>
      <c r="BN110" s="31"/>
      <c r="BO110" s="43"/>
      <c r="JE110" s="74" t="s">
        <v>434</v>
      </c>
      <c r="JF110" s="74"/>
      <c r="KK110" s="74" t="s">
        <v>382</v>
      </c>
      <c r="KL110" s="74">
        <v>111760</v>
      </c>
      <c r="LT110" s="155" t="s">
        <v>735</v>
      </c>
      <c r="LU110" s="155"/>
      <c r="LV110" s="153"/>
      <c r="LW110" s="153"/>
      <c r="LX110" s="153"/>
      <c r="MM110" s="155" t="s">
        <v>521</v>
      </c>
      <c r="MS110" s="136">
        <v>405</v>
      </c>
      <c r="MT110" s="136">
        <v>810</v>
      </c>
      <c r="MU110" s="136">
        <v>1215</v>
      </c>
      <c r="MV110" s="137">
        <v>1650</v>
      </c>
      <c r="NH110" s="155" t="s">
        <v>734</v>
      </c>
      <c r="NI110" s="155"/>
      <c r="NJ110" s="153"/>
      <c r="NK110" s="153"/>
      <c r="NY110" s="155" t="s">
        <v>746</v>
      </c>
      <c r="NZ110" s="155"/>
      <c r="OA110" s="153"/>
      <c r="OB110" s="153"/>
      <c r="OC110" s="153"/>
      <c r="OD110" s="155" t="s">
        <v>747</v>
      </c>
      <c r="OE110" s="155"/>
      <c r="OF110" s="153"/>
      <c r="OG110" s="153"/>
      <c r="SD110" s="298"/>
      <c r="SE110" s="298"/>
      <c r="SF110" s="298"/>
      <c r="SG110" s="298"/>
      <c r="SH110" s="314">
        <v>1000</v>
      </c>
      <c r="SI110" s="314">
        <v>1600</v>
      </c>
      <c r="SJ110" s="314">
        <v>1600</v>
      </c>
      <c r="SK110" s="314"/>
      <c r="SL110" s="314">
        <v>1600</v>
      </c>
      <c r="SN110" s="314">
        <v>1600</v>
      </c>
      <c r="SO110" s="365">
        <v>1600</v>
      </c>
      <c r="SP110" s="314">
        <v>1500</v>
      </c>
      <c r="SQ110" s="365">
        <v>1600</v>
      </c>
      <c r="SR110" s="298"/>
      <c r="SS110" s="298"/>
      <c r="ST110" s="298"/>
      <c r="SU110" s="298"/>
      <c r="SV110" s="298"/>
      <c r="SW110" s="298"/>
      <c r="SX110" s="298"/>
      <c r="SY110" s="298"/>
      <c r="SZ110" s="298"/>
      <c r="TA110" s="298"/>
      <c r="TB110" s="298"/>
      <c r="TC110" s="298"/>
      <c r="TD110" s="298"/>
      <c r="TE110" s="298"/>
      <c r="TF110" s="298"/>
      <c r="TG110" s="298"/>
      <c r="TH110" s="298"/>
      <c r="TI110" s="298"/>
      <c r="TJ110" s="298"/>
      <c r="TK110" s="298"/>
      <c r="TL110" s="298"/>
      <c r="TM110" s="298"/>
      <c r="ACI110" s="361" t="s">
        <v>2172</v>
      </c>
      <c r="ACJ110" s="361"/>
      <c r="ACK110" s="361" t="s">
        <v>2169</v>
      </c>
      <c r="ACL110" s="361"/>
      <c r="ACM110" s="361" t="s">
        <v>2324</v>
      </c>
      <c r="ACN110" s="361"/>
      <c r="ACO110" s="316"/>
      <c r="ACP110" s="364"/>
      <c r="ACQ110" s="314">
        <v>700</v>
      </c>
      <c r="ACR110" s="314">
        <v>1400</v>
      </c>
      <c r="ACS110" s="136"/>
      <c r="ACT110" s="314">
        <v>2100</v>
      </c>
      <c r="ACU110" s="136">
        <v>1440</v>
      </c>
      <c r="ACV110" s="364"/>
      <c r="ACW110" s="364"/>
      <c r="ACX110" s="364"/>
      <c r="ACY110" s="364"/>
      <c r="ACZ110" s="364"/>
      <c r="ADA110" s="364"/>
      <c r="ADB110" s="364"/>
      <c r="ADC110" s="364"/>
      <c r="ADD110" s="364"/>
      <c r="ADE110" s="136">
        <v>1920</v>
      </c>
      <c r="ADF110" s="314">
        <v>2600</v>
      </c>
      <c r="ADG110" s="136"/>
      <c r="ADH110" s="136">
        <v>2600</v>
      </c>
      <c r="ADI110" s="364"/>
      <c r="ADJ110" s="136">
        <v>2600</v>
      </c>
      <c r="ADK110" s="136">
        <v>2600</v>
      </c>
      <c r="ADL110" s="124">
        <v>2600</v>
      </c>
      <c r="ADM110" s="136">
        <v>2000</v>
      </c>
      <c r="ADN110" s="314">
        <v>2600</v>
      </c>
      <c r="ADO110" s="314"/>
      <c r="ADP110" s="314">
        <v>2600</v>
      </c>
      <c r="ADQ110" s="124">
        <v>2600</v>
      </c>
      <c r="ADX110" s="136">
        <v>600</v>
      </c>
      <c r="ADY110" s="136">
        <v>1200</v>
      </c>
      <c r="ADZ110" s="314">
        <v>1800</v>
      </c>
      <c r="AEA110" s="136"/>
      <c r="AEB110" s="314">
        <v>2600</v>
      </c>
      <c r="AEC110" s="314">
        <v>2600</v>
      </c>
      <c r="AED110" s="124">
        <v>1600</v>
      </c>
      <c r="AEG110" s="361" t="s">
        <v>2341</v>
      </c>
      <c r="AEH110" s="318"/>
      <c r="AEI110" s="319"/>
      <c r="AEJ110" s="375"/>
      <c r="AEK110" s="375"/>
      <c r="AEL110" s="375"/>
      <c r="AEP110" s="376" t="s">
        <v>2340</v>
      </c>
      <c r="AEQ110" s="524"/>
      <c r="AER110" s="375"/>
      <c r="AES110" s="375"/>
      <c r="AFN110" s="310"/>
      <c r="AFO110" s="310"/>
      <c r="AFP110" s="314">
        <v>800</v>
      </c>
      <c r="AFQ110" s="314">
        <v>1600</v>
      </c>
      <c r="AFR110" s="314">
        <v>2400</v>
      </c>
      <c r="AFS110" s="92"/>
      <c r="AFT110" s="364"/>
      <c r="AFU110" s="314">
        <v>2640</v>
      </c>
      <c r="AFV110" s="314">
        <v>2640</v>
      </c>
      <c r="AFW110" s="124">
        <v>1360</v>
      </c>
      <c r="AFX110" s="31"/>
      <c r="AJH110" s="136">
        <v>1650</v>
      </c>
      <c r="AJI110" s="136">
        <v>1650</v>
      </c>
      <c r="AJJ110" s="314"/>
      <c r="AJL110" s="136">
        <v>1650</v>
      </c>
      <c r="AJM110" s="136">
        <v>1650</v>
      </c>
      <c r="AJN110" s="136">
        <v>1650</v>
      </c>
      <c r="AJO110" s="136">
        <v>1650</v>
      </c>
      <c r="AJP110" s="136"/>
      <c r="AJQ110" s="124">
        <v>1100</v>
      </c>
      <c r="AJS110" s="361" t="s">
        <v>2363</v>
      </c>
      <c r="AJT110" s="318"/>
      <c r="AJU110" s="319"/>
      <c r="AJV110" s="319"/>
    </row>
    <row r="111" spans="52:1059" ht="30" customHeight="1" thickTop="1" x14ac:dyDescent="0.25">
      <c r="BJ111" s="45"/>
      <c r="BK111" s="45"/>
      <c r="BL111" s="45"/>
      <c r="BM111" s="45"/>
      <c r="BN111" s="31"/>
      <c r="HZ111" s="30" t="s">
        <v>510</v>
      </c>
      <c r="IA111" s="30">
        <v>8652</v>
      </c>
      <c r="IB111" s="30">
        <v>8910</v>
      </c>
      <c r="IC111" s="30">
        <v>8910</v>
      </c>
      <c r="ID111" s="30">
        <f>IB111-IC111</f>
        <v>0</v>
      </c>
      <c r="JE111" s="74" t="s">
        <v>141</v>
      </c>
      <c r="JF111" s="74">
        <v>35400</v>
      </c>
      <c r="KK111" s="74" t="s">
        <v>434</v>
      </c>
      <c r="KL111" s="74">
        <v>50310</v>
      </c>
      <c r="LV111" s="155" t="s">
        <v>736</v>
      </c>
      <c r="LW111" s="155"/>
      <c r="LX111" s="153"/>
      <c r="LY111" s="153"/>
      <c r="MS111" s="179" t="s">
        <v>767</v>
      </c>
      <c r="MT111" s="179"/>
      <c r="MU111" s="171"/>
      <c r="MV111" s="171"/>
      <c r="NA111" s="155" t="s">
        <v>737</v>
      </c>
      <c r="SD111" s="31"/>
      <c r="SE111" s="298"/>
      <c r="SF111" s="399" t="s">
        <v>1038</v>
      </c>
      <c r="SG111" s="399"/>
      <c r="SH111" s="316"/>
      <c r="SI111" s="316"/>
      <c r="SJ111" s="316"/>
      <c r="SK111" s="316"/>
      <c r="SL111" s="316"/>
      <c r="SN111" s="399" t="s">
        <v>1039</v>
      </c>
      <c r="SO111" s="399"/>
      <c r="SP111" s="316"/>
      <c r="SQ111" s="316"/>
      <c r="SR111" s="31"/>
      <c r="SS111" s="31"/>
      <c r="ST111" s="31"/>
      <c r="SU111" s="31"/>
      <c r="SV111" s="31"/>
      <c r="SW111" s="31"/>
      <c r="SX111" s="31"/>
      <c r="SY111" s="31"/>
      <c r="SZ111" s="31"/>
      <c r="TA111" s="31"/>
      <c r="TB111" s="31"/>
      <c r="TC111" s="31"/>
      <c r="TD111" s="31"/>
      <c r="TE111" s="31"/>
      <c r="TF111" s="31"/>
      <c r="TG111" s="31"/>
      <c r="TH111" s="31"/>
      <c r="TI111" s="31"/>
      <c r="TJ111" s="31"/>
      <c r="TK111" s="31"/>
      <c r="TL111" s="31"/>
      <c r="TM111" s="31"/>
      <c r="TS111" s="148"/>
      <c r="TT111" s="148"/>
      <c r="TU111" s="148">
        <v>400</v>
      </c>
      <c r="TV111" s="148">
        <v>800</v>
      </c>
      <c r="TW111" s="148">
        <v>1200</v>
      </c>
      <c r="TX111" s="148">
        <v>1600</v>
      </c>
      <c r="TY111" s="148"/>
      <c r="TZ111" s="148">
        <v>1600</v>
      </c>
      <c r="UA111" s="148">
        <v>1600</v>
      </c>
      <c r="UB111" s="148">
        <v>1600</v>
      </c>
      <c r="UC111" s="148">
        <v>1600</v>
      </c>
      <c r="UD111" s="148">
        <v>1600</v>
      </c>
      <c r="UE111" s="148">
        <v>1600</v>
      </c>
      <c r="UF111" s="148"/>
      <c r="UG111" s="148">
        <v>1600</v>
      </c>
      <c r="UH111" s="148">
        <v>1600</v>
      </c>
      <c r="UI111" s="148">
        <v>1600</v>
      </c>
      <c r="UJ111" s="148">
        <v>1600</v>
      </c>
      <c r="UK111" s="148"/>
      <c r="UL111" s="148">
        <v>1600</v>
      </c>
      <c r="UM111" s="148"/>
      <c r="UN111" s="117">
        <v>600</v>
      </c>
      <c r="UV111" s="135"/>
      <c r="UW111" s="135"/>
      <c r="UX111" s="7"/>
      <c r="UY111" s="467"/>
      <c r="UZ111" s="139">
        <v>400</v>
      </c>
      <c r="VA111" s="139">
        <v>800</v>
      </c>
      <c r="VB111" s="139">
        <v>1200</v>
      </c>
      <c r="VC111" s="139">
        <v>1600</v>
      </c>
      <c r="VD111" s="139">
        <v>1600</v>
      </c>
      <c r="VE111" s="139">
        <v>1600</v>
      </c>
      <c r="VF111" s="139">
        <v>1600</v>
      </c>
      <c r="VG111" s="139">
        <v>1600</v>
      </c>
      <c r="VH111" s="139"/>
      <c r="VI111" s="139">
        <v>1600</v>
      </c>
      <c r="VJ111" s="139">
        <v>1600</v>
      </c>
      <c r="VK111" s="139">
        <v>1600</v>
      </c>
      <c r="VL111" s="139">
        <v>1600</v>
      </c>
      <c r="VM111" s="135"/>
      <c r="VN111" s="139">
        <v>700</v>
      </c>
      <c r="ACI111" s="136">
        <v>400</v>
      </c>
      <c r="ACJ111" s="314">
        <v>800</v>
      </c>
      <c r="ACK111" s="124">
        <v>880</v>
      </c>
      <c r="ACO111" s="361" t="s">
        <v>2221</v>
      </c>
      <c r="ACP111" s="361"/>
      <c r="ACQ111" s="319"/>
      <c r="ACR111" s="319"/>
      <c r="ACS111" s="319"/>
      <c r="ACT111" s="319"/>
      <c r="ACU111" s="319"/>
      <c r="ACV111" s="135"/>
      <c r="ACW111" s="135"/>
      <c r="ACX111" s="135"/>
      <c r="ACY111" s="135"/>
      <c r="ACZ111" s="364"/>
      <c r="ADA111" s="364"/>
      <c r="ADB111" s="364"/>
      <c r="ADC111" s="364"/>
      <c r="ADD111" s="364"/>
      <c r="ADE111" s="319" t="s">
        <v>2202</v>
      </c>
      <c r="ADF111" s="319"/>
      <c r="ADG111" s="319"/>
      <c r="ADH111" s="319"/>
      <c r="ADI111" s="7"/>
      <c r="ADJ111" s="319" t="s">
        <v>2202</v>
      </c>
      <c r="ADK111" s="319"/>
      <c r="ADL111" s="319"/>
      <c r="ADM111" s="319"/>
      <c r="ADN111" s="319"/>
      <c r="ADO111" s="319"/>
      <c r="ADP111" s="319"/>
      <c r="ADQ111" s="319"/>
      <c r="ADX111" s="361" t="s">
        <v>2330</v>
      </c>
      <c r="ADY111" s="361"/>
      <c r="ADZ111" s="319"/>
      <c r="AEA111" s="375"/>
      <c r="AEB111" s="375"/>
      <c r="AEC111" s="375"/>
      <c r="AED111" s="375"/>
      <c r="AEP111" s="361" t="s">
        <v>2358</v>
      </c>
      <c r="AEQ111" s="361"/>
      <c r="AER111" s="319"/>
      <c r="AES111" s="319"/>
      <c r="AFN111" s="361" t="s">
        <v>2442</v>
      </c>
      <c r="AFO111" s="361"/>
      <c r="AFP111" s="319"/>
      <c r="AFQ111" s="319"/>
      <c r="AFR111" s="319"/>
      <c r="AFS111" s="92"/>
      <c r="AFT111" s="319" t="s">
        <v>2403</v>
      </c>
      <c r="AFU111" s="319"/>
      <c r="AFV111" s="201"/>
      <c r="AFW111" s="201"/>
      <c r="AFX111" s="31"/>
      <c r="AGI111" s="310"/>
      <c r="AGJ111" s="310"/>
      <c r="AGK111" s="625">
        <v>900</v>
      </c>
      <c r="AGL111" s="625">
        <v>1800</v>
      </c>
      <c r="AGM111" s="625">
        <v>2700</v>
      </c>
      <c r="AGN111" s="625">
        <v>2700</v>
      </c>
      <c r="AGO111" s="625">
        <v>2700</v>
      </c>
      <c r="AGP111" s="628"/>
      <c r="AGQ111" s="625">
        <v>2700</v>
      </c>
      <c r="AGR111" s="625">
        <v>2700</v>
      </c>
      <c r="AGS111" s="625">
        <v>2700</v>
      </c>
      <c r="AGT111" s="625">
        <v>2700</v>
      </c>
      <c r="AGU111" s="625">
        <v>2700</v>
      </c>
      <c r="AGV111" s="625">
        <v>2700</v>
      </c>
      <c r="AGW111" s="628"/>
      <c r="AGX111" s="625">
        <v>2700</v>
      </c>
      <c r="AGY111" s="626">
        <v>3060</v>
      </c>
      <c r="AJH111" s="361" t="s">
        <v>2682</v>
      </c>
      <c r="AJI111" s="361"/>
      <c r="AJJ111" s="319"/>
      <c r="AJL111" s="319" t="s">
        <v>2682</v>
      </c>
      <c r="AJM111" s="319"/>
      <c r="AJN111" s="319"/>
      <c r="AJO111" s="319"/>
      <c r="AJP111" s="319"/>
      <c r="AJQ111" s="319"/>
    </row>
    <row r="112" spans="52:1059" ht="30" customHeight="1" x14ac:dyDescent="0.25">
      <c r="BJ112" s="45"/>
      <c r="BK112" s="45"/>
      <c r="BL112" s="45"/>
      <c r="BM112" s="45"/>
      <c r="BN112" s="31"/>
      <c r="HZ112" s="30" t="s">
        <v>511</v>
      </c>
      <c r="IA112" s="30">
        <v>13596</v>
      </c>
      <c r="IB112" s="30">
        <v>14000</v>
      </c>
      <c r="IC112" s="30">
        <v>4978</v>
      </c>
      <c r="ID112" s="30">
        <f>IB112-IC112</f>
        <v>9022</v>
      </c>
      <c r="JE112" s="74" t="s">
        <v>293</v>
      </c>
      <c r="JF112" s="74">
        <f>SUM(JF107:JF111)</f>
        <v>530300</v>
      </c>
      <c r="KK112" s="74" t="s">
        <v>31</v>
      </c>
      <c r="KL112" s="74">
        <v>10800</v>
      </c>
      <c r="SD112" s="31"/>
      <c r="SE112" s="31"/>
      <c r="SF112" s="31"/>
      <c r="SG112" s="298"/>
      <c r="SH112" s="298"/>
      <c r="SI112" s="298"/>
      <c r="SJ112" s="298"/>
      <c r="SK112" s="298"/>
      <c r="SL112" s="298"/>
      <c r="SN112" s="314">
        <v>500</v>
      </c>
      <c r="SO112" s="314">
        <v>1000</v>
      </c>
      <c r="SP112" s="314">
        <v>1500</v>
      </c>
      <c r="SQ112" s="136"/>
      <c r="SR112" s="365">
        <f>1800+350</f>
        <v>2150</v>
      </c>
      <c r="SS112" s="365">
        <v>1550</v>
      </c>
      <c r="ST112" s="314">
        <v>500</v>
      </c>
      <c r="SU112" s="136"/>
      <c r="SV112" s="314">
        <v>1000</v>
      </c>
      <c r="SW112" s="136">
        <v>1500</v>
      </c>
      <c r="SX112" s="314">
        <v>1800</v>
      </c>
      <c r="SY112" s="314">
        <v>1800</v>
      </c>
      <c r="SZ112" s="314">
        <v>1800</v>
      </c>
      <c r="TA112" s="314">
        <v>1800</v>
      </c>
      <c r="TB112" s="136"/>
      <c r="TC112" s="314">
        <v>1800</v>
      </c>
      <c r="TD112" s="314">
        <v>1800</v>
      </c>
      <c r="TE112" s="365">
        <f>1800+450</f>
        <v>2250</v>
      </c>
      <c r="TF112" s="314">
        <v>1000</v>
      </c>
      <c r="TG112" s="314">
        <v>1800</v>
      </c>
      <c r="TH112" s="314">
        <v>1800</v>
      </c>
      <c r="TI112" s="136"/>
      <c r="TJ112" s="314">
        <v>1800</v>
      </c>
      <c r="TK112" s="314">
        <v>1800</v>
      </c>
      <c r="TL112" s="314">
        <v>1800</v>
      </c>
      <c r="TM112" s="365">
        <v>1400</v>
      </c>
      <c r="TS112" s="399" t="s">
        <v>1040</v>
      </c>
      <c r="TT112" s="399"/>
      <c r="TU112" s="316"/>
      <c r="TV112" s="316" t="s">
        <v>1040</v>
      </c>
      <c r="TW112" s="316"/>
      <c r="TX112" s="316"/>
      <c r="TY112" s="316"/>
      <c r="TZ112" s="316"/>
      <c r="UA112" s="316"/>
      <c r="UB112" s="316"/>
      <c r="UC112" s="316"/>
      <c r="UD112" s="316"/>
      <c r="UE112" s="316"/>
      <c r="UF112" s="316"/>
      <c r="UG112" s="316"/>
      <c r="UH112" s="316"/>
      <c r="UI112" s="316"/>
      <c r="UJ112" s="316"/>
      <c r="UK112" s="316"/>
      <c r="UL112" s="316"/>
      <c r="UM112" s="316"/>
      <c r="UN112" s="316"/>
      <c r="UV112" s="361" t="s">
        <v>1576</v>
      </c>
      <c r="UW112" s="361"/>
      <c r="UX112" s="195"/>
      <c r="UY112" s="316" t="s">
        <v>1576</v>
      </c>
      <c r="UZ112" s="316"/>
      <c r="VA112" s="316"/>
      <c r="VB112" s="316"/>
      <c r="VC112" s="316"/>
      <c r="VD112" s="316"/>
      <c r="VE112" s="316"/>
      <c r="VF112" s="316"/>
      <c r="VG112" s="316"/>
      <c r="VH112" s="316"/>
      <c r="VI112" s="316"/>
      <c r="VJ112" s="316"/>
      <c r="VK112" s="316"/>
      <c r="VL112" s="316"/>
      <c r="VM112" s="201"/>
      <c r="VN112" s="201"/>
      <c r="VX112" s="135"/>
      <c r="VY112" s="135"/>
      <c r="VZ112" s="135"/>
      <c r="WA112" s="135"/>
      <c r="WB112" s="139">
        <v>1600</v>
      </c>
      <c r="WC112" s="139">
        <v>1600</v>
      </c>
      <c r="WD112" s="7"/>
      <c r="WE112" s="314">
        <v>1600</v>
      </c>
      <c r="WF112" s="314">
        <v>1600</v>
      </c>
      <c r="WG112" s="314">
        <v>1600</v>
      </c>
      <c r="WH112" s="314">
        <v>1600</v>
      </c>
      <c r="WI112" s="314"/>
      <c r="WJ112" s="314">
        <v>1600</v>
      </c>
      <c r="WK112" s="314">
        <v>1600</v>
      </c>
      <c r="WL112" s="314">
        <v>1600</v>
      </c>
      <c r="WM112" s="314">
        <v>1600</v>
      </c>
      <c r="WN112" s="314">
        <v>1600</v>
      </c>
      <c r="WO112" s="314">
        <v>1600</v>
      </c>
      <c r="ACI112" s="376" t="s">
        <v>2164</v>
      </c>
      <c r="ACJ112" s="524"/>
      <c r="ACK112" s="375"/>
      <c r="AEI112" s="314">
        <v>400</v>
      </c>
      <c r="AEJ112" s="314"/>
      <c r="AEK112" s="314">
        <v>800</v>
      </c>
      <c r="AEL112" s="314">
        <v>1000</v>
      </c>
      <c r="AEM112" s="314">
        <v>860</v>
      </c>
      <c r="AFM112" s="135"/>
      <c r="AFN112" s="135"/>
      <c r="AFO112" s="314">
        <v>1600</v>
      </c>
      <c r="AFP112" s="314">
        <v>2640</v>
      </c>
      <c r="AFQ112" s="314">
        <v>2640</v>
      </c>
      <c r="AFR112" s="314">
        <v>2640</v>
      </c>
      <c r="AFS112" s="124">
        <v>1900</v>
      </c>
      <c r="AGI112" s="361" t="s">
        <v>2465</v>
      </c>
      <c r="AGJ112" s="318"/>
      <c r="AGK112" s="319"/>
      <c r="AGL112" s="319"/>
      <c r="AGM112" s="319"/>
      <c r="AGN112" s="319"/>
      <c r="AGO112" s="319"/>
      <c r="AGP112" s="319"/>
      <c r="AGQ112" s="319"/>
      <c r="AGR112" s="319"/>
      <c r="AGS112" s="319"/>
      <c r="AGT112" s="319"/>
      <c r="AGU112" s="319"/>
      <c r="AGV112" s="319"/>
      <c r="AGW112" s="319"/>
      <c r="AGX112" s="319"/>
      <c r="AGY112" s="319"/>
    </row>
    <row r="113" spans="3:978 1060:1060" ht="30" customHeight="1" x14ac:dyDescent="0.3">
      <c r="C113" s="17"/>
      <c r="D113" s="17"/>
      <c r="E113" s="17"/>
      <c r="F113" s="17"/>
      <c r="G113" s="36" t="s">
        <v>58</v>
      </c>
      <c r="H113" s="34"/>
      <c r="I113" s="33"/>
      <c r="BJ113" s="45"/>
      <c r="BK113" s="45"/>
      <c r="BL113" s="45"/>
      <c r="BM113" s="45"/>
      <c r="BN113" s="31"/>
      <c r="HZ113" s="30" t="s">
        <v>512</v>
      </c>
      <c r="IA113" s="30">
        <v>10392</v>
      </c>
      <c r="IB113" s="30">
        <v>10700</v>
      </c>
      <c r="IC113" s="30">
        <v>7050</v>
      </c>
      <c r="ID113" s="30">
        <f>IB113-IC113</f>
        <v>3650</v>
      </c>
      <c r="JP113" s="155" t="s">
        <v>443</v>
      </c>
      <c r="JQ113" s="159"/>
      <c r="JR113" s="153"/>
      <c r="JS113" s="153"/>
      <c r="KK113" s="74" t="s">
        <v>293</v>
      </c>
      <c r="KL113" s="74">
        <f>SUM(KL108:KL112)</f>
        <v>481735</v>
      </c>
      <c r="SD113" s="31"/>
      <c r="SE113" s="31"/>
      <c r="SF113" s="31"/>
      <c r="SG113" s="31"/>
      <c r="SH113" s="31"/>
      <c r="SI113" s="31"/>
      <c r="SJ113" s="31"/>
      <c r="SK113" s="310"/>
      <c r="SL113" s="310"/>
      <c r="SN113" s="399" t="s">
        <v>1047</v>
      </c>
      <c r="SO113" s="399"/>
      <c r="SP113" s="316"/>
      <c r="SQ113" s="316"/>
      <c r="SR113" s="316"/>
      <c r="SS113" s="399" t="s">
        <v>1042</v>
      </c>
      <c r="ST113" s="399" t="s">
        <v>1043</v>
      </c>
      <c r="SU113" s="399"/>
      <c r="SV113" s="316"/>
      <c r="SW113" s="316"/>
      <c r="SX113" s="316"/>
      <c r="SY113" s="316"/>
      <c r="SZ113" s="399" t="s">
        <v>1044</v>
      </c>
      <c r="TA113" s="399"/>
      <c r="TB113" s="316"/>
      <c r="TC113" s="316"/>
      <c r="TD113" s="316"/>
      <c r="TE113" s="316"/>
      <c r="TF113" s="399" t="s">
        <v>1045</v>
      </c>
      <c r="TG113" s="399"/>
      <c r="TH113" s="316"/>
      <c r="TI113" s="316"/>
      <c r="TJ113" s="316"/>
      <c r="TK113" s="316"/>
      <c r="TL113" s="399" t="s">
        <v>1046</v>
      </c>
      <c r="TM113" s="399"/>
      <c r="VX113" s="135"/>
      <c r="VY113" s="135"/>
      <c r="VZ113" s="361" t="s">
        <v>1607</v>
      </c>
      <c r="WA113" s="361"/>
      <c r="WB113" s="316"/>
      <c r="WC113" s="316"/>
      <c r="WD113" s="7"/>
      <c r="WE113" s="316" t="s">
        <v>1607</v>
      </c>
      <c r="WF113" s="316"/>
      <c r="WG113" s="316"/>
      <c r="WH113" s="316"/>
      <c r="WI113" s="316"/>
      <c r="WJ113" s="316"/>
      <c r="WK113" s="316"/>
      <c r="WL113" s="316"/>
      <c r="WM113" s="316"/>
      <c r="WN113" s="316"/>
      <c r="WO113" s="316"/>
      <c r="ADK113" s="376" t="s">
        <v>2316</v>
      </c>
      <c r="ADL113" s="376"/>
      <c r="ADM113" s="375"/>
      <c r="ADN113" s="375"/>
      <c r="AEI113" s="210" t="s">
        <v>2325</v>
      </c>
      <c r="AEJ113" s="293"/>
      <c r="AEK113" s="180"/>
      <c r="AEL113" s="180"/>
      <c r="AEM113" s="180"/>
      <c r="AFM113" s="361" t="s">
        <v>2490</v>
      </c>
      <c r="AFN113" s="361"/>
      <c r="AFO113" s="319"/>
      <c r="AFP113" s="319"/>
      <c r="AFQ113" s="319"/>
      <c r="AFR113" s="319"/>
      <c r="AFS113" s="319"/>
      <c r="AJF113" s="376" t="s">
        <v>2591</v>
      </c>
      <c r="AJG113" s="524"/>
      <c r="AJH113" s="375"/>
      <c r="AJI113" s="375"/>
      <c r="AJJ113" s="375"/>
      <c r="AKK113" s="376" t="s">
        <v>2592</v>
      </c>
      <c r="AKL113" s="524"/>
      <c r="AKM113" s="375"/>
      <c r="AKN113" s="375"/>
      <c r="AKO113" s="375"/>
      <c r="AKP113" s="375"/>
      <c r="ANT113" s="30">
        <v>225000</v>
      </c>
    </row>
    <row r="114" spans="3:978 1060:1060" ht="30" customHeight="1" x14ac:dyDescent="0.25">
      <c r="BJ114" s="45"/>
      <c r="BK114" s="45"/>
      <c r="BL114" s="45"/>
      <c r="BM114" s="45"/>
      <c r="BN114" s="31"/>
      <c r="KM114" s="155" t="s">
        <v>643</v>
      </c>
      <c r="KN114" s="156"/>
      <c r="KO114" s="158"/>
      <c r="KP114" s="158"/>
      <c r="KQ114" s="158"/>
      <c r="LB114" s="155" t="s">
        <v>520</v>
      </c>
      <c r="LC114" s="155"/>
      <c r="LD114" s="158"/>
      <c r="SD114" s="31"/>
      <c r="SE114" s="314"/>
      <c r="SF114" s="314">
        <v>1000</v>
      </c>
      <c r="SG114" s="314">
        <v>1600</v>
      </c>
      <c r="SH114" s="314">
        <v>1600</v>
      </c>
      <c r="SI114" s="314">
        <v>1600</v>
      </c>
      <c r="SJ114" s="314">
        <v>1600</v>
      </c>
      <c r="SK114" s="314"/>
      <c r="SL114" s="314">
        <v>1600</v>
      </c>
      <c r="SN114" s="314">
        <v>1600</v>
      </c>
      <c r="SO114" s="314">
        <v>1600</v>
      </c>
      <c r="SP114" s="314">
        <v>1600</v>
      </c>
      <c r="SQ114" s="314">
        <v>1600</v>
      </c>
      <c r="SR114" s="314">
        <v>1600</v>
      </c>
      <c r="SS114" s="314"/>
      <c r="ST114" s="314">
        <v>1600</v>
      </c>
      <c r="SU114" s="314">
        <v>1600</v>
      </c>
      <c r="SV114" s="314">
        <v>1600</v>
      </c>
      <c r="SW114" s="314">
        <v>1600</v>
      </c>
      <c r="SX114" s="314">
        <v>1600</v>
      </c>
      <c r="SY114" s="314">
        <v>1600</v>
      </c>
      <c r="SZ114" s="314"/>
      <c r="TA114" s="314">
        <v>1600</v>
      </c>
      <c r="TB114" s="314">
        <v>1600</v>
      </c>
      <c r="TC114" s="314">
        <v>1600</v>
      </c>
      <c r="TD114" s="314">
        <v>1600</v>
      </c>
      <c r="TE114" s="314">
        <v>1600</v>
      </c>
      <c r="TF114" s="314">
        <v>1600</v>
      </c>
      <c r="TG114" s="201"/>
      <c r="TH114" s="201"/>
      <c r="TI114" s="314">
        <v>2680</v>
      </c>
      <c r="TJ114" s="201"/>
      <c r="TK114" s="136"/>
      <c r="TL114" s="136">
        <v>5150</v>
      </c>
      <c r="TM114" s="314"/>
      <c r="TN114" s="314"/>
      <c r="TO114" s="314">
        <v>3090</v>
      </c>
      <c r="UB114" s="201"/>
      <c r="UC114" s="201"/>
      <c r="UD114" s="314">
        <v>3090</v>
      </c>
      <c r="UE114" s="201"/>
      <c r="UF114" s="201"/>
      <c r="UG114" s="314">
        <v>8240</v>
      </c>
      <c r="UH114" s="136"/>
      <c r="UI114" s="314"/>
      <c r="UJ114" s="136">
        <v>3090</v>
      </c>
      <c r="UK114" s="314">
        <v>300</v>
      </c>
      <c r="UL114" s="314">
        <v>635</v>
      </c>
      <c r="UM114" s="314">
        <v>1070</v>
      </c>
      <c r="UN114" s="136"/>
      <c r="UO114" s="314">
        <v>600</v>
      </c>
      <c r="UP114" s="314">
        <v>565</v>
      </c>
      <c r="UQ114" s="314">
        <v>585</v>
      </c>
      <c r="UR114" s="314">
        <v>515</v>
      </c>
      <c r="US114" s="136"/>
      <c r="UT114" s="365">
        <v>1340</v>
      </c>
      <c r="VX114" s="135"/>
      <c r="VY114" s="135"/>
      <c r="VZ114" s="136">
        <v>1600</v>
      </c>
      <c r="WA114" s="314"/>
      <c r="WB114" s="314">
        <v>1600</v>
      </c>
      <c r="WC114" s="314">
        <v>1600</v>
      </c>
      <c r="WD114" s="7"/>
      <c r="WE114" s="314">
        <v>1600</v>
      </c>
      <c r="WF114" s="314">
        <v>1600</v>
      </c>
      <c r="WG114" s="135"/>
      <c r="WH114" s="135"/>
      <c r="WI114" s="135"/>
      <c r="WJ114" s="135"/>
      <c r="WK114" s="135"/>
      <c r="WL114" s="135"/>
      <c r="WM114" s="135"/>
      <c r="WN114" s="135"/>
      <c r="WO114" s="135"/>
      <c r="WP114" s="365">
        <v>1230</v>
      </c>
      <c r="ADK114" s="361" t="s">
        <v>2317</v>
      </c>
      <c r="ADL114" s="361"/>
      <c r="ADM114" s="319"/>
      <c r="ADN114" s="319"/>
      <c r="ANT114" s="30">
        <f>ANT113*0.3</f>
        <v>67500</v>
      </c>
    </row>
    <row r="115" spans="3:978 1060:1060" ht="30" customHeight="1" x14ac:dyDescent="0.25">
      <c r="BJ115" s="45"/>
      <c r="BK115" s="45"/>
      <c r="BL115" s="45"/>
      <c r="BM115" s="45"/>
      <c r="BN115" s="31"/>
      <c r="KM115" s="155" t="s">
        <v>681</v>
      </c>
      <c r="KN115" s="156"/>
      <c r="KO115" s="158"/>
      <c r="KP115" s="158"/>
      <c r="KQ115" s="158"/>
      <c r="LA115" s="155" t="s">
        <v>644</v>
      </c>
      <c r="LB115" s="156"/>
      <c r="LC115" s="158"/>
      <c r="LD115" s="158"/>
      <c r="SD115" s="399" t="s">
        <v>1038</v>
      </c>
      <c r="SE115" s="399"/>
      <c r="SF115" s="316"/>
      <c r="SG115" s="316"/>
      <c r="SH115" s="316"/>
      <c r="SI115" s="316"/>
      <c r="SJ115" s="316"/>
      <c r="SK115" s="316"/>
      <c r="SL115" s="316"/>
      <c r="SN115" s="316" t="s">
        <v>1038</v>
      </c>
      <c r="SO115" s="316"/>
      <c r="SP115" s="316"/>
      <c r="SQ115" s="316"/>
      <c r="SR115" s="316"/>
      <c r="SS115" s="316"/>
      <c r="ST115" s="316"/>
      <c r="SU115" s="316"/>
      <c r="SV115" s="316"/>
      <c r="SW115" s="316"/>
      <c r="SX115" s="316"/>
      <c r="SY115" s="316"/>
      <c r="SZ115" s="316"/>
      <c r="TA115" s="316"/>
      <c r="TB115" s="316"/>
      <c r="TC115" s="316"/>
      <c r="TD115" s="316"/>
      <c r="TE115" s="316"/>
      <c r="TF115" s="316"/>
      <c r="TG115" s="399" t="s">
        <v>1057</v>
      </c>
      <c r="TH115" s="399"/>
      <c r="TI115" s="316"/>
      <c r="TJ115" s="399" t="s">
        <v>1052</v>
      </c>
      <c r="TK115" s="399"/>
      <c r="TL115" s="316"/>
      <c r="TM115" s="399" t="s">
        <v>1053</v>
      </c>
      <c r="TN115" s="399"/>
      <c r="TO115" s="316"/>
      <c r="UB115" s="399" t="s">
        <v>1054</v>
      </c>
      <c r="UC115" s="399"/>
      <c r="UD115" s="316"/>
      <c r="UE115" s="399" t="s">
        <v>1055</v>
      </c>
      <c r="UF115" s="399"/>
      <c r="UG115" s="316"/>
      <c r="UH115" s="399" t="s">
        <v>1056</v>
      </c>
      <c r="UI115" s="399"/>
      <c r="UJ115" s="316"/>
      <c r="UK115" s="399" t="s">
        <v>1058</v>
      </c>
      <c r="UL115" s="399"/>
      <c r="UM115" s="316"/>
      <c r="UN115" s="399" t="s">
        <v>1059</v>
      </c>
      <c r="UO115" s="399" t="s">
        <v>1060</v>
      </c>
      <c r="UP115" s="399"/>
      <c r="UQ115" s="399" t="s">
        <v>1061</v>
      </c>
      <c r="UR115" s="399" t="s">
        <v>1062</v>
      </c>
      <c r="US115" s="399" t="s">
        <v>1063</v>
      </c>
      <c r="UT115" s="399"/>
      <c r="VX115" s="361" t="s">
        <v>1607</v>
      </c>
      <c r="VY115" s="361"/>
      <c r="VZ115" s="316"/>
      <c r="WA115" s="316"/>
      <c r="WB115" s="316"/>
      <c r="WC115" s="316"/>
      <c r="WD115" s="195"/>
      <c r="WE115" s="316"/>
      <c r="WF115" s="316"/>
      <c r="WG115" s="201"/>
      <c r="WH115" s="201"/>
      <c r="WI115" s="201"/>
      <c r="WJ115" s="201"/>
      <c r="WK115" s="201"/>
      <c r="WL115" s="201"/>
      <c r="WM115" s="201"/>
      <c r="WN115" s="201"/>
      <c r="WO115" s="361" t="s">
        <v>1756</v>
      </c>
      <c r="WP115" s="361"/>
      <c r="ADK115" s="376" t="s">
        <v>2319</v>
      </c>
      <c r="ADL115" s="376"/>
      <c r="ADM115" s="375"/>
      <c r="ADN115" s="375"/>
      <c r="ANT115" s="30">
        <f>ANT113*0.3</f>
        <v>67500</v>
      </c>
    </row>
    <row r="116" spans="3:978 1060:1060" ht="30" customHeight="1" x14ac:dyDescent="0.25">
      <c r="BJ116" s="45"/>
      <c r="BK116" s="45"/>
      <c r="BL116" s="45"/>
      <c r="BM116" s="45"/>
      <c r="BN116" s="31"/>
      <c r="KS116" s="155" t="s">
        <v>458</v>
      </c>
      <c r="KT116" s="156"/>
      <c r="SQ116" s="201"/>
      <c r="SR116" s="201"/>
      <c r="SS116" s="201"/>
      <c r="ST116" s="136">
        <v>700</v>
      </c>
      <c r="SU116" s="136">
        <v>1300</v>
      </c>
      <c r="SV116" s="314">
        <v>2000</v>
      </c>
      <c r="SW116" s="314">
        <v>2500</v>
      </c>
      <c r="SX116" s="314">
        <v>2500</v>
      </c>
      <c r="SY116" s="314">
        <v>2500</v>
      </c>
      <c r="SZ116" s="136"/>
      <c r="TA116" s="314">
        <v>2500</v>
      </c>
      <c r="TB116" s="314">
        <v>2500</v>
      </c>
      <c r="TC116" s="136">
        <v>2500</v>
      </c>
      <c r="TD116" s="365">
        <v>1400</v>
      </c>
      <c r="TX116" s="136">
        <v>2000</v>
      </c>
      <c r="TY116" s="136">
        <v>2000</v>
      </c>
      <c r="TZ116" s="136">
        <v>1450</v>
      </c>
      <c r="UA116" s="136">
        <v>2000</v>
      </c>
      <c r="UB116" s="136"/>
      <c r="UC116" s="136">
        <v>1090</v>
      </c>
      <c r="UD116" s="314">
        <v>2000</v>
      </c>
      <c r="UE116" s="314">
        <v>1700</v>
      </c>
      <c r="UF116" s="314">
        <v>2000</v>
      </c>
      <c r="UG116" s="136"/>
      <c r="UH116" s="365">
        <v>1090</v>
      </c>
      <c r="UI116" s="136"/>
      <c r="UJ116" s="136">
        <v>2000</v>
      </c>
      <c r="UK116" s="136">
        <v>1550</v>
      </c>
      <c r="UT116" s="310"/>
      <c r="UU116" s="310"/>
      <c r="UV116" s="136">
        <v>600</v>
      </c>
      <c r="UW116" s="136">
        <v>1200</v>
      </c>
      <c r="UX116" s="92"/>
      <c r="UY116" s="136"/>
      <c r="UZ116" s="136">
        <v>1290</v>
      </c>
      <c r="VA116" s="136">
        <v>1200</v>
      </c>
      <c r="VB116" s="136">
        <v>1890</v>
      </c>
      <c r="VC116" s="136">
        <v>1200</v>
      </c>
      <c r="VD116" s="136">
        <v>1890</v>
      </c>
      <c r="VU116" s="136">
        <v>500</v>
      </c>
      <c r="VV116" s="136">
        <v>1000</v>
      </c>
      <c r="VW116" s="136">
        <v>1500</v>
      </c>
      <c r="VX116" s="136">
        <v>1800</v>
      </c>
      <c r="VY116" s="136"/>
      <c r="VZ116" s="136">
        <v>1800</v>
      </c>
      <c r="WA116" s="365">
        <v>1700</v>
      </c>
      <c r="ANT116" s="30">
        <f>ANT113*0.4</f>
        <v>90000</v>
      </c>
    </row>
    <row r="117" spans="3:978 1060:1060" ht="30" customHeight="1" x14ac:dyDescent="0.25">
      <c r="BJ117" s="45"/>
      <c r="BK117" s="45"/>
      <c r="BL117" s="45"/>
      <c r="BM117" s="45"/>
      <c r="BN117" s="31"/>
      <c r="SQ117" s="361" t="s">
        <v>1299</v>
      </c>
      <c r="SR117" s="318"/>
      <c r="SS117" s="319"/>
      <c r="ST117" s="319"/>
      <c r="SU117" s="319"/>
      <c r="SV117" s="319"/>
      <c r="SW117" s="319"/>
      <c r="SX117" s="319"/>
      <c r="SY117" s="319"/>
      <c r="SZ117" s="319"/>
      <c r="TA117" s="319"/>
      <c r="TB117" s="319"/>
      <c r="TC117" s="201"/>
      <c r="TD117" s="201"/>
      <c r="TG117" s="361" t="s">
        <v>1265</v>
      </c>
      <c r="TH117" s="361"/>
      <c r="TI117" s="316"/>
      <c r="TJ117" s="316"/>
      <c r="TK117" s="316"/>
      <c r="TL117" s="316"/>
      <c r="TM117" s="316"/>
      <c r="TN117" s="316"/>
      <c r="TO117" s="316"/>
      <c r="TP117" s="316"/>
      <c r="TQ117" s="316"/>
      <c r="TX117" s="361" t="s">
        <v>1087</v>
      </c>
      <c r="TY117" s="361"/>
      <c r="TZ117" s="361" t="s">
        <v>1090</v>
      </c>
      <c r="UA117" s="361"/>
      <c r="UB117" s="361" t="s">
        <v>1091</v>
      </c>
      <c r="UC117" s="361"/>
      <c r="UD117" s="316"/>
      <c r="UE117" s="361" t="s">
        <v>1089</v>
      </c>
      <c r="UF117" s="361"/>
      <c r="UG117" s="361" t="s">
        <v>1086</v>
      </c>
      <c r="UH117" s="361"/>
      <c r="UI117" s="316"/>
      <c r="UJ117" s="316"/>
      <c r="UK117" s="31"/>
      <c r="UT117" s="361" t="s">
        <v>1361</v>
      </c>
      <c r="UU117" s="361"/>
      <c r="UV117" s="316"/>
      <c r="UW117" s="316"/>
      <c r="UX117" s="92"/>
      <c r="UY117" s="361" t="s">
        <v>1362</v>
      </c>
      <c r="UZ117" s="361"/>
      <c r="VA117" s="361" t="s">
        <v>1363</v>
      </c>
      <c r="VB117" s="361"/>
      <c r="VC117" s="316"/>
      <c r="VD117" s="316"/>
      <c r="VU117" s="361" t="s">
        <v>1650</v>
      </c>
      <c r="VV117" s="318"/>
      <c r="VW117" s="319"/>
      <c r="VX117" s="319"/>
      <c r="VY117" s="319"/>
      <c r="VZ117" s="319"/>
      <c r="WA117" s="319"/>
    </row>
    <row r="118" spans="3:978 1060:1060" ht="15" customHeight="1" x14ac:dyDescent="0.25">
      <c r="BJ118" s="45"/>
      <c r="BK118" s="45"/>
      <c r="BL118" s="45"/>
      <c r="BM118" s="45"/>
      <c r="BN118" s="31"/>
      <c r="OM118" s="201"/>
      <c r="ON118" s="201"/>
      <c r="OO118" s="136">
        <v>500</v>
      </c>
      <c r="OP118" s="136">
        <v>1000</v>
      </c>
      <c r="OQ118" s="136">
        <v>1500</v>
      </c>
      <c r="OR118" s="136">
        <v>1900</v>
      </c>
      <c r="OS118" s="136">
        <v>1600</v>
      </c>
      <c r="OT118" s="201"/>
      <c r="OU118" s="201"/>
      <c r="OV118" s="195"/>
      <c r="OW118" s="201"/>
      <c r="OX118" s="201"/>
      <c r="OY118" s="201"/>
      <c r="OZ118" s="201"/>
      <c r="PA118" s="201"/>
      <c r="PB118" s="201"/>
      <c r="PC118" s="201"/>
      <c r="PD118" s="136">
        <v>1600</v>
      </c>
      <c r="PE118" s="136">
        <v>1900</v>
      </c>
      <c r="PF118" s="136">
        <v>1900</v>
      </c>
      <c r="PG118" s="136">
        <v>1900</v>
      </c>
      <c r="PH118" s="136">
        <v>1900</v>
      </c>
      <c r="PI118" s="136">
        <v>1900</v>
      </c>
      <c r="PJ118" s="136"/>
      <c r="PK118" s="136"/>
      <c r="PL118" s="136">
        <v>1900</v>
      </c>
      <c r="PM118" s="136">
        <v>1900</v>
      </c>
      <c r="PN118" s="136">
        <v>1900</v>
      </c>
      <c r="PO118" s="136">
        <v>1900</v>
      </c>
      <c r="PP118" s="314">
        <v>1900</v>
      </c>
      <c r="PQ118" s="314"/>
      <c r="PR118" s="314">
        <v>1900</v>
      </c>
      <c r="PS118" s="314">
        <v>1900</v>
      </c>
      <c r="PT118" s="314">
        <v>1900</v>
      </c>
      <c r="PU118" s="314">
        <v>1900</v>
      </c>
      <c r="PV118" s="314">
        <v>1900</v>
      </c>
      <c r="PW118" s="314">
        <v>1900</v>
      </c>
      <c r="PX118" s="314"/>
      <c r="PY118" s="314">
        <v>1900</v>
      </c>
      <c r="PZ118" s="314">
        <v>1900</v>
      </c>
      <c r="QA118" s="314">
        <v>1900</v>
      </c>
      <c r="QB118" s="195"/>
      <c r="QC118" s="314">
        <v>1900</v>
      </c>
      <c r="QD118" s="314">
        <v>1900</v>
      </c>
      <c r="QE118" s="314">
        <v>1900</v>
      </c>
      <c r="QF118" s="314"/>
      <c r="QG118" s="314">
        <v>1900</v>
      </c>
      <c r="QH118" s="314">
        <v>1900</v>
      </c>
      <c r="QI118" s="315">
        <v>1900</v>
      </c>
      <c r="QJ118" s="201"/>
      <c r="SQ118" s="31"/>
      <c r="SR118" s="310"/>
      <c r="SS118" s="310"/>
      <c r="ST118" s="310"/>
      <c r="SU118" s="136">
        <v>400</v>
      </c>
      <c r="SV118" s="136">
        <v>800</v>
      </c>
      <c r="SW118" s="136">
        <v>1300</v>
      </c>
      <c r="SX118" s="136">
        <v>1300</v>
      </c>
      <c r="SY118" s="136"/>
      <c r="SZ118" s="314">
        <v>1300</v>
      </c>
      <c r="TA118" s="365">
        <v>1100</v>
      </c>
      <c r="TB118" s="310"/>
      <c r="TC118" s="310"/>
      <c r="TD118" s="310"/>
      <c r="UN118" s="136"/>
      <c r="UO118" s="136"/>
      <c r="UP118" s="314">
        <v>1000</v>
      </c>
      <c r="UQ118" s="136"/>
      <c r="UR118" s="314">
        <v>1600</v>
      </c>
      <c r="US118" s="314">
        <v>1600</v>
      </c>
      <c r="UT118" s="314">
        <v>1600</v>
      </c>
      <c r="UU118" s="314">
        <v>1600</v>
      </c>
      <c r="UV118" s="314">
        <v>1600</v>
      </c>
      <c r="UW118" s="314">
        <v>1600</v>
      </c>
    </row>
    <row r="119" spans="3:978 1060:1060" ht="15" customHeight="1" x14ac:dyDescent="0.25">
      <c r="BJ119" s="45"/>
      <c r="BK119" s="45"/>
      <c r="BL119" s="45"/>
      <c r="BM119" s="45"/>
      <c r="BN119" s="31"/>
      <c r="OM119" s="345" t="s">
        <v>760</v>
      </c>
      <c r="ON119" s="345"/>
      <c r="OO119" s="324"/>
      <c r="OP119" s="324"/>
      <c r="OQ119" s="324"/>
      <c r="OR119" s="324"/>
      <c r="OS119" s="324"/>
      <c r="OT119" s="201"/>
      <c r="OU119" s="201"/>
      <c r="OV119" s="195"/>
      <c r="OW119" s="201"/>
      <c r="OX119" s="201"/>
      <c r="OY119" s="201"/>
      <c r="OZ119" s="201"/>
      <c r="PA119" s="201"/>
      <c r="PB119" s="201"/>
      <c r="PC119" s="201"/>
      <c r="PD119" s="323" t="s">
        <v>760</v>
      </c>
      <c r="PE119" s="323" t="s">
        <v>760</v>
      </c>
      <c r="PF119" s="323"/>
      <c r="PG119" s="323"/>
      <c r="PH119" s="323"/>
      <c r="PI119" s="323"/>
      <c r="PJ119" s="324"/>
      <c r="PK119" s="324"/>
      <c r="PL119" s="324"/>
      <c r="PM119" s="324"/>
      <c r="PN119" s="324"/>
      <c r="PO119" s="324"/>
      <c r="PP119" s="324"/>
      <c r="PQ119" s="324"/>
      <c r="PR119" s="324"/>
      <c r="PS119" s="324"/>
      <c r="PT119" s="324"/>
      <c r="PU119" s="324"/>
      <c r="PV119" s="324"/>
      <c r="PW119" s="324"/>
      <c r="PX119" s="324"/>
      <c r="PY119" s="324"/>
      <c r="PZ119" s="324"/>
      <c r="QA119" s="324"/>
      <c r="QB119" s="195"/>
      <c r="QC119" s="323" t="s">
        <v>760</v>
      </c>
      <c r="QD119" s="323"/>
      <c r="QE119" s="323"/>
      <c r="QF119" s="323"/>
      <c r="QG119" s="323"/>
      <c r="QH119" s="323"/>
      <c r="QI119" s="323"/>
      <c r="QJ119" s="201"/>
      <c r="SQ119" s="31"/>
      <c r="SR119" s="31"/>
      <c r="SS119" s="361" t="s">
        <v>1300</v>
      </c>
      <c r="ST119" s="318"/>
      <c r="SU119" s="375"/>
      <c r="SV119" s="375"/>
      <c r="SW119" s="375"/>
      <c r="SX119" s="375"/>
      <c r="SY119" s="375"/>
      <c r="SZ119" s="31"/>
      <c r="TA119" s="31"/>
      <c r="TB119" s="31"/>
      <c r="TC119" s="31"/>
      <c r="TD119" s="31"/>
      <c r="TI119" s="361" t="s">
        <v>1249</v>
      </c>
      <c r="TJ119" s="361"/>
      <c r="TK119" s="316"/>
      <c r="TN119" s="201"/>
      <c r="TO119" s="201"/>
      <c r="TP119" s="314">
        <v>600</v>
      </c>
      <c r="TQ119" s="314">
        <v>1200</v>
      </c>
      <c r="TR119" s="195"/>
      <c r="TS119" s="136">
        <v>1800</v>
      </c>
      <c r="TT119" s="314">
        <v>2400</v>
      </c>
      <c r="TU119" s="314">
        <v>2400</v>
      </c>
      <c r="TV119" s="314"/>
      <c r="TW119" s="314">
        <v>2400</v>
      </c>
      <c r="TX119" s="314">
        <v>2400</v>
      </c>
      <c r="TY119" s="314">
        <v>2400</v>
      </c>
      <c r="TZ119" s="314">
        <v>2400</v>
      </c>
      <c r="UA119" s="365">
        <v>2400</v>
      </c>
      <c r="UB119" s="201"/>
      <c r="UC119" s="201"/>
      <c r="UD119" s="136">
        <v>600</v>
      </c>
      <c r="UE119" s="136">
        <v>1200</v>
      </c>
      <c r="UF119" s="136">
        <v>1800</v>
      </c>
      <c r="UG119" s="365">
        <v>1850</v>
      </c>
      <c r="UN119" s="399" t="s">
        <v>1041</v>
      </c>
      <c r="UO119" s="399"/>
      <c r="UP119" s="316"/>
      <c r="UQ119" s="316"/>
      <c r="UR119" s="316"/>
      <c r="US119" s="316"/>
      <c r="UT119" s="316"/>
      <c r="UU119" s="316"/>
      <c r="UV119" s="316"/>
      <c r="UW119" s="316"/>
    </row>
    <row r="120" spans="3:978 1060:1060" ht="15" customHeight="1" x14ac:dyDescent="0.25">
      <c r="BJ120" s="45"/>
      <c r="BK120" s="45"/>
      <c r="BL120" s="45"/>
      <c r="BM120" s="45"/>
      <c r="BN120" s="31"/>
      <c r="OM120" s="201"/>
      <c r="ON120" s="201"/>
      <c r="OO120" s="136">
        <v>500</v>
      </c>
      <c r="OP120" s="136">
        <v>1000</v>
      </c>
      <c r="OQ120" s="136">
        <v>1500</v>
      </c>
      <c r="OR120" s="136">
        <v>1900</v>
      </c>
      <c r="OS120" s="136">
        <v>1600</v>
      </c>
      <c r="OT120" s="201"/>
      <c r="OU120" s="201"/>
      <c r="OV120" s="195"/>
      <c r="OW120" s="201"/>
      <c r="OX120" s="201"/>
      <c r="OY120" s="201"/>
      <c r="OZ120" s="201"/>
      <c r="PA120" s="201"/>
      <c r="PB120" s="201"/>
      <c r="PC120" s="201"/>
      <c r="PD120" s="314">
        <v>1600</v>
      </c>
      <c r="PE120" s="314">
        <v>1000</v>
      </c>
      <c r="PF120" s="314">
        <v>1500</v>
      </c>
      <c r="PG120" s="314">
        <v>1900</v>
      </c>
      <c r="PH120" s="314">
        <v>1900</v>
      </c>
      <c r="PI120" s="314">
        <v>1900</v>
      </c>
      <c r="PJ120" s="136"/>
      <c r="PK120" s="136"/>
      <c r="PL120" s="314">
        <v>1900</v>
      </c>
      <c r="PM120" s="314">
        <v>1900</v>
      </c>
      <c r="PN120" s="314">
        <v>1900</v>
      </c>
      <c r="PO120" s="314">
        <v>1900</v>
      </c>
      <c r="PP120" s="365">
        <v>1900</v>
      </c>
      <c r="PQ120" s="201"/>
      <c r="PR120" s="201"/>
      <c r="PS120" s="201"/>
      <c r="PT120" s="201"/>
      <c r="PU120" s="201"/>
      <c r="PV120" s="201"/>
      <c r="PW120" s="201"/>
      <c r="PX120" s="201"/>
      <c r="PY120" s="201"/>
      <c r="PZ120" s="201"/>
      <c r="QA120" s="201"/>
      <c r="QB120" s="195"/>
      <c r="QC120" s="201"/>
      <c r="QD120" s="201"/>
      <c r="QE120" s="201"/>
      <c r="QF120" s="201"/>
      <c r="QG120" s="201"/>
      <c r="QH120" s="201"/>
      <c r="QI120" s="201"/>
      <c r="QJ120" s="201"/>
      <c r="TN120" s="361" t="s">
        <v>1301</v>
      </c>
      <c r="TO120" s="361"/>
      <c r="TP120" s="319"/>
      <c r="TQ120" s="319"/>
      <c r="TR120" s="195"/>
      <c r="TS120" s="319" t="s">
        <v>1301</v>
      </c>
      <c r="TT120" s="319"/>
      <c r="TU120" s="319"/>
      <c r="TV120" s="319"/>
      <c r="TW120" s="319"/>
      <c r="TX120" s="319"/>
      <c r="TY120" s="319"/>
      <c r="TZ120" s="201"/>
      <c r="UA120" s="201"/>
      <c r="UB120" s="361" t="s">
        <v>1250</v>
      </c>
      <c r="UC120" s="318"/>
      <c r="UD120" s="319"/>
      <c r="UE120" s="319"/>
      <c r="UF120" s="201"/>
      <c r="UG120" s="201"/>
    </row>
    <row r="121" spans="3:978 1060:1060" ht="15" customHeight="1" x14ac:dyDescent="0.25">
      <c r="BJ121" s="45"/>
      <c r="BK121" s="45"/>
      <c r="BL121" s="45"/>
      <c r="BM121" s="45"/>
      <c r="BN121" s="31"/>
      <c r="OM121" s="345" t="s">
        <v>760</v>
      </c>
      <c r="ON121" s="345"/>
      <c r="OO121" s="324"/>
      <c r="OP121" s="324"/>
      <c r="OQ121" s="324"/>
      <c r="OR121" s="324"/>
      <c r="OS121" s="324"/>
      <c r="OT121" s="201"/>
      <c r="OU121" s="201"/>
      <c r="OV121" s="195"/>
      <c r="OW121" s="201"/>
      <c r="OX121" s="201"/>
      <c r="OY121" s="201"/>
      <c r="OZ121" s="201"/>
      <c r="PA121" s="201"/>
      <c r="PB121" s="201"/>
      <c r="PC121" s="201"/>
      <c r="PD121" s="323" t="s">
        <v>760</v>
      </c>
      <c r="PE121" s="306" t="s">
        <v>760</v>
      </c>
      <c r="PF121" s="306"/>
      <c r="PG121" s="306"/>
      <c r="PH121" s="306"/>
      <c r="PI121" s="306"/>
      <c r="PJ121" s="306"/>
      <c r="PK121" s="306"/>
      <c r="PL121" s="306"/>
      <c r="PM121" s="323"/>
      <c r="PN121" s="323"/>
      <c r="PO121" s="323"/>
      <c r="PP121" s="323"/>
      <c r="PQ121" s="201"/>
      <c r="PR121" s="201"/>
      <c r="PS121" s="201"/>
      <c r="PT121" s="201"/>
      <c r="PU121" s="201"/>
      <c r="PV121" s="201"/>
      <c r="PW121" s="201"/>
      <c r="PX121" s="201"/>
      <c r="PY121" s="201"/>
      <c r="PZ121" s="201"/>
      <c r="QA121" s="201"/>
      <c r="QB121" s="195"/>
      <c r="QC121" s="201"/>
      <c r="QD121" s="201"/>
      <c r="QE121" s="201"/>
      <c r="QF121" s="201"/>
      <c r="QG121" s="201"/>
      <c r="QH121" s="201"/>
      <c r="QI121" s="201"/>
      <c r="QJ121" s="201"/>
    </row>
    <row r="122" spans="3:978 1060:1060" ht="15" customHeight="1" x14ac:dyDescent="0.25">
      <c r="BJ122" s="45"/>
      <c r="BK122" s="45"/>
      <c r="BL122" s="45"/>
      <c r="BM122" s="45"/>
      <c r="BN122" s="31"/>
    </row>
    <row r="123" spans="3:978 1060:1060" ht="15" customHeight="1" x14ac:dyDescent="0.25">
      <c r="BJ123" s="45"/>
      <c r="BK123" s="45"/>
      <c r="BL123" s="45"/>
      <c r="BM123" s="45"/>
      <c r="BN123" s="31"/>
    </row>
    <row r="124" spans="3:978 1060:1060" ht="15" customHeight="1" x14ac:dyDescent="0.25">
      <c r="BJ124" s="45"/>
      <c r="BK124" s="45"/>
      <c r="BL124" s="45"/>
      <c r="BM124" s="45"/>
      <c r="BN124" s="31"/>
    </row>
  </sheetData>
  <sheetProtection formatCells="0" formatColumns="0" formatRows="0" insertColumns="0" insertRows="0" insertHyperlinks="0" deleteColumns="0" deleteRows="0" sort="0" autoFilter="0" pivotTables="0"/>
  <mergeCells count="13">
    <mergeCell ref="ACV7:ADD24"/>
    <mergeCell ref="A42:A65"/>
    <mergeCell ref="MB42:ME65"/>
    <mergeCell ref="OT42:OU65"/>
    <mergeCell ref="AQ43:AZ87"/>
    <mergeCell ref="OW42:PC65"/>
    <mergeCell ref="A7:A38"/>
    <mergeCell ref="AQ7:AZ24"/>
    <mergeCell ref="LZ7:MI24"/>
    <mergeCell ref="OS7:OU24"/>
    <mergeCell ref="OW7:PC24"/>
    <mergeCell ref="AAE42:AAI69"/>
    <mergeCell ref="ACW42:ADG71"/>
  </mergeCells>
  <conditionalFormatting sqref="IU5:JY5 FE5:GI5 FE40:GH40 ML5:NO5 ML40:NO40 NQ5:OU5 AJL40:AKP40 AKR40:ALS40 APL5:AQO5 APL40:AQO40 AQQ5:ARU5 AQQ40:ARU40">
    <cfRule type="cellIs" dxfId="1375" priority="3435" stopIfTrue="1" operator="equal">
      <formula>"Fri"</formula>
    </cfRule>
  </conditionalFormatting>
  <conditionalFormatting sqref="AI5:BM5">
    <cfRule type="cellIs" dxfId="1374" priority="3432" stopIfTrue="1" operator="equal">
      <formula>"Fri"</formula>
    </cfRule>
  </conditionalFormatting>
  <conditionalFormatting sqref="C40:AG40">
    <cfRule type="cellIs" dxfId="1373" priority="3434" stopIfTrue="1" operator="equal">
      <formula>"Fri"</formula>
    </cfRule>
  </conditionalFormatting>
  <conditionalFormatting sqref="C5:AG5">
    <cfRule type="cellIs" dxfId="1372" priority="3433" stopIfTrue="1" operator="equal">
      <formula>"Fri"</formula>
    </cfRule>
  </conditionalFormatting>
  <conditionalFormatting sqref="AI40:BM40">
    <cfRule type="cellIs" dxfId="1371" priority="3431" stopIfTrue="1" operator="equal">
      <formula>"Fri"</formula>
    </cfRule>
  </conditionalFormatting>
  <conditionalFormatting sqref="BO5:CR5">
    <cfRule type="cellIs" dxfId="1370" priority="3430" stopIfTrue="1" operator="equal">
      <formula>"Fri"</formula>
    </cfRule>
  </conditionalFormatting>
  <conditionalFormatting sqref="BO40:CR40">
    <cfRule type="cellIs" dxfId="1369" priority="3429" stopIfTrue="1" operator="equal">
      <formula>"Fri"</formula>
    </cfRule>
  </conditionalFormatting>
  <conditionalFormatting sqref="CT5:DR5">
    <cfRule type="cellIs" dxfId="1368" priority="3428" stopIfTrue="1" operator="equal">
      <formula>"Fri"</formula>
    </cfRule>
  </conditionalFormatting>
  <conditionalFormatting sqref="DS5:DX5">
    <cfRule type="cellIs" dxfId="1367" priority="3427" stopIfTrue="1" operator="equal">
      <formula>"Fri"</formula>
    </cfRule>
  </conditionalFormatting>
  <conditionalFormatting sqref="CT40:DR40">
    <cfRule type="cellIs" dxfId="1366" priority="3426" stopIfTrue="1" operator="equal">
      <formula>"Fri"</formula>
    </cfRule>
  </conditionalFormatting>
  <conditionalFormatting sqref="DS40:DX40">
    <cfRule type="cellIs" dxfId="1365" priority="3425" stopIfTrue="1" operator="equal">
      <formula>"Fri"</formula>
    </cfRule>
  </conditionalFormatting>
  <conditionalFormatting sqref="DZ5">
    <cfRule type="cellIs" dxfId="1364" priority="3424" stopIfTrue="1" operator="equal">
      <formula>"Fri"</formula>
    </cfRule>
  </conditionalFormatting>
  <conditionalFormatting sqref="EA5:FC5">
    <cfRule type="cellIs" dxfId="1363" priority="3423" stopIfTrue="1" operator="equal">
      <formula>"Fri"</formula>
    </cfRule>
  </conditionalFormatting>
  <conditionalFormatting sqref="DZ40">
    <cfRule type="cellIs" dxfId="1362" priority="3422" stopIfTrue="1" operator="equal">
      <formula>"Fri"</formula>
    </cfRule>
  </conditionalFormatting>
  <conditionalFormatting sqref="EA40:FC40">
    <cfRule type="cellIs" dxfId="1361" priority="3421" stopIfTrue="1" operator="equal">
      <formula>"Fri"</formula>
    </cfRule>
  </conditionalFormatting>
  <conditionalFormatting sqref="GK5:HO5">
    <cfRule type="cellIs" dxfId="1360" priority="3420" stopIfTrue="1" operator="equal">
      <formula>"Fri"</formula>
    </cfRule>
  </conditionalFormatting>
  <conditionalFormatting sqref="GI40">
    <cfRule type="cellIs" dxfId="1359" priority="3419" stopIfTrue="1" operator="equal">
      <formula>"Fri"</formula>
    </cfRule>
  </conditionalFormatting>
  <conditionalFormatting sqref="GK40:HO40">
    <cfRule type="cellIs" dxfId="1358" priority="3418" stopIfTrue="1" operator="equal">
      <formula>"Fri"</formula>
    </cfRule>
  </conditionalFormatting>
  <conditionalFormatting sqref="HQ5:IS5">
    <cfRule type="cellIs" dxfId="1357" priority="3417" stopIfTrue="1" operator="equal">
      <formula>"Fri"</formula>
    </cfRule>
  </conditionalFormatting>
  <conditionalFormatting sqref="HQ40:IS40">
    <cfRule type="cellIs" dxfId="1356" priority="3416" stopIfTrue="1" operator="equal">
      <formula>"Fri"</formula>
    </cfRule>
  </conditionalFormatting>
  <conditionalFormatting sqref="IU40:JY40">
    <cfRule type="cellIs" dxfId="1355" priority="3415" stopIfTrue="1" operator="equal">
      <formula>"Fri"</formula>
    </cfRule>
  </conditionalFormatting>
  <conditionalFormatting sqref="CK63:CR63 CK61:CR61 DM58 FD48 DF52 CT84:CV84 CT51:DY51 CW83:DC84 DY42 CI87:CO92 CR48 CY48:DC48 DF48:DJ48 CT52:CV52 CP55:CQ55 CT56:CV56 CX56:DG56 CV57:CV58 DW58 DL62:DO62 CW70:CX82 DL70:DX82 DF70:DJ82 DS94:DV94 CT87:CT93 FM53 DB93:DH93 CU87:DA102 ET48 CT46:CV46 CX44:DC44 CT48:CV50 CY52:DC52 CW57:DB57 DE44:DK44 DY65:DY82 DH64:DJ64 DL64:DM64 DK93:DQ93 FE99:FF99 FF100:FF101 DD57:DL57 CT86:DG86 CT63:CZ63 CT62:CV62 CX62:DC62 DE62:DJ62 CT60:DY60 FT53:FU53 DC63:DD63 ED45 DL53:DM53 DO55 DG65:DL69 EH48:EL48 FB70:FB83 EN48:EP48 CY45:DU45 DD53:DG53 DI53:DJ53 CX55:DM55 DP57:DT57 DP58:DQ58 CX59:DW59 DY59 DQ65:DX69 DR53:DW53 DR55:DV55 DV57:DY57 DY61 DH63:DY63 EC43:EE43 EM49:EN49 EH49:EK49 FB94:FB96 EJ64:EK64 EV48:FB48 FO57:FP57 FY53 FW98 GQ43 EH64 EA63:EM63 DY44 DB43:DY43 EM43:EN43 CX46:DY46 EI45:EM45 EB53 EE53:EF53 EI53:EJ53 EN53:EQ53 DY52:DY53 EB55:EO55 DY56 DX55:DY55 EQ55:ER55 EF57 EH57 EP57:EW57 EG59:FD59 CT47:DY47 DL48:DZ48 DY58:EB58 DY62:ED62 CW49:EE49 DY84:EC84 DV93:EC93 DY64:EC64 DY86:EH86 DY45:EB45 DZ52 EV45:EW45 FF55 FD60:FD83 CX50:FE50 FD44:FG44 FF57:FG57 EP43:EU43 EO45:EQ45 EH52:EV52 ET55:EU55 FD52:FD53 EA56:EX56 EO61 EU61:EW61 EB65:EM69 ER64:EY64 EP65:EY69 EY43:FB43 FD42:FD43 FE43 FW42 EY45:FF45 FD55:FD58 ET53:EY53 FL57:FM57 FI87:FO92 ED70:EW82 FZ51:GC51 GD42 GF42:GI42 GX43 GT49:GU49 FH83:FV83 GF98:GL98 GB63:GC63 FT8:FX8 FU9:FW9 GD9 GF9:GI9 FT25:FX38 FU24 FE7:GA7 FE9:FR9 FE11:GI11 FE13:GI13 FE15:GI15 FE17:GI17 FE19:GI19 FE21:GI21 FE23:GI23 FG42:FL42 EQ49:FT49 FZ49:GA49 GD49:GI49 FW53 FH55:FT55 FV57:FW57 FI57:FJ57 FF59:FP59 FF60:FI60 FG61 FE63:FR63 FF65:FV65 FY65:GI65 HI47 FM43:FU43 EA51:FP51 FI61:FO61 FT61:FU61 DZ46:GI47 FI45:FY45 GA53:GI53 FY57:GE57 GA61:GF61 GC45:GI45 GH57:GI57 GF43 HM43 GK65:HC65 GK63:GO63 GN57:GP57 GK55:GN55 GN53:GU53 GM51:GN51 GQ51:GS51 GK45:GY45 HG63 GX51:HC51 GK59:GU59 GW59:HC59 GL61:GV61 HC63:HD63 GZ43:HF43 HH43:HK43 GO47:HG47 HF59:HK59 HN63:HO63 HL57:HM57 HR61:HX61 HN61:HO61 ID43 IO51:IS51 HS49:HT49 HY49:HZ49 IC49 HB49:HK49 HS53:HY53 HS45:HY45 HI65:HO65 HW65:IO65 HU63:HW63 IA59:IC59 GP86:GQ86 IB53:IF53 KE84:KH84 MU111:MV111 MM110 IF43:II43 IM43 IQ49 II49:IN49 IX64 IM57:IR57 IS65 JK47 IW57:JU57 JF64 LF86:LJ86 KQ84:KT84 KN91:KQ91 KQ88 KS88:KX88 LA115 KX91:LB91 IV43:JA43 JE43:JL43 JH49 IV51:IY51 JC51:JH51 IV49:JD49 JP113 JC65 JN61:JP61 IX55:JF55 IZ63:JO63 JO43:JU43 JB45:JU45 JQ49:JU49 JK49:JO49 JD53:JQ53 JH55:JN55 JA61:JL61 JE65:JU65 LP87:LQ87 LQ86 LV111:LY111 LL53:LM53 LT43:LU43 MF43:MG43 MF57:MG57 LF57:LU57 KX86:LA86 KM84:KO84 NU66:OB67 NO47 NO51 MJ55 LM45:LP45 MG55 LK59:LL59 LS59 LU59:LV59 NO84 LU45:LV45 LP49:LU49 LY49:MA49 LL55:MA55 LF65:LT65 LZ61:MA61 MG45:MI45 LW65:LY65 MH65:MI65 MR57:MS57 MH59:MJ59 ML59:MM59 NU51:OC51 MM45:MR45 MU59 MW63 MT43:MW43 MZ63:NB63 NI53:NJ53 MU45:MZ45 NF59:NG59 NA59:ND59 MY57:ND57 NF57:NJ57 QI90 PV86:PX86 NH55:NJ55 NM63:NO63 NN55 NQ49:NS49 NC45:NO45 MZ65:NO65 NQ65:NY65 QC43 NJ61:NN61 NV49 NS45:NU45 NW45:NY45 NY49:NZ49 OI59:OJ59 OB65:OC65 OD63:OH63 OD59:OF59 NU47:OG47 OJ45:OO45 OC43:OS43 PO49:PQ49 PX43:PZ43 QO43:QP43 OC61:OR61 PS47:PW47 PZ47:QA47 QD47:QF47 QS43:QT43 PE61:PH61 PP57:PQ57 PK61:PM61 PY68:QA68 PX65 QE61 SU113 TF113:TM113 UH107:UK107 TW112:UN112 SD115:SL115 TS112:TU112 UR115:UT115 TJ115:TO115 PS63:PT63 QC45 PR59:PU59 QA65 PT61:PY61 PX59:QA59 QC59 QF43:QI43 QH61 QE63:QH63 QC68:QI68 UB115:UJ115 QJ65:QK65 SC49 QL45:QM45 QN65:QP65 QT53:RF53 QN63:QW63 QZ63:RA63 QW43:RF43 RD45:RF45 RA49:RD49 QZ59:RB59 QX65:QZ65 ST43:SU43 RH51:RM51 RP51:RS51 UP119:UW119 TI119:TJ119 UY117:VD117 TZ117:UC117 UE117:UJ117 UT117:UW117 RD47:RF47 RD63 RT43:RV43 RS45 RU45:RV45 RV51:RZ51 SC45:SD45 RX53:SE53 SJ45 SF51:SL51 SL53 SN59 SR65:SS65 SQ45:SS45 SP59:SR59 SS49:ST49 SV45:SY45 TC49:TD49 TC51 SX53:TA53 TB55:TC55 ST57:SU57 TG59:TH59 WF115 SS51:SZ51 SZ65:TB65 TA69 SY69 SY59 TC61:TE61 UV112:UW112 UY112:VL112 VZ113:WC113 VX115:WC115 TB43:TD43 TS43:TT43 TD63:TH63 TH47 TJ55:TO55 TJ61 TN47:TO47 TS47 UE49 TM59:TO59 TK69:TM69 TO65:TQ65 TL43:TQ43 TW43:TX43 TW69 TW71 TT51:TX51 TU65:TV65 TS63:TV63 WA65 UA49:UB49 UC53:UD53 UE47:UI47 UH49:UL49 UA61:UF61 UF63:UG63 WO115 TY57:UM57 UN45:UP45 UV53:UW53 VO65:VP65 UI61:UL61 UL43:UW43 UR49:UU49 UN63:UV63 VY61:VZ61 US45 UO57:UR57 UT57:UU57 UT61:UW61 UY47 UU47:UW47 UE51:UU51 UY51:VA51 UY49:VB49 UY61:UZ61 VB45:VC45 UY53:VD53 UY63:VB63 VB61:VC61 VH49:VI49 VE63:VG63 VM49:VO49 VH61:VJ61 WG59:WJ59 WL49 VO55:VQ55 VS65:VU65 WF43:WG43 VT55:VW55 WB43:WC43 WC55 VR59:WC59 WF61:WH61 VA43:VY43 WI43:WJ43 WM59:WR59 WK65 WN65:WO65 WO49:WP49 WL43:XF43 WJ47:WU47 WM51:XB51 WY47:WZ47 WY63:WZ63 WY59:XD59 XK43 XL55:XM55 XQ45:YL45 XQ55:XR55 XM59:XQ59 AAM57:AAN57 XN43:XO43 XT43:XU43 XT55:YC55 XS59:XX59 YC71 YC69:YD69 YG43:YH43 YO45:YP45 YE55:YF55 AAM49 YX45 YH55:YL55 YO55:YV55 ZC57:ZD57 YN43:ZA43 ZA55:ZC55 YQ61:ZG61 YO59:ZC59 ZL49 ZF55:ZG55 ZJ61:ZM61 ZY57:ZZ57 ZV45:ZW45 ZE59:ZL59 ZD43:ZO43 ZY61 ZV51:ZW51 ZY59:AAC59 AAA49 ZV43:ZZ43 ZZ51:AAC51 AAJ45 AAB61:AAD61 AAK55:AAL55 AAN45:AAO45 AAS43:AAT43 AAQ57:AAT57 AAY69:AAZ69 AAM51:AAN51 AAP51:AAW51 AAT49:AAV49 AAW57 AAL61:AAO61 AAM43:AAQ43 AAK53:AAT53 AAV45:AAW45 AAV61:AAW61 ACA45:ACB45 ACI110:ACN110 AEK113:AEM113 ABA43:ABC43 ABA57:ABD57 ABH55:ABM55 ABC45:ABF45 AAY61:ABD61 AAY51:ABQ51 ABH43:ABN43 ACD57:ACE57 ACB43 ABT43:ABY43 ADJ43:ADK43 ABH57:ACB57 ABK45:ABV45 ABS51:ABT51 ABZ59:ACB59 ABW51:ACB51 ABO55:ACB55 ACG57:ACS57 ACK59:ACM59 ACE51:ACJ51 ACD55:ACM55 ACU55:ACV55 ACP55:ACR55 ADZ59:AEB59 ADP45:ADQ45 ADO55 ADR55 ADN59:ADO59 ADS45 ADM51:ADP51 ADV57:ADX57 AEB57:AEF57 AEM55:AEN55 ADW45:ADX45 ADR59:ADW59 ADU51:ADY51 ADR43:ADY43 AEB43:AEI43 ADX61:AEB61 AEI57:AEN57 AEV59 AEC45:AEH45 AEI55 AEE59:AEF59 AEE61 AEH61 AEI59:AEK59 AEM61:AEN61 AEE51:AEJ51 AEL51:AEN51 AHD67 AET51:AEU51 AEQ55:AET55 AEP43:AET43 AEK43:AEN43 AEY59:AFA59 AFO51:AFS51 AFD45:AFS45 AFM55:AFS55 AFC61:AFQ61 AGG59:AGH59 AFG43:AFS43 AHC55:AHD55 AEV57:AFS57 AGB61:AGC61 AFW61 AFQ59:AFS59 AKP63 AJV45:AJX45 AJT61:AJX61 AFW55:AFX55 AFU43:AGK43 AGA55:AGI55 AGA59:AGE59 AGY63 AGN59:AGQ59 AGT59 AHR61:AHT61 AKT63 AME55:AMS55 ALX55:ALY55 AKA61:AKE61 AKH61:AKJ61 AJT63:AJV63 AJY63:AKA63 AKD63:AKH63 AKK63:AKM63 AGC49:AGH49 AGG61:AGH61 AGL51:AGY51 AGO43:AGQ43 AGW43:AGY43 AGW59:AGY59 AHA59 AGN61:AGR61 AHE59:AHI59 AFV57:AGS57 AHN43 AHO84 AIF43:AIG43 AIC59:AID59 AGS71 AGS75 AGS73 AII57:AJJ57 AJW43:AJX43 AJL43:AJT43 AKC51:AKE51 AKT65:AKV65 AKK67:AKM67 AKP67 AJU65 AKB65 ALA65 AJG61 AJP61:AJQ61 AKM61:AKP61 AKT61 AJN57:AJO57 AJV57:AJX57 AOV45:APJ45 AFU45:AGX45 AHC43:AHF43 AHY43:AID43 AHI51:AHJ51 AGU67:AGY67 AHG67 AHJ67:AHL67 AIH55:AIK55 AHY55:AID55 AIN55:AIP55 AIS55:AIV55 AHC61:AHE61 AHG65:AHH65 AHR86:AHU86 AHQ78:AHS78 AHZ51 AIF51:AII51 AIN51:AIO51 AHI57 AHX57:AID57 AIR51 AIS61:AIV61 AJA61:AJB61 AIU51:AJJ51 AJL51:AJZ51 AIJ59:AJA59 AJC59:AJD59 AIF45:AJJ45 AJL45:AJO45 AJR45:AJS45 AKU43:ALE43 AJA53:AJB53 AJD53:AJI53 AJS53:AJV53 AJL53:AJQ53 AKZ61:ALB61 AKA57 AJP65:AJR65 AJX65:AJY65 AKE65 AKJ65 AMI45:AMY45 AMB45:AMC45 AKU45:ALS45 AKR67:AKS67 AKR45:AKS45 AKO45:AKP45 AKH45:AKM45 AKV67:AKW67 AKZ67:ALB67 ALE67 AKZ55:ALS55 AMV55:AMY55 ANJ55:AOD55 ANQ45:AOD45 AHQ35:AHS35 AHI43:AHK43 AHJ65:AHK65 ALH43:ALS43 ALY43:AMG43 APZ45:AQM45 AHG45:AHU45 AHL57 AHO37:AHU37 AHL63:AHN63 AHX37:AHZ37 AHQ43:AHS43 AHF55:AHR55 AIA45:AID45 AHR65:AHS65 AHO57:AHQ57">
    <cfRule type="containsText" dxfId="1354" priority="3414" operator="containsText" text="8265MSS">
      <formula>NOT(ISERROR(SEARCH("8265MSS",CI7)))</formula>
    </cfRule>
  </conditionalFormatting>
  <conditionalFormatting sqref="EK53">
    <cfRule type="containsText" dxfId="1353" priority="3413" operator="containsText" text="8265MSS">
      <formula>NOT(ISERROR(SEARCH("8265MSS",EK53)))</formula>
    </cfRule>
  </conditionalFormatting>
  <conditionalFormatting sqref="CW61:DK61">
    <cfRule type="containsText" dxfId="1352" priority="3412" operator="containsText" text="8265MSS">
      <formula>NOT(ISERROR(SEARCH("8265MSS",CW61)))</formula>
    </cfRule>
  </conditionalFormatting>
  <conditionalFormatting sqref="CU61:CV61">
    <cfRule type="containsText" dxfId="1351" priority="3411" operator="containsText" text="8265MSS">
      <formula>NOT(ISERROR(SEARCH("8265MSS",CU61)))</formula>
    </cfRule>
  </conditionalFormatting>
  <conditionalFormatting sqref="DZ51">
    <cfRule type="containsText" dxfId="1350" priority="3410" operator="containsText" text="8265MSS">
      <formula>NOT(ISERROR(SEARCH("8265MSS",DZ51)))</formula>
    </cfRule>
  </conditionalFormatting>
  <conditionalFormatting sqref="DK53">
    <cfRule type="containsText" dxfId="1349" priority="3409" operator="containsText" text="8265MSS">
      <formula>NOT(ISERROR(SEARCH("8265MSS",DK53)))</formula>
    </cfRule>
  </conditionalFormatting>
  <conditionalFormatting sqref="FW51">
    <cfRule type="containsText" dxfId="1348" priority="3408" operator="containsText" text="8265MSS">
      <formula>NOT(ISERROR(SEARCH("8265MSS",FW51)))</formula>
    </cfRule>
  </conditionalFormatting>
  <conditionalFormatting sqref="CP49:CR49">
    <cfRule type="containsText" dxfId="1347" priority="3407" operator="containsText" text="8265MSS">
      <formula>NOT(ISERROR(SEARCH("8265MSS",CP49)))</formula>
    </cfRule>
  </conditionalFormatting>
  <conditionalFormatting sqref="EH43:EI43">
    <cfRule type="containsText" dxfId="1346" priority="3406" operator="containsText" text="8265MSS">
      <formula>NOT(ISERROR(SEARCH("8265MSS",EH43)))</formula>
    </cfRule>
  </conditionalFormatting>
  <conditionalFormatting sqref="CX53:DC53">
    <cfRule type="containsText" dxfId="1345" priority="3405" operator="containsText" text="8265MSS">
      <formula>NOT(ISERROR(SEARCH("8265MSS",CX53)))</formula>
    </cfRule>
  </conditionalFormatting>
  <conditionalFormatting sqref="CR55">
    <cfRule type="containsText" dxfId="1344" priority="3404" operator="containsText" text="8265MSS">
      <formula>NOT(ISERROR(SEARCH("8265MSS",CR55)))</formula>
    </cfRule>
  </conditionalFormatting>
  <conditionalFormatting sqref="CU59:CV59">
    <cfRule type="containsText" dxfId="1343" priority="3403" operator="containsText" text="8265MSS">
      <formula>NOT(ISERROR(SEARCH("8265MSS",CU59)))</formula>
    </cfRule>
  </conditionalFormatting>
  <conditionalFormatting sqref="CT61">
    <cfRule type="containsText" dxfId="1342" priority="3402" operator="containsText" text="8265MSS">
      <formula>NOT(ISERROR(SEARCH("8265MSS",CT61)))</formula>
    </cfRule>
  </conditionalFormatting>
  <conditionalFormatting sqref="DL61:DM61">
    <cfRule type="containsText" dxfId="1341" priority="3401" operator="containsText" text="8265MSS">
      <formula>NOT(ISERROR(SEARCH("8265MSS",DL61)))</formula>
    </cfRule>
  </conditionalFormatting>
  <conditionalFormatting sqref="DN61:DX61">
    <cfRule type="containsText" dxfId="1340" priority="3400" operator="containsText" text="8265MSS">
      <formula>NOT(ISERROR(SEARCH("8265MSS",DN61)))</formula>
    </cfRule>
  </conditionalFormatting>
  <conditionalFormatting sqref="GG57">
    <cfRule type="containsText" dxfId="1339" priority="3399" operator="containsText" text="8265MSS">
      <formula>NOT(ISERROR(SEARCH("8265MSS",GG57)))</formula>
    </cfRule>
  </conditionalFormatting>
  <conditionalFormatting sqref="ES55">
    <cfRule type="containsText" dxfId="1338" priority="3398" operator="containsText" text="8265MSS">
      <formula>NOT(ISERROR(SEARCH("8265MSS",ES55)))</formula>
    </cfRule>
  </conditionalFormatting>
  <conditionalFormatting sqref="FG45">
    <cfRule type="containsText" dxfId="1337" priority="3397" operator="containsText" text="8265MSS">
      <formula>NOT(ISERROR(SEARCH("8265MSS",FG45)))</formula>
    </cfRule>
  </conditionalFormatting>
  <conditionalFormatting sqref="FW65:FX65">
    <cfRule type="containsText" dxfId="1336" priority="3396" operator="containsText" text="8265MSS">
      <formula>NOT(ISERROR(SEARCH("8265MSS",FW65)))</formula>
    </cfRule>
  </conditionalFormatting>
  <conditionalFormatting sqref="HD51">
    <cfRule type="containsText" dxfId="1335" priority="3394" operator="containsText" text="8265MSS">
      <formula>NOT(ISERROR(SEARCH("8265MSS",HD51)))</formula>
    </cfRule>
  </conditionalFormatting>
  <conditionalFormatting sqref="HZ61">
    <cfRule type="containsText" dxfId="1334" priority="3395" operator="containsText" text="8265MSS">
      <formula>NOT(ISERROR(SEARCH("8265MSS",HZ61)))</formula>
    </cfRule>
  </conditionalFormatting>
  <conditionalFormatting sqref="DW55">
    <cfRule type="containsText" dxfId="1333" priority="3393" operator="containsText" text="8265MSS">
      <formula>NOT(ISERROR(SEARCH("8265MSS",DW55)))</formula>
    </cfRule>
  </conditionalFormatting>
  <conditionalFormatting sqref="FI43">
    <cfRule type="containsText" dxfId="1332" priority="3392" operator="containsText" text="8265MSS">
      <formula>NOT(ISERROR(SEARCH("8265MSS",FI43)))</formula>
    </cfRule>
  </conditionalFormatting>
  <conditionalFormatting sqref="EL61">
    <cfRule type="containsText" dxfId="1331" priority="3391" operator="containsText" text="8265MSS">
      <formula>NOT(ISERROR(SEARCH("8265MSS",EL61)))</formula>
    </cfRule>
  </conditionalFormatting>
  <conditionalFormatting sqref="ER53">
    <cfRule type="containsText" dxfId="1330" priority="3390" operator="containsText" text="8265MSS">
      <formula>NOT(ISERROR(SEARCH("8265MSS",ER53)))</formula>
    </cfRule>
  </conditionalFormatting>
  <conditionalFormatting sqref="EX45">
    <cfRule type="containsText" dxfId="1329" priority="3389" operator="containsText" text="8265MSS">
      <formula>NOT(ISERROR(SEARCH("8265MSS",EX45)))</formula>
    </cfRule>
  </conditionalFormatting>
  <conditionalFormatting sqref="FK43">
    <cfRule type="containsText" dxfId="1328" priority="3388" operator="containsText" text="8265MSS">
      <formula>NOT(ISERROR(SEARCH("8265MSS",FK43)))</formula>
    </cfRule>
  </conditionalFormatting>
  <conditionalFormatting sqref="FH45">
    <cfRule type="containsText" dxfId="1327" priority="3387" operator="containsText" text="8265MSS">
      <formula>NOT(ISERROR(SEARCH("8265MSS",FH45)))</formula>
    </cfRule>
  </conditionalFormatting>
  <conditionalFormatting sqref="GP49:GS49 GV49">
    <cfRule type="containsText" dxfId="1326" priority="3382" operator="containsText" text="8265MSS">
      <formula>NOT(ISERROR(SEARCH("8265MSS",GP49)))</formula>
    </cfRule>
  </conditionalFormatting>
  <conditionalFormatting sqref="GO51:GP51">
    <cfRule type="containsText" dxfId="1325" priority="3386" operator="containsText" text="8265MSS">
      <formula>NOT(ISERROR(SEARCH("8265MSS",GO51)))</formula>
    </cfRule>
  </conditionalFormatting>
  <conditionalFormatting sqref="GL51">
    <cfRule type="containsText" dxfId="1324" priority="3385" operator="containsText" text="8265MSS">
      <formula>NOT(ISERROR(SEARCH("8265MSS",GL51)))</formula>
    </cfRule>
  </conditionalFormatting>
  <conditionalFormatting sqref="FU49:FV49">
    <cfRule type="containsText" dxfId="1323" priority="3384" operator="containsText" text="8265MSS">
      <formula>NOT(ISERROR(SEARCH("8265MSS",FU49)))</formula>
    </cfRule>
  </conditionalFormatting>
  <conditionalFormatting sqref="GN49:GO49">
    <cfRule type="containsText" dxfId="1322" priority="3383" operator="containsText" text="8265MSS">
      <formula>NOT(ISERROR(SEARCH("8265MSS",GN49)))</formula>
    </cfRule>
  </conditionalFormatting>
  <conditionalFormatting sqref="GT51:GU51">
    <cfRule type="containsText" dxfId="1321" priority="3381" operator="containsText" text="8265MSS">
      <formula>NOT(ISERROR(SEARCH("8265MSS",GT51)))</formula>
    </cfRule>
  </conditionalFormatting>
  <conditionalFormatting sqref="GV51">
    <cfRule type="containsText" dxfId="1320" priority="3379" operator="containsText" text="8265MSS">
      <formula>NOT(ISERROR(SEARCH("8265MSS",GV51)))</formula>
    </cfRule>
  </conditionalFormatting>
  <conditionalFormatting sqref="GH51">
    <cfRule type="containsText" dxfId="1319" priority="3380" operator="containsText" text="8265MSS">
      <formula>NOT(ISERROR(SEARCH("8265MSS",GH51)))</formula>
    </cfRule>
  </conditionalFormatting>
  <conditionalFormatting sqref="GF51">
    <cfRule type="containsText" dxfId="1318" priority="3378" operator="containsText" text="8265MSS">
      <formula>NOT(ISERROR(SEARCH("8265MSS",GF51)))</formula>
    </cfRule>
  </conditionalFormatting>
  <conditionalFormatting sqref="DM57:DN57">
    <cfRule type="containsText" dxfId="1317" priority="3377" operator="containsText" text="8265MSS">
      <formula>NOT(ISERROR(SEARCH("8265MSS",DM57)))</formula>
    </cfRule>
  </conditionalFormatting>
  <conditionalFormatting sqref="DG63">
    <cfRule type="containsText" dxfId="1316" priority="3376" operator="containsText" text="8265MSS">
      <formula>NOT(ISERROR(SEARCH("8265MSS",DG63)))</formula>
    </cfRule>
  </conditionalFormatting>
  <conditionalFormatting sqref="DA63:DB63">
    <cfRule type="containsText" dxfId="1315" priority="3375" operator="containsText" text="8265MSS">
      <formula>NOT(ISERROR(SEARCH("8265MSS",DA63)))</formula>
    </cfRule>
  </conditionalFormatting>
  <conditionalFormatting sqref="DE63:DF63">
    <cfRule type="containsText" dxfId="1314" priority="3374" operator="containsText" text="8265MSS">
      <formula>NOT(ISERROR(SEARCH("8265MSS",DE63)))</formula>
    </cfRule>
  </conditionalFormatting>
  <conditionalFormatting sqref="FL53">
    <cfRule type="containsText" dxfId="1313" priority="3373" operator="containsText" text="8265MSS">
      <formula>NOT(ISERROR(SEARCH("8265MSS",FL53)))</formula>
    </cfRule>
  </conditionalFormatting>
  <conditionalFormatting sqref="GD51:GE51">
    <cfRule type="containsText" dxfId="1312" priority="3372" operator="containsText" text="8265MSS">
      <formula>NOT(ISERROR(SEARCH("8265MSS",GD51)))</formula>
    </cfRule>
  </conditionalFormatting>
  <conditionalFormatting sqref="EL53">
    <cfRule type="containsText" dxfId="1311" priority="3371" operator="containsText" text="8265MSS">
      <formula>NOT(ISERROR(SEARCH("8265MSS",EL53)))</formula>
    </cfRule>
  </conditionalFormatting>
  <conditionalFormatting sqref="GV43:GW43">
    <cfRule type="containsText" dxfId="1310" priority="3370" operator="containsText" text="8265MSS">
      <formula>NOT(ISERROR(SEARCH("8265MSS",GV43)))</formula>
    </cfRule>
  </conditionalFormatting>
  <conditionalFormatting sqref="GD43:GE43 FY43:GA43">
    <cfRule type="containsText" dxfId="1309" priority="3369" operator="containsText" text="8265MSS">
      <formula>NOT(ISERROR(SEARCH("8265MSS",FY43)))</formula>
    </cfRule>
  </conditionalFormatting>
  <conditionalFormatting sqref="FW43:FX43">
    <cfRule type="containsText" dxfId="1308" priority="3368" operator="containsText" text="8265MSS">
      <formula>NOT(ISERROR(SEARCH("8265MSS",FW43)))</formula>
    </cfRule>
  </conditionalFormatting>
  <conditionalFormatting sqref="GT43:GU43">
    <cfRule type="containsText" dxfId="1307" priority="3367" operator="containsText" text="8265MSS">
      <formula>NOT(ISERROR(SEARCH("8265MSS",GT43)))</formula>
    </cfRule>
  </conditionalFormatting>
  <conditionalFormatting sqref="GK49:GM49">
    <cfRule type="containsText" dxfId="1306" priority="3366" operator="containsText" text="8265MSS">
      <formula>NOT(ISERROR(SEARCH("8265MSS",GK49)))</formula>
    </cfRule>
  </conditionalFormatting>
  <conditionalFormatting sqref="HD45">
    <cfRule type="containsText" dxfId="1305" priority="3365" operator="containsText" text="8265MSS">
      <formula>NOT(ISERROR(SEARCH("8265MSS",HD45)))</formula>
    </cfRule>
  </conditionalFormatting>
  <conditionalFormatting sqref="HD59:HE59">
    <cfRule type="containsText" dxfId="1304" priority="3364" operator="containsText" text="8265MSS">
      <formula>NOT(ISERROR(SEARCH("8265MSS",HD59)))</formula>
    </cfRule>
  </conditionalFormatting>
  <conditionalFormatting sqref="DV45">
    <cfRule type="containsText" dxfId="1303" priority="3363" operator="containsText" text="8265MSS">
      <formula>NOT(ISERROR(SEARCH("8265MSS",DV45)))</formula>
    </cfRule>
  </conditionalFormatting>
  <conditionalFormatting sqref="DN53:DQ53">
    <cfRule type="containsText" dxfId="1302" priority="3362" operator="containsText" text="8265MSS">
      <formula>NOT(ISERROR(SEARCH("8265MSS",DN53)))</formula>
    </cfRule>
  </conditionalFormatting>
  <conditionalFormatting sqref="EF43:EG43">
    <cfRule type="containsText" dxfId="1301" priority="3361" operator="containsText" text="8265MSS">
      <formula>NOT(ISERROR(SEARCH("8265MSS",EF43)))</formula>
    </cfRule>
  </conditionalFormatting>
  <conditionalFormatting sqref="EL49">
    <cfRule type="containsText" dxfId="1300" priority="3360" operator="containsText" text="8265MSS">
      <formula>NOT(ISERROR(SEARCH("8265MSS",EL49)))</formula>
    </cfRule>
  </conditionalFormatting>
  <conditionalFormatting sqref="EF49:EG49">
    <cfRule type="containsText" dxfId="1299" priority="3359" operator="containsText" text="8265MSS">
      <formula>NOT(ISERROR(SEARCH("8265MSS",EF49)))</formula>
    </cfRule>
  </conditionalFormatting>
  <conditionalFormatting sqref="EO49:EP49">
    <cfRule type="containsText" dxfId="1298" priority="3358" operator="containsText" text="8265MSS">
      <formula>NOT(ISERROR(SEARCH("8265MSS",EO49)))</formula>
    </cfRule>
  </conditionalFormatting>
  <conditionalFormatting sqref="EZ65:FC69">
    <cfRule type="containsText" dxfId="1297" priority="3357" operator="containsText" text="8265MSS">
      <formula>NOT(ISERROR(SEARCH("8265MSS",EZ65)))</formula>
    </cfRule>
  </conditionalFormatting>
  <conditionalFormatting sqref="GF57">
    <cfRule type="containsText" dxfId="1296" priority="3356" operator="containsText" text="8265MSS">
      <formula>NOT(ISERROR(SEARCH("8265MSS",GF57)))</formula>
    </cfRule>
  </conditionalFormatting>
  <conditionalFormatting sqref="HQ53:HR53">
    <cfRule type="containsText" dxfId="1295" priority="3355" operator="containsText" text="8265MSS">
      <formula>NOT(ISERROR(SEARCH("8265MSS",HQ53)))</formula>
    </cfRule>
  </conditionalFormatting>
  <conditionalFormatting sqref="IG49:IH49">
    <cfRule type="containsText" dxfId="1294" priority="3354" operator="containsText" text="8265MSS">
      <formula>NOT(ISERROR(SEARCH("8265MSS",IG49)))</formula>
    </cfRule>
  </conditionalFormatting>
  <conditionalFormatting sqref="HS63:HT63">
    <cfRule type="containsText" dxfId="1293" priority="3353" operator="containsText" text="8265MSS">
      <formula>NOT(ISERROR(SEARCH("8265MSS",HS63)))</formula>
    </cfRule>
  </conditionalFormatting>
  <conditionalFormatting sqref="GY63:GZ63">
    <cfRule type="containsText" dxfId="1292" priority="3352" operator="containsText" text="8265MSS">
      <formula>NOT(ISERROR(SEARCH("8265MSS",GY63)))</formula>
    </cfRule>
  </conditionalFormatting>
  <conditionalFormatting sqref="HA63:HB63">
    <cfRule type="containsText" dxfId="1291" priority="3351" operator="containsText" text="8265MSS">
      <formula>NOT(ISERROR(SEARCH("8265MSS",HA63)))</formula>
    </cfRule>
  </conditionalFormatting>
  <conditionalFormatting sqref="DW45:DX45">
    <cfRule type="containsText" dxfId="1290" priority="3350" operator="containsText" text="8265MSS">
      <formula>NOT(ISERROR(SEARCH("8265MSS",DW45)))</formula>
    </cfRule>
  </conditionalFormatting>
  <conditionalFormatting sqref="DH53">
    <cfRule type="containsText" dxfId="1289" priority="3349" operator="containsText" text="8265MSS">
      <formula>NOT(ISERROR(SEARCH("8265MSS",DH53)))</formula>
    </cfRule>
  </conditionalFormatting>
  <conditionalFormatting sqref="DX59">
    <cfRule type="containsText" dxfId="1288" priority="3348" operator="containsText" text="8265MSS">
      <formula>NOT(ISERROR(SEARCH("8265MSS",DX59)))</formula>
    </cfRule>
  </conditionalFormatting>
  <conditionalFormatting sqref="DZ43">
    <cfRule type="containsText" dxfId="1287" priority="3347" operator="containsText" text="8265MSS">
      <formula>NOT(ISERROR(SEARCH("8265MSS",DZ43)))</formula>
    </cfRule>
  </conditionalFormatting>
  <conditionalFormatting sqref="EA43">
    <cfRule type="containsText" dxfId="1286" priority="3346" operator="containsText" text="8265MSS">
      <formula>NOT(ISERROR(SEARCH("8265MSS",EA43)))</formula>
    </cfRule>
  </conditionalFormatting>
  <conditionalFormatting sqref="EB43">
    <cfRule type="containsText" dxfId="1285" priority="3345" operator="containsText" text="8265MSS">
      <formula>NOT(ISERROR(SEARCH("8265MSS",EB43)))</formula>
    </cfRule>
  </conditionalFormatting>
  <conditionalFormatting sqref="DZ55:EA55">
    <cfRule type="containsText" dxfId="1284" priority="3344" operator="containsText" text="8265MSS">
      <formula>NOT(ISERROR(SEARCH("8265MSS",DZ55)))</formula>
    </cfRule>
  </conditionalFormatting>
  <conditionalFormatting sqref="DZ61:EE61">
    <cfRule type="containsText" dxfId="1283" priority="3337" operator="containsText" text="8265MSS">
      <formula>NOT(ISERROR(SEARCH("8265MSS",DZ61)))</formula>
    </cfRule>
  </conditionalFormatting>
  <conditionalFormatting sqref="DZ57">
    <cfRule type="containsText" dxfId="1282" priority="3343" operator="containsText" text="8265MSS">
      <formula>NOT(ISERROR(SEARCH("8265MSS",DZ57)))</formula>
    </cfRule>
  </conditionalFormatting>
  <conditionalFormatting sqref="EB57">
    <cfRule type="containsText" dxfId="1281" priority="3342" operator="containsText" text="8265MSS">
      <formula>NOT(ISERROR(SEARCH("8265MSS",EB57)))</formula>
    </cfRule>
  </conditionalFormatting>
  <conditionalFormatting sqref="EC57:EE57 EI57:EN57">
    <cfRule type="containsText" dxfId="1280" priority="3341" operator="containsText" text="8265MSS">
      <formula>NOT(ISERROR(SEARCH("8265MSS",EC57)))</formula>
    </cfRule>
  </conditionalFormatting>
  <conditionalFormatting sqref="DZ59">
    <cfRule type="containsText" dxfId="1279" priority="3340" operator="containsText" text="8265MSS">
      <formula>NOT(ISERROR(SEARCH("8265MSS",DZ59)))</formula>
    </cfRule>
  </conditionalFormatting>
  <conditionalFormatting sqref="EA59:EB59">
    <cfRule type="containsText" dxfId="1278" priority="3339" operator="containsText" text="8265MSS">
      <formula>NOT(ISERROR(SEARCH("8265MSS",EA59)))</formula>
    </cfRule>
  </conditionalFormatting>
  <conditionalFormatting sqref="EC59:ED59">
    <cfRule type="containsText" dxfId="1277" priority="3338" operator="containsText" text="8265MSS">
      <formula>NOT(ISERROR(SEARCH("8265MSS",EC59)))</formula>
    </cfRule>
  </conditionalFormatting>
  <conditionalFormatting sqref="DZ63">
    <cfRule type="containsText" dxfId="1276" priority="3336" operator="containsText" text="8265MSS">
      <formula>NOT(ISERROR(SEARCH("8265MSS",DZ63)))</formula>
    </cfRule>
  </conditionalFormatting>
  <conditionalFormatting sqref="DZ65:EA69">
    <cfRule type="containsText" dxfId="1275" priority="3335" operator="containsText" text="8265MSS">
      <formula>NOT(ISERROR(SEARCH("8265MSS",DZ65)))</formula>
    </cfRule>
  </conditionalFormatting>
  <conditionalFormatting sqref="EJ43:EL43">
    <cfRule type="containsText" dxfId="1274" priority="3334" operator="containsText" text="8265MSS">
      <formula>NOT(ISERROR(SEARCH("8265MSS",EJ43)))</formula>
    </cfRule>
  </conditionalFormatting>
  <conditionalFormatting sqref="DZ53:EA53">
    <cfRule type="containsText" dxfId="1273" priority="3333" operator="containsText" text="8265MSS">
      <formula>NOT(ISERROR(SEARCH("8265MSS",DZ53)))</formula>
    </cfRule>
  </conditionalFormatting>
  <conditionalFormatting sqref="EE59:EF59">
    <cfRule type="containsText" dxfId="1272" priority="3332" operator="containsText" text="8265MSS">
      <formula>NOT(ISERROR(SEARCH("8265MSS",EE59)))</formula>
    </cfRule>
  </conditionalFormatting>
  <conditionalFormatting sqref="GZ49:HA49">
    <cfRule type="containsText" dxfId="1271" priority="3331" operator="containsText" text="8265MSS">
      <formula>NOT(ISERROR(SEARCH("8265MSS",GZ49)))</formula>
    </cfRule>
  </conditionalFormatting>
  <conditionalFormatting sqref="HQ49:HR49">
    <cfRule type="containsText" dxfId="1270" priority="3330" operator="containsText" text="8265MSS">
      <formula>NOT(ISERROR(SEARCH("8265MSS",HQ49)))</formula>
    </cfRule>
  </conditionalFormatting>
  <conditionalFormatting sqref="GH43:GI43">
    <cfRule type="containsText" dxfId="1269" priority="3329" operator="containsText" text="8265MSS">
      <formula>NOT(ISERROR(SEARCH("8265MSS",GH43)))</formula>
    </cfRule>
  </conditionalFormatting>
  <conditionalFormatting sqref="GP55">
    <cfRule type="containsText" dxfId="1268" priority="3328" operator="containsText" text="8265MSS">
      <formula>NOT(ISERROR(SEARCH("8265MSS",GP55)))</formula>
    </cfRule>
  </conditionalFormatting>
  <conditionalFormatting sqref="HZ53:IA53">
    <cfRule type="containsText" dxfId="1267" priority="3327" operator="containsText" text="8265MSS">
      <formula>NOT(ISERROR(SEARCH("8265MSS",HZ53)))</formula>
    </cfRule>
  </conditionalFormatting>
  <conditionalFormatting sqref="HF65:HH65">
    <cfRule type="containsText" dxfId="1266" priority="3326" operator="containsText" text="8265MSS">
      <formula>NOT(ISERROR(SEARCH("8265MSS",HF65)))</formula>
    </cfRule>
  </conditionalFormatting>
  <conditionalFormatting sqref="HD65:HE65">
    <cfRule type="containsText" dxfId="1265" priority="3325" operator="containsText" text="8265MSS">
      <formula>NOT(ISERROR(SEARCH("8265MSS",HD65)))</formula>
    </cfRule>
  </conditionalFormatting>
  <conditionalFormatting sqref="IA61:IB61">
    <cfRule type="containsText" dxfId="1264" priority="3324" operator="containsText" text="8265MSS">
      <formula>NOT(ISERROR(SEARCH("8265MSS",IA61)))</formula>
    </cfRule>
  </conditionalFormatting>
  <conditionalFormatting sqref="EG61">
    <cfRule type="containsText" dxfId="1263" priority="3323" operator="containsText" text="8265MSS">
      <formula>NOT(ISERROR(SEARCH("8265MSS",EG61)))</formula>
    </cfRule>
  </conditionalFormatting>
  <conditionalFormatting sqref="EH61">
    <cfRule type="containsText" dxfId="1262" priority="3322" operator="containsText" text="8265MSS">
      <formula>NOT(ISERROR(SEARCH("8265MSS",EH61)))</formula>
    </cfRule>
  </conditionalFormatting>
  <conditionalFormatting sqref="EN61">
    <cfRule type="containsText" dxfId="1261" priority="3321" operator="containsText" text="8265MSS">
      <formula>NOT(ISERROR(SEARCH("8265MSS",EN61)))</formula>
    </cfRule>
  </conditionalFormatting>
  <conditionalFormatting sqref="EC58:EG58">
    <cfRule type="containsText" dxfId="1260" priority="3320" operator="containsText" text="8265MSS">
      <formula>NOT(ISERROR(SEARCH("8265MSS",EC58)))</formula>
    </cfRule>
  </conditionalFormatting>
  <conditionalFormatting sqref="EO43">
    <cfRule type="containsText" dxfId="1259" priority="3319" operator="containsText" text="8265MSS">
      <formula>NOT(ISERROR(SEARCH("8265MSS",EO43)))</formula>
    </cfRule>
  </conditionalFormatting>
  <conditionalFormatting sqref="EW43:EX43">
    <cfRule type="containsText" dxfId="1258" priority="3318" operator="containsText" text="8265MSS">
      <formula>NOT(ISERROR(SEARCH("8265MSS",EW43)))</formula>
    </cfRule>
  </conditionalFormatting>
  <conditionalFormatting sqref="EF45:EG45">
    <cfRule type="containsText" dxfId="1257" priority="3317" operator="containsText" text="8265MSS">
      <formula>NOT(ISERROR(SEARCH("8265MSS",EF45)))</formula>
    </cfRule>
  </conditionalFormatting>
  <conditionalFormatting sqref="ED53">
    <cfRule type="containsText" dxfId="1256" priority="3315" operator="containsText" text="8265MSS">
      <formula>NOT(ISERROR(SEARCH("8265MSS",ED53)))</formula>
    </cfRule>
  </conditionalFormatting>
  <conditionalFormatting sqref="EC53">
    <cfRule type="containsText" dxfId="1255" priority="3316" operator="containsText" text="8265MSS">
      <formula>NOT(ISERROR(SEARCH("8265MSS",EC53)))</formula>
    </cfRule>
  </conditionalFormatting>
  <conditionalFormatting sqref="EG53:EH53">
    <cfRule type="containsText" dxfId="1254" priority="3314" operator="containsText" text="8265MSS">
      <formula>NOT(ISERROR(SEARCH("8265MSS",EG53)))</formula>
    </cfRule>
  </conditionalFormatting>
  <conditionalFormatting sqref="EM53">
    <cfRule type="containsText" dxfId="1253" priority="3313" operator="containsText" text="8265MSS">
      <formula>NOT(ISERROR(SEARCH("8265MSS",EM53)))</formula>
    </cfRule>
  </conditionalFormatting>
  <conditionalFormatting sqref="EV55">
    <cfRule type="containsText" dxfId="1252" priority="3312" operator="containsText" text="8265MSS">
      <formula>NOT(ISERROR(SEARCH("8265MSS",EV55)))</formula>
    </cfRule>
  </conditionalFormatting>
  <conditionalFormatting sqref="EP55">
    <cfRule type="containsText" dxfId="1251" priority="3311" operator="containsText" text="8265MSS">
      <formula>NOT(ISERROR(SEARCH("8265MSS",EP55)))</formula>
    </cfRule>
  </conditionalFormatting>
  <conditionalFormatting sqref="EY57:EZ57">
    <cfRule type="containsText" dxfId="1250" priority="3310" operator="containsText" text="8265MSS">
      <formula>NOT(ISERROR(SEARCH("8265MSS",EY57)))</formula>
    </cfRule>
  </conditionalFormatting>
  <conditionalFormatting sqref="EP63:EX63">
    <cfRule type="containsText" dxfId="1249" priority="3309" operator="containsText" text="8265MSS">
      <formula>NOT(ISERROR(SEARCH("8265MSS",EP63)))</formula>
    </cfRule>
  </conditionalFormatting>
  <conditionalFormatting sqref="EN63">
    <cfRule type="containsText" dxfId="1248" priority="3308" operator="containsText" text="8265MSS">
      <formula>NOT(ISERROR(SEARCH("8265MSS",EN63)))</formula>
    </cfRule>
  </conditionalFormatting>
  <conditionalFormatting sqref="EO63">
    <cfRule type="containsText" dxfId="1247" priority="3307" operator="containsText" text="8265MSS">
      <formula>NOT(ISERROR(SEARCH("8265MSS",EO63)))</formula>
    </cfRule>
  </conditionalFormatting>
  <conditionalFormatting sqref="EY63:EZ63">
    <cfRule type="containsText" dxfId="1246" priority="3306" operator="containsText" text="8265MSS">
      <formula>NOT(ISERROR(SEARCH("8265MSS",EY63)))</formula>
    </cfRule>
  </conditionalFormatting>
  <conditionalFormatting sqref="ES45">
    <cfRule type="containsText" dxfId="1245" priority="3305" operator="containsText" text="8265MSS">
      <formula>NOT(ISERROR(SEARCH("8265MSS",ES45)))</formula>
    </cfRule>
  </conditionalFormatting>
  <conditionalFormatting sqref="ET45">
    <cfRule type="containsText" dxfId="1244" priority="3304" operator="containsText" text="8265MSS">
      <formula>NOT(ISERROR(SEARCH("8265MSS",ET45)))</formula>
    </cfRule>
  </conditionalFormatting>
  <conditionalFormatting sqref="EU45">
    <cfRule type="containsText" dxfId="1243" priority="3303" operator="containsText" text="8265MSS">
      <formula>NOT(ISERROR(SEARCH("8265MSS",EU45)))</formula>
    </cfRule>
  </conditionalFormatting>
  <conditionalFormatting sqref="FA57:FC57">
    <cfRule type="containsText" dxfId="1242" priority="3302" operator="containsText" text="8265MSS">
      <formula>NOT(ISERROR(SEARCH("8265MSS",FA57)))</formula>
    </cfRule>
  </conditionalFormatting>
  <conditionalFormatting sqref="FE59">
    <cfRule type="containsText" dxfId="1241" priority="3301" operator="containsText" text="8265MSS">
      <formula>NOT(ISERROR(SEARCH("8265MSS",FE59)))</formula>
    </cfRule>
  </conditionalFormatting>
  <conditionalFormatting sqref="ER45">
    <cfRule type="containsText" dxfId="1240" priority="3300" operator="containsText" text="8265MSS">
      <formula>NOT(ISERROR(SEARCH("8265MSS",ER45)))</formula>
    </cfRule>
  </conditionalFormatting>
  <conditionalFormatting sqref="EW55:FC55">
    <cfRule type="containsText" dxfId="1239" priority="3299" operator="containsText" text="8265MSS">
      <formula>NOT(ISERROR(SEARCH("8265MSS",EW55)))</formula>
    </cfRule>
  </conditionalFormatting>
  <conditionalFormatting sqref="EX57">
    <cfRule type="containsText" dxfId="1238" priority="3298" operator="containsText" text="8265MSS">
      <formula>NOT(ISERROR(SEARCH("8265MSS",EX57)))</formula>
    </cfRule>
  </conditionalFormatting>
  <conditionalFormatting sqref="EP61">
    <cfRule type="containsText" dxfId="1237" priority="3297" operator="containsText" text="8265MSS">
      <formula>NOT(ISERROR(SEARCH("8265MSS",EP61)))</formula>
    </cfRule>
  </conditionalFormatting>
  <conditionalFormatting sqref="ES61:ET61">
    <cfRule type="containsText" dxfId="1236" priority="3296" operator="containsText" text="8265MSS">
      <formula>NOT(ISERROR(SEARCH("8265MSS",ES61)))</formula>
    </cfRule>
  </conditionalFormatting>
  <conditionalFormatting sqref="EN65:EN69">
    <cfRule type="containsText" dxfId="1235" priority="3295" operator="containsText" text="8265MSS">
      <formula>NOT(ISERROR(SEARCH("8265MSS",EN65)))</formula>
    </cfRule>
  </conditionalFormatting>
  <conditionalFormatting sqref="EO65:EO69">
    <cfRule type="containsText" dxfId="1234" priority="3294" operator="containsText" text="8265MSS">
      <formula>NOT(ISERROR(SEARCH("8265MSS",EO65)))</formula>
    </cfRule>
  </conditionalFormatting>
  <conditionalFormatting sqref="FE42">
    <cfRule type="containsText" dxfId="1233" priority="3293" operator="containsText" text="8265MSS">
      <formula>NOT(ISERROR(SEARCH("8265MSS",FE42)))</formula>
    </cfRule>
  </conditionalFormatting>
  <conditionalFormatting sqref="EZ53">
    <cfRule type="containsText" dxfId="1232" priority="3292" operator="containsText" text="8265MSS">
      <formula>NOT(ISERROR(SEARCH("8265MSS",EZ53)))</formula>
    </cfRule>
  </conditionalFormatting>
  <conditionalFormatting sqref="FA53:FC53">
    <cfRule type="containsText" dxfId="1231" priority="3291" operator="containsText" text="8265MSS">
      <formula>NOT(ISERROR(SEARCH("8265MSS",FA53)))</formula>
    </cfRule>
  </conditionalFormatting>
  <conditionalFormatting sqref="FH57">
    <cfRule type="containsText" dxfId="1230" priority="3290" operator="containsText" text="8265MSS">
      <formula>NOT(ISERROR(SEARCH("8265MSS",FH57)))</formula>
    </cfRule>
  </conditionalFormatting>
  <conditionalFormatting sqref="FK57 FN57 FQ57:FU57">
    <cfRule type="containsText" dxfId="1229" priority="3289" operator="containsText" text="8265MSS">
      <formula>NOT(ISERROR(SEARCH("8265MSS",FK57)))</formula>
    </cfRule>
  </conditionalFormatting>
  <conditionalFormatting sqref="FV43">
    <cfRule type="containsText" dxfId="1228" priority="3288" operator="containsText" text="8265MSS">
      <formula>NOT(ISERROR(SEARCH("8265MSS",FV43)))</formula>
    </cfRule>
  </conditionalFormatting>
  <conditionalFormatting sqref="FE55">
    <cfRule type="containsText" dxfId="1227" priority="3287" operator="containsText" text="8265MSS">
      <formula>NOT(ISERROR(SEARCH("8265MSS",FE55)))</formula>
    </cfRule>
  </conditionalFormatting>
  <conditionalFormatting sqref="FG55">
    <cfRule type="containsText" dxfId="1226" priority="3286" operator="containsText" text="8265MSS">
      <formula>NOT(ISERROR(SEARCH("8265MSS",FG55)))</formula>
    </cfRule>
  </conditionalFormatting>
  <conditionalFormatting sqref="FP61">
    <cfRule type="containsText" dxfId="1225" priority="3285" operator="containsText" text="8265MSS">
      <formula>NOT(ISERROR(SEARCH("8265MSS",FP61)))</formula>
    </cfRule>
  </conditionalFormatting>
  <conditionalFormatting sqref="EX61:FC61">
    <cfRule type="containsText" dxfId="1224" priority="3284" operator="containsText" text="8265MSS">
      <formula>NOT(ISERROR(SEARCH("8265MSS",EX61)))</formula>
    </cfRule>
  </conditionalFormatting>
  <conditionalFormatting sqref="FA63:FC63">
    <cfRule type="containsText" dxfId="1223" priority="3283" operator="containsText" text="8265MSS">
      <formula>NOT(ISERROR(SEARCH("8265MSS",FA63)))</formula>
    </cfRule>
  </conditionalFormatting>
  <conditionalFormatting sqref="FQ59:FV59">
    <cfRule type="containsText" dxfId="1222" priority="3282" operator="containsText" text="8265MSS">
      <formula>NOT(ISERROR(SEARCH("8265MSS",FQ59)))</formula>
    </cfRule>
  </conditionalFormatting>
  <conditionalFormatting sqref="GK42:GW42">
    <cfRule type="containsText" dxfId="1221" priority="3281" operator="containsText" text="8265MSS">
      <formula>NOT(ISERROR(SEARCH("8265MSS",GK42)))</formula>
    </cfRule>
  </conditionalFormatting>
  <conditionalFormatting sqref="GR43">
    <cfRule type="containsText" dxfId="1220" priority="3280" operator="containsText" text="8265MSS">
      <formula>NOT(ISERROR(SEARCH("8265MSS",GR43)))</formula>
    </cfRule>
  </conditionalFormatting>
  <conditionalFormatting sqref="GS43">
    <cfRule type="containsText" dxfId="1219" priority="3279" operator="containsText" text="8265MSS">
      <formula>NOT(ISERROR(SEARCH("8265MSS",GS43)))</formula>
    </cfRule>
  </conditionalFormatting>
  <conditionalFormatting sqref="GB49:GC49 FW49:FY49">
    <cfRule type="containsText" dxfId="1218" priority="3278" operator="containsText" text="8265MSS">
      <formula>NOT(ISERROR(SEARCH("8265MSS",FW49)))</formula>
    </cfRule>
  </conditionalFormatting>
  <conditionalFormatting sqref="FW59:FX59">
    <cfRule type="containsText" dxfId="1217" priority="3276" operator="containsText" text="8265MSS">
      <formula>NOT(ISERROR(SEARCH("8265MSS",FW59)))</formula>
    </cfRule>
  </conditionalFormatting>
  <conditionalFormatting sqref="FY59:GI59">
    <cfRule type="containsText" dxfId="1216" priority="3277" operator="containsText" text="8265MSS">
      <formula>NOT(ISERROR(SEARCH("8265MSS",FY59)))</formula>
    </cfRule>
  </conditionalFormatting>
  <conditionalFormatting sqref="GB55:GC55">
    <cfRule type="containsText" dxfId="1215" priority="3275" operator="containsText" text="8265MSS">
      <formula>NOT(ISERROR(SEARCH("8265MSS",GB55)))</formula>
    </cfRule>
  </conditionalFormatting>
  <conditionalFormatting sqref="GD63 GD55:GI55">
    <cfRule type="containsText" dxfId="1214" priority="3274" operator="containsText" text="8265MSS">
      <formula>NOT(ISERROR(SEARCH("8265MSS",GD55)))</formula>
    </cfRule>
  </conditionalFormatting>
  <conditionalFormatting sqref="GG61:GH61">
    <cfRule type="containsText" dxfId="1213" priority="3273" operator="containsText" text="8265MSS">
      <formula>NOT(ISERROR(SEARCH("8265MSS",GG61)))</formula>
    </cfRule>
  </conditionalFormatting>
  <conditionalFormatting sqref="GL53:GM53">
    <cfRule type="containsText" dxfId="1212" priority="3272" operator="containsText" text="8265MSS">
      <formula>NOT(ISERROR(SEARCH("8265MSS",GL53)))</formula>
    </cfRule>
  </conditionalFormatting>
  <conditionalFormatting sqref="IO49:IP49">
    <cfRule type="containsText" dxfId="1211" priority="3271" operator="containsText" text="8265MSS">
      <formula>NOT(ISERROR(SEARCH("8265MSS",IO49)))</formula>
    </cfRule>
  </conditionalFormatting>
  <conditionalFormatting sqref="GZ45:HA45">
    <cfRule type="containsText" dxfId="1210" priority="3270" operator="containsText" text="8265MSS">
      <formula>NOT(ISERROR(SEARCH("8265MSS",GZ45)))</formula>
    </cfRule>
  </conditionalFormatting>
  <conditionalFormatting sqref="IM51:IN51">
    <cfRule type="containsText" dxfId="1209" priority="3269" operator="containsText" text="8265MSS">
      <formula>NOT(ISERROR(SEARCH("8265MSS",IM51)))</formula>
    </cfRule>
  </conditionalFormatting>
  <conditionalFormatting sqref="KA5:LD5">
    <cfRule type="cellIs" dxfId="1208" priority="3268" stopIfTrue="1" operator="equal">
      <formula>"Fri"</formula>
    </cfRule>
  </conditionalFormatting>
  <conditionalFormatting sqref="LF5:MJ5">
    <cfRule type="cellIs" dxfId="1207" priority="3267" stopIfTrue="1" operator="equal">
      <formula>"Fri"</formula>
    </cfRule>
  </conditionalFormatting>
  <conditionalFormatting sqref="KA40:LD40">
    <cfRule type="cellIs" dxfId="1206" priority="3265" stopIfTrue="1" operator="equal">
      <formula>"Fri"</formula>
    </cfRule>
  </conditionalFormatting>
  <conditionalFormatting sqref="LF40:MJ40">
    <cfRule type="cellIs" dxfId="1205" priority="3266" stopIfTrue="1" operator="equal">
      <formula>"Fri"</formula>
    </cfRule>
  </conditionalFormatting>
  <conditionalFormatting sqref="FY9:GC9">
    <cfRule type="containsText" dxfId="1204" priority="3263" operator="containsText" text="8265MSS">
      <formula>NOT(ISERROR(SEARCH("8265MSS",FY9)))</formula>
    </cfRule>
  </conditionalFormatting>
  <conditionalFormatting sqref="FS9">
    <cfRule type="containsText" dxfId="1203" priority="3264" operator="containsText" text="8265MSS">
      <formula>NOT(ISERROR(SEARCH("8265MSS",FS9)))</formula>
    </cfRule>
  </conditionalFormatting>
  <conditionalFormatting sqref="FF42">
    <cfRule type="containsText" dxfId="1202" priority="3262" operator="containsText" text="8265MSS">
      <formula>NOT(ISERROR(SEARCH("8265MSS",FF42)))</formula>
    </cfRule>
  </conditionalFormatting>
  <conditionalFormatting sqref="IK57">
    <cfRule type="containsText" dxfId="1201" priority="3261" operator="containsText" text="8265MSS">
      <formula>NOT(ISERROR(SEARCH("8265MSS",IK57)))</formula>
    </cfRule>
  </conditionalFormatting>
  <conditionalFormatting sqref="IH57">
    <cfRule type="containsText" dxfId="1200" priority="3260" operator="containsText" text="8265MSS">
      <formula>NOT(ISERROR(SEARCH("8265MSS",IH57)))</formula>
    </cfRule>
  </conditionalFormatting>
  <conditionalFormatting sqref="IB57">
    <cfRule type="containsText" dxfId="1199" priority="3259" operator="containsText" text="8265MSS">
      <formula>NOT(ISERROR(SEARCH("8265MSS",IB57)))</formula>
    </cfRule>
  </conditionalFormatting>
  <conditionalFormatting sqref="IF57">
    <cfRule type="containsText" dxfId="1198" priority="3258" operator="containsText" text="8265MSS">
      <formula>NOT(ISERROR(SEARCH("8265MSS",IF57)))</formula>
    </cfRule>
  </conditionalFormatting>
  <conditionalFormatting sqref="FY51">
    <cfRule type="containsText" dxfId="1197" priority="3257" operator="containsText" text="8265MSS">
      <formula>NOT(ISERROR(SEARCH("8265MSS",FY51)))</formula>
    </cfRule>
  </conditionalFormatting>
  <conditionalFormatting sqref="FE53:FK53">
    <cfRule type="containsText" dxfId="1196" priority="3256" operator="containsText" text="8265MSS">
      <formula>NOT(ISERROR(SEARCH("8265MSS",FE53)))</formula>
    </cfRule>
  </conditionalFormatting>
  <conditionalFormatting sqref="FE57">
    <cfRule type="containsText" dxfId="1195" priority="3255" operator="containsText" text="8265MSS">
      <formula>NOT(ISERROR(SEARCH("8265MSS",FE57)))</formula>
    </cfRule>
  </conditionalFormatting>
  <conditionalFormatting sqref="FX57">
    <cfRule type="containsText" dxfId="1194" priority="3254" operator="containsText" text="8265MSS">
      <formula>NOT(ISERROR(SEARCH("8265MSS",FX57)))</formula>
    </cfRule>
  </conditionalFormatting>
  <conditionalFormatting sqref="FX61:FZ61">
    <cfRule type="containsText" dxfId="1193" priority="3253" operator="containsText" text="8265MSS">
      <formula>NOT(ISERROR(SEARCH("8265MSS",FX61)))</formula>
    </cfRule>
  </conditionalFormatting>
  <conditionalFormatting sqref="FE61">
    <cfRule type="containsText" dxfId="1192" priority="3252" operator="containsText" text="8265MSS">
      <formula>NOT(ISERROR(SEARCH("8265MSS",FE61)))</formula>
    </cfRule>
  </conditionalFormatting>
  <conditionalFormatting sqref="FF61">
    <cfRule type="containsText" dxfId="1191" priority="3251" operator="containsText" text="8265MSS">
      <formula>NOT(ISERROR(SEARCH("8265MSS",FF61)))</formula>
    </cfRule>
  </conditionalFormatting>
  <conditionalFormatting sqref="FH61">
    <cfRule type="containsText" dxfId="1190" priority="3250" operator="containsText" text="8265MSS">
      <formula>NOT(ISERROR(SEARCH("8265MSS",FH61)))</formula>
    </cfRule>
  </conditionalFormatting>
  <conditionalFormatting sqref="FV61:FW61">
    <cfRule type="containsText" dxfId="1189" priority="3249" operator="containsText" text="8265MSS">
      <formula>NOT(ISERROR(SEARCH("8265MSS",FV61)))</formula>
    </cfRule>
  </conditionalFormatting>
  <conditionalFormatting sqref="GI61">
    <cfRule type="containsText" dxfId="1188" priority="3248" operator="containsText" text="8265MSS">
      <formula>NOT(ISERROR(SEARCH("8265MSS",GI61)))</formula>
    </cfRule>
  </conditionalFormatting>
  <conditionalFormatting sqref="GG63:GI63">
    <cfRule type="containsText" dxfId="1187" priority="3247" operator="containsText" text="8265MSS">
      <formula>NOT(ISERROR(SEARCH("8265MSS",GG63)))</formula>
    </cfRule>
  </conditionalFormatting>
  <conditionalFormatting sqref="GB43:GC43">
    <cfRule type="containsText" dxfId="1186" priority="3246" operator="containsText" text="8265MSS">
      <formula>NOT(ISERROR(SEARCH("8265MSS",GB43)))</formula>
    </cfRule>
  </conditionalFormatting>
  <conditionalFormatting sqref="GK43">
    <cfRule type="containsText" dxfId="1185" priority="3245" operator="containsText" text="8265MSS">
      <formula>NOT(ISERROR(SEARCH("8265MSS",GK43)))</formula>
    </cfRule>
  </conditionalFormatting>
  <conditionalFormatting sqref="GL43:GP43">
    <cfRule type="containsText" dxfId="1184" priority="3244" operator="containsText" text="8265MSS">
      <formula>NOT(ISERROR(SEARCH("8265MSS",GL43)))</formula>
    </cfRule>
  </conditionalFormatting>
  <conditionalFormatting sqref="HU49:HV49">
    <cfRule type="containsText" dxfId="1183" priority="3243" operator="containsText" text="8265MSS">
      <formula>NOT(ISERROR(SEARCH("8265MSS",HU49)))</formula>
    </cfRule>
  </conditionalFormatting>
  <conditionalFormatting sqref="HN49:HO49">
    <cfRule type="containsText" dxfId="1182" priority="3242" operator="containsText" text="8265MSS">
      <formula>NOT(ISERROR(SEARCH("8265MSS",HN49)))</formula>
    </cfRule>
  </conditionalFormatting>
  <conditionalFormatting sqref="HQ65:HT65">
    <cfRule type="containsText" dxfId="1181" priority="3241" operator="containsText" text="8265MSS">
      <formula>NOT(ISERROR(SEARCH("8265MSS",HQ65)))</formula>
    </cfRule>
  </conditionalFormatting>
  <conditionalFormatting sqref="HH47">
    <cfRule type="containsText" dxfId="1180" priority="3240" operator="containsText" text="8265MSS">
      <formula>NOT(ISERROR(SEARCH("8265MSS",HH47)))</formula>
    </cfRule>
  </conditionalFormatting>
  <conditionalFormatting sqref="HQ47:HR47">
    <cfRule type="containsText" dxfId="1179" priority="3239" operator="containsText" text="8265MSS">
      <formula>NOT(ISERROR(SEARCH("8265MSS",HQ47)))</formula>
    </cfRule>
  </conditionalFormatting>
  <conditionalFormatting sqref="HC61:HD61">
    <cfRule type="containsText" dxfId="1178" priority="3238" operator="containsText" text="8265MSS">
      <formula>NOT(ISERROR(SEARCH("8265MSS",HC61)))</formula>
    </cfRule>
  </conditionalFormatting>
  <conditionalFormatting sqref="HE61:HH61">
    <cfRule type="containsText" dxfId="1177" priority="3237" operator="containsText" text="8265MSS">
      <formula>NOT(ISERROR(SEARCH("8265MSS",HE61)))</formula>
    </cfRule>
  </conditionalFormatting>
  <conditionalFormatting sqref="HE51">
    <cfRule type="containsText" dxfId="1176" priority="3234" operator="containsText" text="8265MSS">
      <formula>NOT(ISERROR(SEARCH("8265MSS",HE51)))</formula>
    </cfRule>
  </conditionalFormatting>
  <conditionalFormatting sqref="HY61">
    <cfRule type="containsText" dxfId="1175" priority="3236" operator="containsText" text="8265MSS">
      <formula>NOT(ISERROR(SEARCH("8265MSS",HY61)))</formula>
    </cfRule>
  </conditionalFormatting>
  <conditionalFormatting sqref="HV59:HW59">
    <cfRule type="containsText" dxfId="1174" priority="3235" operator="containsText" text="8265MSS">
      <formula>NOT(ISERROR(SEARCH("8265MSS",HV59)))</formula>
    </cfRule>
  </conditionalFormatting>
  <conditionalFormatting sqref="ID49:IE49">
    <cfRule type="containsText" dxfId="1173" priority="3233" operator="containsText" text="8265MSS">
      <formula>NOT(ISERROR(SEARCH("8265MSS",ID49)))</formula>
    </cfRule>
  </conditionalFormatting>
  <conditionalFormatting sqref="IF49">
    <cfRule type="containsText" dxfId="1172" priority="3232" operator="containsText" text="8265MSS">
      <formula>NOT(ISERROR(SEARCH("8265MSS",IF49)))</formula>
    </cfRule>
  </conditionalFormatting>
  <conditionalFormatting sqref="FQ61:FS61">
    <cfRule type="containsText" dxfId="1171" priority="3231" operator="containsText" text="8265MSS">
      <formula>NOT(ISERROR(SEARCH("8265MSS",FQ61)))</formula>
    </cfRule>
  </conditionalFormatting>
  <conditionalFormatting sqref="GK47:GN47">
    <cfRule type="containsText" dxfId="1170" priority="3230" operator="containsText" text="8265MSS">
      <formula>NOT(ISERROR(SEARCH("8265MSS",GK47)))</formula>
    </cfRule>
  </conditionalFormatting>
  <conditionalFormatting sqref="HE63">
    <cfRule type="containsText" dxfId="1169" priority="3229" operator="containsText" text="8265MSS">
      <formula>NOT(ISERROR(SEARCH("8265MSS",HE63)))</formula>
    </cfRule>
  </conditionalFormatting>
  <conditionalFormatting sqref="HZ43">
    <cfRule type="containsText" dxfId="1168" priority="3228" operator="containsText" text="8265MSS">
      <formula>NOT(ISERROR(SEARCH("8265MSS",HZ43)))</formula>
    </cfRule>
  </conditionalFormatting>
  <conditionalFormatting sqref="IW55">
    <cfRule type="containsText" dxfId="1167" priority="3227" operator="containsText" text="8265MSS">
      <formula>NOT(ISERROR(SEARCH("8265MSS",IW55)))</formula>
    </cfRule>
  </conditionalFormatting>
  <conditionalFormatting sqref="JC43">
    <cfRule type="containsText" dxfId="1166" priority="3226" operator="containsText" text="8265MSS">
      <formula>NOT(ISERROR(SEARCH("8265MSS",JC43)))</formula>
    </cfRule>
  </conditionalFormatting>
  <conditionalFormatting sqref="JQ47:JR47">
    <cfRule type="containsText" dxfId="1165" priority="3225" operator="containsText" text="8265MSS">
      <formula>NOT(ISERROR(SEARCH("8265MSS",JQ47)))</formula>
    </cfRule>
  </conditionalFormatting>
  <conditionalFormatting sqref="NQ40:OU40">
    <cfRule type="cellIs" dxfId="1164" priority="3224" stopIfTrue="1" operator="equal">
      <formula>"Fri"</formula>
    </cfRule>
  </conditionalFormatting>
  <conditionalFormatting sqref="OW5:QA5">
    <cfRule type="cellIs" dxfId="1163" priority="3223" stopIfTrue="1" operator="equal">
      <formula>"Fri"</formula>
    </cfRule>
  </conditionalFormatting>
  <conditionalFormatting sqref="OW40:QA40">
    <cfRule type="cellIs" dxfId="1162" priority="3222" stopIfTrue="1" operator="equal">
      <formula>"Fri"</formula>
    </cfRule>
  </conditionalFormatting>
  <conditionalFormatting sqref="IV55">
    <cfRule type="containsText" dxfId="1161" priority="3221" operator="containsText" text="8265MSS">
      <formula>NOT(ISERROR(SEARCH("8265MSS",IV55)))</formula>
    </cfRule>
  </conditionalFormatting>
  <conditionalFormatting sqref="GM57">
    <cfRule type="containsText" dxfId="1160" priority="3220" operator="containsText" text="8265MSS">
      <formula>NOT(ISERROR(SEARCH("8265MSS",GM57)))</formula>
    </cfRule>
  </conditionalFormatting>
  <conditionalFormatting sqref="GK57:GL57">
    <cfRule type="containsText" dxfId="1159" priority="3219" operator="containsText" text="8265MSS">
      <formula>NOT(ISERROR(SEARCH("8265MSS",GK57)))</formula>
    </cfRule>
  </conditionalFormatting>
  <conditionalFormatting sqref="GK51">
    <cfRule type="containsText" dxfId="1158" priority="3218" operator="containsText" text="8265MSS">
      <formula>NOT(ISERROR(SEARCH("8265MSS",GK51)))</formula>
    </cfRule>
  </conditionalFormatting>
  <conditionalFormatting sqref="IO43">
    <cfRule type="containsText" dxfId="1157" priority="3217" operator="containsText" text="8265MSS">
      <formula>NOT(ISERROR(SEARCH("8265MSS",IO43)))</formula>
    </cfRule>
  </conditionalFormatting>
  <conditionalFormatting sqref="IQ43:IS43">
    <cfRule type="containsText" dxfId="1156" priority="3216" operator="containsText" text="8265MSS">
      <formula>NOT(ISERROR(SEARCH("8265MSS",IQ43)))</formula>
    </cfRule>
  </conditionalFormatting>
  <conditionalFormatting sqref="IU43">
    <cfRule type="containsText" dxfId="1155" priority="3215" operator="containsText" text="8265MSS">
      <formula>NOT(ISERROR(SEARCH("8265MSS",IU43)))</formula>
    </cfRule>
  </conditionalFormatting>
  <conditionalFormatting sqref="JP49">
    <cfRule type="containsText" dxfId="1154" priority="3214" operator="containsText" text="8265MSS">
      <formula>NOT(ISERROR(SEARCH("8265MSS",JP49)))</formula>
    </cfRule>
  </conditionalFormatting>
  <conditionalFormatting sqref="KS116:KT116">
    <cfRule type="containsText" dxfId="1153" priority="3213" operator="containsText" text="8265MSS">
      <formula>NOT(ISERROR(SEARCH("8265MSS",KS116)))</formula>
    </cfRule>
  </conditionalFormatting>
  <conditionalFormatting sqref="GP63:GX63">
    <cfRule type="containsText" dxfId="1152" priority="3212" operator="containsText" text="8265MSS">
      <formula>NOT(ISERROR(SEARCH("8265MSS",GP63)))</formula>
    </cfRule>
  </conditionalFormatting>
  <conditionalFormatting sqref="GK61">
    <cfRule type="containsText" dxfId="1151" priority="3211" operator="containsText" text="8265MSS">
      <formula>NOT(ISERROR(SEARCH("8265MSS",GK61)))</formula>
    </cfRule>
  </conditionalFormatting>
  <conditionalFormatting sqref="GS57">
    <cfRule type="containsText" dxfId="1150" priority="3210" operator="containsText" text="8265MSS">
      <formula>NOT(ISERROR(SEARCH("8265MSS",GS57)))</formula>
    </cfRule>
  </conditionalFormatting>
  <conditionalFormatting sqref="GK53">
    <cfRule type="containsText" dxfId="1149" priority="3209" operator="containsText" text="8265MSS">
      <formula>NOT(ISERROR(SEARCH("8265MSS",GK53)))</formula>
    </cfRule>
  </conditionalFormatting>
  <conditionalFormatting sqref="HT57:HU57">
    <cfRule type="containsText" dxfId="1148" priority="3208" operator="containsText" text="8265MSS">
      <formula>NOT(ISERROR(SEARCH("8265MSS",HT57)))</formula>
    </cfRule>
  </conditionalFormatting>
  <conditionalFormatting sqref="HV57">
    <cfRule type="containsText" dxfId="1147" priority="3207" operator="containsText" text="8265MSS">
      <formula>NOT(ISERROR(SEARCH("8265MSS",HV57)))</formula>
    </cfRule>
  </conditionalFormatting>
  <conditionalFormatting sqref="HW57:IA57">
    <cfRule type="containsText" dxfId="1146" priority="3206" operator="containsText" text="8265MSS">
      <formula>NOT(ISERROR(SEARCH("8265MSS",HW57)))</formula>
    </cfRule>
  </conditionalFormatting>
  <conditionalFormatting sqref="HY59:HZ59">
    <cfRule type="containsText" dxfId="1145" priority="3205" operator="containsText" text="8265MSS">
      <formula>NOT(ISERROR(SEARCH("8265MSS",HY59)))</formula>
    </cfRule>
  </conditionalFormatting>
  <conditionalFormatting sqref="GW61">
    <cfRule type="containsText" dxfId="1144" priority="3204" operator="containsText" text="8265MSS">
      <formula>NOT(ISERROR(SEARCH("8265MSS",GW61)))</formula>
    </cfRule>
  </conditionalFormatting>
  <conditionalFormatting sqref="HI61:HJ61">
    <cfRule type="containsText" dxfId="1143" priority="3203" operator="containsText" text="8265MSS">
      <formula>NOT(ISERROR(SEARCH("8265MSS",HI61)))</formula>
    </cfRule>
  </conditionalFormatting>
  <conditionalFormatting sqref="HH63:HJ63">
    <cfRule type="containsText" dxfId="1142" priority="3202" operator="containsText" text="8265MSS">
      <formula>NOT(ISERROR(SEARCH("8265MSS",HH63)))</formula>
    </cfRule>
  </conditionalFormatting>
  <conditionalFormatting sqref="HK63:HM63">
    <cfRule type="containsText" dxfId="1141" priority="3201" operator="containsText" text="8265MSS">
      <formula>NOT(ISERROR(SEARCH("8265MSS",HK63)))</formula>
    </cfRule>
  </conditionalFormatting>
  <conditionalFormatting sqref="HQ51:IA51">
    <cfRule type="containsText" dxfId="1140" priority="3200" operator="containsText" text="8265MSS">
      <formula>NOT(ISERROR(SEARCH("8265MSS",HQ51)))</formula>
    </cfRule>
  </conditionalFormatting>
  <conditionalFormatting sqref="GW49:GY49">
    <cfRule type="containsText" dxfId="1139" priority="3198" operator="containsText" text="8265MSS">
      <formula>NOT(ISERROR(SEARCH("8265MSS",GW49)))</formula>
    </cfRule>
  </conditionalFormatting>
  <conditionalFormatting sqref="HB45">
    <cfRule type="containsText" dxfId="1138" priority="3199" operator="containsText" text="8265MSS">
      <formula>NOT(ISERROR(SEARCH("8265MSS",HB45)))</formula>
    </cfRule>
  </conditionalFormatting>
  <conditionalFormatting sqref="GV59">
    <cfRule type="containsText" dxfId="1137" priority="3197" operator="containsText" text="8265MSS">
      <formula>NOT(ISERROR(SEARCH("8265MSS",GV59)))</formula>
    </cfRule>
  </conditionalFormatting>
  <conditionalFormatting sqref="GX61">
    <cfRule type="containsText" dxfId="1136" priority="3196" operator="containsText" text="8265MSS">
      <formula>NOT(ISERROR(SEARCH("8265MSS",GX61)))</formula>
    </cfRule>
  </conditionalFormatting>
  <conditionalFormatting sqref="HL49:HM49">
    <cfRule type="containsText" dxfId="1135" priority="3195" operator="containsText" text="8265MSS">
      <formula>NOT(ISERROR(SEARCH("8265MSS",HL49)))</formula>
    </cfRule>
  </conditionalFormatting>
  <conditionalFormatting sqref="HL61">
    <cfRule type="containsText" dxfId="1134" priority="3194" operator="containsText" text="8265MSS">
      <formula>NOT(ISERROR(SEARCH("8265MSS",HL61)))</formula>
    </cfRule>
  </conditionalFormatting>
  <conditionalFormatting sqref="HQ63:HR63">
    <cfRule type="containsText" dxfId="1133" priority="3193" operator="containsText" text="8265MSS">
      <formula>NOT(ISERROR(SEARCH("8265MSS",HQ63)))</formula>
    </cfRule>
  </conditionalFormatting>
  <conditionalFormatting sqref="HN57:HO57">
    <cfRule type="containsText" dxfId="1132" priority="3192" operator="containsText" text="8265MSS">
      <formula>NOT(ISERROR(SEARCH("8265MSS",HN57)))</formula>
    </cfRule>
  </conditionalFormatting>
  <conditionalFormatting sqref="HQ57:HS57">
    <cfRule type="containsText" dxfId="1131" priority="3191" operator="containsText" text="8265MSS">
      <formula>NOT(ISERROR(SEARCH("8265MSS",HQ57)))</formula>
    </cfRule>
  </conditionalFormatting>
  <conditionalFormatting sqref="HM61">
    <cfRule type="containsText" dxfId="1130" priority="3190" operator="containsText" text="8265MSS">
      <formula>NOT(ISERROR(SEARCH("8265MSS",HM61)))</formula>
    </cfRule>
  </conditionalFormatting>
  <conditionalFormatting sqref="IU51">
    <cfRule type="containsText" dxfId="1129" priority="3189" operator="containsText" text="8265MSS">
      <formula>NOT(ISERROR(SEARCH("8265MSS",IU51)))</formula>
    </cfRule>
  </conditionalFormatting>
  <conditionalFormatting sqref="MV84">
    <cfRule type="containsText" dxfId="1128" priority="3188" operator="containsText" text="8265MSS">
      <formula>NOT(ISERROR(SEARCH("8265MSS",MV84)))</formula>
    </cfRule>
  </conditionalFormatting>
  <conditionalFormatting sqref="LQ88">
    <cfRule type="containsText" dxfId="1127" priority="3187" operator="containsText" text="8265MSS">
      <formula>NOT(ISERROR(SEARCH("8265MSS",LQ88)))</formula>
    </cfRule>
  </conditionalFormatting>
  <conditionalFormatting sqref="IA49:IB49">
    <cfRule type="containsText" dxfId="1126" priority="3182" operator="containsText" text="8265MSS">
      <formula>NOT(ISERROR(SEARCH("8265MSS",IA49)))</formula>
    </cfRule>
  </conditionalFormatting>
  <conditionalFormatting sqref="HK61">
    <cfRule type="containsText" dxfId="1125" priority="3179" operator="containsText" text="8265MSS">
      <formula>NOT(ISERROR(SEARCH("8265MSS",HK61)))</formula>
    </cfRule>
  </conditionalFormatting>
  <conditionalFormatting sqref="JD47">
    <cfRule type="containsText" dxfId="1124" priority="3186" operator="containsText" text="8265MSS">
      <formula>NOT(ISERROR(SEARCH("8265MSS",JD47)))</formula>
    </cfRule>
  </conditionalFormatting>
  <conditionalFormatting sqref="HL45:HM45">
    <cfRule type="containsText" dxfId="1123" priority="3185" operator="containsText" text="8265MSS">
      <formula>NOT(ISERROR(SEARCH("8265MSS",HL45)))</formula>
    </cfRule>
  </conditionalFormatting>
  <conditionalFormatting sqref="HN45:HO45">
    <cfRule type="containsText" dxfId="1122" priority="3184" operator="containsText" text="8265MSS">
      <formula>NOT(ISERROR(SEARCH("8265MSS",HN45)))</formula>
    </cfRule>
  </conditionalFormatting>
  <conditionalFormatting sqref="HQ45:HR45">
    <cfRule type="containsText" dxfId="1121" priority="3183" operator="containsText" text="8265MSS">
      <formula>NOT(ISERROR(SEARCH("8265MSS",HQ45)))</formula>
    </cfRule>
  </conditionalFormatting>
  <conditionalFormatting sqref="HL59:HO59">
    <cfRule type="containsText" dxfId="1120" priority="3181" operator="containsText" text="8265MSS">
      <formula>NOT(ISERROR(SEARCH("8265MSS",HL59)))</formula>
    </cfRule>
  </conditionalFormatting>
  <conditionalFormatting sqref="HQ59">
    <cfRule type="containsText" dxfId="1119" priority="3180" operator="containsText" text="8265MSS">
      <formula>NOT(ISERROR(SEARCH("8265MSS",HQ59)))</formula>
    </cfRule>
  </conditionalFormatting>
  <conditionalFormatting sqref="HQ61">
    <cfRule type="containsText" dxfId="1118" priority="3178" operator="containsText" text="8265MSS">
      <formula>NOT(ISERROR(SEARCH("8265MSS",HQ61)))</formula>
    </cfRule>
  </conditionalFormatting>
  <conditionalFormatting sqref="IU57">
    <cfRule type="containsText" dxfId="1117" priority="3177" operator="containsText" text="8265MSS">
      <formula>NOT(ISERROR(SEARCH("8265MSS",IU57)))</formula>
    </cfRule>
  </conditionalFormatting>
  <conditionalFormatting sqref="JG49">
    <cfRule type="containsText" dxfId="1116" priority="3176" operator="containsText" text="8265MSS">
      <formula>NOT(ISERROR(SEARCH("8265MSS",JG49)))</formula>
    </cfRule>
  </conditionalFormatting>
  <conditionalFormatting sqref="JE49">
    <cfRule type="containsText" dxfId="1115" priority="3175" operator="containsText" text="8265MSS">
      <formula>NOT(ISERROR(SEARCH("8265MSS",JE49)))</formula>
    </cfRule>
  </conditionalFormatting>
  <conditionalFormatting sqref="LP88">
    <cfRule type="containsText" dxfId="1114" priority="3174" operator="containsText" text="8265MSS">
      <formula>NOT(ISERROR(SEARCH("8265MSS",LP88)))</formula>
    </cfRule>
  </conditionalFormatting>
  <conditionalFormatting sqref="QC40:RF40">
    <cfRule type="cellIs" dxfId="1113" priority="3173" stopIfTrue="1" operator="equal">
      <formula>"Fri"</formula>
    </cfRule>
  </conditionalFormatting>
  <conditionalFormatting sqref="HR59:HU59">
    <cfRule type="containsText" dxfId="1112" priority="3172" operator="containsText" text="8265MSS">
      <formula>NOT(ISERROR(SEARCH("8265MSS",HR59)))</formula>
    </cfRule>
  </conditionalFormatting>
  <conditionalFormatting sqref="HX59">
    <cfRule type="containsText" dxfId="1111" priority="3171" operator="containsText" text="8265MSS">
      <formula>NOT(ISERROR(SEARCH("8265MSS",HX59)))</formula>
    </cfRule>
  </conditionalFormatting>
  <conditionalFormatting sqref="ID57">
    <cfRule type="containsText" dxfId="1110" priority="3170" operator="containsText" text="8265MSS">
      <formula>NOT(ISERROR(SEARCH("8265MSS",ID57)))</formula>
    </cfRule>
  </conditionalFormatting>
  <conditionalFormatting sqref="IJ57">
    <cfRule type="containsText" dxfId="1109" priority="3169" operator="containsText" text="8265MSS">
      <formula>NOT(ISERROR(SEARCH("8265MSS",IJ57)))</formula>
    </cfRule>
  </conditionalFormatting>
  <conditionalFormatting sqref="IE57">
    <cfRule type="containsText" dxfId="1108" priority="3168" operator="containsText" text="8265MSS">
      <formula>NOT(ISERROR(SEARCH("8265MSS",IE57)))</formula>
    </cfRule>
  </conditionalFormatting>
  <conditionalFormatting sqref="JS61:JT61">
    <cfRule type="containsText" dxfId="1107" priority="3167" operator="containsText" text="8265MSS">
      <formula>NOT(ISERROR(SEARCH("8265MSS",JS61)))</formula>
    </cfRule>
  </conditionalFormatting>
  <conditionalFormatting sqref="JQ61:JR61">
    <cfRule type="containsText" dxfId="1106" priority="3166" operator="containsText" text="8265MSS">
      <formula>NOT(ISERROR(SEARCH("8265MSS",JQ61)))</formula>
    </cfRule>
  </conditionalFormatting>
  <conditionalFormatting sqref="JM43:JN43">
    <cfRule type="containsText" dxfId="1105" priority="3165" operator="containsText" text="8265MSS">
      <formula>NOT(ISERROR(SEARCH("8265MSS",JM43)))</formula>
    </cfRule>
  </conditionalFormatting>
  <conditionalFormatting sqref="JI51:JJ51">
    <cfRule type="containsText" dxfId="1104" priority="3164" operator="containsText" text="8265MSS">
      <formula>NOT(ISERROR(SEARCH("8265MSS",JI51)))</formula>
    </cfRule>
  </conditionalFormatting>
  <conditionalFormatting sqref="JK51:JU51">
    <cfRule type="containsText" dxfId="1103" priority="3163" operator="containsText" text="8265MSS">
      <formula>NOT(ISERROR(SEARCH("8265MSS",JK51)))</formula>
    </cfRule>
  </conditionalFormatting>
  <conditionalFormatting sqref="LP86">
    <cfRule type="containsText" dxfId="1102" priority="3162" operator="containsText" text="8265MSS">
      <formula>NOT(ISERROR(SEARCH("8265MSS",LP86)))</formula>
    </cfRule>
  </conditionalFormatting>
  <conditionalFormatting sqref="LB114">
    <cfRule type="containsText" dxfId="1101" priority="3161" operator="containsText" text="8265MSS">
      <formula>NOT(ISERROR(SEARCH("8265MSS",LB114)))</formula>
    </cfRule>
  </conditionalFormatting>
  <conditionalFormatting sqref="LC115:LD115">
    <cfRule type="containsText" dxfId="1100" priority="3160" operator="containsText" text="8265MSS">
      <formula>NOT(ISERROR(SEARCH("8265MSS",LC115)))</formula>
    </cfRule>
  </conditionalFormatting>
  <conditionalFormatting sqref="LC114">
    <cfRule type="containsText" dxfId="1099" priority="3159" operator="containsText" text="8265MSS">
      <formula>NOT(ISERROR(SEARCH("8265MSS",LC114)))</formula>
    </cfRule>
  </conditionalFormatting>
  <conditionalFormatting sqref="QC5:RF5">
    <cfRule type="cellIs" dxfId="1098" priority="3158" stopIfTrue="1" operator="equal">
      <formula>"Fri"</formula>
    </cfRule>
  </conditionalFormatting>
  <conditionalFormatting sqref="RH5:SL5">
    <cfRule type="cellIs" dxfId="1097" priority="3157" stopIfTrue="1" operator="equal">
      <formula>"Fri"</formula>
    </cfRule>
  </conditionalFormatting>
  <conditionalFormatting sqref="RH40:SL40">
    <cfRule type="cellIs" dxfId="1096" priority="3156" stopIfTrue="1" operator="equal">
      <formula>"Fri"</formula>
    </cfRule>
  </conditionalFormatting>
  <conditionalFormatting sqref="KN114">
    <cfRule type="containsText" dxfId="1095" priority="3155" operator="containsText" text="8265MSS">
      <formula>NOT(ISERROR(SEARCH("8265MSS",KN114)))</formula>
    </cfRule>
  </conditionalFormatting>
  <conditionalFormatting sqref="IJ43">
    <cfRule type="containsText" dxfId="1094" priority="3154" operator="containsText" text="8265MSS">
      <formula>NOT(ISERROR(SEARCH("8265MSS",IJ43)))</formula>
    </cfRule>
  </conditionalFormatting>
  <conditionalFormatting sqref="IK43">
    <cfRule type="containsText" dxfId="1093" priority="3153" operator="containsText" text="8265MSS">
      <formula>NOT(ISERROR(SEARCH("8265MSS",IK43)))</formula>
    </cfRule>
  </conditionalFormatting>
  <conditionalFormatting sqref="IL43">
    <cfRule type="containsText" dxfId="1092" priority="3152" operator="containsText" text="8265MSS">
      <formula>NOT(ISERROR(SEARCH("8265MSS",IL43)))</formula>
    </cfRule>
  </conditionalFormatting>
  <conditionalFormatting sqref="IR49">
    <cfRule type="containsText" dxfId="1091" priority="3151" operator="containsText" text="8265MSS">
      <formula>NOT(ISERROR(SEARCH("8265MSS",IR49)))</formula>
    </cfRule>
  </conditionalFormatting>
  <conditionalFormatting sqref="IC61">
    <cfRule type="containsText" dxfId="1090" priority="3150" operator="containsText" text="8265MSS">
      <formula>NOT(ISERROR(SEARCH("8265MSS",IC61)))</formula>
    </cfRule>
  </conditionalFormatting>
  <conditionalFormatting sqref="IY47:JC47">
    <cfRule type="containsText" dxfId="1089" priority="3149" operator="containsText" text="8265MSS">
      <formula>NOT(ISERROR(SEARCH("8265MSS",IY47)))</formula>
    </cfRule>
  </conditionalFormatting>
  <conditionalFormatting sqref="IW47">
    <cfRule type="containsText" dxfId="1088" priority="3148" operator="containsText" text="8265MSS">
      <formula>NOT(ISERROR(SEARCH("8265MSS",IW47)))</formula>
    </cfRule>
  </conditionalFormatting>
  <conditionalFormatting sqref="IU49">
    <cfRule type="containsText" dxfId="1087" priority="3147" operator="containsText" text="8265MSS">
      <formula>NOT(ISERROR(SEARCH("8265MSS",IU49)))</formula>
    </cfRule>
  </conditionalFormatting>
  <conditionalFormatting sqref="SN5:TQ5">
    <cfRule type="cellIs" dxfId="1086" priority="3146" stopIfTrue="1" operator="equal">
      <formula>"Fri"</formula>
    </cfRule>
  </conditionalFormatting>
  <conditionalFormatting sqref="SN40:TQ40">
    <cfRule type="cellIs" dxfId="1085" priority="3145" stopIfTrue="1" operator="equal">
      <formula>"Fri"</formula>
    </cfRule>
  </conditionalFormatting>
  <conditionalFormatting sqref="IU55">
    <cfRule type="containsText" dxfId="1084" priority="3143" operator="containsText" text="8265MSS">
      <formula>NOT(ISERROR(SEARCH("8265MSS",IU55)))</formula>
    </cfRule>
  </conditionalFormatting>
  <conditionalFormatting sqref="IS57">
    <cfRule type="containsText" dxfId="1083" priority="3142" operator="containsText" text="8265MSS">
      <formula>NOT(ISERROR(SEARCH("8265MSS",IS57)))</formula>
    </cfRule>
  </conditionalFormatting>
  <conditionalFormatting sqref="IZ53:JC53">
    <cfRule type="containsText" dxfId="1082" priority="3144" operator="containsText" text="8265MSS">
      <formula>NOT(ISERROR(SEARCH("8265MSS",IZ53)))</formula>
    </cfRule>
  </conditionalFormatting>
  <conditionalFormatting sqref="JI49">
    <cfRule type="containsText" dxfId="1081" priority="3141" operator="containsText" text="8265MSS">
      <formula>NOT(ISERROR(SEARCH("8265MSS",JI49)))</formula>
    </cfRule>
  </conditionalFormatting>
  <conditionalFormatting sqref="JH84:JK84">
    <cfRule type="containsText" dxfId="1080" priority="3140" operator="containsText" text="8265MSS">
      <formula>NOT(ISERROR(SEARCH("8265MSS",JH84)))</formula>
    </cfRule>
  </conditionalFormatting>
  <conditionalFormatting sqref="NH84">
    <cfRule type="containsText" dxfId="1079" priority="3139" operator="containsText" text="8265MSS">
      <formula>NOT(ISERROR(SEARCH("8265MSS",NH84)))</formula>
    </cfRule>
  </conditionalFormatting>
  <conditionalFormatting sqref="NF84:NG84">
    <cfRule type="containsText" dxfId="1078" priority="3138" operator="containsText" text="8265MSS">
      <formula>NOT(ISERROR(SEARCH("8265MSS",NF84)))</formula>
    </cfRule>
  </conditionalFormatting>
  <conditionalFormatting sqref="KN115">
    <cfRule type="containsText" dxfId="1077" priority="3137" operator="containsText" text="8265MSS">
      <formula>NOT(ISERROR(SEARCH("8265MSS",KN115)))</formula>
    </cfRule>
  </conditionalFormatting>
  <conditionalFormatting sqref="JO55:JT55">
    <cfRule type="containsText" dxfId="1076" priority="3136" operator="containsText" text="8265MSS">
      <formula>NOT(ISERROR(SEARCH("8265MSS",JO55)))</formula>
    </cfRule>
  </conditionalFormatting>
  <conditionalFormatting sqref="JR113:JS113">
    <cfRule type="containsText" dxfId="1075" priority="3134" operator="containsText" text="8265MSS">
      <formula>NOT(ISERROR(SEARCH("8265MSS",JR113)))</formula>
    </cfRule>
  </conditionalFormatting>
  <conditionalFormatting sqref="MX84:MY84">
    <cfRule type="containsText" dxfId="1074" priority="3135" operator="containsText" text="8265MSS">
      <formula>NOT(ISERROR(SEARCH("8265MSS",MX84)))</formula>
    </cfRule>
  </conditionalFormatting>
  <conditionalFormatting sqref="LF43:LS43 LV43:MA43">
    <cfRule type="containsText" dxfId="1073" priority="3133" operator="containsText" text="8265MSS">
      <formula>NOT(ISERROR(SEARCH("8265MSS",LF43)))</formula>
    </cfRule>
  </conditionalFormatting>
  <conditionalFormatting sqref="LV57:MA57">
    <cfRule type="containsText" dxfId="1072" priority="3132" operator="containsText" text="8265MSS">
      <formula>NOT(ISERROR(SEARCH("8265MSS",LV57)))</formula>
    </cfRule>
  </conditionalFormatting>
  <conditionalFormatting sqref="LH49:LO49">
    <cfRule type="containsText" dxfId="1071" priority="3131" operator="containsText" text="8265MSS">
      <formula>NOT(ISERROR(SEARCH("8265MSS",LH49)))</formula>
    </cfRule>
  </conditionalFormatting>
  <conditionalFormatting sqref="MH43:MJ43">
    <cfRule type="containsText" dxfId="1070" priority="3130" operator="containsText" text="8265MSS">
      <formula>NOT(ISERROR(SEARCH("8265MSS",MH43)))</formula>
    </cfRule>
  </conditionalFormatting>
  <conditionalFormatting sqref="MH57:MJ57">
    <cfRule type="containsText" dxfId="1069" priority="3129" operator="containsText" text="8265MSS">
      <formula>NOT(ISERROR(SEARCH("8265MSS",MH57)))</formula>
    </cfRule>
  </conditionalFormatting>
  <conditionalFormatting sqref="MN43:MQ43">
    <cfRule type="containsText" dxfId="1068" priority="3128" operator="containsText" text="8265MSS">
      <formula>NOT(ISERROR(SEARCH("8265MSS",MN43)))</formula>
    </cfRule>
  </conditionalFormatting>
  <conditionalFormatting sqref="MN57:MQ57">
    <cfRule type="containsText" dxfId="1067" priority="3127" operator="containsText" text="8265MSS">
      <formula>NOT(ISERROR(SEARCH("8265MSS",MN57)))</formula>
    </cfRule>
  </conditionalFormatting>
  <conditionalFormatting sqref="ML43:MM43">
    <cfRule type="containsText" dxfId="1066" priority="3126" operator="containsText" text="8265MSS">
      <formula>NOT(ISERROR(SEARCH("8265MSS",ML43)))</formula>
    </cfRule>
  </conditionalFormatting>
  <conditionalFormatting sqref="LF47:LR47 LU47:MA47">
    <cfRule type="containsText" dxfId="1065" priority="3124" operator="containsText" text="8265MSS">
      <formula>NOT(ISERROR(SEARCH("8265MSS",LF47)))</formula>
    </cfRule>
  </conditionalFormatting>
  <conditionalFormatting sqref="LH51:LR51 LU51:MA51">
    <cfRule type="containsText" dxfId="1064" priority="3123" operator="containsText" text="8265MSS">
      <formula>NOT(ISERROR(SEARCH("8265MSS",LH51)))</formula>
    </cfRule>
  </conditionalFormatting>
  <conditionalFormatting sqref="LS51:LT51">
    <cfRule type="containsText" dxfId="1063" priority="3122" operator="containsText" text="8265MSS">
      <formula>NOT(ISERROR(SEARCH("8265MSS",LS51)))</formula>
    </cfRule>
  </conditionalFormatting>
  <conditionalFormatting sqref="LS47:LT47">
    <cfRule type="containsText" dxfId="1062" priority="3121" operator="containsText" text="8265MSS">
      <formula>NOT(ISERROR(SEARCH("8265MSS",LS47)))</formula>
    </cfRule>
  </conditionalFormatting>
  <conditionalFormatting sqref="MF47:MG47">
    <cfRule type="containsText" dxfId="1061" priority="3120" operator="containsText" text="8265MSS">
      <formula>NOT(ISERROR(SEARCH("8265MSS",MF47)))</formula>
    </cfRule>
  </conditionalFormatting>
  <conditionalFormatting sqref="MF51:MG51">
    <cfRule type="containsText" dxfId="1060" priority="3119" operator="containsText" text="8265MSS">
      <formula>NOT(ISERROR(SEARCH("8265MSS",MF51)))</formula>
    </cfRule>
  </conditionalFormatting>
  <conditionalFormatting sqref="MN47:MU47 MX47:NL47">
    <cfRule type="containsText" dxfId="1059" priority="3118" operator="containsText" text="8265MSS">
      <formula>NOT(ISERROR(SEARCH("8265MSS",MN47)))</formula>
    </cfRule>
  </conditionalFormatting>
  <conditionalFormatting sqref="ML47:MM47">
    <cfRule type="containsText" dxfId="1058" priority="3117" operator="containsText" text="8265MSS">
      <formula>NOT(ISERROR(SEARCH("8265MSS",ML47)))</formula>
    </cfRule>
  </conditionalFormatting>
  <conditionalFormatting sqref="MN51:MU51 MX51:NL51">
    <cfRule type="containsText" dxfId="1057" priority="3116" operator="containsText" text="8265MSS">
      <formula>NOT(ISERROR(SEARCH("8265MSS",MN51)))</formula>
    </cfRule>
  </conditionalFormatting>
  <conditionalFormatting sqref="ML51:MM51">
    <cfRule type="containsText" dxfId="1056" priority="3115" operator="containsText" text="8265MSS">
      <formula>NOT(ISERROR(SEARCH("8265MSS",ML51)))</formula>
    </cfRule>
  </conditionalFormatting>
  <conditionalFormatting sqref="MV47:MW47">
    <cfRule type="containsText" dxfId="1055" priority="3114" operator="containsText" text="8265MSS">
      <formula>NOT(ISERROR(SEARCH("8265MSS",MV47)))</formula>
    </cfRule>
  </conditionalFormatting>
  <conditionalFormatting sqref="MW51">
    <cfRule type="containsText" dxfId="1054" priority="3113" operator="containsText" text="8265MSS">
      <formula>NOT(ISERROR(SEARCH("8265MSS",MW51)))</formula>
    </cfRule>
  </conditionalFormatting>
  <conditionalFormatting sqref="NM47:NN47">
    <cfRule type="containsText" dxfId="1053" priority="3112" operator="containsText" text="8265MSS">
      <formula>NOT(ISERROR(SEARCH("8265MSS",NM47)))</formula>
    </cfRule>
  </conditionalFormatting>
  <conditionalFormatting sqref="NM51:NN51">
    <cfRule type="containsText" dxfId="1052" priority="3111" operator="containsText" text="8265MSS">
      <formula>NOT(ISERROR(SEARCH("8265MSS",NM51)))</formula>
    </cfRule>
  </conditionalFormatting>
  <conditionalFormatting sqref="LI45:LJ45">
    <cfRule type="containsText" dxfId="1051" priority="3110" operator="containsText" text="8265MSS">
      <formula>NOT(ISERROR(SEARCH("8265MSS",LI45)))</formula>
    </cfRule>
  </conditionalFormatting>
  <conditionalFormatting sqref="LT59 LW59:MA59">
    <cfRule type="containsText" dxfId="1050" priority="3109" operator="containsText" text="8265MSS">
      <formula>NOT(ISERROR(SEARCH("8265MSS",LT59)))</formula>
    </cfRule>
  </conditionalFormatting>
  <conditionalFormatting sqref="LW45:LX45">
    <cfRule type="containsText" dxfId="1049" priority="3108" operator="containsText" text="8265MSS">
      <formula>NOT(ISERROR(SEARCH("8265MSS",LW45)))</formula>
    </cfRule>
  </conditionalFormatting>
  <conditionalFormatting sqref="LQ45:LT45">
    <cfRule type="containsText" dxfId="1048" priority="3106" operator="containsText" text="8265MSS">
      <formula>NOT(ISERROR(SEARCH("8265MSS",LQ45)))</formula>
    </cfRule>
  </conditionalFormatting>
  <conditionalFormatting sqref="LK45:LL45">
    <cfRule type="containsText" dxfId="1047" priority="3107" operator="containsText" text="8265MSS">
      <formula>NOT(ISERROR(SEARCH("8265MSS",LK45)))</formula>
    </cfRule>
  </conditionalFormatting>
  <conditionalFormatting sqref="LF55">
    <cfRule type="containsText" dxfId="1046" priority="3105" operator="containsText" text="8265MSS">
      <formula>NOT(ISERROR(SEARCH("8265MSS",LF55)))</formula>
    </cfRule>
  </conditionalFormatting>
  <conditionalFormatting sqref="LV59">
    <cfRule type="containsText" dxfId="1045" priority="3104" operator="containsText" text="8265MSS">
      <formula>NOT(ISERROR(SEARCH("8265MSS",LV59)))</formula>
    </cfRule>
  </conditionalFormatting>
  <conditionalFormatting sqref="LS59">
    <cfRule type="containsText" dxfId="1044" priority="3103" operator="containsText" text="8265MSS">
      <formula>NOT(ISERROR(SEARCH("8265MSS",LS59)))</formula>
    </cfRule>
  </conditionalFormatting>
  <conditionalFormatting sqref="LM59:LR59">
    <cfRule type="containsText" dxfId="1043" priority="3102" operator="containsText" text="8265MSS">
      <formula>NOT(ISERROR(SEARCH("8265MSS",LM59)))</formula>
    </cfRule>
  </conditionalFormatting>
  <conditionalFormatting sqref="MS84:MT84">
    <cfRule type="containsText" dxfId="1042" priority="3101" operator="containsText" text="8265MSS">
      <formula>NOT(ISERROR(SEARCH("8265MSS",MS84)))</formula>
    </cfRule>
  </conditionalFormatting>
  <conditionalFormatting sqref="MS45:MT45">
    <cfRule type="containsText" dxfId="1041" priority="3100" operator="containsText" text="8265MSS">
      <formula>NOT(ISERROR(SEARCH("8265MSS",MS45)))</formula>
    </cfRule>
  </conditionalFormatting>
  <conditionalFormatting sqref="NB84:ND84">
    <cfRule type="containsText" dxfId="1040" priority="3099" operator="containsText" text="8265MSS">
      <formula>NOT(ISERROR(SEARCH("8265MSS",NB84)))</formula>
    </cfRule>
  </conditionalFormatting>
  <conditionalFormatting sqref="OA43:OB43">
    <cfRule type="containsText" dxfId="1039" priority="3097" operator="containsText" text="8265MSS">
      <formula>NOT(ISERROR(SEARCH("8265MSS",OA43)))</formula>
    </cfRule>
  </conditionalFormatting>
  <conditionalFormatting sqref="LU63:LV63">
    <cfRule type="containsText" dxfId="1038" priority="3096" operator="containsText" text="8265MSS">
      <formula>NOT(ISERROR(SEARCH("8265MSS",LU63)))</formula>
    </cfRule>
  </conditionalFormatting>
  <conditionalFormatting sqref="LP63:LT63">
    <cfRule type="containsText" dxfId="1037" priority="3095" operator="containsText" text="8265MSS">
      <formula>NOT(ISERROR(SEARCH("8265MSS",LP63)))</formula>
    </cfRule>
  </conditionalFormatting>
  <conditionalFormatting sqref="NQ84:NS84">
    <cfRule type="containsText" dxfId="1036" priority="3094" operator="containsText" text="8265MSS">
      <formula>NOT(ISERROR(SEARCH("8265MSS",NQ84)))</formula>
    </cfRule>
  </conditionalFormatting>
  <conditionalFormatting sqref="NM84:NN84">
    <cfRule type="containsText" dxfId="1035" priority="3093" operator="containsText" text="8265MSS">
      <formula>NOT(ISERROR(SEARCH("8265MSS",NM84)))</formula>
    </cfRule>
  </conditionalFormatting>
  <conditionalFormatting sqref="NT84:NV84">
    <cfRule type="containsText" dxfId="1034" priority="3091" operator="containsText" text="8265MSS">
      <formula>NOT(ISERROR(SEARCH("8265MSS",NT84)))</formula>
    </cfRule>
  </conditionalFormatting>
  <conditionalFormatting sqref="NY110:OC110">
    <cfRule type="containsText" dxfId="1033" priority="3090" operator="containsText" text="8265MSS">
      <formula>NOT(ISERROR(SEARCH("8265MSS",NY110)))</formula>
    </cfRule>
  </conditionalFormatting>
  <conditionalFormatting sqref="OD110:OG110">
    <cfRule type="containsText" dxfId="1032" priority="3089" operator="containsText" text="8265MSS">
      <formula>NOT(ISERROR(SEARCH("8265MSS",OD110)))</formula>
    </cfRule>
  </conditionalFormatting>
  <conditionalFormatting sqref="LT110:LX110">
    <cfRule type="containsText" dxfId="1031" priority="3088" operator="containsText" text="8265MSS">
      <formula>NOT(ISERROR(SEARCH("8265MSS",LT110)))</formula>
    </cfRule>
  </conditionalFormatting>
  <conditionalFormatting sqref="NQ57">
    <cfRule type="containsText" dxfId="1030" priority="3085" operator="containsText" text="8265MSS">
      <formula>NOT(ISERROR(SEARCH("8265MSS",NQ57)))</formula>
    </cfRule>
  </conditionalFormatting>
  <conditionalFormatting sqref="NS57">
    <cfRule type="containsText" dxfId="1029" priority="3083" operator="containsText" text="8265MSS">
      <formula>NOT(ISERROR(SEARCH("8265MSS",NS57)))</formula>
    </cfRule>
  </conditionalFormatting>
  <conditionalFormatting sqref="RE49:RF49">
    <cfRule type="containsText" dxfId="1028" priority="3082" operator="containsText" text="8265MSS">
      <formula>NOT(ISERROR(SEARCH("8265MSS",RE49)))</formula>
    </cfRule>
  </conditionalFormatting>
  <conditionalFormatting sqref="MT59">
    <cfRule type="containsText" dxfId="1027" priority="3081" operator="containsText" text="8265MSS">
      <formula>NOT(ISERROR(SEARCH("8265MSS",MT59)))</formula>
    </cfRule>
  </conditionalFormatting>
  <conditionalFormatting sqref="MV59">
    <cfRule type="containsText" dxfId="1026" priority="3080" operator="containsText" text="8265MSS">
      <formula>NOT(ISERROR(SEARCH("8265MSS",MV59)))</formula>
    </cfRule>
  </conditionalFormatting>
  <conditionalFormatting sqref="MZ59">
    <cfRule type="containsText" dxfId="1025" priority="3076" operator="containsText" text="8265MSS">
      <formula>NOT(ISERROR(SEARCH("8265MSS",MZ59)))</formula>
    </cfRule>
  </conditionalFormatting>
  <conditionalFormatting sqref="MY59">
    <cfRule type="containsText" dxfId="1024" priority="3075" operator="containsText" text="8265MSS">
      <formula>NOT(ISERROR(SEARCH("8265MSS",MY59)))</formula>
    </cfRule>
  </conditionalFormatting>
  <conditionalFormatting sqref="MX59">
    <cfRule type="containsText" dxfId="1023" priority="3073" operator="containsText" text="8265MSS">
      <formula>NOT(ISERROR(SEARCH("8265MSS",MX59)))</formula>
    </cfRule>
  </conditionalFormatting>
  <conditionalFormatting sqref="MS59">
    <cfRule type="containsText" dxfId="1022" priority="3071" operator="containsText" text="8265MSS">
      <formula>NOT(ISERROR(SEARCH("8265MSS",MS59)))</formula>
    </cfRule>
  </conditionalFormatting>
  <conditionalFormatting sqref="MW59">
    <cfRule type="containsText" dxfId="1021" priority="3072" operator="containsText" text="8265MSS">
      <formula>NOT(ISERROR(SEARCH("8265MSS",MW59)))</formula>
    </cfRule>
  </conditionalFormatting>
  <conditionalFormatting sqref="NE59">
    <cfRule type="containsText" dxfId="1020" priority="3070" operator="containsText" text="8265MSS">
      <formula>NOT(ISERROR(SEARCH("8265MSS",NE59)))</formula>
    </cfRule>
  </conditionalFormatting>
  <conditionalFormatting sqref="NA111">
    <cfRule type="containsText" dxfId="1019" priority="3067" operator="containsText" text="8265MSS">
      <formula>NOT(ISERROR(SEARCH("8265MSS",NA111)))</formula>
    </cfRule>
  </conditionalFormatting>
  <conditionalFormatting sqref="NK110">
    <cfRule type="containsText" dxfId="1018" priority="3066" operator="containsText" text="8265MSS">
      <formula>NOT(ISERROR(SEARCH("8265MSS",NK110)))</formula>
    </cfRule>
  </conditionalFormatting>
  <conditionalFormatting sqref="NH110:NJ110">
    <cfRule type="containsText" dxfId="1017" priority="3065" operator="containsText" text="8265MSS">
      <formula>NOT(ISERROR(SEARCH("8265MSS",NH110)))</formula>
    </cfRule>
  </conditionalFormatting>
  <conditionalFormatting sqref="NQ47:NT47">
    <cfRule type="containsText" dxfId="1016" priority="3063" operator="containsText" text="8265MSS">
      <formula>NOT(ISERROR(SEARCH("8265MSS",NQ47)))</formula>
    </cfRule>
  </conditionalFormatting>
  <conditionalFormatting sqref="NQ51:NT51">
    <cfRule type="containsText" dxfId="1015" priority="3062" operator="containsText" text="8265MSS">
      <formula>NOT(ISERROR(SEARCH("8265MSS",NQ51)))</formula>
    </cfRule>
  </conditionalFormatting>
  <conditionalFormatting sqref="OH47:OK47">
    <cfRule type="containsText" dxfId="1014" priority="3061" operator="containsText" text="8265MSS">
      <formula>NOT(ISERROR(SEARCH("8265MSS",OH47)))</formula>
    </cfRule>
  </conditionalFormatting>
  <conditionalFormatting sqref="OG51:OK51">
    <cfRule type="containsText" dxfId="1013" priority="3060" operator="containsText" text="8265MSS">
      <formula>NOT(ISERROR(SEARCH("8265MSS",OG51)))</formula>
    </cfRule>
  </conditionalFormatting>
  <conditionalFormatting sqref="NT66:NT67">
    <cfRule type="containsText" dxfId="1012" priority="3059" operator="containsText" text="8265MSS">
      <formula>NOT(ISERROR(SEARCH("8265MSS",NT66)))</formula>
    </cfRule>
  </conditionalFormatting>
  <conditionalFormatting sqref="NQ66:NS67">
    <cfRule type="containsText" dxfId="1011" priority="3058" operator="containsText" text="8265MSS">
      <formula>NOT(ISERROR(SEARCH("8265MSS",NQ66)))</formula>
    </cfRule>
  </conditionalFormatting>
  <conditionalFormatting sqref="LF51:LG51">
    <cfRule type="containsText" dxfId="1010" priority="3057" operator="containsText" text="8265MSS">
      <formula>NOT(ISERROR(SEARCH("8265MSS",LF51)))</formula>
    </cfRule>
  </conditionalFormatting>
  <conditionalFormatting sqref="LN53:LW53">
    <cfRule type="containsText" dxfId="1009" priority="3056" operator="containsText" text="8265MSS">
      <formula>NOT(ISERROR(SEARCH("8265MSS",LN53)))</formula>
    </cfRule>
  </conditionalFormatting>
  <conditionalFormatting sqref="LV49:LW49">
    <cfRule type="containsText" dxfId="1008" priority="3055" operator="containsText" text="8265MSS">
      <formula>NOT(ISERROR(SEARCH("8265MSS",LV49)))</formula>
    </cfRule>
  </conditionalFormatting>
  <conditionalFormatting sqref="LX49">
    <cfRule type="containsText" dxfId="1007" priority="3054" operator="containsText" text="8265MSS">
      <formula>NOT(ISERROR(SEARCH("8265MSS",LX49)))</formula>
    </cfRule>
  </conditionalFormatting>
  <conditionalFormatting sqref="LO63">
    <cfRule type="containsText" dxfId="1006" priority="3053" operator="containsText" text="8265MSS">
      <formula>NOT(ISERROR(SEARCH("8265MSS",LO63)))</formula>
    </cfRule>
  </conditionalFormatting>
  <conditionalFormatting sqref="MJ65">
    <cfRule type="containsText" dxfId="1005" priority="3052" operator="containsText" text="8265MSS">
      <formula>NOT(ISERROR(SEARCH("8265MSS",MJ65)))</formula>
    </cfRule>
  </conditionalFormatting>
  <conditionalFormatting sqref="MF65:MG65">
    <cfRule type="containsText" dxfId="1004" priority="3051" operator="containsText" text="8265MSS">
      <formula>NOT(ISERROR(SEARCH("8265MSS",MF65)))</formula>
    </cfRule>
  </conditionalFormatting>
  <conditionalFormatting sqref="LJ61:LY61">
    <cfRule type="containsText" dxfId="1003" priority="3050" operator="containsText" text="8265MSS">
      <formula>NOT(ISERROR(SEARCH("8265MSS",LJ61)))</formula>
    </cfRule>
  </conditionalFormatting>
  <conditionalFormatting sqref="MH61">
    <cfRule type="containsText" dxfId="1002" priority="3049" operator="containsText" text="8265MSS">
      <formula>NOT(ISERROR(SEARCH("8265MSS",MH61)))</formula>
    </cfRule>
  </conditionalFormatting>
  <conditionalFormatting sqref="MF61:MG61">
    <cfRule type="containsText" dxfId="1001" priority="3048" operator="containsText" text="8265MSS">
      <formula>NOT(ISERROR(SEARCH("8265MSS",MF61)))</formula>
    </cfRule>
  </conditionalFormatting>
  <conditionalFormatting sqref="ML65">
    <cfRule type="containsText" dxfId="1000" priority="3047" operator="containsText" text="8265MSS">
      <formula>NOT(ISERROR(SEARCH("8265MSS",ML65)))</formula>
    </cfRule>
  </conditionalFormatting>
  <conditionalFormatting sqref="MN61:MP61">
    <cfRule type="containsText" dxfId="999" priority="3046" operator="containsText" text="8265MSS">
      <formula>NOT(ISERROR(SEARCH("8265MSS",MN61)))</formula>
    </cfRule>
  </conditionalFormatting>
  <conditionalFormatting sqref="MR43:MS43">
    <cfRule type="containsText" dxfId="998" priority="3045" operator="containsText" text="8265MSS">
      <formula>NOT(ISERROR(SEARCH("8265MSS",MR43)))</formula>
    </cfRule>
  </conditionalFormatting>
  <conditionalFormatting sqref="ML61:MM61">
    <cfRule type="containsText" dxfId="997" priority="3044" operator="containsText" text="8265MSS">
      <formula>NOT(ISERROR(SEARCH("8265MSS",ML61)))</formula>
    </cfRule>
  </conditionalFormatting>
  <conditionalFormatting sqref="MH51:MJ51">
    <cfRule type="containsText" dxfId="996" priority="3042" operator="containsText" text="8265MSS">
      <formula>NOT(ISERROR(SEARCH("8265MSS",MH51)))</formula>
    </cfRule>
  </conditionalFormatting>
  <conditionalFormatting sqref="MH47:MJ47">
    <cfRule type="containsText" dxfId="995" priority="3043" operator="containsText" text="8265MSS">
      <formula>NOT(ISERROR(SEARCH("8265MSS",MH47)))</formula>
    </cfRule>
  </conditionalFormatting>
  <conditionalFormatting sqref="NE57">
    <cfRule type="containsText" dxfId="994" priority="3041" operator="containsText" text="8265MSS">
      <formula>NOT(ISERROR(SEARCH("8265MSS",NE57)))</formula>
    </cfRule>
  </conditionalFormatting>
  <conditionalFormatting sqref="NV45">
    <cfRule type="containsText" dxfId="993" priority="3040" operator="containsText" text="8265MSS">
      <formula>NOT(ISERROR(SEARCH("8265MSS",NV45)))</formula>
    </cfRule>
  </conditionalFormatting>
  <conditionalFormatting sqref="MX43:MY43">
    <cfRule type="containsText" dxfId="992" priority="3039" operator="containsText" text="8265MSS">
      <formula>NOT(ISERROR(SEARCH("8265MSS",MX43)))</formula>
    </cfRule>
  </conditionalFormatting>
  <conditionalFormatting sqref="OB84">
    <cfRule type="containsText" dxfId="991" priority="3038" operator="containsText" text="8265MSS">
      <formula>NOT(ISERROR(SEARCH("8265MSS",OB84)))</formula>
    </cfRule>
  </conditionalFormatting>
  <conditionalFormatting sqref="NR57">
    <cfRule type="containsText" dxfId="990" priority="3034" operator="containsText" text="8265MSS">
      <formula>NOT(ISERROR(SEARCH("8265MSS",NR57)))</formula>
    </cfRule>
  </conditionalFormatting>
  <conditionalFormatting sqref="NT57">
    <cfRule type="containsText" dxfId="989" priority="3035" operator="containsText" text="8265MSS">
      <formula>NOT(ISERROR(SEARCH("8265MSS",NT57)))</formula>
    </cfRule>
  </conditionalFormatting>
  <conditionalFormatting sqref="OL47:OQ47">
    <cfRule type="containsText" dxfId="988" priority="3026" operator="containsText" text="8265MSS">
      <formula>NOT(ISERROR(SEARCH("8265MSS",OL47)))</formula>
    </cfRule>
  </conditionalFormatting>
  <conditionalFormatting sqref="OL51:OO51">
    <cfRule type="containsText" dxfId="987" priority="3025" operator="containsText" text="8265MSS">
      <formula>NOT(ISERROR(SEARCH("8265MSS",OL51)))</formula>
    </cfRule>
  </conditionalFormatting>
  <conditionalFormatting sqref="NH59">
    <cfRule type="containsText" dxfId="986" priority="3024" operator="containsText" text="8265MSS">
      <formula>NOT(ISERROR(SEARCH("8265MSS",NH59)))</formula>
    </cfRule>
  </conditionalFormatting>
  <conditionalFormatting sqref="NS59:NV59 NY59:OC59 OG59:OH59 OK59:OS59">
    <cfRule type="containsText" dxfId="985" priority="3023" operator="containsText" text="8265MSS">
      <formula>NOT(ISERROR(SEARCH("8265MSS",NS59)))</formula>
    </cfRule>
  </conditionalFormatting>
  <conditionalFormatting sqref="MU55:MV55">
    <cfRule type="containsText" dxfId="984" priority="3022" operator="containsText" text="8265MSS">
      <formula>NOT(ISERROR(SEARCH("8265MSS",MU55)))</formula>
    </cfRule>
  </conditionalFormatting>
  <conditionalFormatting sqref="NL55">
    <cfRule type="containsText" dxfId="983" priority="3021" operator="containsText" text="8265MSS">
      <formula>NOT(ISERROR(SEARCH("8265MSS",NL55)))</formula>
    </cfRule>
  </conditionalFormatting>
  <conditionalFormatting sqref="MP55:MQ55">
    <cfRule type="containsText" dxfId="982" priority="3018" operator="containsText" text="8265MSS">
      <formula>NOT(ISERROR(SEARCH("8265MSS",MP55)))</formula>
    </cfRule>
  </conditionalFormatting>
  <conditionalFormatting sqref="NV63:NW63">
    <cfRule type="containsText" dxfId="981" priority="3016" operator="containsText" text="8265MSS">
      <formula>NOT(ISERROR(SEARCH("8265MSS",NV63)))</formula>
    </cfRule>
  </conditionalFormatting>
  <conditionalFormatting sqref="LH63">
    <cfRule type="containsText" dxfId="980" priority="3010" operator="containsText" text="8265MSS">
      <formula>NOT(ISERROR(SEARCH("8265MSS",LH63)))</formula>
    </cfRule>
  </conditionalFormatting>
  <conditionalFormatting sqref="LK63:LL63">
    <cfRule type="containsText" dxfId="979" priority="3009" operator="containsText" text="8265MSS">
      <formula>NOT(ISERROR(SEARCH("8265MSS",LK63)))</formula>
    </cfRule>
  </conditionalFormatting>
  <conditionalFormatting sqref="LM63:LN63">
    <cfRule type="containsText" dxfId="978" priority="3008" operator="containsText" text="8265MSS">
      <formula>NOT(ISERROR(SEARCH("8265MSS",LM63)))</formula>
    </cfRule>
  </conditionalFormatting>
  <conditionalFormatting sqref="MF55">
    <cfRule type="containsText" dxfId="977" priority="3002" operator="containsText" text="8265MSS">
      <formula>NOT(ISERROR(SEARCH("8265MSS",MF55)))</formula>
    </cfRule>
  </conditionalFormatting>
  <conditionalFormatting sqref="NA45">
    <cfRule type="containsText" dxfId="976" priority="2999" operator="containsText" text="8265MSS">
      <formula>NOT(ISERROR(SEARCH("8265MSS",NA45)))</formula>
    </cfRule>
  </conditionalFormatting>
  <conditionalFormatting sqref="MM65:MN65">
    <cfRule type="containsText" dxfId="975" priority="2997" operator="containsText" text="8265MSS">
      <formula>NOT(ISERROR(SEARCH("8265MSS",MM65)))</formula>
    </cfRule>
  </conditionalFormatting>
  <conditionalFormatting sqref="MT57:MV57">
    <cfRule type="containsText" dxfId="974" priority="2995" operator="containsText" text="8265MSS">
      <formula>NOT(ISERROR(SEARCH("8265MSS",MT57)))</formula>
    </cfRule>
  </conditionalFormatting>
  <conditionalFormatting sqref="LY45:LZ45">
    <cfRule type="containsText" dxfId="973" priority="2992" operator="containsText" text="8265MSS">
      <formula>NOT(ISERROR(SEARCH("8265MSS",LY45)))</formula>
    </cfRule>
  </conditionalFormatting>
  <conditionalFormatting sqref="ML45">
    <cfRule type="containsText" dxfId="972" priority="2991" operator="containsText" text="8265MSS">
      <formula>NOT(ISERROR(SEARCH("8265MSS",ML45)))</formula>
    </cfRule>
  </conditionalFormatting>
  <conditionalFormatting sqref="MO65:MW65">
    <cfRule type="containsText" dxfId="971" priority="2990" operator="containsText" text="8265MSS">
      <formula>NOT(ISERROR(SEARCH("8265MSS",MO65)))</formula>
    </cfRule>
  </conditionalFormatting>
  <conditionalFormatting sqref="MF59:MG59">
    <cfRule type="containsText" dxfId="970" priority="2989" operator="containsText" text="8265MSS">
      <formula>NOT(ISERROR(SEARCH("8265MSS",MF59)))</formula>
    </cfRule>
  </conditionalFormatting>
  <conditionalFormatting sqref="MF49">
    <cfRule type="containsText" dxfId="969" priority="2987" operator="containsText" text="8265MSS">
      <formula>NOT(ISERROR(SEARCH("8265MSS",MF49)))</formula>
    </cfRule>
  </conditionalFormatting>
  <conditionalFormatting sqref="MA45">
    <cfRule type="containsText" dxfId="968" priority="2986" operator="containsText" text="8265MSS">
      <formula>NOT(ISERROR(SEARCH("8265MSS",MA45)))</formula>
    </cfRule>
  </conditionalFormatting>
  <conditionalFormatting sqref="MF45">
    <cfRule type="containsText" dxfId="967" priority="2985" operator="containsText" text="8265MSS">
      <formula>NOT(ISERROR(SEARCH("8265MSS",MF45)))</formula>
    </cfRule>
  </conditionalFormatting>
  <conditionalFormatting sqref="MJ45">
    <cfRule type="containsText" dxfId="966" priority="2984" operator="containsText" text="8265MSS">
      <formula>NOT(ISERROR(SEARCH("8265MSS",MJ45)))</formula>
    </cfRule>
  </conditionalFormatting>
  <conditionalFormatting sqref="TS5:UW5">
    <cfRule type="cellIs" dxfId="965" priority="2981" stopIfTrue="1" operator="equal">
      <formula>"Fri"</formula>
    </cfRule>
  </conditionalFormatting>
  <conditionalFormatting sqref="LX53:LY53">
    <cfRule type="containsText" dxfId="964" priority="2980" operator="containsText" text="8265MSS">
      <formula>NOT(ISERROR(SEARCH("8265MSS",LX53)))</formula>
    </cfRule>
  </conditionalFormatting>
  <conditionalFormatting sqref="NQ59:NR59">
    <cfRule type="containsText" dxfId="963" priority="2976" operator="containsText" text="8265MSS">
      <formula>NOT(ISERROR(SEARCH("8265MSS",NQ59)))</formula>
    </cfRule>
  </conditionalFormatting>
  <conditionalFormatting sqref="LZ65:MA65">
    <cfRule type="containsText" dxfId="962" priority="2959" operator="containsText" text="8265MSS">
      <formula>NOT(ISERROR(SEARCH("8265MSS",LZ65)))</formula>
    </cfRule>
  </conditionalFormatting>
  <conditionalFormatting sqref="NY61:OB61 NQ61:NV61">
    <cfRule type="containsText" dxfId="961" priority="2973" operator="containsText" text="8265MSS">
      <formula>NOT(ISERROR(SEARCH("8265MSS",NQ61)))</formula>
    </cfRule>
  </conditionalFormatting>
  <conditionalFormatting sqref="PD47:PF47">
    <cfRule type="containsText" dxfId="960" priority="2968" operator="containsText" text="8265MSS">
      <formula>NOT(ISERROR(SEARCH("8265MSS",PD47)))</formula>
    </cfRule>
  </conditionalFormatting>
  <conditionalFormatting sqref="PG47:PR47">
    <cfRule type="containsText" dxfId="959" priority="2971" operator="containsText" text="8265MSS">
      <formula>NOT(ISERROR(SEARCH("8265MSS",PG47)))</formula>
    </cfRule>
  </conditionalFormatting>
  <conditionalFormatting sqref="LZ53:MA53">
    <cfRule type="containsText" dxfId="958" priority="2960" operator="containsText" text="8265MSS">
      <formula>NOT(ISERROR(SEARCH("8265MSS",LZ53)))</formula>
    </cfRule>
  </conditionalFormatting>
  <conditionalFormatting sqref="NB43:NG43">
    <cfRule type="containsText" dxfId="957" priority="2958" operator="containsText" text="8265MSS">
      <formula>NOT(ISERROR(SEARCH("8265MSS",NB43)))</formula>
    </cfRule>
  </conditionalFormatting>
  <conditionalFormatting sqref="MZ43:NA43">
    <cfRule type="containsText" dxfId="956" priority="2957" operator="containsText" text="8265MSS">
      <formula>NOT(ISERROR(SEARCH("8265MSS",MZ43)))</formula>
    </cfRule>
  </conditionalFormatting>
  <conditionalFormatting sqref="MV51">
    <cfRule type="containsText" dxfId="955" priority="2956" operator="containsText" text="8265MSS">
      <formula>NOT(ISERROR(SEARCH("8265MSS",MV51)))</formula>
    </cfRule>
  </conditionalFormatting>
  <conditionalFormatting sqref="ML57:MM57">
    <cfRule type="containsText" dxfId="954" priority="2955" operator="containsText" text="8265MSS">
      <formula>NOT(ISERROR(SEARCH("8265MSS",ML57)))</formula>
    </cfRule>
  </conditionalFormatting>
  <conditionalFormatting sqref="MN59:MO59">
    <cfRule type="containsText" dxfId="953" priority="2950" operator="containsText" text="8265MSS">
      <formula>NOT(ISERROR(SEARCH("8265MSS",MN59)))</formula>
    </cfRule>
  </conditionalFormatting>
  <conditionalFormatting sqref="MP59:MR59">
    <cfRule type="containsText" dxfId="952" priority="2949" operator="containsText" text="8265MSS">
      <formula>NOT(ISERROR(SEARCH("8265MSS",MP59)))</formula>
    </cfRule>
  </conditionalFormatting>
  <conditionalFormatting sqref="MI61:MJ61">
    <cfRule type="containsText" dxfId="951" priority="2948" operator="containsText" text="8265MSS">
      <formula>NOT(ISERROR(SEARCH("8265MSS",MI61)))</formula>
    </cfRule>
  </conditionalFormatting>
  <conditionalFormatting sqref="NI59:NO59">
    <cfRule type="containsText" dxfId="950" priority="2942" operator="containsText" text="8265MSS">
      <formula>NOT(ISERROR(SEARCH("8265MSS",NI59)))</formula>
    </cfRule>
  </conditionalFormatting>
  <conditionalFormatting sqref="NW59:NX59">
    <cfRule type="containsText" dxfId="949" priority="2940" operator="containsText" text="8265MSS">
      <formula>NOT(ISERROR(SEARCH("8265MSS",NW59)))</formula>
    </cfRule>
  </conditionalFormatting>
  <conditionalFormatting sqref="NW61:NX61">
    <cfRule type="containsText" dxfId="948" priority="2939" operator="containsText" text="8265MSS">
      <formula>NOT(ISERROR(SEARCH("8265MSS",NW61)))</formula>
    </cfRule>
  </conditionalFormatting>
  <conditionalFormatting sqref="OJ59">
    <cfRule type="containsText" dxfId="947" priority="2934" operator="containsText" text="8265MSS">
      <formula>NOT(ISERROR(SEARCH("8265MSS",OJ59)))</formula>
    </cfRule>
  </conditionalFormatting>
  <conditionalFormatting sqref="OD59:OF59">
    <cfRule type="containsText" dxfId="946" priority="2932" operator="containsText" text="8265MSS">
      <formula>NOT(ISERROR(SEARCH("8265MSS",OD59)))</formula>
    </cfRule>
  </conditionalFormatting>
  <conditionalFormatting sqref="OF51">
    <cfRule type="containsText" dxfId="945" priority="2931" operator="containsText" text="8265MSS">
      <formula>NOT(ISERROR(SEARCH("8265MSS",OF51)))</formula>
    </cfRule>
  </conditionalFormatting>
  <conditionalFormatting sqref="OD51:OF51">
    <cfRule type="containsText" dxfId="944" priority="2930" operator="containsText" text="8265MSS">
      <formula>NOT(ISERROR(SEARCH("8265MSS",OD51)))</formula>
    </cfRule>
  </conditionalFormatting>
  <conditionalFormatting sqref="OD51">
    <cfRule type="containsText" dxfId="943" priority="2929" operator="containsText" text="8265MSS">
      <formula>NOT(ISERROR(SEARCH("8265MSS",OD51)))</formula>
    </cfRule>
  </conditionalFormatting>
  <conditionalFormatting sqref="OG47">
    <cfRule type="containsText" dxfId="942" priority="2928" operator="containsText" text="8265MSS">
      <formula>NOT(ISERROR(SEARCH("8265MSS",OG47)))</formula>
    </cfRule>
  </conditionalFormatting>
  <conditionalFormatting sqref="OD47:OE47">
    <cfRule type="containsText" dxfId="941" priority="2926" operator="containsText" text="8265MSS">
      <formula>NOT(ISERROR(SEARCH("8265MSS",OD47)))</formula>
    </cfRule>
  </conditionalFormatting>
  <conditionalFormatting sqref="OR47:OS47">
    <cfRule type="containsText" dxfId="940" priority="2925" operator="containsText" text="8265MSS">
      <formula>NOT(ISERROR(SEARCH("8265MSS",OR47)))</formula>
    </cfRule>
  </conditionalFormatting>
  <conditionalFormatting sqref="OF88:OG88">
    <cfRule type="containsText" dxfId="939" priority="2900" operator="containsText" text="8265MSS">
      <formula>NOT(ISERROR(SEARCH("8265MSS",OF88)))</formula>
    </cfRule>
  </conditionalFormatting>
  <conditionalFormatting sqref="PX47:PY47">
    <cfRule type="containsText" dxfId="938" priority="2892" operator="containsText" text="8265MSS">
      <formula>NOT(ISERROR(SEARCH("8265MSS",PX47)))</formula>
    </cfRule>
  </conditionalFormatting>
  <conditionalFormatting sqref="MW57:MX57">
    <cfRule type="containsText" dxfId="937" priority="2884" operator="containsText" text="8265MSS">
      <formula>NOT(ISERROR(SEARCH("8265MSS",MW57)))</formula>
    </cfRule>
  </conditionalFormatting>
  <conditionalFormatting sqref="QC47">
    <cfRule type="containsText" dxfId="936" priority="2889" operator="containsText" text="8265MSS">
      <formula>NOT(ISERROR(SEARCH("8265MSS",QC47)))</formula>
    </cfRule>
  </conditionalFormatting>
  <conditionalFormatting sqref="PN61">
    <cfRule type="containsText" dxfId="935" priority="2878" operator="containsText" text="8265MSS">
      <formula>NOT(ISERROR(SEARCH("8265MSS",PN61)))</formula>
    </cfRule>
  </conditionalFormatting>
  <conditionalFormatting sqref="NK57:NO57">
    <cfRule type="containsText" dxfId="934" priority="2869" operator="containsText" text="8265MSS">
      <formula>NOT(ISERROR(SEARCH("8265MSS",NK57)))</formula>
    </cfRule>
  </conditionalFormatting>
  <conditionalFormatting sqref="QQ43:QR43">
    <cfRule type="containsText" dxfId="933" priority="2865" operator="containsText" text="8265MSS">
      <formula>NOT(ISERROR(SEARCH("8265MSS",QQ43)))</formula>
    </cfRule>
  </conditionalFormatting>
  <conditionalFormatting sqref="UY5:WC5">
    <cfRule type="cellIs" dxfId="932" priority="2863" stopIfTrue="1" operator="equal">
      <formula>"Fri"</formula>
    </cfRule>
  </conditionalFormatting>
  <conditionalFormatting sqref="WE5:XF5">
    <cfRule type="cellIs" dxfId="931" priority="2862" stopIfTrue="1" operator="equal">
      <formula>"Fri"</formula>
    </cfRule>
  </conditionalFormatting>
  <conditionalFormatting sqref="XH5:YL5">
    <cfRule type="cellIs" dxfId="930" priority="2861" stopIfTrue="1" operator="equal">
      <formula>"Fri"</formula>
    </cfRule>
  </conditionalFormatting>
  <conditionalFormatting sqref="NQ45:NR45">
    <cfRule type="containsText" dxfId="929" priority="2853" operator="containsText" text="8265MSS">
      <formula>NOT(ISERROR(SEARCH("8265MSS",NQ45)))</formula>
    </cfRule>
  </conditionalFormatting>
  <conditionalFormatting sqref="QG47:QQ47">
    <cfRule type="containsText" dxfId="928" priority="2852" operator="containsText" text="8265MSS">
      <formula>NOT(ISERROR(SEARCH("8265MSS",QG47)))</formula>
    </cfRule>
  </conditionalFormatting>
  <conditionalFormatting sqref="NO49">
    <cfRule type="containsText" dxfId="927" priority="2842" operator="containsText" text="8265MSS">
      <formula>NOT(ISERROR(SEARCH("8265MSS",NO49)))</formula>
    </cfRule>
  </conditionalFormatting>
  <conditionalFormatting sqref="NW55">
    <cfRule type="containsText" dxfId="926" priority="2841" operator="containsText" text="8265MSS">
      <formula>NOT(ISERROR(SEARCH("8265MSS",NW55)))</formula>
    </cfRule>
  </conditionalFormatting>
  <conditionalFormatting sqref="NS63">
    <cfRule type="containsText" dxfId="925" priority="2839" operator="containsText" text="8265MSS">
      <formula>NOT(ISERROR(SEARCH("8265MSS",NS63)))</formula>
    </cfRule>
  </conditionalFormatting>
  <conditionalFormatting sqref="NQ63:NR63">
    <cfRule type="containsText" dxfId="924" priority="2838" operator="containsText" text="8265MSS">
      <formula>NOT(ISERROR(SEARCH("8265MSS",NQ63)))</formula>
    </cfRule>
  </conditionalFormatting>
  <conditionalFormatting sqref="QD43">
    <cfRule type="containsText" dxfId="923" priority="2832" operator="containsText" text="8265MSS">
      <formula>NOT(ISERROR(SEARCH("8265MSS",QD43)))</formula>
    </cfRule>
  </conditionalFormatting>
  <conditionalFormatting sqref="NO61">
    <cfRule type="containsText" dxfId="922" priority="2821" operator="containsText" text="8265MSS">
      <formula>NOT(ISERROR(SEARCH("8265MSS",NO61)))</formula>
    </cfRule>
  </conditionalFormatting>
  <conditionalFormatting sqref="QP45:QS45">
    <cfRule type="containsText" dxfId="921" priority="2818" operator="containsText" text="8265MSS">
      <formula>NOT(ISERROR(SEARCH("8265MSS",QP45)))</formula>
    </cfRule>
  </conditionalFormatting>
  <conditionalFormatting sqref="QE45:QF45">
    <cfRule type="containsText" dxfId="920" priority="2816" operator="containsText" text="8265MSS">
      <formula>NOT(ISERROR(SEARCH("8265MSS",QE45)))</formula>
    </cfRule>
  </conditionalFormatting>
  <conditionalFormatting sqref="TV112">
    <cfRule type="containsText" dxfId="919" priority="2790" operator="containsText" text="8265MSS">
      <formula>NOT(ISERROR(SEARCH("8265MSS",TV112)))</formula>
    </cfRule>
  </conditionalFormatting>
  <conditionalFormatting sqref="QU43:QV43">
    <cfRule type="containsText" dxfId="918" priority="2779" operator="containsText" text="8265MSS">
      <formula>NOT(ISERROR(SEARCH("8265MSS",QU43)))</formula>
    </cfRule>
  </conditionalFormatting>
  <conditionalFormatting sqref="SP115:TF115">
    <cfRule type="containsText" dxfId="917" priority="2775" operator="containsText" text="8265MSS">
      <formula>NOT(ISERROR(SEARCH("8265MSS",SP115)))</formula>
    </cfRule>
  </conditionalFormatting>
  <conditionalFormatting sqref="SN115:SO115">
    <cfRule type="containsText" dxfId="916" priority="2774" operator="containsText" text="8265MSS">
      <formula>NOT(ISERROR(SEARCH("8265MSS",SN115)))</formula>
    </cfRule>
  </conditionalFormatting>
  <conditionalFormatting sqref="RH53:RO53 RR53:RW53">
    <cfRule type="containsText" dxfId="915" priority="2771" operator="containsText" text="8265MSS">
      <formula>NOT(ISERROR(SEARCH("8265MSS",RH53)))</formula>
    </cfRule>
  </conditionalFormatting>
  <conditionalFormatting sqref="TI117:TQ117">
    <cfRule type="containsText" dxfId="914" priority="2768" operator="containsText" text="8265MSS">
      <formula>NOT(ISERROR(SEARCH("8265MSS",TI117)))</formula>
    </cfRule>
  </conditionalFormatting>
  <conditionalFormatting sqref="UN119:UO119">
    <cfRule type="containsText" dxfId="913" priority="2763" operator="containsText" text="8265MSS">
      <formula>NOT(ISERROR(SEARCH("8265MSS",UN119)))</formula>
    </cfRule>
  </conditionalFormatting>
  <conditionalFormatting sqref="TB113:TE113 SV113:SY113">
    <cfRule type="containsText" dxfId="912" priority="2753" operator="containsText" text="8265MSS">
      <formula>NOT(ISERROR(SEARCH("8265MSS",SV113)))</formula>
    </cfRule>
  </conditionalFormatting>
  <conditionalFormatting sqref="OP45:OQ45">
    <cfRule type="containsText" dxfId="911" priority="2736" operator="containsText" text="8265MSS">
      <formula>NOT(ISERROR(SEARCH("8265MSS",OP45)))</formula>
    </cfRule>
  </conditionalFormatting>
  <conditionalFormatting sqref="SP113:SR113 SI45">
    <cfRule type="containsText" dxfId="910" priority="2746" operator="containsText" text="8265MSS">
      <formula>NOT(ISERROR(SEARCH("8265MSS",SI45)))</formula>
    </cfRule>
  </conditionalFormatting>
  <conditionalFormatting sqref="OR45:OS45">
    <cfRule type="containsText" dxfId="909" priority="2735" operator="containsText" text="8265MSS">
      <formula>NOT(ISERROR(SEARCH("8265MSS",OR45)))</formula>
    </cfRule>
  </conditionalFormatting>
  <conditionalFormatting sqref="PD43">
    <cfRule type="containsText" dxfId="908" priority="2734" operator="containsText" text="8265MSS">
      <formula>NOT(ISERROR(SEARCH("8265MSS",PD43)))</formula>
    </cfRule>
  </conditionalFormatting>
  <conditionalFormatting sqref="PI61:PJ61">
    <cfRule type="containsText" dxfId="907" priority="2731" operator="containsText" text="8265MSS">
      <formula>NOT(ISERROR(SEARCH("8265MSS",PI61)))</formula>
    </cfRule>
  </conditionalFormatting>
  <conditionalFormatting sqref="QK43:QL43">
    <cfRule type="containsText" dxfId="906" priority="2728" operator="containsText" text="8265MSS">
      <formula>NOT(ISERROR(SEARCH("8265MSS",QK43)))</formula>
    </cfRule>
  </conditionalFormatting>
  <conditionalFormatting sqref="QA43">
    <cfRule type="containsText" dxfId="905" priority="2726" operator="containsText" text="8265MSS">
      <formula>NOT(ISERROR(SEARCH("8265MSS",QA43)))</formula>
    </cfRule>
  </conditionalFormatting>
  <conditionalFormatting sqref="QJ43">
    <cfRule type="containsText" dxfId="904" priority="2724" operator="containsText" text="8265MSS">
      <formula>NOT(ISERROR(SEARCH("8265MSS",QJ43)))</formula>
    </cfRule>
  </conditionalFormatting>
  <conditionalFormatting sqref="PD61">
    <cfRule type="containsText" dxfId="903" priority="2592" operator="containsText" text="8265MSS">
      <formula>NOT(ISERROR(SEARCH("8265MSS",PD61)))</formula>
    </cfRule>
  </conditionalFormatting>
  <conditionalFormatting sqref="QI65">
    <cfRule type="containsText" dxfId="902" priority="2591" operator="containsText" text="8265MSS">
      <formula>NOT(ISERROR(SEARCH("8265MSS",QI65)))</formula>
    </cfRule>
  </conditionalFormatting>
  <conditionalFormatting sqref="SI111:SL111 SC43:SD43">
    <cfRule type="containsText" dxfId="901" priority="2705" operator="containsText" text="8265MSS">
      <formula>NOT(ISERROR(SEARCH("8265MSS",SC43)))</formula>
    </cfRule>
  </conditionalFormatting>
  <conditionalFormatting sqref="SN111:SO111">
    <cfRule type="containsText" dxfId="900" priority="2701" operator="containsText" text="8265MSS">
      <formula>NOT(ISERROR(SEARCH("8265MSS",SN111)))</formula>
    </cfRule>
  </conditionalFormatting>
  <conditionalFormatting sqref="SZ113:TA113">
    <cfRule type="containsText" dxfId="899" priority="2672" operator="containsText" text="8265MSS">
      <formula>NOT(ISERROR(SEARCH("8265MSS",SZ113)))</formula>
    </cfRule>
  </conditionalFormatting>
  <conditionalFormatting sqref="SN113:SO113">
    <cfRule type="containsText" dxfId="898" priority="2671" operator="containsText" text="8265MSS">
      <formula>NOT(ISERROR(SEARCH("8265MSS",SN113)))</formula>
    </cfRule>
  </conditionalFormatting>
  <conditionalFormatting sqref="SS113">
    <cfRule type="containsText" dxfId="897" priority="2676" operator="containsText" text="8265MSS">
      <formula>NOT(ISERROR(SEARCH("8265MSS",SS113)))</formula>
    </cfRule>
  </conditionalFormatting>
  <conditionalFormatting sqref="ST113">
    <cfRule type="containsText" dxfId="896" priority="2654" operator="containsText" text="8265MSS">
      <formula>NOT(ISERROR(SEARCH("8265MSS",ST113)))</formula>
    </cfRule>
  </conditionalFormatting>
  <conditionalFormatting sqref="UK115:UL115">
    <cfRule type="containsText" dxfId="895" priority="2608" operator="containsText" text="8265MSS">
      <formula>NOT(ISERROR(SEARCH("8265MSS",UK115)))</formula>
    </cfRule>
  </conditionalFormatting>
  <conditionalFormatting sqref="TG115">
    <cfRule type="containsText" dxfId="894" priority="2650" operator="containsText" text="8265MSS">
      <formula>NOT(ISERROR(SEARCH("8265MSS",TG115)))</formula>
    </cfRule>
  </conditionalFormatting>
  <conditionalFormatting sqref="TH115">
    <cfRule type="containsText" dxfId="893" priority="2649" operator="containsText" text="8265MSS">
      <formula>NOT(ISERROR(SEARCH("8265MSS",TH115)))</formula>
    </cfRule>
  </conditionalFormatting>
  <conditionalFormatting sqref="UN115:UQ115">
    <cfRule type="containsText" dxfId="892" priority="2606" operator="containsText" text="8265MSS">
      <formula>NOT(ISERROR(SEARCH("8265MSS",UN115)))</formula>
    </cfRule>
  </conditionalFormatting>
  <conditionalFormatting sqref="UM115">
    <cfRule type="containsText" dxfId="891" priority="2607" operator="containsText" text="8265MSS">
      <formula>NOT(ISERROR(SEARCH("8265MSS",UM115)))</formula>
    </cfRule>
  </conditionalFormatting>
  <conditionalFormatting sqref="PD45:PJ45">
    <cfRule type="containsText" dxfId="890" priority="2594" operator="containsText" text="8265MSS">
      <formula>NOT(ISERROR(SEARCH("8265MSS",PD45)))</formula>
    </cfRule>
  </conditionalFormatting>
  <conditionalFormatting sqref="OS61">
    <cfRule type="containsText" dxfId="889" priority="2593" operator="containsText" text="8265MSS">
      <formula>NOT(ISERROR(SEARCH("8265MSS",OS61)))</formula>
    </cfRule>
  </conditionalFormatting>
  <conditionalFormatting sqref="PQ65:PW65">
    <cfRule type="containsText" dxfId="888" priority="2590" operator="containsText" text="8265MSS">
      <formula>NOT(ISERROR(SEARCH("8265MSS",PQ65)))</formula>
    </cfRule>
  </conditionalFormatting>
  <conditionalFormatting sqref="PQ61">
    <cfRule type="containsText" dxfId="887" priority="2589" operator="containsText" text="8265MSS">
      <formula>NOT(ISERROR(SEARCH("8265MSS",PQ61)))</formula>
    </cfRule>
  </conditionalFormatting>
  <conditionalFormatting sqref="QM43:QN43">
    <cfRule type="containsText" dxfId="886" priority="2588" operator="containsText" text="8265MSS">
      <formula>NOT(ISERROR(SEARCH("8265MSS",QM43)))</formula>
    </cfRule>
  </conditionalFormatting>
  <conditionalFormatting sqref="RW61:RZ61">
    <cfRule type="containsText" dxfId="885" priority="2585" operator="containsText" text="8265MSS">
      <formula>NOT(ISERROR(SEARCH("8265MSS",RW61)))</formula>
    </cfRule>
  </conditionalFormatting>
  <conditionalFormatting sqref="RS43">
    <cfRule type="containsText" dxfId="884" priority="2562" operator="containsText" text="8265MSS">
      <formula>NOT(ISERROR(SEARCH("8265MSS",RS43)))</formula>
    </cfRule>
  </conditionalFormatting>
  <conditionalFormatting sqref="PW68:PX68">
    <cfRule type="containsText" dxfId="883" priority="2556" operator="containsText" text="8265MSS">
      <formula>NOT(ISERROR(SEARCH("8265MSS",PW68)))</formula>
    </cfRule>
  </conditionalFormatting>
  <conditionalFormatting sqref="RH49:RL49">
    <cfRule type="containsText" dxfId="882" priority="2551" operator="containsText" text="8265MSS">
      <formula>NOT(ISERROR(SEARCH("8265MSS",RH49)))</formula>
    </cfRule>
  </conditionalFormatting>
  <conditionalFormatting sqref="QV45:RC45">
    <cfRule type="containsText" dxfId="881" priority="2550" operator="containsText" text="8265MSS">
      <formula>NOT(ISERROR(SEARCH("8265MSS",QV45)))</formula>
    </cfRule>
  </conditionalFormatting>
  <conditionalFormatting sqref="QT45:QU45">
    <cfRule type="containsText" dxfId="880" priority="2549" operator="containsText" text="8265MSS">
      <formula>NOT(ISERROR(SEARCH("8265MSS",QT45)))</formula>
    </cfRule>
  </conditionalFormatting>
  <conditionalFormatting sqref="RH45:RL45">
    <cfRule type="containsText" dxfId="879" priority="2548" operator="containsText" text="8265MSS">
      <formula>NOT(ISERROR(SEARCH("8265MSS",RH45)))</formula>
    </cfRule>
  </conditionalFormatting>
  <conditionalFormatting sqref="RT51:RU51">
    <cfRule type="containsText" dxfId="878" priority="2544" operator="containsText" text="8265MSS">
      <formula>NOT(ISERROR(SEARCH("8265MSS",RT51)))</formula>
    </cfRule>
  </conditionalFormatting>
  <conditionalFormatting sqref="RM49:RN49">
    <cfRule type="containsText" dxfId="877" priority="2543" operator="containsText" text="8265MSS">
      <formula>NOT(ISERROR(SEARCH("8265MSS",RM49)))</formula>
    </cfRule>
  </conditionalFormatting>
  <conditionalFormatting sqref="RO49:RP49">
    <cfRule type="containsText" dxfId="876" priority="2542" operator="containsText" text="8265MSS">
      <formula>NOT(ISERROR(SEARCH("8265MSS",RO49)))</formula>
    </cfRule>
  </conditionalFormatting>
  <conditionalFormatting sqref="QX59:QY59">
    <cfRule type="containsText" dxfId="875" priority="2408" operator="containsText" text="8265MSS">
      <formula>NOT(ISERROR(SEARCH("8265MSS",QX59)))</formula>
    </cfRule>
  </conditionalFormatting>
  <conditionalFormatting sqref="RQ49:RR49">
    <cfRule type="containsText" dxfId="874" priority="2405" operator="containsText" text="8265MSS">
      <formula>NOT(ISERROR(SEARCH("8265MSS",RQ49)))</formula>
    </cfRule>
  </conditionalFormatting>
  <conditionalFormatting sqref="SP55:SQ55">
    <cfRule type="containsText" dxfId="873" priority="2529" operator="containsText" text="8265MSS">
      <formula>NOT(ISERROR(SEARCH("8265MSS",SP55)))</formula>
    </cfRule>
  </conditionalFormatting>
  <conditionalFormatting sqref="SF111:SH111">
    <cfRule type="containsText" dxfId="872" priority="2515" operator="containsText" text="8265MSS">
      <formula>NOT(ISERROR(SEARCH("8265MSS",SF111)))</formula>
    </cfRule>
  </conditionalFormatting>
  <conditionalFormatting sqref="RM43:RN43">
    <cfRule type="containsText" dxfId="871" priority="2376" operator="containsText" text="8265MSS">
      <formula>NOT(ISERROR(SEARCH("8265MSS",RM43)))</formula>
    </cfRule>
  </conditionalFormatting>
  <conditionalFormatting sqref="RK43:RL43">
    <cfRule type="containsText" dxfId="870" priority="2375" operator="containsText" text="8265MSS">
      <formula>NOT(ISERROR(SEARCH("8265MSS",RK43)))</formula>
    </cfRule>
  </conditionalFormatting>
  <conditionalFormatting sqref="TG117:TH117">
    <cfRule type="containsText" dxfId="869" priority="2360" operator="containsText" text="8265MSS">
      <formula>NOT(ISERROR(SEARCH("8265MSS",TG117)))</formula>
    </cfRule>
  </conditionalFormatting>
  <conditionalFormatting sqref="TX117:TY117">
    <cfRule type="containsText" dxfId="868" priority="2489" operator="containsText" text="8265MSS">
      <formula>NOT(ISERROR(SEARCH("8265MSS",TX117)))</formula>
    </cfRule>
  </conditionalFormatting>
  <conditionalFormatting sqref="TI115">
    <cfRule type="containsText" dxfId="867" priority="2488" operator="containsText" text="8265MSS">
      <formula>NOT(ISERROR(SEARCH("8265MSS",TI115)))</formula>
    </cfRule>
  </conditionalFormatting>
  <conditionalFormatting sqref="RZ59:SA59">
    <cfRule type="containsText" dxfId="866" priority="2439" operator="containsText" text="8265MSS">
      <formula>NOT(ISERROR(SEARCH("8265MSS",RZ59)))</formula>
    </cfRule>
  </conditionalFormatting>
  <conditionalFormatting sqref="SK49">
    <cfRule type="containsText" dxfId="865" priority="2469" operator="containsText" text="8265MSS">
      <formula>NOT(ISERROR(SEARCH("8265MSS",SK49)))</formula>
    </cfRule>
  </conditionalFormatting>
  <conditionalFormatting sqref="SG45:SH45">
    <cfRule type="containsText" dxfId="864" priority="2468" operator="containsText" text="8265MSS">
      <formula>NOT(ISERROR(SEARCH("8265MSS",SG45)))</formula>
    </cfRule>
  </conditionalFormatting>
  <conditionalFormatting sqref="QW51">
    <cfRule type="containsText" dxfId="863" priority="2337" operator="containsText" text="8265MSS">
      <formula>NOT(ISERROR(SEARCH("8265MSS",QW51)))</formula>
    </cfRule>
  </conditionalFormatting>
  <conditionalFormatting sqref="SI57:SJ57">
    <cfRule type="containsText" dxfId="862" priority="2463" operator="containsText" text="8265MSS">
      <formula>NOT(ISERROR(SEARCH("8265MSS",SI57)))</formula>
    </cfRule>
  </conditionalFormatting>
  <conditionalFormatting sqref="RY43">
    <cfRule type="containsText" dxfId="861" priority="2461" operator="containsText" text="8265MSS">
      <formula>NOT(ISERROR(SEARCH("8265MSS",RY43)))</formula>
    </cfRule>
  </conditionalFormatting>
  <conditionalFormatting sqref="RW43:RX43">
    <cfRule type="containsText" dxfId="860" priority="2460" operator="containsText" text="8265MSS">
      <formula>NOT(ISERROR(SEARCH("8265MSS",RW43)))</formula>
    </cfRule>
  </conditionalFormatting>
  <conditionalFormatting sqref="RP53:RQ53">
    <cfRule type="containsText" dxfId="859" priority="2331" operator="containsText" text="8265MSS">
      <formula>NOT(ISERROR(SEARCH("8265MSS",RP53)))</formula>
    </cfRule>
  </conditionalFormatting>
  <conditionalFormatting sqref="RN51:RO51">
    <cfRule type="containsText" dxfId="858" priority="2330" operator="containsText" text="8265MSS">
      <formula>NOT(ISERROR(SEARCH("8265MSS",RN51)))</formula>
    </cfRule>
  </conditionalFormatting>
  <conditionalFormatting sqref="RQ43:RR43">
    <cfRule type="containsText" dxfId="857" priority="2329" operator="containsText" text="8265MSS">
      <formula>NOT(ISERROR(SEARCH("8265MSS",RQ43)))</formula>
    </cfRule>
  </conditionalFormatting>
  <conditionalFormatting sqref="RT45 RW45:SB45">
    <cfRule type="containsText" dxfId="856" priority="2328" operator="containsText" text="8265MSS">
      <formula>NOT(ISERROR(SEARCH("8265MSS",RT45)))</formula>
    </cfRule>
  </conditionalFormatting>
  <conditionalFormatting sqref="SA43:SB43">
    <cfRule type="containsText" dxfId="855" priority="2325" operator="containsText" text="8265MSS">
      <formula>NOT(ISERROR(SEARCH("8265MSS",SA43)))</formula>
    </cfRule>
  </conditionalFormatting>
  <conditionalFormatting sqref="QS65">
    <cfRule type="containsText" dxfId="854" priority="2326" operator="containsText" text="8265MSS">
      <formula>NOT(ISERROR(SEARCH("8265MSS",QS65)))</formula>
    </cfRule>
  </conditionalFormatting>
  <conditionalFormatting sqref="RS49:RT49">
    <cfRule type="containsText" dxfId="853" priority="2452" operator="containsText" text="8265MSS">
      <formula>NOT(ISERROR(SEARCH("8265MSS",RS49)))</formula>
    </cfRule>
  </conditionalFormatting>
  <conditionalFormatting sqref="RZ49">
    <cfRule type="containsText" dxfId="852" priority="2451" operator="containsText" text="8265MSS">
      <formula>NOT(ISERROR(SEARCH("8265MSS",RZ49)))</formula>
    </cfRule>
  </conditionalFormatting>
  <conditionalFormatting sqref="SA49:SB49">
    <cfRule type="containsText" dxfId="851" priority="2450" operator="containsText" text="8265MSS">
      <formula>NOT(ISERROR(SEARCH("8265MSS",SA49)))</formula>
    </cfRule>
  </conditionalFormatting>
  <conditionalFormatting sqref="SD49:SE49">
    <cfRule type="containsText" dxfId="850" priority="2449" operator="containsText" text="8265MSS">
      <formula>NOT(ISERROR(SEARCH("8265MSS",SD49)))</formula>
    </cfRule>
  </conditionalFormatting>
  <conditionalFormatting sqref="SQ49:SR49">
    <cfRule type="containsText" dxfId="849" priority="2448" operator="containsText" text="8265MSS">
      <formula>NOT(ISERROR(SEARCH("8265MSS",SQ49)))</formula>
    </cfRule>
  </conditionalFormatting>
  <conditionalFormatting sqref="SG49:SH49">
    <cfRule type="containsText" dxfId="848" priority="2447" operator="containsText" text="8265MSS">
      <formula>NOT(ISERROR(SEARCH("8265MSS",SG49)))</formula>
    </cfRule>
  </conditionalFormatting>
  <conditionalFormatting sqref="RW49:RX49">
    <cfRule type="containsText" dxfId="847" priority="2446" operator="containsText" text="8265MSS">
      <formula>NOT(ISERROR(SEARCH("8265MSS",RW49)))</formula>
    </cfRule>
  </conditionalFormatting>
  <conditionalFormatting sqref="RY59">
    <cfRule type="containsText" dxfId="846" priority="2441" operator="containsText" text="8265MSS">
      <formula>NOT(ISERROR(SEARCH("8265MSS",RY59)))</formula>
    </cfRule>
  </conditionalFormatting>
  <conditionalFormatting sqref="RW59:RX59">
    <cfRule type="containsText" dxfId="845" priority="2440" operator="containsText" text="8265MSS">
      <formula>NOT(ISERROR(SEARCH("8265MSS",RW59)))</formula>
    </cfRule>
  </conditionalFormatting>
  <conditionalFormatting sqref="UD117">
    <cfRule type="containsText" dxfId="844" priority="2390" operator="containsText" text="8265MSS">
      <formula>NOT(ISERROR(SEARCH("8265MSS",UD117)))</formula>
    </cfRule>
  </conditionalFormatting>
  <conditionalFormatting sqref="SP111:SQ111">
    <cfRule type="containsText" dxfId="843" priority="2427" operator="containsText" text="8265MSS">
      <formula>NOT(ISERROR(SEARCH("8265MSS",SP111)))</formula>
    </cfRule>
  </conditionalFormatting>
  <conditionalFormatting sqref="PW63:QA63">
    <cfRule type="containsText" dxfId="842" priority="2368" operator="containsText" text="8265MSS">
      <formula>NOT(ISERROR(SEARCH("8265MSS",PW63)))</formula>
    </cfRule>
  </conditionalFormatting>
  <conditionalFormatting sqref="QC65:QF65">
    <cfRule type="containsText" dxfId="841" priority="2366" operator="containsText" text="8265MSS">
      <formula>NOT(ISERROR(SEARCH("8265MSS",QC65)))</formula>
    </cfRule>
  </conditionalFormatting>
  <conditionalFormatting sqref="TK119">
    <cfRule type="containsText" dxfId="840" priority="2270" operator="containsText" text="8265MSS">
      <formula>NOT(ISERROR(SEARCH("8265MSS",TK119)))</formula>
    </cfRule>
  </conditionalFormatting>
  <conditionalFormatting sqref="RO43:RP43">
    <cfRule type="containsText" dxfId="839" priority="2338" operator="containsText" text="8265MSS">
      <formula>NOT(ISERROR(SEARCH("8265MSS",RO43)))</formula>
    </cfRule>
  </conditionalFormatting>
  <conditionalFormatting sqref="QC61:QD61">
    <cfRule type="containsText" dxfId="838" priority="2350" operator="containsText" text="8265MSS">
      <formula>NOT(ISERROR(SEARCH("8265MSS",QC61)))</formula>
    </cfRule>
  </conditionalFormatting>
  <conditionalFormatting sqref="QD45">
    <cfRule type="containsText" dxfId="837" priority="2349" operator="containsText" text="8265MSS">
      <formula>NOT(ISERROR(SEARCH("8265MSS",QD45)))</formula>
    </cfRule>
  </conditionalFormatting>
  <conditionalFormatting sqref="QE43">
    <cfRule type="containsText" dxfId="836" priority="2347" operator="containsText" text="8265MSS">
      <formula>NOT(ISERROR(SEARCH("8265MSS",QE43)))</formula>
    </cfRule>
  </conditionalFormatting>
  <conditionalFormatting sqref="RM45:RR45">
    <cfRule type="containsText" dxfId="835" priority="2340" operator="containsText" text="8265MSS">
      <formula>NOT(ISERROR(SEARCH("8265MSS",RM45)))</formula>
    </cfRule>
  </conditionalFormatting>
  <conditionalFormatting sqref="SD59">
    <cfRule type="containsText" dxfId="834" priority="2207" operator="containsText" text="8265MSS">
      <formula>NOT(ISERROR(SEARCH("8265MSS",SD59)))</formula>
    </cfRule>
  </conditionalFormatting>
  <conditionalFormatting sqref="SE43:SF43">
    <cfRule type="containsText" dxfId="833" priority="2324" operator="containsText" text="8265MSS">
      <formula>NOT(ISERROR(SEARCH("8265MSS",SE43)))</formula>
    </cfRule>
  </conditionalFormatting>
  <conditionalFormatting sqref="SV53:SW53">
    <cfRule type="containsText" dxfId="832" priority="2190" operator="containsText" text="8265MSS">
      <formula>NOT(ISERROR(SEARCH("8265MSS",SV53)))</formula>
    </cfRule>
  </conditionalFormatting>
  <conditionalFormatting sqref="TG53:TH53">
    <cfRule type="containsText" dxfId="831" priority="2188" operator="containsText" text="8265MSS">
      <formula>NOT(ISERROR(SEARCH("8265MSS",TG53)))</formula>
    </cfRule>
  </conditionalFormatting>
  <conditionalFormatting sqref="TD51:TE51">
    <cfRule type="containsText" dxfId="830" priority="2184" operator="containsText" text="8265MSS">
      <formula>NOT(ISERROR(SEARCH("8265MSS",TD51)))</formula>
    </cfRule>
  </conditionalFormatting>
  <conditionalFormatting sqref="QX51:RF51">
    <cfRule type="containsText" dxfId="829" priority="2292" operator="containsText" text="8265MSS">
      <formula>NOT(ISERROR(SEARCH("8265MSS",QX51)))</formula>
    </cfRule>
  </conditionalFormatting>
  <conditionalFormatting sqref="RH43:RJ43">
    <cfRule type="containsText" dxfId="828" priority="2287" operator="containsText" text="8265MSS">
      <formula>NOT(ISERROR(SEARCH("8265MSS",RH43)))</formula>
    </cfRule>
  </conditionalFormatting>
  <conditionalFormatting sqref="QZ49">
    <cfRule type="containsText" dxfId="827" priority="2286" operator="containsText" text="8265MSS">
      <formula>NOT(ISERROR(SEARCH("8265MSS",QZ49)))</formula>
    </cfRule>
  </conditionalFormatting>
  <conditionalFormatting sqref="SG43:SH43 SK43:SL43">
    <cfRule type="containsText" dxfId="826" priority="2283" operator="containsText" text="8265MSS">
      <formula>NOT(ISERROR(SEARCH("8265MSS",SG43)))</formula>
    </cfRule>
  </conditionalFormatting>
  <conditionalFormatting sqref="WK59">
    <cfRule type="containsText" dxfId="825" priority="2145" operator="containsText" text="8265MSS">
      <formula>NOT(ISERROR(SEARCH("8265MSS",WK59)))</formula>
    </cfRule>
  </conditionalFormatting>
  <conditionalFormatting sqref="SC51:SE51">
    <cfRule type="containsText" dxfId="824" priority="2226" operator="containsText" text="8265MSS">
      <formula>NOT(ISERROR(SEARCH("8265MSS",SC51)))</formula>
    </cfRule>
  </conditionalFormatting>
  <conditionalFormatting sqref="SA51:SB51">
    <cfRule type="containsText" dxfId="823" priority="2225" operator="containsText" text="8265MSS">
      <formula>NOT(ISERROR(SEARCH("8265MSS",SA51)))</formula>
    </cfRule>
  </conditionalFormatting>
  <conditionalFormatting sqref="RZ43">
    <cfRule type="containsText" dxfId="822" priority="2224" operator="containsText" text="8265MSS">
      <formula>NOT(ISERROR(SEARCH("8265MSS",RZ43)))</formula>
    </cfRule>
  </conditionalFormatting>
  <conditionalFormatting sqref="SI49:SJ49">
    <cfRule type="containsText" dxfId="821" priority="2220" operator="containsText" text="8265MSS">
      <formula>NOT(ISERROR(SEARCH("8265MSS",SI49)))</formula>
    </cfRule>
  </conditionalFormatting>
  <conditionalFormatting sqref="TY51:TZ51">
    <cfRule type="containsText" dxfId="820" priority="2139" operator="containsText" text="8265MSS">
      <formula>NOT(ISERROR(SEARCH("8265MSS",TY51)))</formula>
    </cfRule>
  </conditionalFormatting>
  <conditionalFormatting sqref="RY49">
    <cfRule type="containsText" dxfId="819" priority="2248" operator="containsText" text="8265MSS">
      <formula>NOT(ISERROR(SEARCH("8265MSS",RY49)))</formula>
    </cfRule>
  </conditionalFormatting>
  <conditionalFormatting sqref="SI43:SJ43">
    <cfRule type="containsText" dxfId="818" priority="2205" operator="containsText" text="8265MSS">
      <formula>NOT(ISERROR(SEARCH("8265MSS",SI43)))</formula>
    </cfRule>
  </conditionalFormatting>
  <conditionalFormatting sqref="SI59">
    <cfRule type="containsText" dxfId="817" priority="2204" operator="containsText" text="8265MSS">
      <formula>NOT(ISERROR(SEARCH("8265MSS",SI59)))</formula>
    </cfRule>
  </conditionalFormatting>
  <conditionalFormatting sqref="SN55:SO55 SN43 SQ43 SP57:SQ57 SV43:TA43 SR55:SY55 SV65:SW65 TE65:TF65 TB45 SY47:TB47 TD59:TF59 TG43:TK43 TF51:TH51 TE45:TG45">
    <cfRule type="containsText" dxfId="816" priority="2198" operator="containsText" text="8265MSS">
      <formula>NOT(ISERROR(SEARCH("8265MSS",SN43)))</formula>
    </cfRule>
  </conditionalFormatting>
  <conditionalFormatting sqref="UP65">
    <cfRule type="containsText" dxfId="815" priority="2113" operator="containsText" text="8265MSS">
      <formula>NOT(ISERROR(SEARCH("8265MSS",UP65)))</formula>
    </cfRule>
  </conditionalFormatting>
  <conditionalFormatting sqref="UA53:UB53">
    <cfRule type="containsText" dxfId="814" priority="2189" operator="containsText" text="8265MSS">
      <formula>NOT(ISERROR(SEARCH("8265MSS",UA53)))</formula>
    </cfRule>
  </conditionalFormatting>
  <conditionalFormatting sqref="TY45:TZ45">
    <cfRule type="containsText" dxfId="813" priority="2106" operator="containsText" text="8265MSS">
      <formula>NOT(ISERROR(SEARCH("8265MSS",TY45)))</formula>
    </cfRule>
  </conditionalFormatting>
  <conditionalFormatting sqref="TA51:TB51">
    <cfRule type="containsText" dxfId="812" priority="2185" operator="containsText" text="8265MSS">
      <formula>NOT(ISERROR(SEARCH("8265MSS",TA51)))</formula>
    </cfRule>
  </conditionalFormatting>
  <conditionalFormatting sqref="TF47:TG47">
    <cfRule type="containsText" dxfId="811" priority="2183" operator="containsText" text="8265MSS">
      <formula>NOT(ISERROR(SEARCH("8265MSS",TF47)))</formula>
    </cfRule>
  </conditionalFormatting>
  <conditionalFormatting sqref="SV63:SW63">
    <cfRule type="containsText" dxfId="810" priority="2181" operator="containsText" text="8265MSS">
      <formula>NOT(ISERROR(SEARCH("8265MSS",SV63)))</formula>
    </cfRule>
  </conditionalFormatting>
  <conditionalFormatting sqref="SN57:SO57">
    <cfRule type="containsText" dxfId="809" priority="2223" operator="containsText" text="8265MSS">
      <formula>NOT(ISERROR(SEARCH("8265MSS",SN57)))</formula>
    </cfRule>
  </conditionalFormatting>
  <conditionalFormatting sqref="UT47">
    <cfRule type="containsText" dxfId="808" priority="2094" operator="containsText" text="8265MSS">
      <formula>NOT(ISERROR(SEARCH("8265MSS",UT47)))</formula>
    </cfRule>
  </conditionalFormatting>
  <conditionalFormatting sqref="RU49:RV49">
    <cfRule type="containsText" dxfId="807" priority="2221" operator="containsText" text="8265MSS">
      <formula>NOT(ISERROR(SEARCH("8265MSS",RU49)))</formula>
    </cfRule>
  </conditionalFormatting>
  <conditionalFormatting sqref="RY55:SL55">
    <cfRule type="containsText" dxfId="806" priority="2217" operator="containsText" text="8265MSS">
      <formula>NOT(ISERROR(SEARCH("8265MSS",RY55)))</formula>
    </cfRule>
  </conditionalFormatting>
  <conditionalFormatting sqref="RW55:RX55">
    <cfRule type="containsText" dxfId="805" priority="2216" operator="containsText" text="8265MSS">
      <formula>NOT(ISERROR(SEARCH("8265MSS",RW55)))</formula>
    </cfRule>
  </conditionalFormatting>
  <conditionalFormatting sqref="UM63">
    <cfRule type="containsText" dxfId="804" priority="2086" operator="containsText" text="8265MSS">
      <formula>NOT(ISERROR(SEARCH("8265MSS",UM63)))</formula>
    </cfRule>
  </conditionalFormatting>
  <conditionalFormatting sqref="SG59:SH59">
    <cfRule type="containsText" dxfId="803" priority="2210" operator="containsText" text="8265MSS">
      <formula>NOT(ISERROR(SEARCH("8265MSS",SG59)))</formula>
    </cfRule>
  </conditionalFormatting>
  <conditionalFormatting sqref="SK59:SL59">
    <cfRule type="containsText" dxfId="802" priority="2209" operator="containsText" text="8265MSS">
      <formula>NOT(ISERROR(SEARCH("8265MSS",SK59)))</formula>
    </cfRule>
  </conditionalFormatting>
  <conditionalFormatting sqref="SB59">
    <cfRule type="containsText" dxfId="801" priority="2208" operator="containsText" text="8265MSS">
      <formula>NOT(ISERROR(SEARCH("8265MSS",SB59)))</formula>
    </cfRule>
  </conditionalFormatting>
  <conditionalFormatting sqref="SC59">
    <cfRule type="containsText" dxfId="800" priority="2206" operator="containsText" text="8265MSS">
      <formula>NOT(ISERROR(SEARCH("8265MSS",SC59)))</formula>
    </cfRule>
  </conditionalFormatting>
  <conditionalFormatting sqref="SE59">
    <cfRule type="containsText" dxfId="799" priority="2202" operator="containsText" text="8265MSS">
      <formula>NOT(ISERROR(SEARCH("8265MSS",SE59)))</formula>
    </cfRule>
  </conditionalFormatting>
  <conditionalFormatting sqref="SF59">
    <cfRule type="containsText" dxfId="798" priority="2203" operator="containsText" text="8265MSS">
      <formula>NOT(ISERROR(SEARCH("8265MSS",SF59)))</formula>
    </cfRule>
  </conditionalFormatting>
  <conditionalFormatting sqref="SJ59">
    <cfRule type="containsText" dxfId="797" priority="2199" operator="containsText" text="8265MSS">
      <formula>NOT(ISERROR(SEARCH("8265MSS",SJ59)))</formula>
    </cfRule>
  </conditionalFormatting>
  <conditionalFormatting sqref="UA47:UB47">
    <cfRule type="containsText" dxfId="796" priority="2195" operator="containsText" text="8265MSS">
      <formula>NOT(ISERROR(SEARCH("8265MSS",UA47)))</formula>
    </cfRule>
  </conditionalFormatting>
  <conditionalFormatting sqref="SQ51:SR51">
    <cfRule type="containsText" dxfId="795" priority="2187" operator="containsText" text="8265MSS">
      <formula>NOT(ISERROR(SEARCH("8265MSS",SQ51)))</formula>
    </cfRule>
  </conditionalFormatting>
  <conditionalFormatting sqref="SX63:SY63">
    <cfRule type="containsText" dxfId="794" priority="2180" operator="containsText" text="8265MSS">
      <formula>NOT(ISERROR(SEARCH("8265MSS",SX63)))</formula>
    </cfRule>
  </conditionalFormatting>
  <conditionalFormatting sqref="TB59:TC59">
    <cfRule type="containsText" dxfId="793" priority="2179" operator="containsText" text="8265MSS">
      <formula>NOT(ISERROR(SEARCH("8265MSS",TB59)))</formula>
    </cfRule>
  </conditionalFormatting>
  <conditionalFormatting sqref="TF61:TG61">
    <cfRule type="containsText" dxfId="792" priority="2178" operator="containsText" text="8265MSS">
      <formula>NOT(ISERROR(SEARCH("8265MSS",TF61)))</formula>
    </cfRule>
  </conditionalFormatting>
  <conditionalFormatting sqref="TH61:TI61">
    <cfRule type="containsText" dxfId="791" priority="2177" operator="containsText" text="8265MSS">
      <formula>NOT(ISERROR(SEARCH("8265MSS",TH61)))</formula>
    </cfRule>
  </conditionalFormatting>
  <conditionalFormatting sqref="TB63:TC63">
    <cfRule type="containsText" dxfId="790" priority="2176" operator="containsText" text="8265MSS">
      <formula>NOT(ISERROR(SEARCH("8265MSS",TB63)))</formula>
    </cfRule>
  </conditionalFormatting>
  <conditionalFormatting sqref="TI53:TJ53">
    <cfRule type="containsText" dxfId="789" priority="2175" operator="containsText" text="8265MSS">
      <formula>NOT(ISERROR(SEARCH("8265MSS",TI53)))</formula>
    </cfRule>
  </conditionalFormatting>
  <conditionalFormatting sqref="WL59">
    <cfRule type="containsText" dxfId="788" priority="2174" operator="containsText" text="8265MSS">
      <formula>NOT(ISERROR(SEARCH("8265MSS",WL59)))</formula>
    </cfRule>
  </conditionalFormatting>
  <conditionalFormatting sqref="TM63">
    <cfRule type="containsText" dxfId="787" priority="2171" operator="containsText" text="8265MSS">
      <formula>NOT(ISERROR(SEARCH("8265MSS",TM63)))</formula>
    </cfRule>
  </conditionalFormatting>
  <conditionalFormatting sqref="TN63">
    <cfRule type="containsText" dxfId="786" priority="2170" operator="containsText" text="8265MSS">
      <formula>NOT(ISERROR(SEARCH("8265MSS",TN63)))</formula>
    </cfRule>
  </conditionalFormatting>
  <conditionalFormatting sqref="SO59">
    <cfRule type="containsText" dxfId="785" priority="2169" operator="containsText" text="8265MSS">
      <formula>NOT(ISERROR(SEARCH("8265MSS",SO59)))</formula>
    </cfRule>
  </conditionalFormatting>
  <conditionalFormatting sqref="WS59:WT59">
    <cfRule type="containsText" dxfId="784" priority="2168" operator="containsText" text="8265MSS">
      <formula>NOT(ISERROR(SEARCH("8265MSS",WS59)))</formula>
    </cfRule>
  </conditionalFormatting>
  <conditionalFormatting sqref="TI59:TJ59">
    <cfRule type="containsText" dxfId="783" priority="2167" operator="containsText" text="8265MSS">
      <formula>NOT(ISERROR(SEARCH("8265MSS",TI59)))</formula>
    </cfRule>
  </conditionalFormatting>
  <conditionalFormatting sqref="SR43">
    <cfRule type="containsText" dxfId="782" priority="2166" operator="containsText" text="8265MSS">
      <formula>NOT(ISERROR(SEARCH("8265MSS",SR43)))</formula>
    </cfRule>
  </conditionalFormatting>
  <conditionalFormatting sqref="TK59:TL59">
    <cfRule type="containsText" dxfId="781" priority="2165" operator="containsText" text="8265MSS">
      <formula>NOT(ISERROR(SEARCH("8265MSS",TK59)))</formula>
    </cfRule>
  </conditionalFormatting>
  <conditionalFormatting sqref="SO43:SP43">
    <cfRule type="containsText" dxfId="780" priority="2164" operator="containsText" text="8265MSS">
      <formula>NOT(ISERROR(SEARCH("8265MSS",SO43)))</formula>
    </cfRule>
  </conditionalFormatting>
  <conditionalFormatting sqref="SK45:SL45">
    <cfRule type="containsText" dxfId="779" priority="2163" operator="containsText" text="8265MSS">
      <formula>NOT(ISERROR(SEARCH("8265MSS",SK45)))</formula>
    </cfRule>
  </conditionalFormatting>
  <conditionalFormatting sqref="SO65:SP65">
    <cfRule type="containsText" dxfId="778" priority="2162" operator="containsText" text="8265MSS">
      <formula>NOT(ISERROR(SEARCH("8265MSS",SO65)))</formula>
    </cfRule>
  </conditionalFormatting>
  <conditionalFormatting sqref="SR63">
    <cfRule type="containsText" dxfId="777" priority="2161" operator="containsText" text="8265MSS">
      <formula>NOT(ISERROR(SEARCH("8265MSS",SR63)))</formula>
    </cfRule>
  </conditionalFormatting>
  <conditionalFormatting sqref="SZ59">
    <cfRule type="containsText" dxfId="776" priority="2160" operator="containsText" text="8265MSS">
      <formula>NOT(ISERROR(SEARCH("8265MSS",SZ59)))</formula>
    </cfRule>
  </conditionalFormatting>
  <conditionalFormatting sqref="SO45">
    <cfRule type="containsText" dxfId="775" priority="2159" operator="containsText" text="8265MSS">
      <formula>NOT(ISERROR(SEARCH("8265MSS",SO45)))</formula>
    </cfRule>
  </conditionalFormatting>
  <conditionalFormatting sqref="TP59:TQ59">
    <cfRule type="containsText" dxfId="774" priority="2158" operator="containsText" text="8265MSS">
      <formula>NOT(ISERROR(SEARCH("8265MSS",TP59)))</formula>
    </cfRule>
  </conditionalFormatting>
  <conditionalFormatting sqref="SO49">
    <cfRule type="containsText" dxfId="773" priority="2157" operator="containsText" text="8265MSS">
      <formula>NOT(ISERROR(SEARCH("8265MSS",SO49)))</formula>
    </cfRule>
  </conditionalFormatting>
  <conditionalFormatting sqref="TE53:TF53">
    <cfRule type="containsText" dxfId="772" priority="2154" operator="containsText" text="8265MSS">
      <formula>NOT(ISERROR(SEARCH("8265MSS",TE53)))</formula>
    </cfRule>
  </conditionalFormatting>
  <conditionalFormatting sqref="SS43">
    <cfRule type="containsText" dxfId="771" priority="2153" operator="containsText" text="8265MSS">
      <formula>NOT(ISERROR(SEARCH("8265MSS",SS43)))</formula>
    </cfRule>
  </conditionalFormatting>
  <conditionalFormatting sqref="SP45">
    <cfRule type="containsText" dxfId="770" priority="2150" operator="containsText" text="8265MSS">
      <formula>NOT(ISERROR(SEARCH("8265MSS",SP45)))</formula>
    </cfRule>
  </conditionalFormatting>
  <conditionalFormatting sqref="SS63">
    <cfRule type="containsText" dxfId="769" priority="2149" operator="containsText" text="8265MSS">
      <formula>NOT(ISERROR(SEARCH("8265MSS",SS63)))</formula>
    </cfRule>
  </conditionalFormatting>
  <conditionalFormatting sqref="SZ63:TA63">
    <cfRule type="containsText" dxfId="768" priority="2143" operator="containsText" text="8265MSS">
      <formula>NOT(ISERROR(SEARCH("8265MSS",SZ63)))</formula>
    </cfRule>
  </conditionalFormatting>
  <conditionalFormatting sqref="SW49:SX49">
    <cfRule type="containsText" dxfId="767" priority="2142" operator="containsText" text="8265MSS">
      <formula>NOT(ISERROR(SEARCH("8265MSS",SW49)))</formula>
    </cfRule>
  </conditionalFormatting>
  <conditionalFormatting sqref="SF49">
    <cfRule type="containsText" dxfId="766" priority="2140" operator="containsText" text="8265MSS">
      <formula>NOT(ISERROR(SEARCH("8265MSS",SF49)))</formula>
    </cfRule>
  </conditionalFormatting>
  <conditionalFormatting sqref="UA51">
    <cfRule type="containsText" dxfId="765" priority="2138" operator="containsText" text="8265MSS">
      <formula>NOT(ISERROR(SEARCH("8265MSS",UA51)))</formula>
    </cfRule>
  </conditionalFormatting>
  <conditionalFormatting sqref="SZ55:TA55">
    <cfRule type="containsText" dxfId="764" priority="2135" operator="containsText" text="8265MSS">
      <formula>NOT(ISERROR(SEARCH("8265MSS",SZ55)))</formula>
    </cfRule>
  </conditionalFormatting>
  <conditionalFormatting sqref="SP49">
    <cfRule type="containsText" dxfId="763" priority="2129" operator="containsText" text="8265MSS">
      <formula>NOT(ISERROR(SEARCH("8265MSS",SP49)))</formula>
    </cfRule>
  </conditionalFormatting>
  <conditionalFormatting sqref="SN45">
    <cfRule type="containsText" dxfId="762" priority="2125" operator="containsText" text="8265MSS">
      <formula>NOT(ISERROR(SEARCH("8265MSS",SN45)))</formula>
    </cfRule>
  </conditionalFormatting>
  <conditionalFormatting sqref="TG49">
    <cfRule type="containsText" dxfId="761" priority="2124" operator="containsText" text="8265MSS">
      <formula>NOT(ISERROR(SEARCH("8265MSS",TG49)))</formula>
    </cfRule>
  </conditionalFormatting>
  <conditionalFormatting sqref="UB65:UC65">
    <cfRule type="containsText" dxfId="760" priority="2116" operator="containsText" text="8265MSS">
      <formula>NOT(ISERROR(SEARCH("8265MSS",UB65)))</formula>
    </cfRule>
  </conditionalFormatting>
  <conditionalFormatting sqref="UA43 TP47:TQ47 UL63 TU49:TV49 TY49:TZ49 US65:UT65">
    <cfRule type="containsText" dxfId="759" priority="2118" operator="containsText" text="8265MSS">
      <formula>NOT(ISERROR(SEARCH("8265MSS",TP43)))</formula>
    </cfRule>
  </conditionalFormatting>
  <conditionalFormatting sqref="TV45">
    <cfRule type="containsText" dxfId="758" priority="2111" operator="containsText" text="8265MSS">
      <formula>NOT(ISERROR(SEARCH("8265MSS",TV45)))</formula>
    </cfRule>
  </conditionalFormatting>
  <conditionalFormatting sqref="TY43:TZ43">
    <cfRule type="containsText" dxfId="757" priority="2108" operator="containsText" text="8265MSS">
      <formula>NOT(ISERROR(SEARCH("8265MSS",TY43)))</formula>
    </cfRule>
  </conditionalFormatting>
  <conditionalFormatting sqref="VC49:VD49">
    <cfRule type="containsText" dxfId="756" priority="2104" operator="containsText" text="8265MSS">
      <formula>NOT(ISERROR(SEARCH("8265MSS",VC49)))</formula>
    </cfRule>
  </conditionalFormatting>
  <conditionalFormatting sqref="UB43">
    <cfRule type="containsText" dxfId="755" priority="2103" operator="containsText" text="8265MSS">
      <formula>NOT(ISERROR(SEARCH("8265MSS",UB43)))</formula>
    </cfRule>
  </conditionalFormatting>
  <conditionalFormatting sqref="UD43:UK43">
    <cfRule type="containsText" dxfId="754" priority="2102" operator="containsText" text="8265MSS">
      <formula>NOT(ISERROR(SEARCH("8265MSS",UD43)))</formula>
    </cfRule>
  </conditionalFormatting>
  <conditionalFormatting sqref="UC43">
    <cfRule type="containsText" dxfId="753" priority="2101" operator="containsText" text="8265MSS">
      <formula>NOT(ISERROR(SEARCH("8265MSS",UC43)))</formula>
    </cfRule>
  </conditionalFormatting>
  <conditionalFormatting sqref="TY65">
    <cfRule type="containsText" dxfId="752" priority="2099" operator="containsText" text="8265MSS">
      <formula>NOT(ISERROR(SEARCH("8265MSS",TY65)))</formula>
    </cfRule>
  </conditionalFormatting>
  <conditionalFormatting sqref="TV47">
    <cfRule type="containsText" dxfId="751" priority="2095" operator="containsText" text="8265MSS">
      <formula>NOT(ISERROR(SEARCH("8265MSS",TV47)))</formula>
    </cfRule>
  </conditionalFormatting>
  <conditionalFormatting sqref="UG61:UH61">
    <cfRule type="containsText" dxfId="750" priority="2088" operator="containsText" text="8265MSS">
      <formula>NOT(ISERROR(SEARCH("8265MSS",UG61)))</formula>
    </cfRule>
  </conditionalFormatting>
  <conditionalFormatting sqref="UW63">
    <cfRule type="containsText" dxfId="749" priority="2087" operator="containsText" text="8265MSS">
      <formula>NOT(ISERROR(SEARCH("8265MSS",UW63)))</formula>
    </cfRule>
  </conditionalFormatting>
  <conditionalFormatting sqref="UT53:UU53">
    <cfRule type="containsText" dxfId="748" priority="2082" operator="containsText" text="8265MSS">
      <formula>NOT(ISERROR(SEARCH("8265MSS",UT53)))</formula>
    </cfRule>
  </conditionalFormatting>
  <conditionalFormatting sqref="UV51:UW51">
    <cfRule type="containsText" dxfId="747" priority="2081" operator="containsText" text="8265MSS">
      <formula>NOT(ISERROR(SEARCH("8265MSS",UV51)))</formula>
    </cfRule>
  </conditionalFormatting>
  <conditionalFormatting sqref="VC63:VD63">
    <cfRule type="containsText" dxfId="746" priority="2080" operator="containsText" text="8265MSS">
      <formula>NOT(ISERROR(SEARCH("8265MSS",VC63)))</formula>
    </cfRule>
  </conditionalFormatting>
  <conditionalFormatting sqref="TS40:UW40">
    <cfRule type="cellIs" dxfId="745" priority="2068" stopIfTrue="1" operator="equal">
      <formula>"Fri"</formula>
    </cfRule>
  </conditionalFormatting>
  <conditionalFormatting sqref="UY40:WC40">
    <cfRule type="cellIs" dxfId="744" priority="2067" stopIfTrue="1" operator="equal">
      <formula>"Fri"</formula>
    </cfRule>
  </conditionalFormatting>
  <conditionalFormatting sqref="WE40:XF40">
    <cfRule type="cellIs" dxfId="743" priority="2066" stopIfTrue="1" operator="equal">
      <formula>"Fri"</formula>
    </cfRule>
  </conditionalFormatting>
  <conditionalFormatting sqref="XH40:YL40">
    <cfRule type="cellIs" dxfId="742" priority="2065" stopIfTrue="1" operator="equal">
      <formula>"Fri"</formula>
    </cfRule>
  </conditionalFormatting>
  <conditionalFormatting sqref="SE45:SF45">
    <cfRule type="containsText" dxfId="741" priority="2056" operator="containsText" text="8265MSS">
      <formula>NOT(ISERROR(SEARCH("8265MSS",SE45)))</formula>
    </cfRule>
  </conditionalFormatting>
  <conditionalFormatting sqref="SN49">
    <cfRule type="containsText" dxfId="740" priority="2053" operator="containsText" text="8265MSS">
      <formula>NOT(ISERROR(SEARCH("8265MSS",SN49)))</formula>
    </cfRule>
  </conditionalFormatting>
  <conditionalFormatting sqref="SL49">
    <cfRule type="containsText" dxfId="739" priority="2054" operator="containsText" text="8265MSS">
      <formula>NOT(ISERROR(SEARCH("8265MSS",SL49)))</formula>
    </cfRule>
  </conditionalFormatting>
  <conditionalFormatting sqref="SP51">
    <cfRule type="containsText" dxfId="738" priority="2052" operator="containsText" text="8265MSS">
      <formula>NOT(ISERROR(SEARCH("8265MSS",SP51)))</formula>
    </cfRule>
  </conditionalFormatting>
  <conditionalFormatting sqref="SN51:SO51">
    <cfRule type="containsText" dxfId="737" priority="2050" operator="containsText" text="8265MSS">
      <formula>NOT(ISERROR(SEARCH("8265MSS",SN51)))</formula>
    </cfRule>
  </conditionalFormatting>
  <conditionalFormatting sqref="SN53:SU53">
    <cfRule type="containsText" dxfId="736" priority="2048" operator="containsText" text="8265MSS">
      <formula>NOT(ISERROR(SEARCH("8265MSS",SN53)))</formula>
    </cfRule>
  </conditionalFormatting>
  <conditionalFormatting sqref="SK57">
    <cfRule type="containsText" dxfId="735" priority="2044" operator="containsText" text="8265MSS">
      <formula>NOT(ISERROR(SEARCH("8265MSS",SK57)))</formula>
    </cfRule>
  </conditionalFormatting>
  <conditionalFormatting sqref="SL57">
    <cfRule type="containsText" dxfId="734" priority="2045" operator="containsText" text="8265MSS">
      <formula>NOT(ISERROR(SEARCH("8265MSS",SL57)))</formula>
    </cfRule>
  </conditionalFormatting>
  <conditionalFormatting sqref="SQ65">
    <cfRule type="containsText" dxfId="733" priority="2043" operator="containsText" text="8265MSS">
      <formula>NOT(ISERROR(SEARCH("8265MSS",SQ65)))</formula>
    </cfRule>
  </conditionalFormatting>
  <conditionalFormatting sqref="ST65:SU65">
    <cfRule type="containsText" dxfId="732" priority="2042" operator="containsText" text="8265MSS">
      <formula>NOT(ISERROR(SEARCH("8265MSS",ST65)))</formula>
    </cfRule>
  </conditionalFormatting>
  <conditionalFormatting sqref="TA59">
    <cfRule type="containsText" dxfId="731" priority="2040" operator="containsText" text="8265MSS">
      <formula>NOT(ISERROR(SEARCH("8265MSS",TA59)))</formula>
    </cfRule>
  </conditionalFormatting>
  <conditionalFormatting sqref="TU43:TV43">
    <cfRule type="containsText" dxfId="730" priority="2037" operator="containsText" text="8265MSS">
      <formula>NOT(ISERROR(SEARCH("8265MSS",TU43)))</formula>
    </cfRule>
  </conditionalFormatting>
  <conditionalFormatting sqref="SS59">
    <cfRule type="containsText" dxfId="729" priority="2036" operator="containsText" text="8265MSS">
      <formula>NOT(ISERROR(SEARCH("8265MSS",SS59)))</formula>
    </cfRule>
  </conditionalFormatting>
  <conditionalFormatting sqref="ST63:SU63">
    <cfRule type="containsText" dxfId="728" priority="2034" operator="containsText" text="8265MSS">
      <formula>NOT(ISERROR(SEARCH("8265MSS",ST63)))</formula>
    </cfRule>
  </conditionalFormatting>
  <conditionalFormatting sqref="WG113:WO113">
    <cfRule type="containsText" dxfId="727" priority="2032" operator="containsText" text="8265MSS">
      <formula>NOT(ISERROR(SEARCH("8265MSS",WG113)))</formula>
    </cfRule>
  </conditionalFormatting>
  <conditionalFormatting sqref="WE113:WF113">
    <cfRule type="containsText" dxfId="726" priority="2031" operator="containsText" text="8265MSS">
      <formula>NOT(ISERROR(SEARCH("8265MSS",WE113)))</formula>
    </cfRule>
  </conditionalFormatting>
  <conditionalFormatting sqref="WE115">
    <cfRule type="containsText" dxfId="725" priority="2029" operator="containsText" text="8265MSS">
      <formula>NOT(ISERROR(SEARCH("8265MSS",WE115)))</formula>
    </cfRule>
  </conditionalFormatting>
  <conditionalFormatting sqref="TI65:TL65 TK63:TL63">
    <cfRule type="containsText" dxfId="724" priority="2021" operator="containsText" text="8265MSS">
      <formula>NOT(ISERROR(SEARCH("8265MSS",TI63)))</formula>
    </cfRule>
  </conditionalFormatting>
  <conditionalFormatting sqref="TW63:TX63">
    <cfRule type="containsText" dxfId="723" priority="2012" operator="containsText" text="8265MSS">
      <formula>NOT(ISERROR(SEARCH("8265MSS",TW63)))</formula>
    </cfRule>
  </conditionalFormatting>
  <conditionalFormatting sqref="TY63:UB63">
    <cfRule type="containsText" dxfId="722" priority="2010" operator="containsText" text="8265MSS">
      <formula>NOT(ISERROR(SEARCH("8265MSS",TY63)))</formula>
    </cfRule>
  </conditionalFormatting>
  <conditionalFormatting sqref="TD55:TE55">
    <cfRule type="containsText" dxfId="721" priority="2009" operator="containsText" text="8265MSS">
      <formula>NOT(ISERROR(SEARCH("8265MSS",TD55)))</formula>
    </cfRule>
  </conditionalFormatting>
  <conditionalFormatting sqref="TF55:TI55">
    <cfRule type="containsText" dxfId="720" priority="2008" operator="containsText" text="8265MSS">
      <formula>NOT(ISERROR(SEARCH("8265MSS",TF55)))</formula>
    </cfRule>
  </conditionalFormatting>
  <conditionalFormatting sqref="UB51:UD51">
    <cfRule type="containsText" dxfId="719" priority="2002" operator="containsText" text="8265MSS">
      <formula>NOT(ISERROR(SEARCH("8265MSS",UB51)))</formula>
    </cfRule>
  </conditionalFormatting>
  <conditionalFormatting sqref="WL63:WN63">
    <cfRule type="containsText" dxfId="718" priority="1998" operator="containsText" text="8265MSS">
      <formula>NOT(ISERROR(SEARCH("8265MSS",WL63)))</formula>
    </cfRule>
  </conditionalFormatting>
  <conditionalFormatting sqref="SS69">
    <cfRule type="containsText" dxfId="717" priority="1994" operator="containsText" text="8265MSS">
      <formula>NOT(ISERROR(SEARCH("8265MSS",SS69)))</formula>
    </cfRule>
  </conditionalFormatting>
  <conditionalFormatting sqref="ST69:SU69">
    <cfRule type="containsText" dxfId="716" priority="1996" operator="containsText" text="8265MSS">
      <formula>NOT(ISERROR(SEARCH("8265MSS",ST69)))</formula>
    </cfRule>
  </conditionalFormatting>
  <conditionalFormatting sqref="SU71">
    <cfRule type="containsText" dxfId="715" priority="1995" operator="containsText" text="8265MSS">
      <formula>NOT(ISERROR(SEARCH("8265MSS",SU71)))</formula>
    </cfRule>
  </conditionalFormatting>
  <conditionalFormatting sqref="SR69">
    <cfRule type="containsText" dxfId="714" priority="1993" operator="containsText" text="8265MSS">
      <formula>NOT(ISERROR(SEARCH("8265MSS",SR69)))</formula>
    </cfRule>
  </conditionalFormatting>
  <conditionalFormatting sqref="SR71">
    <cfRule type="containsText" dxfId="713" priority="1992" operator="containsText" text="8265MSS">
      <formula>NOT(ISERROR(SEARCH("8265MSS",SR71)))</formula>
    </cfRule>
  </conditionalFormatting>
  <conditionalFormatting sqref="SR73">
    <cfRule type="containsText" dxfId="712" priority="1991" operator="containsText" text="8265MSS">
      <formula>NOT(ISERROR(SEARCH("8265MSS",SR73)))</formula>
    </cfRule>
  </conditionalFormatting>
  <conditionalFormatting sqref="SQ73">
    <cfRule type="containsText" dxfId="711" priority="1990" operator="containsText" text="8265MSS">
      <formula>NOT(ISERROR(SEARCH("8265MSS",SQ73)))</formula>
    </cfRule>
  </conditionalFormatting>
  <conditionalFormatting sqref="SQ69">
    <cfRule type="containsText" dxfId="710" priority="1989" operator="containsText" text="8265MSS">
      <formula>NOT(ISERROR(SEARCH("8265MSS",SQ69)))</formula>
    </cfRule>
  </conditionalFormatting>
  <conditionalFormatting sqref="SQ71">
    <cfRule type="containsText" dxfId="709" priority="1988" operator="containsText" text="8265MSS">
      <formula>NOT(ISERROR(SEARCH("8265MSS",SQ71)))</formula>
    </cfRule>
  </conditionalFormatting>
  <conditionalFormatting sqref="SP69">
    <cfRule type="containsText" dxfId="708" priority="1987" operator="containsText" text="8265MSS">
      <formula>NOT(ISERROR(SEARCH("8265MSS",SP69)))</formula>
    </cfRule>
  </conditionalFormatting>
  <conditionalFormatting sqref="SP71">
    <cfRule type="containsText" dxfId="707" priority="1986" operator="containsText" text="8265MSS">
      <formula>NOT(ISERROR(SEARCH("8265MSS",SP71)))</formula>
    </cfRule>
  </conditionalFormatting>
  <conditionalFormatting sqref="SO69">
    <cfRule type="containsText" dxfId="706" priority="1985" operator="containsText" text="8265MSS">
      <formula>NOT(ISERROR(SEARCH("8265MSS",SO69)))</formula>
    </cfRule>
  </conditionalFormatting>
  <conditionalFormatting sqref="SO71">
    <cfRule type="containsText" dxfId="705" priority="1984" operator="containsText" text="8265MSS">
      <formula>NOT(ISERROR(SEARCH("8265MSS",SO71)))</formula>
    </cfRule>
  </conditionalFormatting>
  <conditionalFormatting sqref="SN69">
    <cfRule type="containsText" dxfId="704" priority="1983" operator="containsText" text="8265MSS">
      <formula>NOT(ISERROR(SEARCH("8265MSS",SN69)))</formula>
    </cfRule>
  </conditionalFormatting>
  <conditionalFormatting sqref="SN75">
    <cfRule type="containsText" dxfId="703" priority="1980" operator="containsText" text="8265MSS">
      <formula>NOT(ISERROR(SEARCH("8265MSS",SN75)))</formula>
    </cfRule>
  </conditionalFormatting>
  <conditionalFormatting sqref="SN71">
    <cfRule type="containsText" dxfId="702" priority="1982" operator="containsText" text="8265MSS">
      <formula>NOT(ISERROR(SEARCH("8265MSS",SN71)))</formula>
    </cfRule>
  </conditionalFormatting>
  <conditionalFormatting sqref="SN73">
    <cfRule type="containsText" dxfId="701" priority="1981" operator="containsText" text="8265MSS">
      <formula>NOT(ISERROR(SEARCH("8265MSS",SN73)))</formula>
    </cfRule>
  </conditionalFormatting>
  <conditionalFormatting sqref="TB69">
    <cfRule type="containsText" dxfId="700" priority="1979" operator="containsText" text="8265MSS">
      <formula>NOT(ISERROR(SEARCH("8265MSS",TB69)))</formula>
    </cfRule>
  </conditionalFormatting>
  <conditionalFormatting sqref="TB71">
    <cfRule type="containsText" dxfId="699" priority="1978" operator="containsText" text="8265MSS">
      <formula>NOT(ISERROR(SEARCH("8265MSS",TB71)))</formula>
    </cfRule>
  </conditionalFormatting>
  <conditionalFormatting sqref="TC71">
    <cfRule type="containsText" dxfId="698" priority="1977" operator="containsText" text="8265MSS">
      <formula>NOT(ISERROR(SEARCH("8265MSS",TC71)))</formula>
    </cfRule>
  </conditionalFormatting>
  <conditionalFormatting sqref="TC73">
    <cfRule type="containsText" dxfId="697" priority="1976" operator="containsText" text="8265MSS">
      <formula>NOT(ISERROR(SEARCH("8265MSS",TC73)))</formula>
    </cfRule>
  </conditionalFormatting>
  <conditionalFormatting sqref="TC75">
    <cfRule type="containsText" dxfId="696" priority="1975" operator="containsText" text="8265MSS">
      <formula>NOT(ISERROR(SEARCH("8265MSS",TC75)))</formula>
    </cfRule>
  </conditionalFormatting>
  <conditionalFormatting sqref="TC69">
    <cfRule type="containsText" dxfId="695" priority="1974" operator="containsText" text="8265MSS">
      <formula>NOT(ISERROR(SEARCH("8265MSS",TC69)))</formula>
    </cfRule>
  </conditionalFormatting>
  <conditionalFormatting sqref="TD53">
    <cfRule type="containsText" dxfId="694" priority="1973" operator="containsText" text="8265MSS">
      <formula>NOT(ISERROR(SEARCH("8265MSS",TD53)))</formula>
    </cfRule>
  </conditionalFormatting>
  <conditionalFormatting sqref="TB53:TC53">
    <cfRule type="containsText" dxfId="693" priority="1972" operator="containsText" text="8265MSS">
      <formula>NOT(ISERROR(SEARCH("8265MSS",TB53)))</formula>
    </cfRule>
  </conditionalFormatting>
  <conditionalFormatting sqref="TD69">
    <cfRule type="containsText" dxfId="692" priority="1971" operator="containsText" text="8265MSS">
      <formula>NOT(ISERROR(SEARCH("8265MSS",TD69)))</formula>
    </cfRule>
  </conditionalFormatting>
  <conditionalFormatting sqref="TE43:TF43">
    <cfRule type="containsText" dxfId="691" priority="1970" operator="containsText" text="8265MSS">
      <formula>NOT(ISERROR(SEARCH("8265MSS",TE43)))</formula>
    </cfRule>
  </conditionalFormatting>
  <conditionalFormatting sqref="UL45:UM45">
    <cfRule type="containsText" dxfId="690" priority="1963" operator="containsText" text="8265MSS">
      <formula>NOT(ISERROR(SEARCH("8265MSS",UL45)))</formula>
    </cfRule>
  </conditionalFormatting>
  <conditionalFormatting sqref="UM53:UN53">
    <cfRule type="containsText" dxfId="689" priority="1962" operator="containsText" text="8265MSS">
      <formula>NOT(ISERROR(SEARCH("8265MSS",UM53)))</formula>
    </cfRule>
  </conditionalFormatting>
  <conditionalFormatting sqref="UO53:UQ53">
    <cfRule type="containsText" dxfId="688" priority="1961" operator="containsText" text="8265MSS">
      <formula>NOT(ISERROR(SEARCH("8265MSS",UO53)))</formula>
    </cfRule>
  </conditionalFormatting>
  <conditionalFormatting sqref="UY43:UZ43">
    <cfRule type="containsText" dxfId="687" priority="1957" operator="containsText" text="8265MSS">
      <formula>NOT(ISERROR(SEARCH("8265MSS",UY43)))</formula>
    </cfRule>
  </conditionalFormatting>
  <conditionalFormatting sqref="WP115">
    <cfRule type="containsText" dxfId="686" priority="1954" operator="containsText" text="8265MSS">
      <formula>NOT(ISERROR(SEARCH("8265MSS",WP115)))</formula>
    </cfRule>
  </conditionalFormatting>
  <conditionalFormatting sqref="YN5:ZQ5">
    <cfRule type="cellIs" dxfId="685" priority="1951" stopIfTrue="1" operator="equal">
      <formula>"Fri"</formula>
    </cfRule>
  </conditionalFormatting>
  <conditionalFormatting sqref="YN40:ZQ40">
    <cfRule type="cellIs" dxfId="684" priority="1950" stopIfTrue="1" operator="equal">
      <formula>"Fri"</formula>
    </cfRule>
  </conditionalFormatting>
  <conditionalFormatting sqref="ZS5:AAW5">
    <cfRule type="cellIs" dxfId="683" priority="1949" stopIfTrue="1" operator="equal">
      <formula>"Fri"</formula>
    </cfRule>
  </conditionalFormatting>
  <conditionalFormatting sqref="AAY5:ACB5">
    <cfRule type="cellIs" dxfId="682" priority="1948" stopIfTrue="1" operator="equal">
      <formula>"Fri"</formula>
    </cfRule>
  </conditionalFormatting>
  <conditionalFormatting sqref="ACD5:ADH5">
    <cfRule type="cellIs" dxfId="681" priority="1947" stopIfTrue="1" operator="equal">
      <formula>"Fri"</formula>
    </cfRule>
  </conditionalFormatting>
  <conditionalFormatting sqref="ACD40:ADH40">
    <cfRule type="cellIs" dxfId="680" priority="1946" stopIfTrue="1" operator="equal">
      <formula>"Fri"</formula>
    </cfRule>
  </conditionalFormatting>
  <conditionalFormatting sqref="AAY40:ACB40">
    <cfRule type="cellIs" dxfId="679" priority="1945" stopIfTrue="1" operator="equal">
      <formula>"Fri"</formula>
    </cfRule>
  </conditionalFormatting>
  <conditionalFormatting sqref="ZS40:AAW40">
    <cfRule type="cellIs" dxfId="678" priority="1944" stopIfTrue="1" operator="equal">
      <formula>"Fri"</formula>
    </cfRule>
  </conditionalFormatting>
  <conditionalFormatting sqref="WU59:WX59">
    <cfRule type="containsText" dxfId="677" priority="1941" operator="containsText" text="8265MSS">
      <formula>NOT(ISERROR(SEARCH("8265MSS",WU59)))</formula>
    </cfRule>
  </conditionalFormatting>
  <conditionalFormatting sqref="VJ49:VK49">
    <cfRule type="containsText" dxfId="676" priority="1939" operator="containsText" text="8265MSS">
      <formula>NOT(ISERROR(SEARCH("8265MSS",VJ49)))</formula>
    </cfRule>
  </conditionalFormatting>
  <conditionalFormatting sqref="TF69">
    <cfRule type="containsText" dxfId="675" priority="1938" operator="containsText" text="8265MSS">
      <formula>NOT(ISERROR(SEARCH("8265MSS",TF69)))</formula>
    </cfRule>
  </conditionalFormatting>
  <conditionalFormatting sqref="TH69">
    <cfRule type="containsText" dxfId="674" priority="1937" operator="containsText" text="8265MSS">
      <formula>NOT(ISERROR(SEARCH("8265MSS",TH69)))</formula>
    </cfRule>
  </conditionalFormatting>
  <conditionalFormatting sqref="XD65">
    <cfRule type="containsText" dxfId="673" priority="1934" operator="containsText" text="8265MSS">
      <formula>NOT(ISERROR(SEARCH("8265MSS",XD65)))</formula>
    </cfRule>
  </conditionalFormatting>
  <conditionalFormatting sqref="TL45">
    <cfRule type="containsText" dxfId="672" priority="1933" operator="containsText" text="8265MSS">
      <formula>NOT(ISERROR(SEARCH("8265MSS",TL45)))</formula>
    </cfRule>
  </conditionalFormatting>
  <conditionalFormatting sqref="TO63:TQ63">
    <cfRule type="containsText" dxfId="671" priority="1932" operator="containsText" text="8265MSS">
      <formula>NOT(ISERROR(SEARCH("8265MSS",TO63)))</formula>
    </cfRule>
  </conditionalFormatting>
  <conditionalFormatting sqref="TS45">
    <cfRule type="containsText" dxfId="670" priority="1924" operator="containsText" text="8265MSS">
      <formula>NOT(ISERROR(SEARCH("8265MSS",TS45)))</formula>
    </cfRule>
  </conditionalFormatting>
  <conditionalFormatting sqref="TZ53">
    <cfRule type="containsText" dxfId="669" priority="1925" operator="containsText" text="8265MSS">
      <formula>NOT(ISERROR(SEARCH("8265MSS",TZ53)))</formula>
    </cfRule>
  </conditionalFormatting>
  <conditionalFormatting sqref="VE53">
    <cfRule type="containsText" dxfId="668" priority="1919" operator="containsText" text="8265MSS">
      <formula>NOT(ISERROR(SEARCH("8265MSS",VE53)))</formula>
    </cfRule>
  </conditionalFormatting>
  <conditionalFormatting sqref="TL49">
    <cfRule type="containsText" dxfId="667" priority="1910" operator="containsText" text="8265MSS">
      <formula>NOT(ISERROR(SEARCH("8265MSS",TL49)))</formula>
    </cfRule>
  </conditionalFormatting>
  <conditionalFormatting sqref="TO49:TQ49">
    <cfRule type="containsText" dxfId="666" priority="1909" operator="containsText" text="8265MSS">
      <formula>NOT(ISERROR(SEARCH("8265MSS",TO49)))</formula>
    </cfRule>
  </conditionalFormatting>
  <conditionalFormatting sqref="VL49">
    <cfRule type="containsText" dxfId="665" priority="1907" operator="containsText" text="8265MSS">
      <formula>NOT(ISERROR(SEARCH("8265MSS",VL49)))</formula>
    </cfRule>
  </conditionalFormatting>
  <conditionalFormatting sqref="TM71">
    <cfRule type="containsText" dxfId="664" priority="1902" operator="containsText" text="8265MSS">
      <formula>NOT(ISERROR(SEARCH("8265MSS",TM71)))</formula>
    </cfRule>
  </conditionalFormatting>
  <conditionalFormatting sqref="TO45">
    <cfRule type="containsText" dxfId="663" priority="1901" operator="containsText" text="8265MSS">
      <formula>NOT(ISERROR(SEARCH("8265MSS",TO45)))</formula>
    </cfRule>
  </conditionalFormatting>
  <conditionalFormatting sqref="TQ69">
    <cfRule type="containsText" dxfId="662" priority="1900" operator="containsText" text="8265MSS">
      <formula>NOT(ISERROR(SEARCH("8265MSS",TQ69)))</formula>
    </cfRule>
  </conditionalFormatting>
  <conditionalFormatting sqref="TS69">
    <cfRule type="containsText" dxfId="661" priority="1899" operator="containsText" text="8265MSS">
      <formula>NOT(ISERROR(SEARCH("8265MSS",TS69)))</formula>
    </cfRule>
  </conditionalFormatting>
  <conditionalFormatting sqref="TS71">
    <cfRule type="containsText" dxfId="660" priority="1898" operator="containsText" text="8265MSS">
      <formula>NOT(ISERROR(SEARCH("8265MSS",TS71)))</formula>
    </cfRule>
  </conditionalFormatting>
  <conditionalFormatting sqref="TS73">
    <cfRule type="containsText" dxfId="659" priority="1897" operator="containsText" text="8265MSS">
      <formula>NOT(ISERROR(SEARCH("8265MSS",TS73)))</formula>
    </cfRule>
  </conditionalFormatting>
  <conditionalFormatting sqref="TT69">
    <cfRule type="containsText" dxfId="658" priority="1896" operator="containsText" text="8265MSS">
      <formula>NOT(ISERROR(SEARCH("8265MSS",TT69)))</formula>
    </cfRule>
  </conditionalFormatting>
  <conditionalFormatting sqref="TT71">
    <cfRule type="containsText" dxfId="657" priority="1895" operator="containsText" text="8265MSS">
      <formula>NOT(ISERROR(SEARCH("8265MSS",TT71)))</formula>
    </cfRule>
  </conditionalFormatting>
  <conditionalFormatting sqref="TU69">
    <cfRule type="containsText" dxfId="656" priority="1894" operator="containsText" text="8265MSS">
      <formula>NOT(ISERROR(SEARCH("8265MSS",TU69)))</formula>
    </cfRule>
  </conditionalFormatting>
  <conditionalFormatting sqref="TU71">
    <cfRule type="containsText" dxfId="655" priority="1893" operator="containsText" text="8265MSS">
      <formula>NOT(ISERROR(SEARCH("8265MSS",TU71)))</formula>
    </cfRule>
  </conditionalFormatting>
  <conditionalFormatting sqref="TU73">
    <cfRule type="containsText" dxfId="654" priority="1892" operator="containsText" text="8265MSS">
      <formula>NOT(ISERROR(SEARCH("8265MSS",TU73)))</formula>
    </cfRule>
  </conditionalFormatting>
  <conditionalFormatting sqref="TX71">
    <cfRule type="containsText" dxfId="653" priority="1889" operator="containsText" text="8265MSS">
      <formula>NOT(ISERROR(SEARCH("8265MSS",TX71)))</formula>
    </cfRule>
  </conditionalFormatting>
  <conditionalFormatting sqref="TY69">
    <cfRule type="containsText" dxfId="652" priority="1888" operator="containsText" text="8265MSS">
      <formula>NOT(ISERROR(SEARCH("8265MSS",TY69)))</formula>
    </cfRule>
  </conditionalFormatting>
  <conditionalFormatting sqref="TY71">
    <cfRule type="containsText" dxfId="651" priority="1887" operator="containsText" text="8265MSS">
      <formula>NOT(ISERROR(SEARCH("8265MSS",TY71)))</formula>
    </cfRule>
  </conditionalFormatting>
  <conditionalFormatting sqref="TZ69">
    <cfRule type="containsText" dxfId="650" priority="1886" operator="containsText" text="8265MSS">
      <formula>NOT(ISERROR(SEARCH("8265MSS",TZ69)))</formula>
    </cfRule>
  </conditionalFormatting>
  <conditionalFormatting sqref="TZ71">
    <cfRule type="containsText" dxfId="649" priority="1885" operator="containsText" text="8265MSS">
      <formula>NOT(ISERROR(SEARCH("8265MSS",TZ71)))</formula>
    </cfRule>
  </conditionalFormatting>
  <conditionalFormatting sqref="UA69">
    <cfRule type="containsText" dxfId="648" priority="1884" operator="containsText" text="8265MSS">
      <formula>NOT(ISERROR(SEARCH("8265MSS",UA69)))</formula>
    </cfRule>
  </conditionalFormatting>
  <conditionalFormatting sqref="WI51:WJ51">
    <cfRule type="containsText" dxfId="647" priority="1883" operator="containsText" text="8265MSS">
      <formula>NOT(ISERROR(SEARCH("8265MSS",WI51)))</formula>
    </cfRule>
  </conditionalFormatting>
  <conditionalFormatting sqref="US57">
    <cfRule type="containsText" dxfId="646" priority="1879" operator="containsText" text="8265MSS">
      <formula>NOT(ISERROR(SEARCH("8265MSS",US57)))</formula>
    </cfRule>
  </conditionalFormatting>
  <conditionalFormatting sqref="UO49">
    <cfRule type="containsText" dxfId="645" priority="1876" operator="containsText" text="8265MSS">
      <formula>NOT(ISERROR(SEARCH("8265MSS",UO49)))</formula>
    </cfRule>
  </conditionalFormatting>
  <conditionalFormatting sqref="UH63:UK63">
    <cfRule type="containsText" dxfId="644" priority="1874" operator="containsText" text="8265MSS">
      <formula>NOT(ISERROR(SEARCH("8265MSS",UH63)))</formula>
    </cfRule>
  </conditionalFormatting>
  <conditionalFormatting sqref="UU65:UV65">
    <cfRule type="containsText" dxfId="643" priority="1872" operator="containsText" text="8265MSS">
      <formula>NOT(ISERROR(SEARCH("8265MSS",UU65)))</formula>
    </cfRule>
  </conditionalFormatting>
  <conditionalFormatting sqref="UH65:UJ65 UM65">
    <cfRule type="containsText" dxfId="642" priority="1869" operator="containsText" text="8265MSS">
      <formula>NOT(ISERROR(SEARCH("8265MSS",UH65)))</formula>
    </cfRule>
  </conditionalFormatting>
  <conditionalFormatting sqref="UN57">
    <cfRule type="containsText" dxfId="641" priority="1868" operator="containsText" text="8265MSS">
      <formula>NOT(ISERROR(SEARCH("8265MSS",UN57)))</formula>
    </cfRule>
  </conditionalFormatting>
  <conditionalFormatting sqref="VB51:VK51">
    <cfRule type="containsText" dxfId="640" priority="1861" operator="containsText" text="8265MSS">
      <formula>NOT(ISERROR(SEARCH("8265MSS",VB51)))</formula>
    </cfRule>
  </conditionalFormatting>
  <conditionalFormatting sqref="UK53:UL53">
    <cfRule type="containsText" dxfId="639" priority="1847" operator="containsText" text="8265MSS">
      <formula>NOT(ISERROR(SEARCH("8265MSS",UK53)))</formula>
    </cfRule>
  </conditionalFormatting>
  <conditionalFormatting sqref="UP47:UR47">
    <cfRule type="containsText" dxfId="638" priority="1846" operator="containsText" text="8265MSS">
      <formula>NOT(ISERROR(SEARCH("8265MSS",UP47)))</formula>
    </cfRule>
  </conditionalFormatting>
  <conditionalFormatting sqref="UO69">
    <cfRule type="containsText" dxfId="637" priority="1840" operator="containsText" text="8265MSS">
      <formula>NOT(ISERROR(SEARCH("8265MSS",UO69)))</formula>
    </cfRule>
  </conditionalFormatting>
  <conditionalFormatting sqref="UO71">
    <cfRule type="containsText" dxfId="636" priority="1839" operator="containsText" text="8265MSS">
      <formula>NOT(ISERROR(SEARCH("8265MSS",UO71)))</formula>
    </cfRule>
  </conditionalFormatting>
  <conditionalFormatting sqref="UY45">
    <cfRule type="containsText" dxfId="635" priority="1838" operator="containsText" text="8265MSS">
      <formula>NOT(ISERROR(SEARCH("8265MSS",UY45)))</formula>
    </cfRule>
  </conditionalFormatting>
  <conditionalFormatting sqref="UV49:UW49">
    <cfRule type="containsText" dxfId="634" priority="1836" operator="containsText" text="8265MSS">
      <formula>NOT(ISERROR(SEARCH("8265MSS",UV49)))</formula>
    </cfRule>
  </conditionalFormatting>
  <conditionalFormatting sqref="VE49">
    <cfRule type="containsText" dxfId="633" priority="1834" operator="containsText" text="8265MSS">
      <formula>NOT(ISERROR(SEARCH("8265MSS",VE49)))</formula>
    </cfRule>
  </conditionalFormatting>
  <conditionalFormatting sqref="VF49:VG49">
    <cfRule type="containsText" dxfId="632" priority="1833" operator="containsText" text="8265MSS">
      <formula>NOT(ISERROR(SEARCH("8265MSS",VF49)))</formula>
    </cfRule>
  </conditionalFormatting>
  <conditionalFormatting sqref="VP49">
    <cfRule type="containsText" dxfId="631" priority="1831" operator="containsText" text="8265MSS">
      <formula>NOT(ISERROR(SEARCH("8265MSS",VP49)))</formula>
    </cfRule>
  </conditionalFormatting>
  <conditionalFormatting sqref="UQ61">
    <cfRule type="containsText" dxfId="630" priority="1829" operator="containsText" text="8265MSS">
      <formula>NOT(ISERROR(SEARCH("8265MSS",UQ61)))</formula>
    </cfRule>
  </conditionalFormatting>
  <conditionalFormatting sqref="VD61:VG61">
    <cfRule type="containsText" dxfId="629" priority="1827" operator="containsText" text="8265MSS">
      <formula>NOT(ISERROR(SEARCH("8265MSS",VD61)))</formula>
    </cfRule>
  </conditionalFormatting>
  <conditionalFormatting sqref="WH43">
    <cfRule type="containsText" dxfId="628" priority="1820" operator="containsText" text="8265MSS">
      <formula>NOT(ISERROR(SEARCH("8265MSS",WH43)))</formula>
    </cfRule>
  </conditionalFormatting>
  <conditionalFormatting sqref="UP69">
    <cfRule type="containsText" dxfId="627" priority="1816" operator="containsText" text="8265MSS">
      <formula>NOT(ISERROR(SEARCH("8265MSS",UP69)))</formula>
    </cfRule>
  </conditionalFormatting>
  <conditionalFormatting sqref="UP71">
    <cfRule type="containsText" dxfId="626" priority="1815" operator="containsText" text="8265MSS">
      <formula>NOT(ISERROR(SEARCH("8265MSS",UP71)))</formula>
    </cfRule>
  </conditionalFormatting>
  <conditionalFormatting sqref="UP73">
    <cfRule type="containsText" dxfId="625" priority="1814" operator="containsText" text="8265MSS">
      <formula>NOT(ISERROR(SEARCH("8265MSS",UP73)))</formula>
    </cfRule>
  </conditionalFormatting>
  <conditionalFormatting sqref="UR69">
    <cfRule type="containsText" dxfId="624" priority="1813" operator="containsText" text="8265MSS">
      <formula>NOT(ISERROR(SEARCH("8265MSS",UR69)))</formula>
    </cfRule>
  </conditionalFormatting>
  <conditionalFormatting sqref="US69">
    <cfRule type="containsText" dxfId="623" priority="1812" operator="containsText" text="8265MSS">
      <formula>NOT(ISERROR(SEARCH("8265MSS",US69)))</formula>
    </cfRule>
  </conditionalFormatting>
  <conditionalFormatting sqref="UU69">
    <cfRule type="containsText" dxfId="622" priority="1809" operator="containsText" text="8265MSS">
      <formula>NOT(ISERROR(SEARCH("8265MSS",UU69)))</formula>
    </cfRule>
  </conditionalFormatting>
  <conditionalFormatting sqref="UU71">
    <cfRule type="containsText" dxfId="621" priority="1808" operator="containsText" text="8265MSS">
      <formula>NOT(ISERROR(SEARCH("8265MSS",UU71)))</formula>
    </cfRule>
  </conditionalFormatting>
  <conditionalFormatting sqref="UV69">
    <cfRule type="containsText" dxfId="620" priority="1807" operator="containsText" text="8265MSS">
      <formula>NOT(ISERROR(SEARCH("8265MSS",UV69)))</formula>
    </cfRule>
  </conditionalFormatting>
  <conditionalFormatting sqref="UV71">
    <cfRule type="containsText" dxfId="619" priority="1806" operator="containsText" text="8265MSS">
      <formula>NOT(ISERROR(SEARCH("8265MSS",UV71)))</formula>
    </cfRule>
  </conditionalFormatting>
  <conditionalFormatting sqref="UW69">
    <cfRule type="containsText" dxfId="618" priority="1805" operator="containsText" text="8265MSS">
      <formula>NOT(ISERROR(SEARCH("8265MSS",UW69)))</formula>
    </cfRule>
  </conditionalFormatting>
  <conditionalFormatting sqref="UW71">
    <cfRule type="containsText" dxfId="617" priority="1804" operator="containsText" text="8265MSS">
      <formula>NOT(ISERROR(SEARCH("8265MSS",UW71)))</formula>
    </cfRule>
  </conditionalFormatting>
  <conditionalFormatting sqref="UW73">
    <cfRule type="containsText" dxfId="616" priority="1803" operator="containsText" text="8265MSS">
      <formula>NOT(ISERROR(SEARCH("8265MSS",UW73)))</formula>
    </cfRule>
  </conditionalFormatting>
  <conditionalFormatting sqref="UW65">
    <cfRule type="containsText" dxfId="615" priority="1802" operator="containsText" text="8265MSS">
      <formula>NOT(ISERROR(SEARCH("8265MSS",UW65)))</formula>
    </cfRule>
  </conditionalFormatting>
  <conditionalFormatting sqref="UZ71">
    <cfRule type="containsText" dxfId="614" priority="1800" operator="containsText" text="8265MSS">
      <formula>NOT(ISERROR(SEARCH("8265MSS",UZ71)))</formula>
    </cfRule>
  </conditionalFormatting>
  <conditionalFormatting sqref="VA71">
    <cfRule type="containsText" dxfId="613" priority="1799" operator="containsText" text="8265MSS">
      <formula>NOT(ISERROR(SEARCH("8265MSS",VA71)))</formula>
    </cfRule>
  </conditionalFormatting>
  <conditionalFormatting sqref="VB69">
    <cfRule type="containsText" dxfId="612" priority="1798" operator="containsText" text="8265MSS">
      <formula>NOT(ISERROR(SEARCH("8265MSS",VB69)))</formula>
    </cfRule>
  </conditionalFormatting>
  <conditionalFormatting sqref="VA61">
    <cfRule type="containsText" dxfId="611" priority="1797" operator="containsText" text="8265MSS">
      <formula>NOT(ISERROR(SEARCH("8265MSS",VA61)))</formula>
    </cfRule>
  </conditionalFormatting>
  <conditionalFormatting sqref="VC69">
    <cfRule type="containsText" dxfId="610" priority="1796" operator="containsText" text="8265MSS">
      <formula>NOT(ISERROR(SEARCH("8265MSS",VC69)))</formula>
    </cfRule>
  </conditionalFormatting>
  <conditionalFormatting sqref="VC71">
    <cfRule type="containsText" dxfId="609" priority="1795" operator="containsText" text="8265MSS">
      <formula>NOT(ISERROR(SEARCH("8265MSS",VC71)))</formula>
    </cfRule>
  </conditionalFormatting>
  <conditionalFormatting sqref="VD71">
    <cfRule type="containsText" dxfId="608" priority="1793" operator="containsText" text="8265MSS">
      <formula>NOT(ISERROR(SEARCH("8265MSS",VD71)))</formula>
    </cfRule>
  </conditionalFormatting>
  <conditionalFormatting sqref="VD73">
    <cfRule type="containsText" dxfId="607" priority="1792" operator="containsText" text="8265MSS">
      <formula>NOT(ISERROR(SEARCH("8265MSS",VD73)))</formula>
    </cfRule>
  </conditionalFormatting>
  <conditionalFormatting sqref="VD45:VE45">
    <cfRule type="containsText" dxfId="606" priority="1791" operator="containsText" text="8265MSS">
      <formula>NOT(ISERROR(SEARCH("8265MSS",VD45)))</formula>
    </cfRule>
  </conditionalFormatting>
  <conditionalFormatting sqref="VH65">
    <cfRule type="containsText" dxfId="605" priority="1790" operator="containsText" text="8265MSS">
      <formula>NOT(ISERROR(SEARCH("8265MSS",VH65)))</formula>
    </cfRule>
  </conditionalFormatting>
  <conditionalFormatting sqref="VR55:VS55">
    <cfRule type="containsText" dxfId="604" priority="1789" operator="containsText" text="8265MSS">
      <formula>NOT(ISERROR(SEARCH("8265MSS",VR55)))</formula>
    </cfRule>
  </conditionalFormatting>
  <conditionalFormatting sqref="WH65">
    <cfRule type="containsText" dxfId="603" priority="1785" operator="containsText" text="8265MSS">
      <formula>NOT(ISERROR(SEARCH("8265MSS",WH65)))</formula>
    </cfRule>
  </conditionalFormatting>
  <conditionalFormatting sqref="WE59:WF59">
    <cfRule type="containsText" dxfId="602" priority="1784" operator="containsText" text="8265MSS">
      <formula>NOT(ISERROR(SEARCH("8265MSS",WE59)))</formula>
    </cfRule>
  </conditionalFormatting>
  <conditionalFormatting sqref="VX65">
    <cfRule type="containsText" dxfId="601" priority="1780" operator="containsText" text="8265MSS">
      <formula>NOT(ISERROR(SEARCH("8265MSS",VX65)))</formula>
    </cfRule>
  </conditionalFormatting>
  <conditionalFormatting sqref="XP43:XQ43">
    <cfRule type="containsText" dxfId="600" priority="1771" operator="containsText" text="8265MSS">
      <formula>NOT(ISERROR(SEARCH("8265MSS",XP43)))</formula>
    </cfRule>
  </conditionalFormatting>
  <conditionalFormatting sqref="XL57:XM57">
    <cfRule type="containsText" dxfId="599" priority="1767" operator="containsText" text="8265MSS">
      <formula>NOT(ISERROR(SEARCH("8265MSS",XL57)))</formula>
    </cfRule>
  </conditionalFormatting>
  <conditionalFormatting sqref="XN57:YL57">
    <cfRule type="containsText" dxfId="598" priority="1766" operator="containsText" text="8265MSS">
      <formula>NOT(ISERROR(SEARCH("8265MSS",XN57)))</formula>
    </cfRule>
  </conditionalFormatting>
  <conditionalFormatting sqref="YP57:ZB57">
    <cfRule type="containsText" dxfId="597" priority="1763" operator="containsText" text="8265MSS">
      <formula>NOT(ISERROR(SEARCH("8265MSS",YP57)))</formula>
    </cfRule>
  </conditionalFormatting>
  <conditionalFormatting sqref="YN57:YO57">
    <cfRule type="containsText" dxfId="596" priority="1762" operator="containsText" text="8265MSS">
      <formula>NOT(ISERROR(SEARCH("8265MSS",YN57)))</formula>
    </cfRule>
  </conditionalFormatting>
  <conditionalFormatting sqref="ZB45:ZC45">
    <cfRule type="containsText" dxfId="595" priority="1746" operator="containsText" text="8265MSS">
      <formula>NOT(ISERROR(SEARCH("8265MSS",ZB45)))</formula>
    </cfRule>
  </conditionalFormatting>
  <conditionalFormatting sqref="ZS45:ZT45">
    <cfRule type="containsText" dxfId="594" priority="1745" operator="containsText" text="8265MSS">
      <formula>NOT(ISERROR(SEARCH("8265MSS",ZS45)))</formula>
    </cfRule>
  </conditionalFormatting>
  <conditionalFormatting sqref="ZL45:ZM45">
    <cfRule type="containsText" dxfId="593" priority="1744" operator="containsText" text="8265MSS">
      <formula>NOT(ISERROR(SEARCH("8265MSS",ZL45)))</formula>
    </cfRule>
  </conditionalFormatting>
  <conditionalFormatting sqref="ZN45:ZO45">
    <cfRule type="containsText" dxfId="592" priority="1743" operator="containsText" text="8265MSS">
      <formula>NOT(ISERROR(SEARCH("8265MSS",ZN45)))</formula>
    </cfRule>
  </conditionalFormatting>
  <conditionalFormatting sqref="YY45:YZ45">
    <cfRule type="containsText" dxfId="591" priority="1742" operator="containsText" text="8265MSS">
      <formula>NOT(ISERROR(SEARCH("8265MSS",YY45)))</formula>
    </cfRule>
  </conditionalFormatting>
  <conditionalFormatting sqref="ZG45:ZH45">
    <cfRule type="containsText" dxfId="590" priority="1741" operator="containsText" text="8265MSS">
      <formula>NOT(ISERROR(SEARCH("8265MSS",ZG45)))</formula>
    </cfRule>
  </conditionalFormatting>
  <conditionalFormatting sqref="ZD45">
    <cfRule type="containsText" dxfId="589" priority="1740" operator="containsText" text="8265MSS">
      <formula>NOT(ISERROR(SEARCH("8265MSS",ZD45)))</formula>
    </cfRule>
  </conditionalFormatting>
  <conditionalFormatting sqref="AAA45:AAB45">
    <cfRule type="containsText" dxfId="588" priority="1739" operator="containsText" text="8265MSS">
      <formula>NOT(ISERROR(SEARCH("8265MSS",AAA45)))</formula>
    </cfRule>
  </conditionalFormatting>
  <conditionalFormatting sqref="VI71">
    <cfRule type="containsText" dxfId="587" priority="1729" operator="containsText" text="8265MSS">
      <formula>NOT(ISERROR(SEARCH("8265MSS",VI71)))</formula>
    </cfRule>
  </conditionalFormatting>
  <conditionalFormatting sqref="VI69">
    <cfRule type="containsText" dxfId="586" priority="1730" operator="containsText" text="8265MSS">
      <formula>NOT(ISERROR(SEARCH("8265MSS",VI69)))</formula>
    </cfRule>
  </conditionalFormatting>
  <conditionalFormatting sqref="VI73">
    <cfRule type="containsText" dxfId="585" priority="1728" operator="containsText" text="8265MSS">
      <formula>NOT(ISERROR(SEARCH("8265MSS",VI73)))</formula>
    </cfRule>
  </conditionalFormatting>
  <conditionalFormatting sqref="VH69">
    <cfRule type="containsText" dxfId="584" priority="1727" operator="containsText" text="8265MSS">
      <formula>NOT(ISERROR(SEARCH("8265MSS",VH69)))</formula>
    </cfRule>
  </conditionalFormatting>
  <conditionalFormatting sqref="VH71">
    <cfRule type="containsText" dxfId="583" priority="1726" operator="containsText" text="8265MSS">
      <formula>NOT(ISERROR(SEARCH("8265MSS",VH71)))</formula>
    </cfRule>
  </conditionalFormatting>
  <conditionalFormatting sqref="AAO57">
    <cfRule type="containsText" dxfId="582" priority="1698" operator="containsText" text="8265MSS">
      <formula>NOT(ISERROR(SEARCH("8265MSS",AAO57)))</formula>
    </cfRule>
  </conditionalFormatting>
  <conditionalFormatting sqref="YI43:YL43">
    <cfRule type="containsText" dxfId="581" priority="1694" operator="containsText" text="8265MSS">
      <formula>NOT(ISERROR(SEARCH("8265MSS",YI43)))</formula>
    </cfRule>
  </conditionalFormatting>
  <conditionalFormatting sqref="VZ43:WA43">
    <cfRule type="containsText" dxfId="580" priority="1687" operator="containsText" text="8265MSS">
      <formula>NOT(ISERROR(SEARCH("8265MSS",VZ43)))</formula>
    </cfRule>
  </conditionalFormatting>
  <conditionalFormatting sqref="WE43">
    <cfRule type="containsText" dxfId="579" priority="1686" operator="containsText" text="8265MSS">
      <formula>NOT(ISERROR(SEARCH("8265MSS",WE43)))</formula>
    </cfRule>
  </conditionalFormatting>
  <conditionalFormatting sqref="VZ55">
    <cfRule type="containsText" dxfId="578" priority="1684" operator="containsText" text="8265MSS">
      <formula>NOT(ISERROR(SEARCH("8265MSS",VZ55)))</formula>
    </cfRule>
  </conditionalFormatting>
  <conditionalFormatting sqref="WE55:WF55">
    <cfRule type="containsText" dxfId="577" priority="1682" operator="containsText" text="8265MSS">
      <formula>NOT(ISERROR(SEARCH("8265MSS",WE55)))</formula>
    </cfRule>
  </conditionalFormatting>
  <conditionalFormatting sqref="WO61:WR61">
    <cfRule type="containsText" dxfId="576" priority="1681" operator="containsText" text="8265MSS">
      <formula>NOT(ISERROR(SEARCH("8265MSS",WO61)))</formula>
    </cfRule>
  </conditionalFormatting>
  <conditionalFormatting sqref="WK61:WL61">
    <cfRule type="containsText" dxfId="575" priority="1680" operator="containsText" text="8265MSS">
      <formula>NOT(ISERROR(SEARCH("8265MSS",WK61)))</formula>
    </cfRule>
  </conditionalFormatting>
  <conditionalFormatting sqref="WE63:WI63">
    <cfRule type="containsText" dxfId="574" priority="1679" operator="containsText" text="8265MSS">
      <formula>NOT(ISERROR(SEARCH("8265MSS",WE63)))</formula>
    </cfRule>
  </conditionalFormatting>
  <conditionalFormatting sqref="WE65">
    <cfRule type="containsText" dxfId="573" priority="1678" operator="containsText" text="8265MSS">
      <formula>NOT(ISERROR(SEARCH("8265MSS",WE65)))</formula>
    </cfRule>
  </conditionalFormatting>
  <conditionalFormatting sqref="XC51:XD51">
    <cfRule type="containsText" dxfId="572" priority="1675" operator="containsText" text="8265MSS">
      <formula>NOT(ISERROR(SEARCH("8265MSS",XC51)))</formula>
    </cfRule>
  </conditionalFormatting>
  <conditionalFormatting sqref="XA65">
    <cfRule type="containsText" dxfId="571" priority="1674" operator="containsText" text="8265MSS">
      <formula>NOT(ISERROR(SEARCH("8265MSS",XA65)))</formula>
    </cfRule>
  </conditionalFormatting>
  <conditionalFormatting sqref="ADJ5:AEN5">
    <cfRule type="cellIs" dxfId="570" priority="1661" stopIfTrue="1" operator="equal">
      <formula>"Fri"</formula>
    </cfRule>
  </conditionalFormatting>
  <conditionalFormatting sqref="AEP5:AFS5">
    <cfRule type="cellIs" dxfId="569" priority="1660" stopIfTrue="1" operator="equal">
      <formula>"Fri"</formula>
    </cfRule>
  </conditionalFormatting>
  <conditionalFormatting sqref="AFU5:AGY5">
    <cfRule type="cellIs" dxfId="568" priority="1659" stopIfTrue="1" operator="equal">
      <formula>"Fri"</formula>
    </cfRule>
  </conditionalFormatting>
  <conditionalFormatting sqref="AHA5:AID5">
    <cfRule type="cellIs" dxfId="567" priority="1658" stopIfTrue="1" operator="equal">
      <formula>"Fri"</formula>
    </cfRule>
  </conditionalFormatting>
  <conditionalFormatting sqref="AIF5:AJJ5">
    <cfRule type="cellIs" dxfId="566" priority="1657" stopIfTrue="1" operator="equal">
      <formula>"Fri"</formula>
    </cfRule>
  </conditionalFormatting>
  <conditionalFormatting sqref="AEP40:AFS40">
    <cfRule type="cellIs" dxfId="565" priority="1654" stopIfTrue="1" operator="equal">
      <formula>"Fri"</formula>
    </cfRule>
  </conditionalFormatting>
  <conditionalFormatting sqref="ADJ40:AEN40">
    <cfRule type="cellIs" dxfId="564" priority="1655" stopIfTrue="1" operator="equal">
      <formula>"Fri"</formula>
    </cfRule>
  </conditionalFormatting>
  <conditionalFormatting sqref="AFU40:AGY40">
    <cfRule type="cellIs" dxfId="563" priority="1653" stopIfTrue="1" operator="equal">
      <formula>"Fri"</formula>
    </cfRule>
  </conditionalFormatting>
  <conditionalFormatting sqref="AHA40:AID40">
    <cfRule type="cellIs" dxfId="562" priority="1652" stopIfTrue="1" operator="equal">
      <formula>"Fri"</formula>
    </cfRule>
  </conditionalFormatting>
  <conditionalFormatting sqref="AIF40:AJJ40">
    <cfRule type="cellIs" dxfId="561" priority="1651" stopIfTrue="1" operator="equal">
      <formula>"Fri"</formula>
    </cfRule>
  </conditionalFormatting>
  <conditionalFormatting sqref="ZP43:ZQ43">
    <cfRule type="containsText" dxfId="560" priority="1624" operator="containsText" text="8265MSS">
      <formula>NOT(ISERROR(SEARCH("8265MSS",ZP43)))</formula>
    </cfRule>
  </conditionalFormatting>
  <conditionalFormatting sqref="VZ71">
    <cfRule type="containsText" dxfId="559" priority="1613" operator="containsText" text="8265MSS">
      <formula>NOT(ISERROR(SEARCH("8265MSS",VZ71)))</formula>
    </cfRule>
  </conditionalFormatting>
  <conditionalFormatting sqref="VZ73">
    <cfRule type="containsText" dxfId="558" priority="1612" operator="containsText" text="8265MSS">
      <formula>NOT(ISERROR(SEARCH("8265MSS",VZ73)))</formula>
    </cfRule>
  </conditionalFormatting>
  <conditionalFormatting sqref="VZ69">
    <cfRule type="containsText" dxfId="557" priority="1611" operator="containsText" text="8265MSS">
      <formula>NOT(ISERROR(SEARCH("8265MSS",VZ69)))</formula>
    </cfRule>
  </conditionalFormatting>
  <conditionalFormatting sqref="WB69">
    <cfRule type="containsText" dxfId="556" priority="1610" operator="containsText" text="8265MSS">
      <formula>NOT(ISERROR(SEARCH("8265MSS",WB69)))</formula>
    </cfRule>
  </conditionalFormatting>
  <conditionalFormatting sqref="WB71">
    <cfRule type="containsText" dxfId="555" priority="1609" operator="containsText" text="8265MSS">
      <formula>NOT(ISERROR(SEARCH("8265MSS",WB71)))</formula>
    </cfRule>
  </conditionalFormatting>
  <conditionalFormatting sqref="WE69">
    <cfRule type="containsText" dxfId="554" priority="1590" operator="containsText" text="8265MSS">
      <formula>NOT(ISERROR(SEARCH("8265MSS",WE69)))</formula>
    </cfRule>
  </conditionalFormatting>
  <conditionalFormatting sqref="WK43">
    <cfRule type="containsText" dxfId="553" priority="1588" operator="containsText" text="8265MSS">
      <formula>NOT(ISERROR(SEARCH("8265MSS",WK43)))</formula>
    </cfRule>
  </conditionalFormatting>
  <conditionalFormatting sqref="WV47:WX47">
    <cfRule type="containsText" dxfId="552" priority="1585" operator="containsText" text="8265MSS">
      <formula>NOT(ISERROR(SEARCH("8265MSS",WV47)))</formula>
    </cfRule>
  </conditionalFormatting>
  <conditionalFormatting sqref="ZN61:ZO61">
    <cfRule type="containsText" dxfId="551" priority="1577" operator="containsText" text="8265MSS">
      <formula>NOT(ISERROR(SEARCH("8265MSS",ZN61)))</formula>
    </cfRule>
  </conditionalFormatting>
  <conditionalFormatting sqref="XI43:XJ43">
    <cfRule type="containsText" dxfId="550" priority="1560" operator="containsText" text="8265MSS">
      <formula>NOT(ISERROR(SEARCH("8265MSS",XI43)))</formula>
    </cfRule>
  </conditionalFormatting>
  <conditionalFormatting sqref="XL43:XM43">
    <cfRule type="containsText" dxfId="549" priority="1559" operator="containsText" text="8265MSS">
      <formula>NOT(ISERROR(SEARCH("8265MSS",XL43)))</formula>
    </cfRule>
  </conditionalFormatting>
  <conditionalFormatting sqref="YD55">
    <cfRule type="containsText" dxfId="548" priority="1554" operator="containsText" text="8265MSS">
      <formula>NOT(ISERROR(SEARCH("8265MSS",YD55)))</formula>
    </cfRule>
  </conditionalFormatting>
  <conditionalFormatting sqref="XO45:XP45">
    <cfRule type="containsText" dxfId="547" priority="1553" operator="containsText" text="8265MSS">
      <formula>NOT(ISERROR(SEARCH("8265MSS",XO45)))</formula>
    </cfRule>
  </conditionalFormatting>
  <conditionalFormatting sqref="XH43">
    <cfRule type="containsText" dxfId="546" priority="1551" operator="containsText" text="8265MSS">
      <formula>NOT(ISERROR(SEARCH("8265MSS",XH43)))</formula>
    </cfRule>
  </conditionalFormatting>
  <conditionalFormatting sqref="XN55:XP55">
    <cfRule type="containsText" dxfId="545" priority="1550" operator="containsText" text="8265MSS">
      <formula>NOT(ISERROR(SEARCH("8265MSS",XN55)))</formula>
    </cfRule>
  </conditionalFormatting>
  <conditionalFormatting sqref="UT69">
    <cfRule type="containsText" dxfId="544" priority="1548" operator="containsText" text="8265MSS">
      <formula>NOT(ISERROR(SEARCH("8265MSS",UT69)))</formula>
    </cfRule>
  </conditionalFormatting>
  <conditionalFormatting sqref="XS55">
    <cfRule type="containsText" dxfId="543" priority="1511" operator="containsText" text="8265MSS">
      <formula>NOT(ISERROR(SEARCH("8265MSS",XS55)))</formula>
    </cfRule>
  </conditionalFormatting>
  <conditionalFormatting sqref="XR59 XY59:YA59">
    <cfRule type="containsText" dxfId="542" priority="1510" operator="containsText" text="8265MSS">
      <formula>NOT(ISERROR(SEARCH("8265MSS",XR59)))</formula>
    </cfRule>
  </conditionalFormatting>
  <conditionalFormatting sqref="YQ45:YW45">
    <cfRule type="containsText" dxfId="541" priority="1508" operator="containsText" text="8265MSS">
      <formula>NOT(ISERROR(SEARCH("8265MSS",YQ45)))</formula>
    </cfRule>
  </conditionalFormatting>
  <conditionalFormatting sqref="YN45">
    <cfRule type="containsText" dxfId="540" priority="1507" operator="containsText" text="8265MSS">
      <formula>NOT(ISERROR(SEARCH("8265MSS",YN45)))</formula>
    </cfRule>
  </conditionalFormatting>
  <conditionalFormatting sqref="XX43:YF43">
    <cfRule type="containsText" dxfId="539" priority="1506" operator="containsText" text="8265MSS">
      <formula>NOT(ISERROR(SEARCH("8265MSS",XX43)))</formula>
    </cfRule>
  </conditionalFormatting>
  <conditionalFormatting sqref="XV43:XW43">
    <cfRule type="containsText" dxfId="538" priority="1505" operator="containsText" text="8265MSS">
      <formula>NOT(ISERROR(SEARCH("8265MSS",XV43)))</formula>
    </cfRule>
  </conditionalFormatting>
  <conditionalFormatting sqref="ZB43:ZC43">
    <cfRule type="containsText" dxfId="537" priority="1503" operator="containsText" text="8265MSS">
      <formula>NOT(ISERROR(SEARCH("8265MSS",ZB43)))</formula>
    </cfRule>
  </conditionalFormatting>
  <conditionalFormatting sqref="AAP57 AAR43">
    <cfRule type="containsText" dxfId="536" priority="1496" operator="containsText" text="8265MSS">
      <formula>NOT(ISERROR(SEARCH("8265MSS",AAP43)))</formula>
    </cfRule>
  </conditionalFormatting>
  <conditionalFormatting sqref="AAU57:AAV57">
    <cfRule type="containsText" dxfId="535" priority="1492" operator="containsText" text="8265MSS">
      <formula>NOT(ISERROR(SEARCH("8265MSS",AAU57)))</formula>
    </cfRule>
  </conditionalFormatting>
  <conditionalFormatting sqref="ABD43:ABE43">
    <cfRule type="containsText" dxfId="534" priority="1487" operator="containsText" text="8265MSS">
      <formula>NOT(ISERROR(SEARCH("8265MSS",ABD43)))</formula>
    </cfRule>
  </conditionalFormatting>
  <conditionalFormatting sqref="ABF43:ABG43">
    <cfRule type="containsText" dxfId="533" priority="1477" operator="containsText" text="8265MSS">
      <formula>NOT(ISERROR(SEARCH("8265MSS",ABF43)))</formula>
    </cfRule>
  </conditionalFormatting>
  <conditionalFormatting sqref="AAK57:AAL57">
    <cfRule type="containsText" dxfId="532" priority="1482" operator="containsText" text="8265MSS">
      <formula>NOT(ISERROR(SEARCH("8265MSS",AAK57)))</formula>
    </cfRule>
  </conditionalFormatting>
  <conditionalFormatting sqref="ABE57:ABF57">
    <cfRule type="containsText" dxfId="531" priority="1479" operator="containsText" text="8265MSS">
      <formula>NOT(ISERROR(SEARCH("8265MSS",ABE57)))</formula>
    </cfRule>
  </conditionalFormatting>
  <conditionalFormatting sqref="ABG57">
    <cfRule type="containsText" dxfId="530" priority="1480" operator="containsText" text="8265MSS">
      <formula>NOT(ISERROR(SEARCH("8265MSS",ABG57)))</formula>
    </cfRule>
  </conditionalFormatting>
  <conditionalFormatting sqref="YX49">
    <cfRule type="containsText" dxfId="529" priority="1463" operator="containsText" text="8265MSS">
      <formula>NOT(ISERROR(SEARCH("8265MSS",YX49)))</formula>
    </cfRule>
  </conditionalFormatting>
  <conditionalFormatting sqref="ZH61:ZI61">
    <cfRule type="containsText" dxfId="528" priority="1456" operator="containsText" text="8265MSS">
      <formula>NOT(ISERROR(SEARCH("8265MSS",ZH61)))</formula>
    </cfRule>
  </conditionalFormatting>
  <conditionalFormatting sqref="ZE49">
    <cfRule type="containsText" dxfId="527" priority="1454" operator="containsText" text="8265MSS">
      <formula>NOT(ISERROR(SEARCH("8265MSS",ZE49)))</formula>
    </cfRule>
  </conditionalFormatting>
  <conditionalFormatting sqref="AAO59:AAQ59">
    <cfRule type="containsText" dxfId="526" priority="1450" operator="containsText" text="8265MSS">
      <formula>NOT(ISERROR(SEARCH("8265MSS",AAO59)))</formula>
    </cfRule>
  </conditionalFormatting>
  <conditionalFormatting sqref="ZH49:ZI49">
    <cfRule type="containsText" dxfId="525" priority="1446" operator="containsText" text="8265MSS">
      <formula>NOT(ISERROR(SEARCH("8265MSS",ZH49)))</formula>
    </cfRule>
  </conditionalFormatting>
  <conditionalFormatting sqref="ABO59:ABQ59">
    <cfRule type="containsText" dxfId="524" priority="1421" operator="containsText" text="8265MSS">
      <formula>NOT(ISERROR(SEARCH("8265MSS",ABO59)))</formula>
    </cfRule>
  </conditionalFormatting>
  <conditionalFormatting sqref="ABN55">
    <cfRule type="containsText" dxfId="523" priority="1418" operator="containsText" text="8265MSS">
      <formula>NOT(ISERROR(SEARCH("8265MSS",ABN55)))</formula>
    </cfRule>
  </conditionalFormatting>
  <conditionalFormatting sqref="ABT59:ABV59">
    <cfRule type="containsText" dxfId="522" priority="1417" operator="containsText" text="8265MSS">
      <formula>NOT(ISERROR(SEARCH("8265MSS",ABT59)))</formula>
    </cfRule>
  </conditionalFormatting>
  <conditionalFormatting sqref="XR43:XS43">
    <cfRule type="containsText" dxfId="521" priority="1409" operator="containsText" text="8265MSS">
      <formula>NOT(ISERROR(SEARCH("8265MSS",XR43)))</formula>
    </cfRule>
  </conditionalFormatting>
  <conditionalFormatting sqref="XY69">
    <cfRule type="containsText" dxfId="520" priority="1408" operator="containsText" text="8265MSS">
      <formula>NOT(ISERROR(SEARCH("8265MSS",XY69)))</formula>
    </cfRule>
  </conditionalFormatting>
  <conditionalFormatting sqref="ABR43:ABS43">
    <cfRule type="containsText" dxfId="519" priority="1401" operator="containsText" text="8265MSS">
      <formula>NOT(ISERROR(SEARCH("8265MSS",ABR43)))</formula>
    </cfRule>
  </conditionalFormatting>
  <conditionalFormatting sqref="YB69">
    <cfRule type="containsText" dxfId="518" priority="1387" operator="containsText" text="8265MSS">
      <formula>NOT(ISERROR(SEARCH("8265MSS",YB69)))</formula>
    </cfRule>
  </conditionalFormatting>
  <conditionalFormatting sqref="YG55">
    <cfRule type="containsText" dxfId="517" priority="1383" operator="containsText" text="8265MSS">
      <formula>NOT(ISERROR(SEARCH("8265MSS",YG55)))</formula>
    </cfRule>
  </conditionalFormatting>
  <conditionalFormatting sqref="YN55">
    <cfRule type="containsText" dxfId="516" priority="1381" operator="containsText" text="8265MSS">
      <formula>NOT(ISERROR(SEARCH("8265MSS",YN55)))</formula>
    </cfRule>
  </conditionalFormatting>
  <conditionalFormatting sqref="YN59">
    <cfRule type="containsText" dxfId="515" priority="1378" operator="containsText" text="8265MSS">
      <formula>NOT(ISERROR(SEARCH("8265MSS",YN59)))</formula>
    </cfRule>
  </conditionalFormatting>
  <conditionalFormatting sqref="YN59">
    <cfRule type="containsText" dxfId="514" priority="1377" operator="containsText" text="8265MSS">
      <formula>NOT(ISERROR(SEARCH("8265MSS",YN59)))</formula>
    </cfRule>
  </conditionalFormatting>
  <conditionalFormatting sqref="YE69">
    <cfRule type="containsText" dxfId="513" priority="1375" operator="containsText" text="8265MSS">
      <formula>NOT(ISERROR(SEARCH("8265MSS",YE69)))</formula>
    </cfRule>
  </conditionalFormatting>
  <conditionalFormatting sqref="YE71">
    <cfRule type="containsText" dxfId="512" priority="1374" operator="containsText" text="8265MSS">
      <formula>NOT(ISERROR(SEARCH("8265MSS",YE71)))</formula>
    </cfRule>
  </conditionalFormatting>
  <conditionalFormatting sqref="ZW49:ZX49">
    <cfRule type="containsText" dxfId="511" priority="1370" operator="containsText" text="8265MSS">
      <formula>NOT(ISERROR(SEARCH("8265MSS",ZW49)))</formula>
    </cfRule>
  </conditionalFormatting>
  <conditionalFormatting sqref="YF71">
    <cfRule type="containsText" dxfId="510" priority="1358" operator="containsText" text="8265MSS">
      <formula>NOT(ISERROR(SEARCH("8265MSS",YF71)))</formula>
    </cfRule>
  </conditionalFormatting>
  <conditionalFormatting sqref="YF73">
    <cfRule type="containsText" dxfId="509" priority="1357" operator="containsText" text="8265MSS">
      <formula>NOT(ISERROR(SEARCH("8265MSS",YF73)))</formula>
    </cfRule>
  </conditionalFormatting>
  <conditionalFormatting sqref="YH69">
    <cfRule type="containsText" dxfId="508" priority="1356" operator="containsText" text="8265MSS">
      <formula>NOT(ISERROR(SEARCH("8265MSS",YH69)))</formula>
    </cfRule>
  </conditionalFormatting>
  <conditionalFormatting sqref="YI69">
    <cfRule type="containsText" dxfId="507" priority="1355" operator="containsText" text="8265MSS">
      <formula>NOT(ISERROR(SEARCH("8265MSS",YI69)))</formula>
    </cfRule>
  </conditionalFormatting>
  <conditionalFormatting sqref="YJ69">
    <cfRule type="containsText" dxfId="506" priority="1354" operator="containsText" text="8265MSS">
      <formula>NOT(ISERROR(SEARCH("8265MSS",YJ69)))</formula>
    </cfRule>
  </conditionalFormatting>
  <conditionalFormatting sqref="YH59:YI59">
    <cfRule type="containsText" dxfId="505" priority="1353" operator="containsText" text="8265MSS">
      <formula>NOT(ISERROR(SEARCH("8265MSS",YH59)))</formula>
    </cfRule>
  </conditionalFormatting>
  <conditionalFormatting sqref="YJ59:YL59">
    <cfRule type="containsText" dxfId="504" priority="1352" operator="containsText" text="8265MSS">
      <formula>NOT(ISERROR(SEARCH("8265MSS",YJ59)))</formula>
    </cfRule>
  </conditionalFormatting>
  <conditionalFormatting sqref="ZA45">
    <cfRule type="containsText" dxfId="503" priority="1351" operator="containsText" text="8265MSS">
      <formula>NOT(ISERROR(SEARCH("8265MSS",ZA45)))</formula>
    </cfRule>
  </conditionalFormatting>
  <conditionalFormatting sqref="YP53:YQ53">
    <cfRule type="containsText" dxfId="502" priority="1350" operator="containsText" text="8265MSS">
      <formula>NOT(ISERROR(SEARCH("8265MSS",YP53)))</formula>
    </cfRule>
  </conditionalFormatting>
  <conditionalFormatting sqref="YR53:YV53">
    <cfRule type="containsText" dxfId="501" priority="1349" operator="containsText" text="8265MSS">
      <formula>NOT(ISERROR(SEARCH("8265MSS",YR53)))</formula>
    </cfRule>
  </conditionalFormatting>
  <conditionalFormatting sqref="ACR59:ACS59">
    <cfRule type="containsText" dxfId="500" priority="1319" operator="containsText" text="8265MSS">
      <formula>NOT(ISERROR(SEARCH("8265MSS",ACR59)))</formula>
    </cfRule>
  </conditionalFormatting>
  <conditionalFormatting sqref="ACT57:ACV57">
    <cfRule type="containsText" dxfId="499" priority="1311" operator="containsText" text="8265MSS">
      <formula>NOT(ISERROR(SEARCH("8265MSS",ACT57)))</formula>
    </cfRule>
  </conditionalFormatting>
  <conditionalFormatting sqref="ABW45:ABZ45">
    <cfRule type="containsText" dxfId="498" priority="1298" operator="containsText" text="8265MSS">
      <formula>NOT(ISERROR(SEARCH("8265MSS",ABW45)))</formula>
    </cfRule>
  </conditionalFormatting>
  <conditionalFormatting sqref="ABZ43:ACA43">
    <cfRule type="containsText" dxfId="497" priority="1297" operator="containsText" text="8265MSS">
      <formula>NOT(ISERROR(SEARCH("8265MSS",ABZ43)))</formula>
    </cfRule>
  </conditionalFormatting>
  <conditionalFormatting sqref="YS69">
    <cfRule type="containsText" dxfId="496" priority="1294" operator="containsText" text="8265MSS">
      <formula>NOT(ISERROR(SEARCH("8265MSS",YS69)))</formula>
    </cfRule>
  </conditionalFormatting>
  <conditionalFormatting sqref="YW69">
    <cfRule type="containsText" dxfId="495" priority="1293" operator="containsText" text="8265MSS">
      <formula>NOT(ISERROR(SEARCH("8265MSS",YW69)))</formula>
    </cfRule>
  </conditionalFormatting>
  <conditionalFormatting sqref="YX69">
    <cfRule type="containsText" dxfId="494" priority="1291" operator="containsText" text="8265MSS">
      <formula>NOT(ISERROR(SEARCH("8265MSS",YX69)))</formula>
    </cfRule>
  </conditionalFormatting>
  <conditionalFormatting sqref="YY69">
    <cfRule type="containsText" dxfId="493" priority="1283" operator="containsText" text="8265MSS">
      <formula>NOT(ISERROR(SEARCH("8265MSS",YY69)))</formula>
    </cfRule>
  </conditionalFormatting>
  <conditionalFormatting sqref="YZ69">
    <cfRule type="containsText" dxfId="492" priority="1281" operator="containsText" text="8265MSS">
      <formula>NOT(ISERROR(SEARCH("8265MSS",YZ69)))</formula>
    </cfRule>
  </conditionalFormatting>
  <conditionalFormatting sqref="YZ71">
    <cfRule type="containsText" dxfId="491" priority="1280" operator="containsText" text="8265MSS">
      <formula>NOT(ISERROR(SEARCH("8265MSS",YZ71)))</formula>
    </cfRule>
  </conditionalFormatting>
  <conditionalFormatting sqref="ZA49:ZB49">
    <cfRule type="containsText" dxfId="490" priority="1278" operator="containsText" text="8265MSS">
      <formula>NOT(ISERROR(SEARCH("8265MSS",ZA49)))</formula>
    </cfRule>
  </conditionalFormatting>
  <conditionalFormatting sqref="ZB69">
    <cfRule type="containsText" dxfId="489" priority="1277" operator="containsText" text="8265MSS">
      <formula>NOT(ISERROR(SEARCH("8265MSS",ZB69)))</formula>
    </cfRule>
  </conditionalFormatting>
  <conditionalFormatting sqref="ZD69">
    <cfRule type="containsText" dxfId="488" priority="1276" operator="containsText" text="8265MSS">
      <formula>NOT(ISERROR(SEARCH("8265MSS",ZD69)))</formula>
    </cfRule>
  </conditionalFormatting>
  <conditionalFormatting sqref="ZD71">
    <cfRule type="containsText" dxfId="487" priority="1275" operator="containsText" text="8265MSS">
      <formula>NOT(ISERROR(SEARCH("8265MSS",ZD71)))</formula>
    </cfRule>
  </conditionalFormatting>
  <conditionalFormatting sqref="ZF45">
    <cfRule type="containsText" dxfId="486" priority="1271" operator="containsText" text="8265MSS">
      <formula>NOT(ISERROR(SEARCH("8265MSS",ZF45)))</formula>
    </cfRule>
  </conditionalFormatting>
  <conditionalFormatting sqref="ZE45">
    <cfRule type="containsText" dxfId="485" priority="1269" operator="containsText" text="8265MSS">
      <formula>NOT(ISERROR(SEARCH("8265MSS",ZE45)))</formula>
    </cfRule>
  </conditionalFormatting>
  <conditionalFormatting sqref="ZK45">
    <cfRule type="containsText" dxfId="484" priority="1268" operator="containsText" text="8265MSS">
      <formula>NOT(ISERROR(SEARCH("8265MSS",ZK45)))</formula>
    </cfRule>
  </conditionalFormatting>
  <conditionalFormatting sqref="ZE69">
    <cfRule type="containsText" dxfId="483" priority="1264" operator="containsText" text="8265MSS">
      <formula>NOT(ISERROR(SEARCH("8265MSS",ZE69)))</formula>
    </cfRule>
  </conditionalFormatting>
  <conditionalFormatting sqref="ZF69">
    <cfRule type="containsText" dxfId="482" priority="1263" operator="containsText" text="8265MSS">
      <formula>NOT(ISERROR(SEARCH("8265MSS",ZF69)))</formula>
    </cfRule>
  </conditionalFormatting>
  <conditionalFormatting sqref="ZD59">
    <cfRule type="containsText" dxfId="481" priority="1252" operator="containsText" text="8265MSS">
      <formula>NOT(ISERROR(SEARCH("8265MSS",ZD59)))</formula>
    </cfRule>
  </conditionalFormatting>
  <conditionalFormatting sqref="ZI45:ZJ45">
    <cfRule type="containsText" dxfId="480" priority="1251" operator="containsText" text="8265MSS">
      <formula>NOT(ISERROR(SEARCH("8265MSS",ZI45)))</formula>
    </cfRule>
  </conditionalFormatting>
  <conditionalFormatting sqref="ZP61:ZQ61">
    <cfRule type="containsText" dxfId="479" priority="1250" operator="containsText" text="8265MSS">
      <formula>NOT(ISERROR(SEARCH("8265MSS",ZP61)))</formula>
    </cfRule>
  </conditionalFormatting>
  <conditionalFormatting sqref="ZO49:ZQ49">
    <cfRule type="containsText" dxfId="478" priority="1247" operator="containsText" text="8265MSS">
      <formula>NOT(ISERROR(SEARCH("8265MSS",ZO49)))</formula>
    </cfRule>
  </conditionalFormatting>
  <conditionalFormatting sqref="AAA57:AAD57">
    <cfRule type="containsText" dxfId="477" priority="1246" operator="containsText" text="8265MSS">
      <formula>NOT(ISERROR(SEARCH("8265MSS",AAA57)))</formula>
    </cfRule>
  </conditionalFormatting>
  <conditionalFormatting sqref="ZU61">
    <cfRule type="containsText" dxfId="476" priority="1241" operator="containsText" text="8265MSS">
      <formula>NOT(ISERROR(SEARCH("8265MSS",ZU61)))</formula>
    </cfRule>
  </conditionalFormatting>
  <conditionalFormatting sqref="ZX45:ZZ45">
    <cfRule type="containsText" dxfId="475" priority="1239" operator="containsText" text="8265MSS">
      <formula>NOT(ISERROR(SEARCH("8265MSS",ZX45)))</formula>
    </cfRule>
  </conditionalFormatting>
  <conditionalFormatting sqref="ZM69">
    <cfRule type="containsText" dxfId="474" priority="1236" operator="containsText" text="8265MSS">
      <formula>NOT(ISERROR(SEARCH("8265MSS",ZM69)))</formula>
    </cfRule>
  </conditionalFormatting>
  <conditionalFormatting sqref="ZN69">
    <cfRule type="containsText" dxfId="473" priority="1235" operator="containsText" text="8265MSS">
      <formula>NOT(ISERROR(SEARCH("8265MSS",ZN69)))</formula>
    </cfRule>
  </conditionalFormatting>
  <conditionalFormatting sqref="ZN71">
    <cfRule type="containsText" dxfId="472" priority="1234" operator="containsText" text="8265MSS">
      <formula>NOT(ISERROR(SEARCH("8265MSS",ZN71)))</formula>
    </cfRule>
  </conditionalFormatting>
  <conditionalFormatting sqref="ZO59:ZQ59">
    <cfRule type="containsText" dxfId="471" priority="1233" operator="containsText" text="8265MSS">
      <formula>NOT(ISERROR(SEARCH("8265MSS",ZO59)))</formula>
    </cfRule>
  </conditionalFormatting>
  <conditionalFormatting sqref="ZO63:ZQ63">
    <cfRule type="containsText" dxfId="470" priority="1232" operator="containsText" text="8265MSS">
      <formula>NOT(ISERROR(SEARCH("8265MSS",ZO63)))</formula>
    </cfRule>
  </conditionalFormatting>
  <conditionalFormatting sqref="ZO69">
    <cfRule type="containsText" dxfId="469" priority="1231" operator="containsText" text="8265MSS">
      <formula>NOT(ISERROR(SEARCH("8265MSS",ZO69)))</formula>
    </cfRule>
  </conditionalFormatting>
  <conditionalFormatting sqref="ZO71">
    <cfRule type="containsText" dxfId="468" priority="1230" operator="containsText" text="8265MSS">
      <formula>NOT(ISERROR(SEARCH("8265MSS",ZO71)))</formula>
    </cfRule>
  </conditionalFormatting>
  <conditionalFormatting sqref="ZS43:ZU43">
    <cfRule type="containsText" dxfId="467" priority="1228" operator="containsText" text="8265MSS">
      <formula>NOT(ISERROR(SEARCH("8265MSS",ZS43)))</formula>
    </cfRule>
  </conditionalFormatting>
  <conditionalFormatting sqref="ZP45:ZQ45">
    <cfRule type="containsText" dxfId="466" priority="1226" operator="containsText" text="8265MSS">
      <formula>NOT(ISERROR(SEARCH("8265MSS",ZP45)))</formula>
    </cfRule>
  </conditionalFormatting>
  <conditionalFormatting sqref="ZU45">
    <cfRule type="containsText" dxfId="465" priority="1225" operator="containsText" text="8265MSS">
      <formula>NOT(ISERROR(SEARCH("8265MSS",ZU45)))</formula>
    </cfRule>
  </conditionalFormatting>
  <conditionalFormatting sqref="ABA69:ABF69">
    <cfRule type="containsText" dxfId="464" priority="1224" operator="containsText" text="8265MSS">
      <formula>NOT(ISERROR(SEARCH("8265MSS",ABA69)))</formula>
    </cfRule>
  </conditionalFormatting>
  <conditionalFormatting sqref="ZX51:ZY51">
    <cfRule type="containsText" dxfId="463" priority="1223" operator="containsText" text="8265MSS">
      <formula>NOT(ISERROR(SEARCH("8265MSS",ZX51)))</formula>
    </cfRule>
  </conditionalFormatting>
  <conditionalFormatting sqref="AAC45">
    <cfRule type="containsText" dxfId="462" priority="1222" operator="containsText" text="8265MSS">
      <formula>NOT(ISERROR(SEARCH("8265MSS",AAC45)))</formula>
    </cfRule>
  </conditionalFormatting>
  <conditionalFormatting sqref="ZX55:ZZ55 AAC55:AAD55">
    <cfRule type="containsText" dxfId="461" priority="1221" operator="containsText" text="8265MSS">
      <formula>NOT(ISERROR(SEARCH("8265MSS",ZX55)))</formula>
    </cfRule>
  </conditionalFormatting>
  <conditionalFormatting sqref="ZP69">
    <cfRule type="containsText" dxfId="460" priority="1219" operator="containsText" text="8265MSS">
      <formula>NOT(ISERROR(SEARCH("8265MSS",ZP69)))</formula>
    </cfRule>
  </conditionalFormatting>
  <conditionalFormatting sqref="ZP71">
    <cfRule type="containsText" dxfId="459" priority="1218" operator="containsText" text="8265MSS">
      <formula>NOT(ISERROR(SEARCH("8265MSS",ZP71)))</formula>
    </cfRule>
  </conditionalFormatting>
  <conditionalFormatting sqref="AAA43:AAD43">
    <cfRule type="containsText" dxfId="458" priority="1208" operator="containsText" text="8265MSS">
      <formula>NOT(ISERROR(SEARCH("8265MSS",AAA43)))</formula>
    </cfRule>
  </conditionalFormatting>
  <conditionalFormatting sqref="ZS59:ZV59">
    <cfRule type="containsText" dxfId="457" priority="1211" operator="containsText" text="8265MSS">
      <formula>NOT(ISERROR(SEARCH("8265MSS",ZS59)))</formula>
    </cfRule>
  </conditionalFormatting>
  <conditionalFormatting sqref="ZS63:ZX63">
    <cfRule type="containsText" dxfId="456" priority="1210" operator="containsText" text="8265MSS">
      <formula>NOT(ISERROR(SEARCH("8265MSS",ZS63)))</formula>
    </cfRule>
  </conditionalFormatting>
  <conditionalFormatting sqref="ZT69">
    <cfRule type="containsText" dxfId="455" priority="1209" operator="containsText" text="8265MSS">
      <formula>NOT(ISERROR(SEARCH("8265MSS",ZT69)))</formula>
    </cfRule>
  </conditionalFormatting>
  <conditionalFormatting sqref="AAK43:AAL43">
    <cfRule type="containsText" dxfId="454" priority="1207" operator="containsText" text="8265MSS">
      <formula>NOT(ISERROR(SEARCH("8265MSS",AAK43)))</formula>
    </cfRule>
  </conditionalFormatting>
  <conditionalFormatting sqref="AAJ43">
    <cfRule type="containsText" dxfId="453" priority="1206" operator="containsText" text="8265MSS">
      <formula>NOT(ISERROR(SEARCH("8265MSS",AAJ43)))</formula>
    </cfRule>
  </conditionalFormatting>
  <conditionalFormatting sqref="AAP45">
    <cfRule type="containsText" dxfId="452" priority="1204" operator="containsText" text="8265MSS">
      <formula>NOT(ISERROR(SEARCH("8265MSS",AAP45)))</formula>
    </cfRule>
  </conditionalFormatting>
  <conditionalFormatting sqref="AAR45:AAS45">
    <cfRule type="containsText" dxfId="451" priority="1202" operator="containsText" text="8265MSS">
      <formula>NOT(ISERROR(SEARCH("8265MSS",AAR45)))</formula>
    </cfRule>
  </conditionalFormatting>
  <conditionalFormatting sqref="AAK45:AAM45">
    <cfRule type="containsText" dxfId="450" priority="1201" operator="containsText" text="8265MSS">
      <formula>NOT(ISERROR(SEARCH("8265MSS",AAK45)))</formula>
    </cfRule>
  </conditionalFormatting>
  <conditionalFormatting sqref="AAJ57">
    <cfRule type="containsText" dxfId="449" priority="1197" operator="containsText" text="8265MSS">
      <formula>NOT(ISERROR(SEARCH("8265MSS",AAJ57)))</formula>
    </cfRule>
  </conditionalFormatting>
  <conditionalFormatting sqref="ABR51">
    <cfRule type="containsText" dxfId="448" priority="1189" operator="containsText" text="8265MSS">
      <formula>NOT(ISERROR(SEARCH("8265MSS",ABR51)))</formula>
    </cfRule>
  </conditionalFormatting>
  <conditionalFormatting sqref="ABU51:ABV51">
    <cfRule type="containsText" dxfId="447" priority="1188" operator="containsText" text="8265MSS">
      <formula>NOT(ISERROR(SEARCH("8265MSS",ABU51)))</formula>
    </cfRule>
  </conditionalFormatting>
  <conditionalFormatting sqref="AAV43:AAW43">
    <cfRule type="containsText" dxfId="446" priority="1184" operator="containsText" text="8265MSS">
      <formula>NOT(ISERROR(SEARCH("8265MSS",AAV43)))</formula>
    </cfRule>
  </conditionalFormatting>
  <conditionalFormatting sqref="ABA45:ABB45">
    <cfRule type="containsText" dxfId="445" priority="1181" operator="containsText" text="8265MSS">
      <formula>NOT(ISERROR(SEARCH("8265MSS",ABA45)))</formula>
    </cfRule>
  </conditionalFormatting>
  <conditionalFormatting sqref="ZS65">
    <cfRule type="containsText" dxfId="444" priority="1177" operator="containsText" text="8265MSS">
      <formula>NOT(ISERROR(SEARCH("8265MSS",ZS65)))</formula>
    </cfRule>
  </conditionalFormatting>
  <conditionalFormatting sqref="ZU69">
    <cfRule type="containsText" dxfId="443" priority="1158" operator="containsText" text="8265MSS">
      <formula>NOT(ISERROR(SEARCH("8265MSS",ZU69)))</formula>
    </cfRule>
  </conditionalFormatting>
  <conditionalFormatting sqref="ZV69">
    <cfRule type="containsText" dxfId="442" priority="1157" operator="containsText" text="8265MSS">
      <formula>NOT(ISERROR(SEARCH("8265MSS",ZV69)))</formula>
    </cfRule>
  </conditionalFormatting>
  <conditionalFormatting sqref="ZW69">
    <cfRule type="containsText" dxfId="441" priority="1147" operator="containsText" text="8265MSS">
      <formula>NOT(ISERROR(SEARCH("8265MSS",ZW69)))</formula>
    </cfRule>
  </conditionalFormatting>
  <conditionalFormatting sqref="AJL5:AKP5">
    <cfRule type="cellIs" dxfId="440" priority="1152" stopIfTrue="1" operator="equal">
      <formula>"Fri"</formula>
    </cfRule>
  </conditionalFormatting>
  <conditionalFormatting sqref="AKR5:ALS5">
    <cfRule type="cellIs" dxfId="439" priority="1151" stopIfTrue="1" operator="equal">
      <formula>"Fri"</formula>
    </cfRule>
  </conditionalFormatting>
  <conditionalFormatting sqref="ALU40:AMY40">
    <cfRule type="cellIs" dxfId="438" priority="1150" stopIfTrue="1" operator="equal">
      <formula>"Fri"</formula>
    </cfRule>
  </conditionalFormatting>
  <conditionalFormatting sqref="ALU5:AMY5">
    <cfRule type="cellIs" dxfId="437" priority="1149" stopIfTrue="1" operator="equal">
      <formula>"Fri"</formula>
    </cfRule>
  </conditionalFormatting>
  <conditionalFormatting sqref="ZX69">
    <cfRule type="containsText" dxfId="436" priority="1146" operator="containsText" text="8265MSS">
      <formula>NOT(ISERROR(SEARCH("8265MSS",ZX69)))</formula>
    </cfRule>
  </conditionalFormatting>
  <conditionalFormatting sqref="ZZ69">
    <cfRule type="containsText" dxfId="435" priority="1145" operator="containsText" text="8265MSS">
      <formula>NOT(ISERROR(SEARCH("8265MSS",ZZ69)))</formula>
    </cfRule>
  </conditionalFormatting>
  <conditionalFormatting sqref="AAD45">
    <cfRule type="containsText" dxfId="434" priority="1104" operator="containsText" text="8265MSS">
      <formula>NOT(ISERROR(SEARCH("8265MSS",AAD45)))</formula>
    </cfRule>
  </conditionalFormatting>
  <conditionalFormatting sqref="AAB69:AAC69">
    <cfRule type="containsText" dxfId="433" priority="1105" operator="containsText" text="8265MSS">
      <formula>NOT(ISERROR(SEARCH("8265MSS",AAB69)))</formula>
    </cfRule>
  </conditionalFormatting>
  <conditionalFormatting sqref="AAD51">
    <cfRule type="containsText" dxfId="432" priority="1102" operator="containsText" text="8265MSS">
      <formula>NOT(ISERROR(SEARCH("8265MSS",AAD51)))</formula>
    </cfRule>
  </conditionalFormatting>
  <conditionalFormatting sqref="AAD69">
    <cfRule type="containsText" dxfId="431" priority="1100" operator="containsText" text="8265MSS">
      <formula>NOT(ISERROR(SEARCH("8265MSS",AAD69)))</formula>
    </cfRule>
  </conditionalFormatting>
  <conditionalFormatting sqref="AAJ69">
    <cfRule type="containsText" dxfId="430" priority="1099" operator="containsText" text="8265MSS">
      <formula>NOT(ISERROR(SEARCH("8265MSS",AAJ69)))</formula>
    </cfRule>
  </conditionalFormatting>
  <conditionalFormatting sqref="AAK61">
    <cfRule type="containsText" dxfId="429" priority="1098" operator="containsText" text="8265MSS">
      <formula>NOT(ISERROR(SEARCH("8265MSS",AAK61)))</formula>
    </cfRule>
  </conditionalFormatting>
  <conditionalFormatting sqref="AAK69">
    <cfRule type="containsText" dxfId="428" priority="1097" operator="containsText" text="8265MSS">
      <formula>NOT(ISERROR(SEARCH("8265MSS",AAK69)))</formula>
    </cfRule>
  </conditionalFormatting>
  <conditionalFormatting sqref="AAY43:AAZ43">
    <cfRule type="containsText" dxfId="427" priority="1096" operator="containsText" text="8265MSS">
      <formula>NOT(ISERROR(SEARCH("8265MSS",AAY43)))</formula>
    </cfRule>
  </conditionalFormatting>
  <conditionalFormatting sqref="AAQ45">
    <cfRule type="containsText" dxfId="426" priority="1092" operator="containsText" text="8265MSS">
      <formula>NOT(ISERROR(SEARCH("8265MSS",AAQ45)))</formula>
    </cfRule>
  </conditionalFormatting>
  <conditionalFormatting sqref="ABA49">
    <cfRule type="containsText" dxfId="425" priority="1084" operator="containsText" text="8265MSS">
      <formula>NOT(ISERROR(SEARCH("8265MSS",ABA49)))</formula>
    </cfRule>
  </conditionalFormatting>
  <conditionalFormatting sqref="ABH49">
    <cfRule type="containsText" dxfId="424" priority="1083" operator="containsText" text="8265MSS">
      <formula>NOT(ISERROR(SEARCH("8265MSS",ABH49)))</formula>
    </cfRule>
  </conditionalFormatting>
  <conditionalFormatting sqref="ABH61:ABI61">
    <cfRule type="containsText" dxfId="423" priority="1082" operator="containsText" text="8265MSS">
      <formula>NOT(ISERROR(SEARCH("8265MSS",ABH61)))</formula>
    </cfRule>
  </conditionalFormatting>
  <conditionalFormatting sqref="AAT61:AAU61">
    <cfRule type="containsText" dxfId="422" priority="1081" operator="containsText" text="8265MSS">
      <formula>NOT(ISERROR(SEARCH("8265MSS",AAT61)))</formula>
    </cfRule>
  </conditionalFormatting>
  <conditionalFormatting sqref="AAO51">
    <cfRule type="containsText" dxfId="421" priority="1078" operator="containsText" text="8265MSS">
      <formula>NOT(ISERROR(SEARCH("8265MSS",AAO51)))</formula>
    </cfRule>
  </conditionalFormatting>
  <conditionalFormatting sqref="AAY59:ABA59">
    <cfRule type="containsText" dxfId="420" priority="1075" operator="containsText" text="8265MSS">
      <formula>NOT(ISERROR(SEARCH("8265MSS",AAY59)))</formula>
    </cfRule>
  </conditionalFormatting>
  <conditionalFormatting sqref="AAY57:AAZ57">
    <cfRule type="containsText" dxfId="419" priority="1073" operator="containsText" text="8265MSS">
      <formula>NOT(ISERROR(SEARCH("8265MSS",AAY57)))</formula>
    </cfRule>
  </conditionalFormatting>
  <conditionalFormatting sqref="ABG45">
    <cfRule type="containsText" dxfId="418" priority="1071" operator="containsText" text="8265MSS">
      <formula>NOT(ISERROR(SEARCH("8265MSS",ABG45)))</formula>
    </cfRule>
  </conditionalFormatting>
  <conditionalFormatting sqref="AAY45:AAZ45">
    <cfRule type="containsText" dxfId="417" priority="1049" operator="containsText" text="8265MSS">
      <formula>NOT(ISERROR(SEARCH("8265MSS",AAY45)))</formula>
    </cfRule>
  </conditionalFormatting>
  <conditionalFormatting sqref="AAR61:AAS61">
    <cfRule type="containsText" dxfId="416" priority="1047" operator="containsText" text="8265MSS">
      <formula>NOT(ISERROR(SEARCH("8265MSS",AAR61)))</formula>
    </cfRule>
  </conditionalFormatting>
  <conditionalFormatting sqref="AAP61">
    <cfRule type="containsText" dxfId="415" priority="1048" operator="containsText" text="8265MSS">
      <formula>NOT(ISERROR(SEARCH("8265MSS",AAP61)))</formula>
    </cfRule>
  </conditionalFormatting>
  <conditionalFormatting sqref="AAQ61">
    <cfRule type="containsText" dxfId="414" priority="1046" operator="containsText" text="8265MSS">
      <formula>NOT(ISERROR(SEARCH("8265MSS",AAQ61)))</formula>
    </cfRule>
  </conditionalFormatting>
  <conditionalFormatting sqref="AAU43">
    <cfRule type="containsText" dxfId="413" priority="1045" operator="containsText" text="8265MSS">
      <formula>NOT(ISERROR(SEARCH("8265MSS",AAU43)))</formula>
    </cfRule>
  </conditionalFormatting>
  <conditionalFormatting sqref="AAT45:AAU45">
    <cfRule type="containsText" dxfId="412" priority="1044" operator="containsText" text="8265MSS">
      <formula>NOT(ISERROR(SEARCH("8265MSS",AAT45)))</formula>
    </cfRule>
  </conditionalFormatting>
  <conditionalFormatting sqref="AAT59:AAV59">
    <cfRule type="containsText" dxfId="411" priority="1043" operator="containsText" text="8265MSS">
      <formula>NOT(ISERROR(SEARCH("8265MSS",AAT59)))</formula>
    </cfRule>
  </conditionalFormatting>
  <conditionalFormatting sqref="ACO110">
    <cfRule type="containsText" dxfId="410" priority="1028" operator="containsText" text="8265MSS">
      <formula>NOT(ISERROR(SEARCH("8265MSS",ACO110)))</formula>
    </cfRule>
  </conditionalFormatting>
  <conditionalFormatting sqref="ANA5:AOD5">
    <cfRule type="cellIs" dxfId="409" priority="1019" stopIfTrue="1" operator="equal">
      <formula>"Fri"</formula>
    </cfRule>
  </conditionalFormatting>
  <conditionalFormatting sqref="ANA40:AOD40">
    <cfRule type="cellIs" dxfId="408" priority="1018" stopIfTrue="1" operator="equal">
      <formula>"Fri"</formula>
    </cfRule>
  </conditionalFormatting>
  <conditionalFormatting sqref="AOF40:APJ40">
    <cfRule type="cellIs" dxfId="407" priority="986" stopIfTrue="1" operator="equal">
      <formula>"Fri"</formula>
    </cfRule>
  </conditionalFormatting>
  <conditionalFormatting sqref="ABG59:ABH59">
    <cfRule type="containsText" dxfId="406" priority="963" operator="containsText" text="8265MSS">
      <formula>NOT(ISERROR(SEARCH("8265MSS",ABG59)))</formula>
    </cfRule>
  </conditionalFormatting>
  <conditionalFormatting sqref="ABH45:ABJ45">
    <cfRule type="containsText" dxfId="405" priority="962" operator="containsText" text="8265MSS">
      <formula>NOT(ISERROR(SEARCH("8265MSS",ABH45)))</formula>
    </cfRule>
  </conditionalFormatting>
  <conditionalFormatting sqref="ABK59">
    <cfRule type="containsText" dxfId="404" priority="955" operator="containsText" text="8265MSS">
      <formula>NOT(ISERROR(SEARCH("8265MSS",ABK59)))</formula>
    </cfRule>
  </conditionalFormatting>
  <conditionalFormatting sqref="ABO43:ABQ43">
    <cfRule type="containsText" dxfId="403" priority="953" operator="containsText" text="8265MSS">
      <formula>NOT(ISERROR(SEARCH("8265MSS",ABO43)))</formula>
    </cfRule>
  </conditionalFormatting>
  <conditionalFormatting sqref="ACD51">
    <cfRule type="containsText" dxfId="402" priority="910" operator="containsText" text="8265MSS">
      <formula>NOT(ISERROR(SEARCH("8265MSS",ACD51)))</formula>
    </cfRule>
  </conditionalFormatting>
  <conditionalFormatting sqref="ACF57">
    <cfRule type="containsText" dxfId="401" priority="906" operator="containsText" text="8265MSS">
      <formula>NOT(ISERROR(SEARCH("8265MSS",ACF57)))</formula>
    </cfRule>
  </conditionalFormatting>
  <conditionalFormatting sqref="ADL43 ADO43:ADQ43">
    <cfRule type="containsText" dxfId="400" priority="882" operator="containsText" text="8265MSS">
      <formula>NOT(ISERROR(SEARCH("8265MSS",ADL43)))</formula>
    </cfRule>
  </conditionalFormatting>
  <conditionalFormatting sqref="ADM43:ADN43">
    <cfRule type="containsText" dxfId="399" priority="881" operator="containsText" text="8265MSS">
      <formula>NOT(ISERROR(SEARCH("8265MSS",ADM43)))</formula>
    </cfRule>
  </conditionalFormatting>
  <conditionalFormatting sqref="ACK51">
    <cfRule type="containsText" dxfId="398" priority="886" operator="containsText" text="8265MSS">
      <formula>NOT(ISERROR(SEARCH("8265MSS",ACK51)))</formula>
    </cfRule>
  </conditionalFormatting>
  <conditionalFormatting sqref="ADZ43:AEA43">
    <cfRule type="containsText" dxfId="397" priority="877" operator="containsText" text="8265MSS">
      <formula>NOT(ISERROR(SEARCH("8265MSS",ADZ43)))</formula>
    </cfRule>
  </conditionalFormatting>
  <conditionalFormatting sqref="AEJ43">
    <cfRule type="containsText" dxfId="396" priority="876" operator="containsText" text="8265MSS">
      <formula>NOT(ISERROR(SEARCH("8265MSS",AEJ43)))</formula>
    </cfRule>
  </conditionalFormatting>
  <conditionalFormatting sqref="ADY45:ADZ45">
    <cfRule type="containsText" dxfId="395" priority="873" operator="containsText" text="8265MSS">
      <formula>NOT(ISERROR(SEARCH("8265MSS",ADY45)))</formula>
    </cfRule>
  </conditionalFormatting>
  <conditionalFormatting sqref="AEB51">
    <cfRule type="containsText" dxfId="394" priority="867" operator="containsText" text="8265MSS">
      <formula>NOT(ISERROR(SEARCH("8265MSS",AEB51)))</formula>
    </cfRule>
  </conditionalFormatting>
  <conditionalFormatting sqref="AEV61">
    <cfRule type="containsText" dxfId="393" priority="865" operator="containsText" text="8265MSS">
      <formula>NOT(ISERROR(SEARCH("8265MSS",AEV61)))</formula>
    </cfRule>
  </conditionalFormatting>
  <conditionalFormatting sqref="ADR45 ADK45:ADO45 ADT45:ADV45">
    <cfRule type="containsText" dxfId="392" priority="864" operator="containsText" text="8265MSS">
      <formula>NOT(ISERROR(SEARCH("8265MSS",ADK45)))</formula>
    </cfRule>
  </conditionalFormatting>
  <conditionalFormatting sqref="AEG57:AEH57">
    <cfRule type="containsText" dxfId="391" priority="862" operator="containsText" text="8265MSS">
      <formula>NOT(ISERROR(SEARCH("8265MSS",AEG57)))</formula>
    </cfRule>
  </conditionalFormatting>
  <conditionalFormatting sqref="AER57:AEU57">
    <cfRule type="containsText" dxfId="390" priority="861" operator="containsText" text="8265MSS">
      <formula>NOT(ISERROR(SEARCH("8265MSS",AER57)))</formula>
    </cfRule>
  </conditionalFormatting>
  <conditionalFormatting sqref="AEP57:AEQ57">
    <cfRule type="containsText" dxfId="389" priority="859" operator="containsText" text="8265MSS">
      <formula>NOT(ISERROR(SEARCH("8265MSS",AEP57)))</formula>
    </cfRule>
  </conditionalFormatting>
  <conditionalFormatting sqref="AEP51:AEQ51">
    <cfRule type="containsText" dxfId="388" priority="850" operator="containsText" text="8265MSS">
      <formula>NOT(ISERROR(SEARCH("8265MSS",AEP51)))</formula>
    </cfRule>
  </conditionalFormatting>
  <conditionalFormatting sqref="AEI45:AEJ45">
    <cfRule type="containsText" dxfId="387" priority="848" operator="containsText" text="8265MSS">
      <formula>NOT(ISERROR(SEARCH("8265MSS",AEI45)))</formula>
    </cfRule>
  </conditionalFormatting>
  <conditionalFormatting sqref="ADJ57:ADP57">
    <cfRule type="containsText" dxfId="386" priority="845" operator="containsText" text="8265MSS">
      <formula>NOT(ISERROR(SEARCH("8265MSS",ADJ57)))</formula>
    </cfRule>
  </conditionalFormatting>
  <conditionalFormatting sqref="ADQ57">
    <cfRule type="containsText" dxfId="385" priority="843" operator="containsText" text="8265MSS">
      <formula>NOT(ISERROR(SEARCH("8265MSS",ADQ57)))</formula>
    </cfRule>
  </conditionalFormatting>
  <conditionalFormatting sqref="AEA45:AEB45 AEK45:AEN45">
    <cfRule type="containsText" dxfId="384" priority="841" operator="containsText" text="8265MSS">
      <formula>NOT(ISERROR(SEARCH("8265MSS",AEA45)))</formula>
    </cfRule>
  </conditionalFormatting>
  <conditionalFormatting sqref="ADO61:ADP61">
    <cfRule type="containsText" dxfId="383" priority="825" operator="containsText" text="8265MSS">
      <formula>NOT(ISERROR(SEARCH("8265MSS",ADO61)))</formula>
    </cfRule>
  </conditionalFormatting>
  <conditionalFormatting sqref="ADS61:ADT61">
    <cfRule type="containsText" dxfId="382" priority="824" operator="containsText" text="8265MSS">
      <formula>NOT(ISERROR(SEARCH("8265MSS",ADS61)))</formula>
    </cfRule>
  </conditionalFormatting>
  <conditionalFormatting sqref="AFK51:AFN51 AFE51:AFF51">
    <cfRule type="containsText" dxfId="381" priority="815" operator="containsText" text="8265MSS">
      <formula>NOT(ISERROR(SEARCH("8265MSS",AFE51)))</formula>
    </cfRule>
  </conditionalFormatting>
  <conditionalFormatting sqref="AFX61:AFY61">
    <cfRule type="containsText" dxfId="380" priority="808" operator="containsText" text="8265MSS">
      <formula>NOT(ISERROR(SEARCH("8265MSS",AFX61)))</formula>
    </cfRule>
  </conditionalFormatting>
  <conditionalFormatting sqref="AGI61:AGJ61">
    <cfRule type="containsText" dxfId="379" priority="802" operator="containsText" text="8265MSS">
      <formula>NOT(ISERROR(SEARCH("8265MSS",AGI61)))</formula>
    </cfRule>
  </conditionalFormatting>
  <conditionalFormatting sqref="AGE61:AGF61">
    <cfRule type="containsText" dxfId="378" priority="801" operator="containsText" text="8265MSS">
      <formula>NOT(ISERROR(SEARCH("8265MSS",AGE61)))</formula>
    </cfRule>
  </conditionalFormatting>
  <conditionalFormatting sqref="AHY61:AIB61">
    <cfRule type="containsText" dxfId="377" priority="779" operator="containsText" text="8265MSS">
      <formula>NOT(ISERROR(SEARCH("8265MSS",AHY61)))</formula>
    </cfRule>
  </conditionalFormatting>
  <conditionalFormatting sqref="AFI51:AFJ51">
    <cfRule type="containsText" dxfId="376" priority="739" operator="containsText" text="8265MSS">
      <formula>NOT(ISERROR(SEARCH("8265MSS",AFI51)))</formula>
    </cfRule>
  </conditionalFormatting>
  <conditionalFormatting sqref="AJR57:AJS57">
    <cfRule type="containsText" dxfId="375" priority="729" operator="containsText" text="8265MSS">
      <formula>NOT(ISERROR(SEARCH("8265MSS",AJR57)))</formula>
    </cfRule>
  </conditionalFormatting>
  <conditionalFormatting sqref="ACV59">
    <cfRule type="containsText" dxfId="374" priority="718" operator="containsText" text="8265MSS">
      <formula>NOT(ISERROR(SEARCH("8265MSS",ACV59)))</formula>
    </cfRule>
  </conditionalFormatting>
  <conditionalFormatting sqref="ADW55">
    <cfRule type="containsText" dxfId="373" priority="697" operator="containsText" text="8265MSS">
      <formula>NOT(ISERROR(SEARCH("8265MSS",ADW55)))</formula>
    </cfRule>
  </conditionalFormatting>
  <conditionalFormatting sqref="ADY57:AEA57">
    <cfRule type="containsText" dxfId="372" priority="685" operator="containsText" text="8265MSS">
      <formula>NOT(ISERROR(SEARCH("8265MSS",ADY57)))</formula>
    </cfRule>
  </conditionalFormatting>
  <conditionalFormatting sqref="ADW61">
    <cfRule type="containsText" dxfId="371" priority="684" operator="containsText" text="8265MSS">
      <formula>NOT(ISERROR(SEARCH("8265MSS",ADW61)))</formula>
    </cfRule>
  </conditionalFormatting>
  <conditionalFormatting sqref="ADR57:ADS57 ADU57">
    <cfRule type="containsText" dxfId="370" priority="683" operator="containsText" text="8265MSS">
      <formula>NOT(ISERROR(SEARCH("8265MSS",ADR57)))</formula>
    </cfRule>
  </conditionalFormatting>
  <conditionalFormatting sqref="ADT57">
    <cfRule type="containsText" dxfId="369" priority="682" operator="containsText" text="8265MSS">
      <formula>NOT(ISERROR(SEARCH("8265MSS",ADT57)))</formula>
    </cfRule>
  </conditionalFormatting>
  <conditionalFormatting sqref="AEB55">
    <cfRule type="containsText" dxfId="368" priority="677" operator="containsText" text="8265MSS">
      <formula>NOT(ISERROR(SEARCH("8265MSS",AEB55)))</formula>
    </cfRule>
  </conditionalFormatting>
  <conditionalFormatting sqref="AEP45:AEQ45">
    <cfRule type="containsText" dxfId="367" priority="674" operator="containsText" text="8265MSS">
      <formula>NOT(ISERROR(SEARCH("8265MSS",AEP45)))</formula>
    </cfRule>
  </conditionalFormatting>
  <conditionalFormatting sqref="AER45:AES45">
    <cfRule type="containsText" dxfId="366" priority="675" operator="containsText" text="8265MSS">
      <formula>NOT(ISERROR(SEARCH("8265MSS",AER45)))</formula>
    </cfRule>
  </conditionalFormatting>
  <conditionalFormatting sqref="AEE71">
    <cfRule type="containsText" dxfId="365" priority="668" operator="containsText" text="8265MSS">
      <formula>NOT(ISERROR(SEARCH("8265MSS",AEE71)))</formula>
    </cfRule>
  </conditionalFormatting>
  <conditionalFormatting sqref="AFK55:AFL55">
    <cfRule type="containsText" dxfId="364" priority="664" operator="containsText" text="8265MSS">
      <formula>NOT(ISERROR(SEARCH("8265MSS",AFK55)))</formula>
    </cfRule>
  </conditionalFormatting>
  <conditionalFormatting sqref="AFY55:AFZ55">
    <cfRule type="containsText" dxfId="363" priority="663" operator="containsText" text="8265MSS">
      <formula>NOT(ISERROR(SEARCH("8265MSS",AFY55)))</formula>
    </cfRule>
  </conditionalFormatting>
  <conditionalFormatting sqref="AEF71">
    <cfRule type="containsText" dxfId="362" priority="660" operator="containsText" text="8265MSS">
      <formula>NOT(ISERROR(SEARCH("8265MSS",AEF71)))</formula>
    </cfRule>
  </conditionalFormatting>
  <conditionalFormatting sqref="AEG71">
    <cfRule type="containsText" dxfId="361" priority="659" operator="containsText" text="8265MSS">
      <formula>NOT(ISERROR(SEARCH("8265MSS",AEG71)))</formula>
    </cfRule>
  </conditionalFormatting>
  <conditionalFormatting sqref="AEI71">
    <cfRule type="containsText" dxfId="360" priority="656" operator="containsText" text="8265MSS">
      <formula>NOT(ISERROR(SEARCH("8265MSS",AEI71)))</formula>
    </cfRule>
  </conditionalFormatting>
  <conditionalFormatting sqref="AEL55">
    <cfRule type="containsText" dxfId="359" priority="654" operator="containsText" text="8265MSS">
      <formula>NOT(ISERROR(SEARCH("8265MSS",AEL55)))</formula>
    </cfRule>
  </conditionalFormatting>
  <conditionalFormatting sqref="AEK71">
    <cfRule type="containsText" dxfId="358" priority="653" operator="containsText" text="8265MSS">
      <formula>NOT(ISERROR(SEARCH("8265MSS",AEK71)))</formula>
    </cfRule>
  </conditionalFormatting>
  <conditionalFormatting sqref="AEP61:AEQ61">
    <cfRule type="containsText" dxfId="357" priority="652" operator="containsText" text="8265MSS">
      <formula>NOT(ISERROR(SEARCH("8265MSS",AEP61)))</formula>
    </cfRule>
  </conditionalFormatting>
  <conditionalFormatting sqref="AER51">
    <cfRule type="containsText" dxfId="356" priority="650" operator="containsText" text="8265MSS">
      <formula>NOT(ISERROR(SEARCH("8265MSS",AER51)))</formula>
    </cfRule>
  </conditionalFormatting>
  <conditionalFormatting sqref="AEY61:AFB61">
    <cfRule type="containsText" dxfId="355" priority="649" operator="containsText" text="8265MSS">
      <formula>NOT(ISERROR(SEARCH("8265MSS",AEY61)))</formula>
    </cfRule>
  </conditionalFormatting>
  <conditionalFormatting sqref="AEK51">
    <cfRule type="containsText" dxfId="354" priority="623" operator="containsText" text="8265MSS">
      <formula>NOT(ISERROR(SEARCH("8265MSS",AEK51)))</formula>
    </cfRule>
  </conditionalFormatting>
  <conditionalFormatting sqref="AEL71">
    <cfRule type="containsText" dxfId="353" priority="621" operator="containsText" text="8265MSS">
      <formula>NOT(ISERROR(SEARCH("8265MSS",AEL71)))</formula>
    </cfRule>
  </conditionalFormatting>
  <conditionalFormatting sqref="AGU61:AGY61">
    <cfRule type="containsText" dxfId="352" priority="619" operator="containsText" text="8265MSS">
      <formula>NOT(ISERROR(SEARCH("8265MSS",AGU61)))</formula>
    </cfRule>
  </conditionalFormatting>
  <conditionalFormatting sqref="AEM71">
    <cfRule type="containsText" dxfId="351" priority="616" operator="containsText" text="8265MSS">
      <formula>NOT(ISERROR(SEARCH("8265MSS",AEM71)))</formula>
    </cfRule>
  </conditionalFormatting>
  <conditionalFormatting sqref="AEN71">
    <cfRule type="containsText" dxfId="350" priority="615" operator="containsText" text="8265MSS">
      <formula>NOT(ISERROR(SEARCH("8265MSS",AEN71)))</formula>
    </cfRule>
  </conditionalFormatting>
  <conditionalFormatting sqref="AEN73">
    <cfRule type="containsText" dxfId="349" priority="614" operator="containsText" text="8265MSS">
      <formula>NOT(ISERROR(SEARCH("8265MSS",AEN73)))</formula>
    </cfRule>
  </conditionalFormatting>
  <conditionalFormatting sqref="AEP71">
    <cfRule type="containsText" dxfId="348" priority="613" operator="containsText" text="8265MSS">
      <formula>NOT(ISERROR(SEARCH("8265MSS",AEP71)))</formula>
    </cfRule>
  </conditionalFormatting>
  <conditionalFormatting sqref="AEP55">
    <cfRule type="containsText" dxfId="347" priority="611" operator="containsText" text="8265MSS">
      <formula>NOT(ISERROR(SEARCH("8265MSS",AEP55)))</formula>
    </cfRule>
  </conditionalFormatting>
  <conditionalFormatting sqref="AEQ71">
    <cfRule type="containsText" dxfId="346" priority="610" operator="containsText" text="8265MSS">
      <formula>NOT(ISERROR(SEARCH("8265MSS",AEQ71)))</formula>
    </cfRule>
  </conditionalFormatting>
  <conditionalFormatting sqref="AES51">
    <cfRule type="containsText" dxfId="345" priority="606" operator="containsText" text="8265MSS">
      <formula>NOT(ISERROR(SEARCH("8265MSS",AES51)))</formula>
    </cfRule>
  </conditionalFormatting>
  <conditionalFormatting sqref="AES71">
    <cfRule type="containsText" dxfId="344" priority="605" operator="containsText" text="8265MSS">
      <formula>NOT(ISERROR(SEARCH("8265MSS",AES71)))</formula>
    </cfRule>
  </conditionalFormatting>
  <conditionalFormatting sqref="AEU55:AEZ55 AFD55:AFJ55">
    <cfRule type="containsText" dxfId="343" priority="603" operator="containsText" text="8265MSS">
      <formula>NOT(ISERROR(SEARCH("8265MSS",AEU55)))</formula>
    </cfRule>
  </conditionalFormatting>
  <conditionalFormatting sqref="AEU71:AEV71">
    <cfRule type="containsText" dxfId="342" priority="602" operator="containsText" text="8265MSS">
      <formula>NOT(ISERROR(SEARCH("8265MSS",AEU71)))</formula>
    </cfRule>
  </conditionalFormatting>
  <conditionalFormatting sqref="AEU43:AEV43">
    <cfRule type="containsText" dxfId="341" priority="601" operator="containsText" text="8265MSS">
      <formula>NOT(ISERROR(SEARCH("8265MSS",AEU43)))</formula>
    </cfRule>
  </conditionalFormatting>
  <conditionalFormatting sqref="AEV51">
    <cfRule type="containsText" dxfId="340" priority="600" operator="containsText" text="8265MSS">
      <formula>NOT(ISERROR(SEARCH("8265MSS",AEV51)))</formula>
    </cfRule>
  </conditionalFormatting>
  <conditionalFormatting sqref="AEW43:AFF43">
    <cfRule type="containsText" dxfId="339" priority="599" operator="containsText" text="8265MSS">
      <formula>NOT(ISERROR(SEARCH("8265MSS",AEW43)))</formula>
    </cfRule>
  </conditionalFormatting>
  <conditionalFormatting sqref="AEW51:AFD51">
    <cfRule type="containsText" dxfId="338" priority="598" operator="containsText" text="8265MSS">
      <formula>NOT(ISERROR(SEARCH("8265MSS",AEW51)))</formula>
    </cfRule>
  </conditionalFormatting>
  <conditionalFormatting sqref="AFU55:AFV55">
    <cfRule type="containsText" dxfId="337" priority="592" operator="containsText" text="8265MSS">
      <formula>NOT(ISERROR(SEARCH("8265MSS",AFU55)))</formula>
    </cfRule>
  </conditionalFormatting>
  <conditionalFormatting sqref="AFU51">
    <cfRule type="containsText" dxfId="336" priority="590" operator="containsText" text="8265MSS">
      <formula>NOT(ISERROR(SEARCH("8265MSS",AFU51)))</formula>
    </cfRule>
  </conditionalFormatting>
  <conditionalFormatting sqref="AHG51:AHH51">
    <cfRule type="containsText" dxfId="335" priority="588" operator="containsText" text="8265MSS">
      <formula>NOT(ISERROR(SEARCH("8265MSS",AHG51)))</formula>
    </cfRule>
  </conditionalFormatting>
  <conditionalFormatting sqref="AHX55">
    <cfRule type="containsText" dxfId="334" priority="582" operator="containsText" text="8265MSS">
      <formula>NOT(ISERROR(SEARCH("8265MSS",AHX55)))</formula>
    </cfRule>
  </conditionalFormatting>
  <conditionalFormatting sqref="AHQ65">
    <cfRule type="containsText" dxfId="333" priority="573" operator="containsText" text="8265MSS">
      <formula>NOT(ISERROR(SEARCH("8265MSS",AHQ65)))</formula>
    </cfRule>
  </conditionalFormatting>
  <conditionalFormatting sqref="AIH43:AJJ43">
    <cfRule type="containsText" dxfId="332" priority="566" operator="containsText" text="8265MSS">
      <formula>NOT(ISERROR(SEARCH("8265MSS",AIH43)))</formula>
    </cfRule>
  </conditionalFormatting>
  <conditionalFormatting sqref="AHV57:AHW57">
    <cfRule type="containsText" dxfId="331" priority="564" operator="containsText" text="8265MSS">
      <formula>NOT(ISERROR(SEARCH("8265MSS",AHV57)))</formula>
    </cfRule>
  </conditionalFormatting>
  <conditionalFormatting sqref="AHE55">
    <cfRule type="containsText" dxfId="330" priority="563" operator="containsText" text="8265MSS">
      <formula>NOT(ISERROR(SEARCH("8265MSS",AHE55)))</formula>
    </cfRule>
  </conditionalFormatting>
  <conditionalFormatting sqref="AOF5:APJ5">
    <cfRule type="cellIs" dxfId="329" priority="558" stopIfTrue="1" operator="equal">
      <formula>"Fri"</formula>
    </cfRule>
  </conditionalFormatting>
  <conditionalFormatting sqref="AFB71">
    <cfRule type="containsText" dxfId="328" priority="557" operator="containsText" text="8265MSS">
      <formula>NOT(ISERROR(SEARCH("8265MSS",AFB71)))</formula>
    </cfRule>
  </conditionalFormatting>
  <conditionalFormatting sqref="AFA55:AFC55">
    <cfRule type="containsText" dxfId="327" priority="556" operator="containsText" text="8265MSS">
      <formula>NOT(ISERROR(SEARCH("8265MSS",AFA55)))</formula>
    </cfRule>
  </conditionalFormatting>
  <conditionalFormatting sqref="AFD71">
    <cfRule type="containsText" dxfId="326" priority="555" operator="containsText" text="8265MSS">
      <formula>NOT(ISERROR(SEARCH("8265MSS",AFD71)))</formula>
    </cfRule>
  </conditionalFormatting>
  <conditionalFormatting sqref="AFE71">
    <cfRule type="containsText" dxfId="325" priority="554" operator="containsText" text="8265MSS">
      <formula>NOT(ISERROR(SEARCH("8265MSS",AFE71)))</formula>
    </cfRule>
  </conditionalFormatting>
  <conditionalFormatting sqref="AFE73">
    <cfRule type="containsText" dxfId="324" priority="553" operator="containsText" text="8265MSS">
      <formula>NOT(ISERROR(SEARCH("8265MSS",AFE73)))</formula>
    </cfRule>
  </conditionalFormatting>
  <conditionalFormatting sqref="AFD59:AFG59">
    <cfRule type="containsText" dxfId="323" priority="552" operator="containsText" text="8265MSS">
      <formula>NOT(ISERROR(SEARCH("8265MSS",AFD59)))</formula>
    </cfRule>
  </conditionalFormatting>
  <conditionalFormatting sqref="AFG73">
    <cfRule type="containsText" dxfId="322" priority="551" operator="containsText" text="8265MSS">
      <formula>NOT(ISERROR(SEARCH("8265MSS",AFG73)))</formula>
    </cfRule>
  </conditionalFormatting>
  <conditionalFormatting sqref="AFG71">
    <cfRule type="containsText" dxfId="321" priority="550" operator="containsText" text="8265MSS">
      <formula>NOT(ISERROR(SEARCH("8265MSS",AFG71)))</formula>
    </cfRule>
  </conditionalFormatting>
  <conditionalFormatting sqref="AFZ61:AGA61">
    <cfRule type="containsText" dxfId="320" priority="547" operator="containsText" text="8265MSS">
      <formula>NOT(ISERROR(SEARCH("8265MSS",AFZ61)))</formula>
    </cfRule>
  </conditionalFormatting>
  <conditionalFormatting sqref="AGD61">
    <cfRule type="containsText" dxfId="319" priority="546" operator="containsText" text="8265MSS">
      <formula>NOT(ISERROR(SEARCH("8265MSS",AGD61)))</formula>
    </cfRule>
  </conditionalFormatting>
  <conditionalFormatting sqref="AGI59:AGK59">
    <cfRule type="containsText" dxfId="318" priority="545" operator="containsText" text="8265MSS">
      <formula>NOT(ISERROR(SEARCH("8265MSS",AGI59)))</formula>
    </cfRule>
  </conditionalFormatting>
  <conditionalFormatting sqref="AFH73">
    <cfRule type="containsText" dxfId="317" priority="544" operator="containsText" text="8265MSS">
      <formula>NOT(ISERROR(SEARCH("8265MSS",AFH73)))</formula>
    </cfRule>
  </conditionalFormatting>
  <conditionalFormatting sqref="AIM61">
    <cfRule type="containsText" dxfId="316" priority="543" operator="containsText" text="8265MSS">
      <formula>NOT(ISERROR(SEARCH("8265MSS",AIM61)))</formula>
    </cfRule>
  </conditionalFormatting>
  <conditionalFormatting sqref="AFN59:AFP59">
    <cfRule type="containsText" dxfId="315" priority="537" operator="containsText" text="8265MSS">
      <formula>NOT(ISERROR(SEARCH("8265MSS",AFN59)))</formula>
    </cfRule>
  </conditionalFormatting>
  <conditionalFormatting sqref="AFL59:AFM59">
    <cfRule type="containsText" dxfId="314" priority="536" operator="containsText" text="8265MSS">
      <formula>NOT(ISERROR(SEARCH("8265MSS",AFL59)))</formula>
    </cfRule>
  </conditionalFormatting>
  <conditionalFormatting sqref="AGT43">
    <cfRule type="containsText" dxfId="313" priority="531" operator="containsText" text="8265MSS">
      <formula>NOT(ISERROR(SEARCH("8265MSS",AGT43)))</formula>
    </cfRule>
  </conditionalFormatting>
  <conditionalFormatting sqref="AHE57:AHF57">
    <cfRule type="containsText" dxfId="312" priority="523" operator="containsText" text="8265MSS">
      <formula>NOT(ISERROR(SEARCH("8265MSS",AHE57)))</formula>
    </cfRule>
  </conditionalFormatting>
  <conditionalFormatting sqref="AHO67">
    <cfRule type="containsText" dxfId="311" priority="522" operator="containsText" text="8265MSS">
      <formula>NOT(ISERROR(SEARCH("8265MSS",AHO67)))</formula>
    </cfRule>
  </conditionalFormatting>
  <conditionalFormatting sqref="AFR61:AFS61">
    <cfRule type="containsText" dxfId="310" priority="518" operator="containsText" text="8265MSS">
      <formula>NOT(ISERROR(SEARCH("8265MSS",AFR61)))</formula>
    </cfRule>
  </conditionalFormatting>
  <conditionalFormatting sqref="AFU61:AFV61">
    <cfRule type="containsText" dxfId="309" priority="517" operator="containsText" text="8265MSS">
      <formula>NOT(ISERROR(SEARCH("8265MSS",AFU61)))</formula>
    </cfRule>
  </conditionalFormatting>
  <conditionalFormatting sqref="AGF59">
    <cfRule type="containsText" dxfId="308" priority="516" operator="containsText" text="8265MSS">
      <formula>NOT(ISERROR(SEARCH("8265MSS",AGF59)))</formula>
    </cfRule>
  </conditionalFormatting>
  <conditionalFormatting sqref="AGK61">
    <cfRule type="containsText" dxfId="307" priority="515" operator="containsText" text="8265MSS">
      <formula>NOT(ISERROR(SEARCH("8265MSS",AGK61)))</formula>
    </cfRule>
  </conditionalFormatting>
  <conditionalFormatting sqref="AII61:AIJ61">
    <cfRule type="containsText" dxfId="306" priority="497" operator="containsText" text="8265MSS">
      <formula>NOT(ISERROR(SEARCH("8265MSS",AII61)))</formula>
    </cfRule>
  </conditionalFormatting>
  <conditionalFormatting sqref="AHD51:AHF51">
    <cfRule type="containsText" dxfId="305" priority="492" operator="containsText" text="8265MSS">
      <formula>NOT(ISERROR(SEARCH("8265MSS",AHD51)))</formula>
    </cfRule>
  </conditionalFormatting>
  <conditionalFormatting sqref="AHB51:AHC51">
    <cfRule type="containsText" dxfId="304" priority="491" operator="containsText" text="8265MSS">
      <formula>NOT(ISERROR(SEARCH("8265MSS",AHB51)))</formula>
    </cfRule>
  </conditionalFormatting>
  <conditionalFormatting sqref="AIF57:AIH57">
    <cfRule type="containsText" dxfId="303" priority="481" operator="containsText" text="8265MSS">
      <formula>NOT(ISERROR(SEARCH("8265MSS",AIF57)))</formula>
    </cfRule>
  </conditionalFormatting>
  <conditionalFormatting sqref="AKW61">
    <cfRule type="containsText" dxfId="302" priority="474" operator="containsText" text="8265MSS">
      <formula>NOT(ISERROR(SEARCH("8265MSS",AKW61)))</formula>
    </cfRule>
  </conditionalFormatting>
  <conditionalFormatting sqref="AJY67">
    <cfRule type="containsText" dxfId="301" priority="455" operator="containsText" text="8265MSS">
      <formula>NOT(ISERROR(SEARCH("8265MSS",AJY67)))</formula>
    </cfRule>
  </conditionalFormatting>
  <conditionalFormatting sqref="AKD67:AKE67">
    <cfRule type="containsText" dxfId="300" priority="453" operator="containsText" text="8265MSS">
      <formula>NOT(ISERROR(SEARCH("8265MSS",AKD67)))</formula>
    </cfRule>
  </conditionalFormatting>
  <conditionalFormatting sqref="ARW5:ATA5 ATC5:AUF5 AUH5:AVL5 AVN5:AWQ5 AWS5:AXW5 AXY5:AYA5">
    <cfRule type="cellIs" dxfId="299" priority="449" stopIfTrue="1" operator="equal">
      <formula>"Fri"</formula>
    </cfRule>
  </conditionalFormatting>
  <conditionalFormatting sqref="ARW40:ATA40">
    <cfRule type="cellIs" dxfId="298" priority="448" stopIfTrue="1" operator="equal">
      <formula>"Fri"</formula>
    </cfRule>
  </conditionalFormatting>
  <conditionalFormatting sqref="ATC40:AUF40">
    <cfRule type="cellIs" dxfId="297" priority="447" stopIfTrue="1" operator="equal">
      <formula>"Fri"</formula>
    </cfRule>
  </conditionalFormatting>
  <conditionalFormatting sqref="AUH40:AVL40">
    <cfRule type="cellIs" dxfId="296" priority="446" stopIfTrue="1" operator="equal">
      <formula>"Fri"</formula>
    </cfRule>
  </conditionalFormatting>
  <conditionalFormatting sqref="AFU59">
    <cfRule type="containsText" dxfId="295" priority="444" operator="containsText" text="8265MSS">
      <formula>NOT(ISERROR(SEARCH("8265MSS",AFU59)))</formula>
    </cfRule>
  </conditionalFormatting>
  <conditionalFormatting sqref="AFV71">
    <cfRule type="containsText" dxfId="294" priority="443" operator="containsText" text="8265MSS">
      <formula>NOT(ISERROR(SEARCH("8265MSS",AFV71)))</formula>
    </cfRule>
  </conditionalFormatting>
  <conditionalFormatting sqref="AFV59">
    <cfRule type="containsText" dxfId="293" priority="442" operator="containsText" text="8265MSS">
      <formula>NOT(ISERROR(SEARCH("8265MSS",AFV59)))</formula>
    </cfRule>
  </conditionalFormatting>
  <conditionalFormatting sqref="AFU49:AGB49">
    <cfRule type="containsText" dxfId="292" priority="441" operator="containsText" text="8265MSS">
      <formula>NOT(ISERROR(SEARCH("8265MSS",AFU49)))</formula>
    </cfRule>
  </conditionalFormatting>
  <conditionalFormatting sqref="AFU57">
    <cfRule type="containsText" dxfId="291" priority="439" operator="containsText" text="8265MSS">
      <formula>NOT(ISERROR(SEARCH("8265MSS",AFU57)))</formula>
    </cfRule>
  </conditionalFormatting>
  <conditionalFormatting sqref="AKD43:AKN43">
    <cfRule type="containsText" dxfId="290" priority="431" operator="containsText" text="8265MSS">
      <formula>NOT(ISERROR(SEARCH("8265MSS",AKD43)))</formula>
    </cfRule>
  </conditionalFormatting>
  <conditionalFormatting sqref="AJU43">
    <cfRule type="containsText" dxfId="289" priority="430" operator="containsText" text="8265MSS">
      <formula>NOT(ISERROR(SEARCH("8265MSS",AJU43)))</formula>
    </cfRule>
  </conditionalFormatting>
  <conditionalFormatting sqref="AJV43">
    <cfRule type="containsText" dxfId="288" priority="429" operator="containsText" text="8265MSS">
      <formula>NOT(ISERROR(SEARCH("8265MSS",AJV43)))</formula>
    </cfRule>
  </conditionalFormatting>
  <conditionalFormatting sqref="AJY43:AKC43">
    <cfRule type="containsText" dxfId="287" priority="428" operator="containsText" text="8265MSS">
      <formula>NOT(ISERROR(SEARCH("8265MSS",AJY43)))</formula>
    </cfRule>
  </conditionalFormatting>
  <conditionalFormatting sqref="AJP45:AJQ45">
    <cfRule type="containsText" dxfId="286" priority="425" operator="containsText" text="8265MSS">
      <formula>NOT(ISERROR(SEARCH("8265MSS",AJP45)))</formula>
    </cfRule>
  </conditionalFormatting>
  <conditionalFormatting sqref="AKA45">
    <cfRule type="containsText" dxfId="285" priority="424" operator="containsText" text="8265MSS">
      <formula>NOT(ISERROR(SEARCH("8265MSS",AKA45)))</formula>
    </cfRule>
  </conditionalFormatting>
  <conditionalFormatting sqref="AJV67 AJZ67:AKA67">
    <cfRule type="containsText" dxfId="284" priority="422" operator="containsText" text="8265MSS">
      <formula>NOT(ISERROR(SEARCH("8265MSS",AJV67)))</formula>
    </cfRule>
  </conditionalFormatting>
  <conditionalFormatting sqref="AKU63:AKX63">
    <cfRule type="containsText" dxfId="283" priority="419" operator="containsText" text="8265MSS">
      <formula>NOT(ISERROR(SEARCH("8265MSS",AKU63)))</formula>
    </cfRule>
  </conditionalFormatting>
  <conditionalFormatting sqref="AKM65:AKP65">
    <cfRule type="containsText" dxfId="282" priority="420" operator="containsText" text="8265MSS">
      <formula>NOT(ISERROR(SEARCH("8265MSS",AKM65)))</formula>
    </cfRule>
  </conditionalFormatting>
  <conditionalFormatting sqref="AKH67">
    <cfRule type="containsText" dxfId="281" priority="417" operator="containsText" text="8265MSS">
      <formula>NOT(ISERROR(SEARCH("8265MSS",AKH67)))</formula>
    </cfRule>
  </conditionalFormatting>
  <conditionalFormatting sqref="ANR49:AOD49">
    <cfRule type="containsText" dxfId="280" priority="415" operator="containsText" text="8265MSS">
      <formula>NOT(ISERROR(SEARCH("8265MSS",ANR49)))</formula>
    </cfRule>
  </conditionalFormatting>
  <conditionalFormatting sqref="ANL65:AOD65">
    <cfRule type="containsText" dxfId="279" priority="414" operator="containsText" text="8265MSS">
      <formula>NOT(ISERROR(SEARCH("8265MSS",ANL65)))</formula>
    </cfRule>
  </conditionalFormatting>
  <conditionalFormatting sqref="ANA45:ANB45">
    <cfRule type="containsText" dxfId="278" priority="408" operator="containsText" text="8265MSS">
      <formula>NOT(ISERROR(SEARCH("8265MSS",ANA45)))</formula>
    </cfRule>
  </conditionalFormatting>
  <conditionalFormatting sqref="ALU45:AMA45 AMD45:AMH45">
    <cfRule type="containsText" dxfId="277" priority="407" operator="containsText" text="8265MSS">
      <formula>NOT(ISERROR(SEARCH("8265MSS",ALU45)))</formula>
    </cfRule>
  </conditionalFormatting>
  <conditionalFormatting sqref="ALU55:ALW55 ALZ55:AMD55">
    <cfRule type="containsText" dxfId="276" priority="406" operator="containsText" text="8265MSS">
      <formula>NOT(ISERROR(SEARCH("8265MSS",ALU55)))</formula>
    </cfRule>
  </conditionalFormatting>
  <conditionalFormatting sqref="AHO65:AHP65">
    <cfRule type="containsText" dxfId="275" priority="404" operator="containsText" text="8265MSS">
      <formula>NOT(ISERROR(SEARCH("8265MSS",AHO65)))</formula>
    </cfRule>
  </conditionalFormatting>
  <conditionalFormatting sqref="AHH63:AHK63">
    <cfRule type="containsText" dxfId="274" priority="402" operator="containsText" text="8265MSS">
      <formula>NOT(ISERROR(SEARCH("8265MSS",AHH63)))</formula>
    </cfRule>
  </conditionalFormatting>
  <conditionalFormatting sqref="AHA51">
    <cfRule type="containsText" dxfId="273" priority="401" operator="containsText" text="8265MSS">
      <formula>NOT(ISERROR(SEARCH("8265MSS",AHA51)))</formula>
    </cfRule>
  </conditionalFormatting>
  <conditionalFormatting sqref="AHL59:AHN59">
    <cfRule type="containsText" dxfId="272" priority="398" operator="containsText" text="8265MSS">
      <formula>NOT(ISERROR(SEARCH("8265MSS",AHL59)))</formula>
    </cfRule>
  </conditionalFormatting>
  <conditionalFormatting sqref="AIF59:AIG59">
    <cfRule type="containsText" dxfId="271" priority="393" operator="containsText" text="8265MSS">
      <formula>NOT(ISERROR(SEARCH("8265MSS",AIF59)))</formula>
    </cfRule>
  </conditionalFormatting>
  <conditionalFormatting sqref="AHV51:AHW51">
    <cfRule type="containsText" dxfId="270" priority="391" operator="containsText" text="8265MSS">
      <formula>NOT(ISERROR(SEARCH("8265MSS",AHV51)))</formula>
    </cfRule>
  </conditionalFormatting>
  <conditionalFormatting sqref="AIA51:AIB51">
    <cfRule type="containsText" dxfId="269" priority="390" operator="containsText" text="8265MSS">
      <formula>NOT(ISERROR(SEARCH("8265MSS",AIA51)))</formula>
    </cfRule>
  </conditionalFormatting>
  <conditionalFormatting sqref="AKD45:AKG45">
    <cfRule type="containsText" dxfId="268" priority="388" operator="containsText" text="8265MSS">
      <formula>NOT(ISERROR(SEARCH("8265MSS",AKD45)))</formula>
    </cfRule>
  </conditionalFormatting>
  <conditionalFormatting sqref="AOQ47:APJ47">
    <cfRule type="containsText" dxfId="267" priority="387" operator="containsText" text="8265MSS">
      <formula>NOT(ISERROR(SEARCH("8265MSS",AOQ47)))</formula>
    </cfRule>
  </conditionalFormatting>
  <conditionalFormatting sqref="AOO47:AOP47">
    <cfRule type="containsText" dxfId="266" priority="386" operator="containsText" text="8265MSS">
      <formula>NOT(ISERROR(SEARCH("8265MSS",AOO47)))</formula>
    </cfRule>
  </conditionalFormatting>
  <conditionalFormatting sqref="AOQ49:APJ49">
    <cfRule type="containsText" dxfId="265" priority="383" operator="containsText" text="8265MSS">
      <formula>NOT(ISERROR(SEARCH("8265MSS",AOQ49)))</formula>
    </cfRule>
  </conditionalFormatting>
  <conditionalFormatting sqref="AOP49">
    <cfRule type="containsText" dxfId="264" priority="382" operator="containsText" text="8265MSS">
      <formula>NOT(ISERROR(SEARCH("8265MSS",AOP49)))</formula>
    </cfRule>
  </conditionalFormatting>
  <conditionalFormatting sqref="APN47 APP47 APR47 APT47 APV47 APX47 APZ47 AQB47 AQD47 AQF47 AQH47">
    <cfRule type="containsText" dxfId="263" priority="379" operator="containsText" text="8265MSS">
      <formula>NOT(ISERROR(SEARCH("8265MSS",APN47)))</formula>
    </cfRule>
  </conditionalFormatting>
  <conditionalFormatting sqref="APM47 APO47 APQ47 APS47 APU47 APW47 APY47 AQA47 AQC47 AQE47 AQG47 AQI47">
    <cfRule type="containsText" dxfId="262" priority="378" operator="containsText" text="8265MSS">
      <formula>NOT(ISERROR(SEARCH("8265MSS",APM47)))</formula>
    </cfRule>
  </conditionalFormatting>
  <conditionalFormatting sqref="APN49 APP49 APR49 APT49 APV49 APX49 APZ49 AQB49 AQD49 AQF49 AQH49">
    <cfRule type="containsText" dxfId="261" priority="377" operator="containsText" text="8265MSS">
      <formula>NOT(ISERROR(SEARCH("8265MSS",APN49)))</formula>
    </cfRule>
  </conditionalFormatting>
  <conditionalFormatting sqref="APM49 APO49 APQ49 APS49 APU49 APW49 APY49 AQA49 AQC49 AQE49 AQG49 AQI49">
    <cfRule type="containsText" dxfId="260" priority="376" operator="containsText" text="8265MSS">
      <formula>NOT(ISERROR(SEARCH("8265MSS",APM49)))</formula>
    </cfRule>
  </conditionalFormatting>
  <conditionalFormatting sqref="APN65 APP65 APR65 APT65 APV65 APX65 APZ65 AQB65 AQD65 AQF65 AQH65">
    <cfRule type="containsText" dxfId="259" priority="375" operator="containsText" text="8265MSS">
      <formula>NOT(ISERROR(SEARCH("8265MSS",APN65)))</formula>
    </cfRule>
  </conditionalFormatting>
  <conditionalFormatting sqref="APM65 APO65 APQ65 APS65 APU65 APW65 APY65 AQA65 AQC65 AQE65 AQG65 AQI65">
    <cfRule type="containsText" dxfId="258" priority="374" operator="containsText" text="8265MSS">
      <formula>NOT(ISERROR(SEARCH("8265MSS",APM65)))</formula>
    </cfRule>
  </conditionalFormatting>
  <conditionalFormatting sqref="AMT55:AMU55">
    <cfRule type="containsText" dxfId="257" priority="368" operator="containsText" text="8265MSS">
      <formula>NOT(ISERROR(SEARCH("8265MSS",AMT55)))</formula>
    </cfRule>
  </conditionalFormatting>
  <conditionalFormatting sqref="APF55:APJ55 AOS55:APC55">
    <cfRule type="containsText" dxfId="256" priority="367" operator="containsText" text="8265MSS">
      <formula>NOT(ISERROR(SEARCH("8265MSS",AOS55)))</formula>
    </cfRule>
  </conditionalFormatting>
  <conditionalFormatting sqref="APD55:APE55">
    <cfRule type="containsText" dxfId="255" priority="363" operator="containsText" text="8265MSS">
      <formula>NOT(ISERROR(SEARCH("8265MSS",APD55)))</formula>
    </cfRule>
  </conditionalFormatting>
  <conditionalFormatting sqref="APL47">
    <cfRule type="containsText" dxfId="254" priority="351" operator="containsText" text="8265MSS">
      <formula>NOT(ISERROR(SEARCH("8265MSS",APL47)))</formula>
    </cfRule>
  </conditionalFormatting>
  <conditionalFormatting sqref="APO55:APV55">
    <cfRule type="containsText" dxfId="253" priority="359" operator="containsText" text="8265MSS">
      <formula>NOT(ISERROR(SEARCH("8265MSS",APO55)))</formula>
    </cfRule>
  </conditionalFormatting>
  <conditionalFormatting sqref="ATE47:ATM47">
    <cfRule type="containsText" dxfId="252" priority="345" operator="containsText" text="8265MSS">
      <formula>NOT(ISERROR(SEARCH("8265MSS",ATE47)))</formula>
    </cfRule>
  </conditionalFormatting>
  <conditionalFormatting sqref="ARJ51:ARU51">
    <cfRule type="containsText" dxfId="251" priority="343" operator="containsText" text="8265MSS">
      <formula>NOT(ISERROR(SEARCH("8265MSS",ARJ51)))</formula>
    </cfRule>
  </conditionalFormatting>
  <conditionalFormatting sqref="AOO49">
    <cfRule type="containsText" dxfId="250" priority="353" operator="containsText" text="8265MSS">
      <formula>NOT(ISERROR(SEARCH("8265MSS",AOO49)))</formula>
    </cfRule>
  </conditionalFormatting>
  <conditionalFormatting sqref="APL49">
    <cfRule type="containsText" dxfId="249" priority="350" operator="containsText" text="8265MSS">
      <formula>NOT(ISERROR(SEARCH("8265MSS",APL49)))</formula>
    </cfRule>
  </conditionalFormatting>
  <conditionalFormatting sqref="APL65">
    <cfRule type="containsText" dxfId="248" priority="349" operator="containsText" text="8265MSS">
      <formula>NOT(ISERROR(SEARCH("8265MSS",APL65)))</formula>
    </cfRule>
  </conditionalFormatting>
  <conditionalFormatting sqref="ARJ47:ARU47">
    <cfRule type="containsText" dxfId="247" priority="348" operator="containsText" text="8265MSS">
      <formula>NOT(ISERROR(SEARCH("8265MSS",ARJ47)))</formula>
    </cfRule>
  </conditionalFormatting>
  <conditionalFormatting sqref="ARY47:ATA47">
    <cfRule type="containsText" dxfId="246" priority="347" operator="containsText" text="8265MSS">
      <formula>NOT(ISERROR(SEARCH("8265MSS",ARY47)))</formula>
    </cfRule>
  </conditionalFormatting>
  <conditionalFormatting sqref="ARW47:ARX47">
    <cfRule type="containsText" dxfId="245" priority="346" operator="containsText" text="8265MSS">
      <formula>NOT(ISERROR(SEARCH("8265MSS",ARW47)))</formula>
    </cfRule>
  </conditionalFormatting>
  <conditionalFormatting sqref="ATC47:ATD47">
    <cfRule type="containsText" dxfId="244" priority="344" operator="containsText" text="8265MSS">
      <formula>NOT(ISERROR(SEARCH("8265MSS",ATC47)))</formula>
    </cfRule>
  </conditionalFormatting>
  <conditionalFormatting sqref="ARK65:ARU65">
    <cfRule type="containsText" dxfId="243" priority="342" operator="containsText" text="8265MSS">
      <formula>NOT(ISERROR(SEARCH("8265MSS",ARK65)))</formula>
    </cfRule>
  </conditionalFormatting>
  <conditionalFormatting sqref="ATE51:ATL51">
    <cfRule type="containsText" dxfId="242" priority="341" operator="containsText" text="8265MSS">
      <formula>NOT(ISERROR(SEARCH("8265MSS",ATE51)))</formula>
    </cfRule>
  </conditionalFormatting>
  <conditionalFormatting sqref="ATC51:ATD51">
    <cfRule type="containsText" dxfId="241" priority="340" operator="containsText" text="8265MSS">
      <formula>NOT(ISERROR(SEARCH("8265MSS",ATC51)))</formula>
    </cfRule>
  </conditionalFormatting>
  <conditionalFormatting sqref="ARY51:ATA51">
    <cfRule type="containsText" dxfId="240" priority="337" operator="containsText" text="8265MSS">
      <formula>NOT(ISERROR(SEARCH("8265MSS",ARY51)))</formula>
    </cfRule>
  </conditionalFormatting>
  <conditionalFormatting sqref="ARW51:ARX51">
    <cfRule type="containsText" dxfId="239" priority="336" operator="containsText" text="8265MSS">
      <formula>NOT(ISERROR(SEARCH("8265MSS",ARW51)))</formula>
    </cfRule>
  </conditionalFormatting>
  <conditionalFormatting sqref="ARY65:ASU65">
    <cfRule type="containsText" dxfId="238" priority="335" operator="containsText" text="8265MSS">
      <formula>NOT(ISERROR(SEARCH("8265MSS",ARY65)))</formula>
    </cfRule>
  </conditionalFormatting>
  <conditionalFormatting sqref="ARW65:ARX65">
    <cfRule type="containsText" dxfId="237" priority="334" operator="containsText" text="8265MSS">
      <formula>NOT(ISERROR(SEARCH("8265MSS",ARW65)))</formula>
    </cfRule>
  </conditionalFormatting>
  <conditionalFormatting sqref="AQU45:AQW45">
    <cfRule type="containsText" dxfId="236" priority="313" operator="containsText" text="8265MSS">
      <formula>NOT(ISERROR(SEARCH("8265MSS",AQU45)))</formula>
    </cfRule>
  </conditionalFormatting>
  <conditionalFormatting sqref="AQQ45">
    <cfRule type="containsText" dxfId="235" priority="311" operator="containsText" text="8265MSS">
      <formula>NOT(ISERROR(SEARCH("8265MSS",AQQ45)))</formula>
    </cfRule>
  </conditionalFormatting>
  <conditionalFormatting sqref="ARS43:ARU43 ARJ43:ARP43">
    <cfRule type="containsText" dxfId="234" priority="310" operator="containsText" text="8265MSS">
      <formula>NOT(ISERROR(SEARCH("8265MSS",ARJ43)))</formula>
    </cfRule>
  </conditionalFormatting>
  <conditionalFormatting sqref="ARL55:ARP55">
    <cfRule type="containsText" dxfId="233" priority="307" operator="containsText" text="8265MSS">
      <formula>NOT(ISERROR(SEARCH("8265MSS",ARL55)))</formula>
    </cfRule>
  </conditionalFormatting>
  <conditionalFormatting sqref="ARR43">
    <cfRule type="containsText" dxfId="232" priority="296" operator="containsText" text="8265MSS">
      <formula>NOT(ISERROR(SEARCH("8265MSS",ARR43)))</formula>
    </cfRule>
  </conditionalFormatting>
  <conditionalFormatting sqref="ARQ43">
    <cfRule type="containsText" dxfId="231" priority="295" operator="containsText" text="8265MSS">
      <formula>NOT(ISERROR(SEARCH("8265MSS",ARQ43)))</formula>
    </cfRule>
  </conditionalFormatting>
  <conditionalFormatting sqref="ARS55:ARU55">
    <cfRule type="containsText" dxfId="230" priority="290" operator="containsText" text="8265MSS">
      <formula>NOT(ISERROR(SEARCH("8265MSS",ARS55)))</formula>
    </cfRule>
  </conditionalFormatting>
  <conditionalFormatting sqref="ARR55">
    <cfRule type="containsText" dxfId="229" priority="289" operator="containsText" text="8265MSS">
      <formula>NOT(ISERROR(SEARCH("8265MSS",ARR55)))</formula>
    </cfRule>
  </conditionalFormatting>
  <conditionalFormatting sqref="ARQ55">
    <cfRule type="containsText" dxfId="228" priority="288" operator="containsText" text="8265MSS">
      <formula>NOT(ISERROR(SEARCH("8265MSS",ARQ55)))</formula>
    </cfRule>
  </conditionalFormatting>
  <conditionalFormatting sqref="ASA43:ASJ43">
    <cfRule type="containsText" dxfId="227" priority="286" operator="containsText" text="8265MSS">
      <formula>NOT(ISERROR(SEARCH("8265MSS",ASA43)))</formula>
    </cfRule>
  </conditionalFormatting>
  <conditionalFormatting sqref="ARZ43">
    <cfRule type="containsText" dxfId="226" priority="285" operator="containsText" text="8265MSS">
      <formula>NOT(ISERROR(SEARCH("8265MSS",ARZ43)))</formula>
    </cfRule>
  </conditionalFormatting>
  <conditionalFormatting sqref="ARW43:ARY43">
    <cfRule type="containsText" dxfId="225" priority="284" operator="containsText" text="8265MSS">
      <formula>NOT(ISERROR(SEARCH("8265MSS",ARW43)))</formula>
    </cfRule>
  </conditionalFormatting>
  <conditionalFormatting sqref="ARW43:ARX43">
    <cfRule type="containsText" dxfId="224" priority="283" operator="containsText" text="8265MSS">
      <formula>NOT(ISERROR(SEARCH("8265MSS",ARW43)))</formula>
    </cfRule>
  </conditionalFormatting>
  <conditionalFormatting sqref="ASA55:ASM55">
    <cfRule type="containsText" dxfId="223" priority="282" operator="containsText" text="8265MSS">
      <formula>NOT(ISERROR(SEARCH("8265MSS",ASA55)))</formula>
    </cfRule>
  </conditionalFormatting>
  <conditionalFormatting sqref="ARZ55">
    <cfRule type="containsText" dxfId="222" priority="281" operator="containsText" text="8265MSS">
      <formula>NOT(ISERROR(SEARCH("8265MSS",ARZ55)))</formula>
    </cfRule>
  </conditionalFormatting>
  <conditionalFormatting sqref="ARW55:ARY55">
    <cfRule type="containsText" dxfId="221" priority="280" operator="containsText" text="8265MSS">
      <formula>NOT(ISERROR(SEARCH("8265MSS",ARW55)))</formula>
    </cfRule>
  </conditionalFormatting>
  <conditionalFormatting sqref="ARW55:ARX55">
    <cfRule type="containsText" dxfId="220" priority="279" operator="containsText" text="8265MSS">
      <formula>NOT(ISERROR(SEARCH("8265MSS",ARW55)))</formula>
    </cfRule>
  </conditionalFormatting>
  <conditionalFormatting sqref="AUH55:AUI55">
    <cfRule type="containsText" dxfId="219" priority="231" operator="containsText" text="8265MSS">
      <formula>NOT(ISERROR(SEARCH("8265MSS",AUH55)))</formula>
    </cfRule>
  </conditionalFormatting>
  <conditionalFormatting sqref="ASA49:ASC49">
    <cfRule type="containsText" dxfId="218" priority="278" operator="containsText" text="8265MSS">
      <formula>NOT(ISERROR(SEARCH("8265MSS",ASA49)))</formula>
    </cfRule>
  </conditionalFormatting>
  <conditionalFormatting sqref="ARZ49">
    <cfRule type="containsText" dxfId="217" priority="277" operator="containsText" text="8265MSS">
      <formula>NOT(ISERROR(SEARCH("8265MSS",ARZ49)))</formula>
    </cfRule>
  </conditionalFormatting>
  <conditionalFormatting sqref="ASD49:ASE49">
    <cfRule type="containsText" dxfId="216" priority="274" operator="containsText" text="8265MSS">
      <formula>NOT(ISERROR(SEARCH("8265MSS",ASD49)))</formula>
    </cfRule>
  </conditionalFormatting>
  <conditionalFormatting sqref="AUK55">
    <cfRule type="containsText" dxfId="215" priority="233" operator="containsText" text="8265MSS">
      <formula>NOT(ISERROR(SEARCH("8265MSS",AUK55)))</formula>
    </cfRule>
  </conditionalFormatting>
  <conditionalFormatting sqref="AUJ55">
    <cfRule type="containsText" dxfId="214" priority="232" operator="containsText" text="8265MSS">
      <formula>NOT(ISERROR(SEARCH("8265MSS",AUJ55)))</formula>
    </cfRule>
  </conditionalFormatting>
  <conditionalFormatting sqref="ATC43:ATD43">
    <cfRule type="containsText" dxfId="213" priority="268" operator="containsText" text="8265MSS">
      <formula>NOT(ISERROR(SEARCH("8265MSS",ATC43)))</formula>
    </cfRule>
  </conditionalFormatting>
  <conditionalFormatting sqref="ATG43:ATY43 AUD43:AUF43">
    <cfRule type="containsText" dxfId="212" priority="267" operator="containsText" text="8265MSS">
      <formula>NOT(ISERROR(SEARCH("8265MSS",ATG43)))</formula>
    </cfRule>
  </conditionalFormatting>
  <conditionalFormatting sqref="ATF43">
    <cfRule type="containsText" dxfId="211" priority="266" operator="containsText" text="8265MSS">
      <formula>NOT(ISERROR(SEARCH("8265MSS",ATF43)))</formula>
    </cfRule>
  </conditionalFormatting>
  <conditionalFormatting sqref="ATE43">
    <cfRule type="containsText" dxfId="210" priority="265" operator="containsText" text="8265MSS">
      <formula>NOT(ISERROR(SEARCH("8265MSS",ATE43)))</formula>
    </cfRule>
  </conditionalFormatting>
  <conditionalFormatting sqref="AUH43:AUI43">
    <cfRule type="containsText" dxfId="209" priority="235" operator="containsText" text="8265MSS">
      <formula>NOT(ISERROR(SEARCH("8265MSS",AUH43)))</formula>
    </cfRule>
  </conditionalFormatting>
  <conditionalFormatting sqref="ATC55:ATD55">
    <cfRule type="containsText" dxfId="208" priority="260" operator="containsText" text="8265MSS">
      <formula>NOT(ISERROR(SEARCH("8265MSS",ATC55)))</formula>
    </cfRule>
  </conditionalFormatting>
  <conditionalFormatting sqref="ATG55:ATY55">
    <cfRule type="containsText" dxfId="207" priority="258" operator="containsText" text="8265MSS">
      <formula>NOT(ISERROR(SEARCH("8265MSS",ATG55)))</formula>
    </cfRule>
  </conditionalFormatting>
  <conditionalFormatting sqref="ATF55">
    <cfRule type="containsText" dxfId="206" priority="257" operator="containsText" text="8265MSS">
      <formula>NOT(ISERROR(SEARCH("8265MSS",ATF55)))</formula>
    </cfRule>
  </conditionalFormatting>
  <conditionalFormatting sqref="ATE55">
    <cfRule type="containsText" dxfId="205" priority="256" operator="containsText" text="8265MSS">
      <formula>NOT(ISERROR(SEARCH("8265MSS",ATE55)))</formula>
    </cfRule>
  </conditionalFormatting>
  <conditionalFormatting sqref="ATG45:ATT45">
    <cfRule type="containsText" dxfId="204" priority="254" operator="containsText" text="8265MSS">
      <formula>NOT(ISERROR(SEARCH("8265MSS",ATG45)))</formula>
    </cfRule>
  </conditionalFormatting>
  <conditionalFormatting sqref="ATF45">
    <cfRule type="containsText" dxfId="203" priority="253" operator="containsText" text="8265MSS">
      <formula>NOT(ISERROR(SEARCH("8265MSS",ATF45)))</formula>
    </cfRule>
  </conditionalFormatting>
  <conditionalFormatting sqref="ATE45">
    <cfRule type="containsText" dxfId="202" priority="252" operator="containsText" text="8265MSS">
      <formula>NOT(ISERROR(SEARCH("8265MSS",ATE45)))</formula>
    </cfRule>
  </conditionalFormatting>
  <conditionalFormatting sqref="ATC45:ATD45">
    <cfRule type="containsText" dxfId="201" priority="251" operator="containsText" text="8265MSS">
      <formula>NOT(ISERROR(SEARCH("8265MSS",ATC45)))</formula>
    </cfRule>
  </conditionalFormatting>
  <conditionalFormatting sqref="AUC43">
    <cfRule type="containsText" dxfId="200" priority="250" operator="containsText" text="8265MSS">
      <formula>NOT(ISERROR(SEARCH("8265MSS",AUC43)))</formula>
    </cfRule>
  </conditionalFormatting>
  <conditionalFormatting sqref="AUB43">
    <cfRule type="containsText" dxfId="199" priority="249" operator="containsText" text="8265MSS">
      <formula>NOT(ISERROR(SEARCH("8265MSS",AUB43)))</formula>
    </cfRule>
  </conditionalFormatting>
  <conditionalFormatting sqref="ATZ43:AUA43">
    <cfRule type="containsText" dxfId="198" priority="248" operator="containsText" text="8265MSS">
      <formula>NOT(ISERROR(SEARCH("8265MSS",ATZ43)))</formula>
    </cfRule>
  </conditionalFormatting>
  <conditionalFormatting sqref="AUD55:AUF55">
    <cfRule type="containsText" dxfId="197" priority="247" operator="containsText" text="8265MSS">
      <formula>NOT(ISERROR(SEARCH("8265MSS",AUD55)))</formula>
    </cfRule>
  </conditionalFormatting>
  <conditionalFormatting sqref="AUC55">
    <cfRule type="containsText" dxfId="196" priority="246" operator="containsText" text="8265MSS">
      <formula>NOT(ISERROR(SEARCH("8265MSS",AUC55)))</formula>
    </cfRule>
  </conditionalFormatting>
  <conditionalFormatting sqref="AUB55">
    <cfRule type="containsText" dxfId="195" priority="245" operator="containsText" text="8265MSS">
      <formula>NOT(ISERROR(SEARCH("8265MSS",AUB55)))</formula>
    </cfRule>
  </conditionalFormatting>
  <conditionalFormatting sqref="ATZ55:AUA55">
    <cfRule type="containsText" dxfId="194" priority="244" operator="containsText" text="8265MSS">
      <formula>NOT(ISERROR(SEARCH("8265MSS",ATZ55)))</formula>
    </cfRule>
  </conditionalFormatting>
  <conditionalFormatting sqref="AUL43:AVE43 AVJ43:AVL43">
    <cfRule type="containsText" dxfId="193" priority="243" operator="containsText" text="8265MSS">
      <formula>NOT(ISERROR(SEARCH("8265MSS",AUL43)))</formula>
    </cfRule>
  </conditionalFormatting>
  <conditionalFormatting sqref="AUK43">
    <cfRule type="containsText" dxfId="192" priority="242" operator="containsText" text="8265MSS">
      <formula>NOT(ISERROR(SEARCH("8265MSS",AUK43)))</formula>
    </cfRule>
  </conditionalFormatting>
  <conditionalFormatting sqref="AUJ43">
    <cfRule type="containsText" dxfId="191" priority="241" operator="containsText" text="8265MSS">
      <formula>NOT(ISERROR(SEARCH("8265MSS",AUJ43)))</formula>
    </cfRule>
  </conditionalFormatting>
  <conditionalFormatting sqref="AUL47:AUU47">
    <cfRule type="containsText" dxfId="190" priority="239" operator="containsText" text="8265MSS">
      <formula>NOT(ISERROR(SEARCH("8265MSS",AUL47)))</formula>
    </cfRule>
  </conditionalFormatting>
  <conditionalFormatting sqref="AUK47">
    <cfRule type="containsText" dxfId="189" priority="238" operator="containsText" text="8265MSS">
      <formula>NOT(ISERROR(SEARCH("8265MSS",AUK47)))</formula>
    </cfRule>
  </conditionalFormatting>
  <conditionalFormatting sqref="AUJ47">
    <cfRule type="containsText" dxfId="188" priority="237" operator="containsText" text="8265MSS">
      <formula>NOT(ISERROR(SEARCH("8265MSS",AUJ47)))</formula>
    </cfRule>
  </conditionalFormatting>
  <conditionalFormatting sqref="AUH47:AUI47">
    <cfRule type="containsText" dxfId="187" priority="236" operator="containsText" text="8265MSS">
      <formula>NOT(ISERROR(SEARCH("8265MSS",AUH47)))</formula>
    </cfRule>
  </conditionalFormatting>
  <conditionalFormatting sqref="AUL55:AVE55">
    <cfRule type="containsText" dxfId="186" priority="234" operator="containsText" text="8265MSS">
      <formula>NOT(ISERROR(SEARCH("8265MSS",AUL55)))</formula>
    </cfRule>
  </conditionalFormatting>
  <conditionalFormatting sqref="AVI43">
    <cfRule type="containsText" dxfId="185" priority="230" operator="containsText" text="8265MSS">
      <formula>NOT(ISERROR(SEARCH("8265MSS",AVI43)))</formula>
    </cfRule>
  </conditionalFormatting>
  <conditionalFormatting sqref="AVH43">
    <cfRule type="containsText" dxfId="184" priority="229" operator="containsText" text="8265MSS">
      <formula>NOT(ISERROR(SEARCH("8265MSS",AVH43)))</formula>
    </cfRule>
  </conditionalFormatting>
  <conditionalFormatting sqref="AVF43:AVG43">
    <cfRule type="containsText" dxfId="183" priority="228" operator="containsText" text="8265MSS">
      <formula>NOT(ISERROR(SEARCH("8265MSS",AVF43)))</formula>
    </cfRule>
  </conditionalFormatting>
  <conditionalFormatting sqref="AVJ55:AVL55">
    <cfRule type="containsText" dxfId="182" priority="227" operator="containsText" text="8265MSS">
      <formula>NOT(ISERROR(SEARCH("8265MSS",AVJ55)))</formula>
    </cfRule>
  </conditionalFormatting>
  <conditionalFormatting sqref="AVI55">
    <cfRule type="containsText" dxfId="181" priority="226" operator="containsText" text="8265MSS">
      <formula>NOT(ISERROR(SEARCH("8265MSS",AVI55)))</formula>
    </cfRule>
  </conditionalFormatting>
  <conditionalFormatting sqref="AVH55">
    <cfRule type="containsText" dxfId="180" priority="225" operator="containsText" text="8265MSS">
      <formula>NOT(ISERROR(SEARCH("8265MSS",AVH55)))</formula>
    </cfRule>
  </conditionalFormatting>
  <conditionalFormatting sqref="AVF55:AVG55">
    <cfRule type="containsText" dxfId="179" priority="224" operator="containsText" text="8265MSS">
      <formula>NOT(ISERROR(SEARCH("8265MSS",AVF55)))</formula>
    </cfRule>
  </conditionalFormatting>
  <conditionalFormatting sqref="AVQ49:AWB49">
    <cfRule type="containsText" dxfId="178" priority="223" operator="containsText" text="8265MSS">
      <formula>NOT(ISERROR(SEARCH("8265MSS",AVQ49)))</formula>
    </cfRule>
  </conditionalFormatting>
  <conditionalFormatting sqref="AVP49">
    <cfRule type="containsText" dxfId="177" priority="222" operator="containsText" text="8265MSS">
      <formula>NOT(ISERROR(SEARCH("8265MSS",AVP49)))</formula>
    </cfRule>
  </conditionalFormatting>
  <conditionalFormatting sqref="AVN49:AVO49">
    <cfRule type="containsText" dxfId="176" priority="221" operator="containsText" text="8265MSS">
      <formula>NOT(ISERROR(SEARCH("8265MSS",AVN49)))</formula>
    </cfRule>
  </conditionalFormatting>
  <conditionalFormatting sqref="AVQ43:AWK43 AWP43:AWQ43">
    <cfRule type="containsText" dxfId="175" priority="220" operator="containsText" text="8265MSS">
      <formula>NOT(ISERROR(SEARCH("8265MSS",AVQ43)))</formula>
    </cfRule>
  </conditionalFormatting>
  <conditionalFormatting sqref="AVP43">
    <cfRule type="containsText" dxfId="174" priority="219" operator="containsText" text="8265MSS">
      <formula>NOT(ISERROR(SEARCH("8265MSS",AVP43)))</formula>
    </cfRule>
  </conditionalFormatting>
  <conditionalFormatting sqref="AVN43:AVO43">
    <cfRule type="containsText" dxfId="173" priority="217" operator="containsText" text="8265MSS">
      <formula>NOT(ISERROR(SEARCH("8265MSS",AVN43)))</formula>
    </cfRule>
  </conditionalFormatting>
  <conditionalFormatting sqref="AVQ55:AWK55">
    <cfRule type="containsText" dxfId="172" priority="216" operator="containsText" text="8265MSS">
      <formula>NOT(ISERROR(SEARCH("8265MSS",AVQ55)))</formula>
    </cfRule>
  </conditionalFormatting>
  <conditionalFormatting sqref="AVP55">
    <cfRule type="containsText" dxfId="171" priority="215" operator="containsText" text="8265MSS">
      <formula>NOT(ISERROR(SEARCH("8265MSS",AVP55)))</formula>
    </cfRule>
  </conditionalFormatting>
  <conditionalFormatting sqref="AVN55:AVO55">
    <cfRule type="containsText" dxfId="170" priority="214" operator="containsText" text="8265MSS">
      <formula>NOT(ISERROR(SEARCH("8265MSS",AVN55)))</formula>
    </cfRule>
  </conditionalFormatting>
  <conditionalFormatting sqref="AWO43">
    <cfRule type="containsText" dxfId="169" priority="213" operator="containsText" text="8265MSS">
      <formula>NOT(ISERROR(SEARCH("8265MSS",AWO43)))</formula>
    </cfRule>
  </conditionalFormatting>
  <conditionalFormatting sqref="AWN43">
    <cfRule type="containsText" dxfId="168" priority="212" operator="containsText" text="8265MSS">
      <formula>NOT(ISERROR(SEARCH("8265MSS",AWN43)))</formula>
    </cfRule>
  </conditionalFormatting>
  <conditionalFormatting sqref="AWL43:AWM43">
    <cfRule type="containsText" dxfId="167" priority="211" operator="containsText" text="8265MSS">
      <formula>NOT(ISERROR(SEARCH("8265MSS",AWL43)))</formula>
    </cfRule>
  </conditionalFormatting>
  <conditionalFormatting sqref="AWP55:AWQ55">
    <cfRule type="containsText" dxfId="166" priority="210" operator="containsText" text="8265MSS">
      <formula>NOT(ISERROR(SEARCH("8265MSS",AWP55)))</formula>
    </cfRule>
  </conditionalFormatting>
  <conditionalFormatting sqref="AWO55">
    <cfRule type="containsText" dxfId="165" priority="209" operator="containsText" text="8265MSS">
      <formula>NOT(ISERROR(SEARCH("8265MSS",AWO55)))</formula>
    </cfRule>
  </conditionalFormatting>
  <conditionalFormatting sqref="AWN55">
    <cfRule type="containsText" dxfId="164" priority="208" operator="containsText" text="8265MSS">
      <formula>NOT(ISERROR(SEARCH("8265MSS",AWN55)))</formula>
    </cfRule>
  </conditionalFormatting>
  <conditionalFormatting sqref="AWL55:AWM55">
    <cfRule type="containsText" dxfId="163" priority="207" operator="containsText" text="8265MSS">
      <formula>NOT(ISERROR(SEARCH("8265MSS",AWL55)))</formula>
    </cfRule>
  </conditionalFormatting>
  <conditionalFormatting sqref="AWW47:AXG47">
    <cfRule type="containsText" dxfId="162" priority="206" operator="containsText" text="8265MSS">
      <formula>NOT(ISERROR(SEARCH("8265MSS",AWW47)))</formula>
    </cfRule>
  </conditionalFormatting>
  <conditionalFormatting sqref="AWV47">
    <cfRule type="containsText" dxfId="161" priority="205" operator="containsText" text="8265MSS">
      <formula>NOT(ISERROR(SEARCH("8265MSS",AWV47)))</formula>
    </cfRule>
  </conditionalFormatting>
  <conditionalFormatting sqref="AWU47">
    <cfRule type="containsText" dxfId="160" priority="204" operator="containsText" text="8265MSS">
      <formula>NOT(ISERROR(SEARCH("8265MSS",AWU47)))</formula>
    </cfRule>
  </conditionalFormatting>
  <conditionalFormatting sqref="AWW43:AXW43">
    <cfRule type="containsText" dxfId="159" priority="202" operator="containsText" text="8265MSS">
      <formula>NOT(ISERROR(SEARCH("8265MSS",AWW43)))</formula>
    </cfRule>
  </conditionalFormatting>
  <conditionalFormatting sqref="AWV43">
    <cfRule type="containsText" dxfId="158" priority="201" operator="containsText" text="8265MSS">
      <formula>NOT(ISERROR(SEARCH("8265MSS",AWV43)))</formula>
    </cfRule>
  </conditionalFormatting>
  <conditionalFormatting sqref="AWU43">
    <cfRule type="containsText" dxfId="157" priority="200" operator="containsText" text="8265MSS">
      <formula>NOT(ISERROR(SEARCH("8265MSS",AWU43)))</formula>
    </cfRule>
  </conditionalFormatting>
  <conditionalFormatting sqref="AWS43:AWT43">
    <cfRule type="containsText" dxfId="156" priority="198" operator="containsText" text="8265MSS">
      <formula>NOT(ISERROR(SEARCH("8265MSS",AWS43)))</formula>
    </cfRule>
  </conditionalFormatting>
  <conditionalFormatting sqref="AWW55:AXW55">
    <cfRule type="containsText" dxfId="155" priority="196" operator="containsText" text="8265MSS">
      <formula>NOT(ISERROR(SEARCH("8265MSS",AWW55)))</formula>
    </cfRule>
  </conditionalFormatting>
  <conditionalFormatting sqref="AWV55">
    <cfRule type="containsText" dxfId="154" priority="195" operator="containsText" text="8265MSS">
      <formula>NOT(ISERROR(SEARCH("8265MSS",AWV55)))</formula>
    </cfRule>
  </conditionalFormatting>
  <conditionalFormatting sqref="AWU55">
    <cfRule type="containsText" dxfId="153" priority="194" operator="containsText" text="8265MSS">
      <formula>NOT(ISERROR(SEARCH("8265MSS",AWU55)))</formula>
    </cfRule>
  </conditionalFormatting>
  <conditionalFormatting sqref="AWS55:AWT55">
    <cfRule type="containsText" dxfId="152" priority="193" operator="containsText" text="8265MSS">
      <formula>NOT(ISERROR(SEARCH("8265MSS",AWS55)))</formula>
    </cfRule>
  </conditionalFormatting>
  <conditionalFormatting sqref="AWS47:AWT47">
    <cfRule type="containsText" dxfId="151" priority="192" operator="containsText" text="8265MSS">
      <formula>NOT(ISERROR(SEARCH("8265MSS",AWS47)))</formula>
    </cfRule>
  </conditionalFormatting>
  <conditionalFormatting sqref="AVA45:AVL45">
    <cfRule type="containsText" dxfId="150" priority="191" operator="containsText" text="8265MSS">
      <formula>NOT(ISERROR(SEARCH("8265MSS",AVA45)))</formula>
    </cfRule>
  </conditionalFormatting>
  <conditionalFormatting sqref="AUY45:AUZ45">
    <cfRule type="containsText" dxfId="149" priority="190" operator="containsText" text="8265MSS">
      <formula>NOT(ISERROR(SEARCH("8265MSS",AUY45)))</formula>
    </cfRule>
  </conditionalFormatting>
  <conditionalFormatting sqref="AVP45:AWQ45">
    <cfRule type="containsText" dxfId="148" priority="189" operator="containsText" text="8265MSS">
      <formula>NOT(ISERROR(SEARCH("8265MSS",AVP45)))</formula>
    </cfRule>
  </conditionalFormatting>
  <conditionalFormatting sqref="AWS45:AWT45">
    <cfRule type="containsText" dxfId="147" priority="185" operator="containsText" text="8265MSS">
      <formula>NOT(ISERROR(SEARCH("8265MSS",AWS45)))</formula>
    </cfRule>
  </conditionalFormatting>
  <conditionalFormatting sqref="AVN45:AVO45">
    <cfRule type="containsText" dxfId="146" priority="187" operator="containsText" text="8265MSS">
      <formula>NOT(ISERROR(SEARCH("8265MSS",AVN45)))</formula>
    </cfRule>
  </conditionalFormatting>
  <conditionalFormatting sqref="AWU45:AXP45">
    <cfRule type="containsText" dxfId="145" priority="186" operator="containsText" text="8265MSS">
      <formula>NOT(ISERROR(SEARCH("8265MSS",AWU45)))</formula>
    </cfRule>
  </conditionalFormatting>
  <conditionalFormatting sqref="AWS53:AWT53">
    <cfRule type="containsText" dxfId="144" priority="183" operator="containsText" text="8265MSS">
      <formula>NOT(ISERROR(SEARCH("8265MSS",AWS53)))</formula>
    </cfRule>
  </conditionalFormatting>
  <conditionalFormatting sqref="AWU53:AXP53">
    <cfRule type="containsText" dxfId="143" priority="184" operator="containsText" text="8265MSS">
      <formula>NOT(ISERROR(SEARCH("8265MSS",AWU53)))</formula>
    </cfRule>
  </conditionalFormatting>
  <conditionalFormatting sqref="AWS65:AWT65">
    <cfRule type="containsText" dxfId="142" priority="181" operator="containsText" text="8265MSS">
      <formula>NOT(ISERROR(SEARCH("8265MSS",AWS65)))</formula>
    </cfRule>
  </conditionalFormatting>
  <conditionalFormatting sqref="AWU65:AXN65">
    <cfRule type="containsText" dxfId="141" priority="182" operator="containsText" text="8265MSS">
      <formula>NOT(ISERROR(SEARCH("8265MSS",AWU65)))</formula>
    </cfRule>
  </conditionalFormatting>
  <conditionalFormatting sqref="AVP53:AWQ53">
    <cfRule type="containsText" dxfId="140" priority="180" operator="containsText" text="8265MSS">
      <formula>NOT(ISERROR(SEARCH("8265MSS",AVP53)))</formula>
    </cfRule>
  </conditionalFormatting>
  <conditionalFormatting sqref="AVN53:AVO53">
    <cfRule type="containsText" dxfId="139" priority="179" operator="containsText" text="8265MSS">
      <formula>NOT(ISERROR(SEARCH("8265MSS",AVN53)))</formula>
    </cfRule>
  </conditionalFormatting>
  <conditionalFormatting sqref="AVP65:AWQ65">
    <cfRule type="containsText" dxfId="138" priority="178" operator="containsText" text="8265MSS">
      <formula>NOT(ISERROR(SEARCH("8265MSS",AVP65)))</formula>
    </cfRule>
  </conditionalFormatting>
  <conditionalFormatting sqref="AVN65:AVO65">
    <cfRule type="containsText" dxfId="137" priority="177" operator="containsText" text="8265MSS">
      <formula>NOT(ISERROR(SEARCH("8265MSS",AVN65)))</formula>
    </cfRule>
  </conditionalFormatting>
  <conditionalFormatting sqref="AVA53:AVL53">
    <cfRule type="containsText" dxfId="136" priority="176" operator="containsText" text="8265MSS">
      <formula>NOT(ISERROR(SEARCH("8265MSS",AVA53)))</formula>
    </cfRule>
  </conditionalFormatting>
  <conditionalFormatting sqref="AUY53:AUZ53">
    <cfRule type="containsText" dxfId="135" priority="175" operator="containsText" text="8265MSS">
      <formula>NOT(ISERROR(SEARCH("8265MSS",AUY53)))</formula>
    </cfRule>
  </conditionalFormatting>
  <conditionalFormatting sqref="AVA65:AVL65">
    <cfRule type="containsText" dxfId="134" priority="174" operator="containsText" text="8265MSS">
      <formula>NOT(ISERROR(SEARCH("8265MSS",AVA65)))</formula>
    </cfRule>
  </conditionalFormatting>
  <conditionalFormatting sqref="AUY65:AUZ65">
    <cfRule type="containsText" dxfId="133" priority="173" operator="containsText" text="8265MSS">
      <formula>NOT(ISERROR(SEARCH("8265MSS",AUY65)))</formula>
    </cfRule>
  </conditionalFormatting>
  <conditionalFormatting sqref="AUX47:AVL47">
    <cfRule type="containsText" dxfId="132" priority="172" operator="containsText" text="8265MSS">
      <formula>NOT(ISERROR(SEARCH("8265MSS",AUX47)))</formula>
    </cfRule>
  </conditionalFormatting>
  <conditionalFormatting sqref="AUV47:AUW47">
    <cfRule type="containsText" dxfId="131" priority="171" operator="containsText" text="8265MSS">
      <formula>NOT(ISERROR(SEARCH("8265MSS",AUV47)))</formula>
    </cfRule>
  </conditionalFormatting>
  <conditionalFormatting sqref="AVP47:AWQ47">
    <cfRule type="containsText" dxfId="130" priority="170" operator="containsText" text="8265MSS">
      <formula>NOT(ISERROR(SEARCH("8265MSS",AVP47)))</formula>
    </cfRule>
  </conditionalFormatting>
  <conditionalFormatting sqref="AVN47:AVO47">
    <cfRule type="containsText" dxfId="129" priority="169" operator="containsText" text="8265MSS">
      <formula>NOT(ISERROR(SEARCH("8265MSS",AVN47)))</formula>
    </cfRule>
  </conditionalFormatting>
  <conditionalFormatting sqref="ALF43:ALG43">
    <cfRule type="containsText" dxfId="128" priority="166" operator="containsText" text="8265MSS">
      <formula>NOT(ISERROR(SEARCH("8265MSS",ALF43)))</formula>
    </cfRule>
  </conditionalFormatting>
  <conditionalFormatting sqref="AKH65:AKI65">
    <cfRule type="containsText" dxfId="127" priority="164" operator="containsText" text="8265MSS">
      <formula>NOT(ISERROR(SEARCH("8265MSS",AKH65)))</formula>
    </cfRule>
  </conditionalFormatting>
  <conditionalFormatting sqref="AKY65:AKZ65">
    <cfRule type="containsText" dxfId="126" priority="163" operator="containsText" text="8265MSS">
      <formula>NOT(ISERROR(SEARCH("8265MSS",AKY65)))</formula>
    </cfRule>
  </conditionalFormatting>
  <conditionalFormatting sqref="AGG73">
    <cfRule type="containsText" dxfId="125" priority="162" operator="containsText" text="8265MSS">
      <formula>NOT(ISERROR(SEARCH("8265MSS",AGG73)))</formula>
    </cfRule>
  </conditionalFormatting>
  <conditionalFormatting sqref="AGH71">
    <cfRule type="containsText" dxfId="124" priority="161" operator="containsText" text="8265MSS">
      <formula>NOT(ISERROR(SEARCH("8265MSS",AGH71)))</formula>
    </cfRule>
  </conditionalFormatting>
  <conditionalFormatting sqref="AGJ55:AGY55">
    <cfRule type="containsText" dxfId="123" priority="160" operator="containsText" text="8265MSS">
      <formula>NOT(ISERROR(SEARCH("8265MSS",AGJ55)))</formula>
    </cfRule>
  </conditionalFormatting>
  <conditionalFormatting sqref="AGL73">
    <cfRule type="containsText" dxfId="122" priority="159" operator="containsText" text="8265MSS">
      <formula>NOT(ISERROR(SEARCH("8265MSS",AGL73)))</formula>
    </cfRule>
  </conditionalFormatting>
  <conditionalFormatting sqref="AGM71">
    <cfRule type="containsText" dxfId="121" priority="158" operator="containsText" text="8265MSS">
      <formula>NOT(ISERROR(SEARCH("8265MSS",AGM71)))</formula>
    </cfRule>
  </conditionalFormatting>
  <conditionalFormatting sqref="AGL43">
    <cfRule type="containsText" dxfId="120" priority="157" operator="containsText" text="8265MSS">
      <formula>NOT(ISERROR(SEARCH("8265MSS",AGL43)))</formula>
    </cfRule>
  </conditionalFormatting>
  <conditionalFormatting sqref="AGN71">
    <cfRule type="containsText" dxfId="119" priority="156" operator="containsText" text="8265MSS">
      <formula>NOT(ISERROR(SEARCH("8265MSS",AGN71)))</formula>
    </cfRule>
  </conditionalFormatting>
  <conditionalFormatting sqref="AGN73">
    <cfRule type="containsText" dxfId="118" priority="155" operator="containsText" text="8265MSS">
      <formula>NOT(ISERROR(SEARCH("8265MSS",AGN73)))</formula>
    </cfRule>
  </conditionalFormatting>
  <conditionalFormatting sqref="AGN75">
    <cfRule type="containsText" dxfId="117" priority="154" operator="containsText" text="8265MSS">
      <formula>NOT(ISERROR(SEARCH("8265MSS",AGN75)))</formula>
    </cfRule>
  </conditionalFormatting>
  <conditionalFormatting sqref="AGO71">
    <cfRule type="containsText" dxfId="116" priority="153" operator="containsText" text="8265MSS">
      <formula>NOT(ISERROR(SEARCH("8265MSS",AGO71)))</formula>
    </cfRule>
  </conditionalFormatting>
  <conditionalFormatting sqref="AGN63:AGV63">
    <cfRule type="containsText" dxfId="115" priority="152" operator="containsText" text="8265MSS">
      <formula>NOT(ISERROR(SEARCH("8265MSS",AGN63)))</formula>
    </cfRule>
  </conditionalFormatting>
  <conditionalFormatting sqref="AHA45">
    <cfRule type="containsText" dxfId="114" priority="148" operator="containsText" text="8265MSS">
      <formula>NOT(ISERROR(SEARCH("8265MSS",AHA45)))</formula>
    </cfRule>
  </conditionalFormatting>
  <conditionalFormatting sqref="AHS59:AHZ59">
    <cfRule type="containsText" dxfId="113" priority="147" operator="containsText" text="8265MSS">
      <formula>NOT(ISERROR(SEARCH("8265MSS",AHS59)))</formula>
    </cfRule>
  </conditionalFormatting>
  <conditionalFormatting sqref="AIF61:AIH61">
    <cfRule type="containsText" dxfId="112" priority="142" operator="containsText" text="8265MSS">
      <formula>NOT(ISERROR(SEARCH("8265MSS",AIF61)))</formula>
    </cfRule>
  </conditionalFormatting>
  <conditionalFormatting sqref="AGR71">
    <cfRule type="containsText" dxfId="111" priority="141" operator="containsText" text="8265MSS">
      <formula>NOT(ISERROR(SEARCH("8265MSS",AGR71)))</formula>
    </cfRule>
  </conditionalFormatting>
  <conditionalFormatting sqref="AKN45">
    <cfRule type="containsText" dxfId="110" priority="138" operator="containsText" text="8265MSS">
      <formula>NOT(ISERROR(SEARCH("8265MSS",AKN45)))</formula>
    </cfRule>
  </conditionalFormatting>
  <conditionalFormatting sqref="AJJ61">
    <cfRule type="containsText" dxfId="109" priority="136" operator="containsText" text="8265MSS">
      <formula>NOT(ISERROR(SEARCH("8265MSS",AJJ61)))</formula>
    </cfRule>
  </conditionalFormatting>
  <conditionalFormatting sqref="AGT71">
    <cfRule type="containsText" dxfId="108" priority="134" operator="containsText" text="8265MSS">
      <formula>NOT(ISERROR(SEARCH("8265MSS",AGT71)))</formula>
    </cfRule>
  </conditionalFormatting>
  <conditionalFormatting sqref="AGU73">
    <cfRule type="containsText" dxfId="107" priority="132" operator="containsText" text="8265MSS">
      <formula>NOT(ISERROR(SEARCH("8265MSS",AGU73)))</formula>
    </cfRule>
  </conditionalFormatting>
  <conditionalFormatting sqref="AGU75">
    <cfRule type="containsText" dxfId="106" priority="131" operator="containsText" text="8265MSS">
      <formula>NOT(ISERROR(SEARCH("8265MSS",AGU75)))</formula>
    </cfRule>
  </conditionalFormatting>
  <conditionalFormatting sqref="AGU71">
    <cfRule type="containsText" dxfId="105" priority="130" operator="containsText" text="8265MSS">
      <formula>NOT(ISERROR(SEARCH("8265MSS",AGU71)))</formula>
    </cfRule>
  </conditionalFormatting>
  <conditionalFormatting sqref="AGV71">
    <cfRule type="containsText" dxfId="104" priority="127" operator="containsText" text="8265MSS">
      <formula>NOT(ISERROR(SEARCH("8265MSS",AGV71)))</formula>
    </cfRule>
  </conditionalFormatting>
  <conditionalFormatting sqref="AGV73">
    <cfRule type="containsText" dxfId="103" priority="126" operator="containsText" text="8265MSS">
      <formula>NOT(ISERROR(SEARCH("8265MSS",AGV73)))</formula>
    </cfRule>
  </conditionalFormatting>
  <conditionalFormatting sqref="AGV75">
    <cfRule type="containsText" dxfId="102" priority="125" operator="containsText" text="8265MSS">
      <formula>NOT(ISERROR(SEARCH("8265MSS",AGV75)))</formula>
    </cfRule>
  </conditionalFormatting>
  <conditionalFormatting sqref="AGX71">
    <cfRule type="containsText" dxfId="101" priority="124" operator="containsText" text="8265MSS">
      <formula>NOT(ISERROR(SEARCH("8265MSS",AGX71)))</formula>
    </cfRule>
  </conditionalFormatting>
  <conditionalFormatting sqref="AJL61:AJM61">
    <cfRule type="containsText" dxfId="100" priority="120" operator="containsText" text="8265MSS">
      <formula>NOT(ISERROR(SEARCH("8265MSS",AJL61)))</formula>
    </cfRule>
  </conditionalFormatting>
  <conditionalFormatting sqref="AGY73">
    <cfRule type="containsText" dxfId="99" priority="119" operator="containsText" text="8265MSS">
      <formula>NOT(ISERROR(SEARCH("8265MSS",AGY73)))</formula>
    </cfRule>
  </conditionalFormatting>
  <conditionalFormatting sqref="AGY71">
    <cfRule type="containsText" dxfId="98" priority="118" operator="containsText" text="8265MSS">
      <formula>NOT(ISERROR(SEARCH("8265MSS",AGY71)))</formula>
    </cfRule>
  </conditionalFormatting>
  <conditionalFormatting sqref="ANE45:ANF45">
    <cfRule type="containsText" dxfId="97" priority="117" operator="containsText" text="8265MSS">
      <formula>NOT(ISERROR(SEARCH("8265MSS",ANE45)))</formula>
    </cfRule>
  </conditionalFormatting>
  <conditionalFormatting sqref="ANC45:AND45">
    <cfRule type="containsText" dxfId="96" priority="116" operator="containsText" text="8265MSS">
      <formula>NOT(ISERROR(SEARCH("8265MSS",ANC45)))</formula>
    </cfRule>
  </conditionalFormatting>
  <conditionalFormatting sqref="ANA55:ANG55">
    <cfRule type="containsText" dxfId="95" priority="115" operator="containsText" text="8265MSS">
      <formula>NOT(ISERROR(SEARCH("8265MSS",ANA55)))</formula>
    </cfRule>
  </conditionalFormatting>
  <conditionalFormatting sqref="ANA55:ANB55">
    <cfRule type="containsText" dxfId="94" priority="114" operator="containsText" text="8265MSS">
      <formula>NOT(ISERROR(SEARCH("8265MSS",ANA55)))</formula>
    </cfRule>
  </conditionalFormatting>
  <conditionalFormatting sqref="AOT45:AOU45">
    <cfRule type="containsText" dxfId="93" priority="112" operator="containsText" text="8265MSS">
      <formula>NOT(ISERROR(SEARCH("8265MSS",AOT45)))</formula>
    </cfRule>
  </conditionalFormatting>
  <conditionalFormatting sqref="AOQ55:AOR55">
    <cfRule type="containsText" dxfId="92" priority="110" operator="containsText" text="8265MSS">
      <formula>NOT(ISERROR(SEARCH("8265MSS",AOQ55)))</formula>
    </cfRule>
  </conditionalFormatting>
  <conditionalFormatting sqref="APN55">
    <cfRule type="containsText" dxfId="91" priority="109" operator="containsText" text="8265MSS">
      <formula>NOT(ISERROR(SEARCH("8265MSS",APN55)))</formula>
    </cfRule>
  </conditionalFormatting>
  <conditionalFormatting sqref="ARW49:ARY49">
    <cfRule type="containsText" dxfId="90" priority="99" operator="containsText" text="8265MSS">
      <formula>NOT(ISERROR(SEARCH("8265MSS",ARW49)))</formula>
    </cfRule>
  </conditionalFormatting>
  <conditionalFormatting sqref="APL55:APM55">
    <cfRule type="containsText" dxfId="89" priority="107" operator="containsText" text="8265MSS">
      <formula>NOT(ISERROR(SEARCH("8265MSS",APL55)))</formula>
    </cfRule>
  </conditionalFormatting>
  <conditionalFormatting sqref="ARI55:ARK55">
    <cfRule type="containsText" dxfId="88" priority="106" operator="containsText" text="8265MSS">
      <formula>NOT(ISERROR(SEARCH("8265MSS",ARI55)))</formula>
    </cfRule>
  </conditionalFormatting>
  <conditionalFormatting sqref="ARG55:ARH55">
    <cfRule type="containsText" dxfId="87" priority="105" operator="containsText" text="8265MSS">
      <formula>NOT(ISERROR(SEARCH("8265MSS",ARG55)))</formula>
    </cfRule>
  </conditionalFormatting>
  <conditionalFormatting sqref="ARR49:ARU49">
    <cfRule type="containsText" dxfId="86" priority="104" operator="containsText" text="8265MSS">
      <formula>NOT(ISERROR(SEARCH("8265MSS",ARR49)))</formula>
    </cfRule>
  </conditionalFormatting>
  <conditionalFormatting sqref="ARO49:ARP49">
    <cfRule type="containsText" dxfId="85" priority="100" operator="containsText" text="8265MSS">
      <formula>NOT(ISERROR(SEARCH("8265MSS",ARO49)))</formula>
    </cfRule>
  </conditionalFormatting>
  <conditionalFormatting sqref="ARQ49">
    <cfRule type="containsText" dxfId="84" priority="101" operator="containsText" text="8265MSS">
      <formula>NOT(ISERROR(SEARCH("8265MSS",ARQ49)))</formula>
    </cfRule>
  </conditionalFormatting>
  <conditionalFormatting sqref="APN45:APV45">
    <cfRule type="containsText" dxfId="83" priority="98" operator="containsText" text="8265MSS">
      <formula>NOT(ISERROR(SEARCH("8265MSS",APN45)))</formula>
    </cfRule>
  </conditionalFormatting>
  <conditionalFormatting sqref="APY45">
    <cfRule type="containsText" dxfId="82" priority="96" operator="containsText" text="8265MSS">
      <formula>NOT(ISERROR(SEARCH("8265MSS",APY45)))</formula>
    </cfRule>
  </conditionalFormatting>
  <conditionalFormatting sqref="APW45:APX45">
    <cfRule type="containsText" dxfId="81" priority="95" operator="containsText" text="8265MSS">
      <formula>NOT(ISERROR(SEARCH("8265MSS",APW45)))</formula>
    </cfRule>
  </conditionalFormatting>
  <conditionalFormatting sqref="APL45:APM45">
    <cfRule type="containsText" dxfId="80" priority="94" operator="containsText" text="8265MSS">
      <formula>NOT(ISERROR(SEARCH("8265MSS",APL45)))</formula>
    </cfRule>
  </conditionalFormatting>
  <conditionalFormatting sqref="AQR45:AQT45">
    <cfRule type="containsText" dxfId="79" priority="93" operator="containsText" text="8265MSS">
      <formula>NOT(ISERROR(SEARCH("8265MSS",AQR45)))</formula>
    </cfRule>
  </conditionalFormatting>
  <conditionalFormatting sqref="ARJ45:ARU45">
    <cfRule type="containsText" dxfId="78" priority="91" operator="containsText" text="8265MSS">
      <formula>NOT(ISERROR(SEARCH("8265MSS",ARJ45)))</formula>
    </cfRule>
  </conditionalFormatting>
  <conditionalFormatting sqref="ARI45">
    <cfRule type="containsText" dxfId="77" priority="90" operator="containsText" text="8265MSS">
      <formula>NOT(ISERROR(SEARCH("8265MSS",ARI45)))</formula>
    </cfRule>
  </conditionalFormatting>
  <conditionalFormatting sqref="ARW45:ASP45">
    <cfRule type="containsText" dxfId="76" priority="87" operator="containsText" text="8265MSS">
      <formula>NOT(ISERROR(SEARCH("8265MSS",ARW45)))</formula>
    </cfRule>
  </conditionalFormatting>
  <conditionalFormatting sqref="ARG45:ARH45">
    <cfRule type="containsText" dxfId="75" priority="88" operator="containsText" text="8265MSS">
      <formula>NOT(ISERROR(SEARCH("8265MSS",ARG45)))</formula>
    </cfRule>
  </conditionalFormatting>
  <conditionalFormatting sqref="ARG43:ARH43">
    <cfRule type="containsText" dxfId="74" priority="85" operator="containsText" text="8265MSS">
      <formula>NOT(ISERROR(SEARCH("8265MSS",ARG43)))</formula>
    </cfRule>
  </conditionalFormatting>
  <conditionalFormatting sqref="ARI43">
    <cfRule type="containsText" dxfId="73" priority="86" operator="containsText" text="8265MSS">
      <formula>NOT(ISERROR(SEARCH("8265MSS",ARI43)))</formula>
    </cfRule>
  </conditionalFormatting>
  <conditionalFormatting sqref="AHA71">
    <cfRule type="containsText" dxfId="72" priority="84" operator="containsText" text="8265MSS">
      <formula>NOT(ISERROR(SEARCH("8265MSS",AHA71)))</formula>
    </cfRule>
  </conditionalFormatting>
  <conditionalFormatting sqref="AHA73">
    <cfRule type="containsText" dxfId="71" priority="83" operator="containsText" text="8265MSS">
      <formula>NOT(ISERROR(SEARCH("8265MSS",AHA73)))</formula>
    </cfRule>
  </conditionalFormatting>
  <conditionalFormatting sqref="AHA75">
    <cfRule type="containsText" dxfId="70" priority="82" operator="containsText" text="8265MSS">
      <formula>NOT(ISERROR(SEARCH("8265MSS",AHA75)))</formula>
    </cfRule>
  </conditionalFormatting>
  <conditionalFormatting sqref="AHA77">
    <cfRule type="containsText" dxfId="69" priority="81" operator="containsText" text="8265MSS">
      <formula>NOT(ISERROR(SEARCH("8265MSS",AHA77)))</formula>
    </cfRule>
  </conditionalFormatting>
  <conditionalFormatting sqref="AHB71">
    <cfRule type="containsText" dxfId="68" priority="80" operator="containsText" text="8265MSS">
      <formula>NOT(ISERROR(SEARCH("8265MSS",AHB71)))</formula>
    </cfRule>
  </conditionalFormatting>
  <conditionalFormatting sqref="AHB73">
    <cfRule type="containsText" dxfId="67" priority="79" operator="containsText" text="8265MSS">
      <formula>NOT(ISERROR(SEARCH("8265MSS",AHB73)))</formula>
    </cfRule>
  </conditionalFormatting>
  <conditionalFormatting sqref="AHB75">
    <cfRule type="containsText" dxfId="66" priority="78" operator="containsText" text="8265MSS">
      <formula>NOT(ISERROR(SEARCH("8265MSS",AHB75)))</formula>
    </cfRule>
  </conditionalFormatting>
  <conditionalFormatting sqref="AHB77">
    <cfRule type="containsText" dxfId="65" priority="77" operator="containsText" text="8265MSS">
      <formula>NOT(ISERROR(SEARCH("8265MSS",AHB77)))</formula>
    </cfRule>
  </conditionalFormatting>
  <conditionalFormatting sqref="AHC71">
    <cfRule type="containsText" dxfId="64" priority="76" operator="containsText" text="8265MSS">
      <formula>NOT(ISERROR(SEARCH("8265MSS",AHC71)))</formula>
    </cfRule>
  </conditionalFormatting>
  <conditionalFormatting sqref="AHC73">
    <cfRule type="containsText" dxfId="63" priority="75" operator="containsText" text="8265MSS">
      <formula>NOT(ISERROR(SEARCH("8265MSS",AHC73)))</formula>
    </cfRule>
  </conditionalFormatting>
  <conditionalFormatting sqref="AHD71">
    <cfRule type="containsText" dxfId="62" priority="74" operator="containsText" text="8265MSS">
      <formula>NOT(ISERROR(SEARCH("8265MSS",AHD71)))</formula>
    </cfRule>
  </conditionalFormatting>
  <conditionalFormatting sqref="AGY45">
    <cfRule type="containsText" dxfId="61" priority="73" operator="containsText" text="8265MSS">
      <formula>NOT(ISERROR(SEARCH("8265MSS",AGY45)))</formula>
    </cfRule>
  </conditionalFormatting>
  <conditionalFormatting sqref="AHF71">
    <cfRule type="containsText" dxfId="60" priority="70" operator="containsText" text="8265MSS">
      <formula>NOT(ISERROR(SEARCH("8265MSS",AHF71)))</formula>
    </cfRule>
  </conditionalFormatting>
  <conditionalFormatting sqref="AHF73">
    <cfRule type="containsText" dxfId="59" priority="69" operator="containsText" text="8265MSS">
      <formula>NOT(ISERROR(SEARCH("8265MSS",AHF73)))</formula>
    </cfRule>
  </conditionalFormatting>
  <conditionalFormatting sqref="AHK51">
    <cfRule type="containsText" dxfId="58" priority="68" operator="containsText" text="8265MSS">
      <formula>NOT(ISERROR(SEARCH("8265MSS",AHK51)))</formula>
    </cfRule>
  </conditionalFormatting>
  <conditionalFormatting sqref="AHA55:AHB55">
    <cfRule type="containsText" dxfId="57" priority="67" operator="containsText" text="8265MSS">
      <formula>NOT(ISERROR(SEARCH("8265MSS",AHA55)))</formula>
    </cfRule>
  </conditionalFormatting>
  <conditionalFormatting sqref="AHC63:AHE63">
    <cfRule type="containsText" dxfId="56" priority="66" operator="containsText" text="8265MSS">
      <formula>NOT(ISERROR(SEARCH("8265MSS",AHC63)))</formula>
    </cfRule>
  </conditionalFormatting>
  <conditionalFormatting sqref="AHA63:AHB63">
    <cfRule type="containsText" dxfId="55" priority="65" operator="containsText" text="8265MSS">
      <formula>NOT(ISERROR(SEARCH("8265MSS",AHA63)))</formula>
    </cfRule>
  </conditionalFormatting>
  <conditionalFormatting sqref="AHA67">
    <cfRule type="containsText" dxfId="54" priority="64" operator="containsText" text="8265MSS">
      <formula>NOT(ISERROR(SEARCH("8265MSS",AHA67)))</formula>
    </cfRule>
  </conditionalFormatting>
  <conditionalFormatting sqref="AJW53:AJX53">
    <cfRule type="containsText" dxfId="53" priority="62" operator="containsText" text="8265MSS">
      <formula>NOT(ISERROR(SEARCH("8265MSS",AJW53)))</formula>
    </cfRule>
  </conditionalFormatting>
  <conditionalFormatting sqref="AHH71">
    <cfRule type="containsText" dxfId="52" priority="59" operator="containsText" text="8265MSS">
      <formula>NOT(ISERROR(SEARCH("8265MSS",AHH71)))</formula>
    </cfRule>
  </conditionalFormatting>
  <conditionalFormatting sqref="AHH73">
    <cfRule type="containsText" dxfId="51" priority="58" operator="containsText" text="8265MSS">
      <formula>NOT(ISERROR(SEARCH("8265MSS",AHH73)))</formula>
    </cfRule>
  </conditionalFormatting>
  <conditionalFormatting sqref="AHH75">
    <cfRule type="containsText" dxfId="50" priority="57" operator="containsText" text="8265MSS">
      <formula>NOT(ISERROR(SEARCH("8265MSS",AHH75)))</formula>
    </cfRule>
  </conditionalFormatting>
  <conditionalFormatting sqref="AHG71">
    <cfRule type="containsText" dxfId="49" priority="56" operator="containsText" text="8265MSS">
      <formula>NOT(ISERROR(SEARCH("8265MSS",AHG71)))</formula>
    </cfRule>
  </conditionalFormatting>
  <conditionalFormatting sqref="AHG73">
    <cfRule type="containsText" dxfId="48" priority="55" operator="containsText" text="8265MSS">
      <formula>NOT(ISERROR(SEARCH("8265MSS",AHG73)))</formula>
    </cfRule>
  </conditionalFormatting>
  <conditionalFormatting sqref="AHG75">
    <cfRule type="containsText" dxfId="47" priority="54" operator="containsText" text="8265MSS">
      <formula>NOT(ISERROR(SEARCH("8265MSS",AHG75)))</formula>
    </cfRule>
  </conditionalFormatting>
  <conditionalFormatting sqref="AHI71:AHJ71">
    <cfRule type="containsText" dxfId="46" priority="53" operator="containsText" text="8265MSS">
      <formula>NOT(ISERROR(SEARCH("8265MSS",AHI71)))</formula>
    </cfRule>
  </conditionalFormatting>
  <conditionalFormatting sqref="AHI65">
    <cfRule type="containsText" dxfId="45" priority="52" operator="containsText" text="8265MSS">
      <formula>NOT(ISERROR(SEARCH("8265MSS",AHI65)))</formula>
    </cfRule>
  </conditionalFormatting>
  <conditionalFormatting sqref="AHL65:AHN65">
    <cfRule type="containsText" dxfId="44" priority="51" operator="containsText" text="8265MSS">
      <formula>NOT(ISERROR(SEARCH("8265MSS",AHL65)))</formula>
    </cfRule>
  </conditionalFormatting>
  <conditionalFormatting sqref="AJB59">
    <cfRule type="containsText" dxfId="43" priority="48" operator="containsText" text="8265MSS">
      <formula>NOT(ISERROR(SEARCH("8265MSS",AJB59)))</formula>
    </cfRule>
  </conditionalFormatting>
  <conditionalFormatting sqref="AJR53">
    <cfRule type="containsText" dxfId="42" priority="46" operator="containsText" text="8265MSS">
      <formula>NOT(ISERROR(SEARCH("8265MSS",AJR53)))</formula>
    </cfRule>
  </conditionalFormatting>
  <conditionalFormatting sqref="AKO43:AKP43">
    <cfRule type="containsText" dxfId="41" priority="45" operator="containsText" text="8265MSS">
      <formula>NOT(ISERROR(SEARCH("8265MSS",AKO43)))</formula>
    </cfRule>
  </conditionalFormatting>
  <conditionalFormatting sqref="AKR43:AKT43">
    <cfRule type="containsText" dxfId="40" priority="44" operator="containsText" text="8265MSS">
      <formula>NOT(ISERROR(SEARCH("8265MSS",AKR43)))</formula>
    </cfRule>
  </conditionalFormatting>
  <conditionalFormatting sqref="AJC53">
    <cfRule type="containsText" dxfId="39" priority="43" operator="containsText" text="8265MSS">
      <formula>NOT(ISERROR(SEARCH("8265MSS",AJC53)))</formula>
    </cfRule>
  </conditionalFormatting>
  <conditionalFormatting sqref="AJJ53">
    <cfRule type="containsText" dxfId="38" priority="42" operator="containsText" text="8265MSS">
      <formula>NOT(ISERROR(SEARCH("8265MSS",AJJ53)))</formula>
    </cfRule>
  </conditionalFormatting>
  <conditionalFormatting sqref="AKT45">
    <cfRule type="containsText" dxfId="37" priority="41" operator="containsText" text="8265MSS">
      <formula>NOT(ISERROR(SEARCH("8265MSS",AKT45)))</formula>
    </cfRule>
  </conditionalFormatting>
  <conditionalFormatting sqref="AOQ45:AOS45">
    <cfRule type="containsText" dxfId="36" priority="39" operator="containsText" text="8265MSS">
      <formula>NOT(ISERROR(SEARCH("8265MSS",AOQ45)))</formula>
    </cfRule>
  </conditionalFormatting>
  <conditionalFormatting sqref="AOO45:AOP45">
    <cfRule type="containsText" dxfId="35" priority="38" operator="containsText" text="8265MSS">
      <formula>NOT(ISERROR(SEARCH("8265MSS",AOO45)))</formula>
    </cfRule>
  </conditionalFormatting>
  <conditionalFormatting sqref="AOO55:AOP55">
    <cfRule type="containsText" dxfId="34" priority="37" operator="containsText" text="8265MSS">
      <formula>NOT(ISERROR(SEARCH("8265MSS",AOO55)))</formula>
    </cfRule>
  </conditionalFormatting>
  <conditionalFormatting sqref="AOQ65:APJ65">
    <cfRule type="containsText" dxfId="33" priority="36" operator="containsText" text="8265MSS">
      <formula>NOT(ISERROR(SEARCH("8265MSS",AOQ65)))</formula>
    </cfRule>
  </conditionalFormatting>
  <conditionalFormatting sqref="AOO65:AOP65">
    <cfRule type="containsText" dxfId="32" priority="35" operator="containsText" text="8265MSS">
      <formula>NOT(ISERROR(SEARCH("8265MSS",AOO65)))</formula>
    </cfRule>
  </conditionalFormatting>
  <conditionalFormatting sqref="AHJ77">
    <cfRule type="containsText" dxfId="31" priority="34" operator="containsText" text="8265MSS">
      <formula>NOT(ISERROR(SEARCH("8265MSS",AHJ77)))</formula>
    </cfRule>
  </conditionalFormatting>
  <conditionalFormatting sqref="AHJ73">
    <cfRule type="containsText" dxfId="30" priority="33" operator="containsText" text="8265MSS">
      <formula>NOT(ISERROR(SEARCH("8265MSS",AHJ73)))</formula>
    </cfRule>
  </conditionalFormatting>
  <conditionalFormatting sqref="AHJ75">
    <cfRule type="containsText" dxfId="29" priority="32" operator="containsText" text="8265MSS">
      <formula>NOT(ISERROR(SEARCH("8265MSS",AHJ75)))</formula>
    </cfRule>
  </conditionalFormatting>
  <conditionalFormatting sqref="AHK71">
    <cfRule type="containsText" dxfId="28" priority="31" operator="containsText" text="8265MSS">
      <formula>NOT(ISERROR(SEARCH("8265MSS",AHK71)))</formula>
    </cfRule>
  </conditionalFormatting>
  <conditionalFormatting sqref="AHK73">
    <cfRule type="containsText" dxfId="27" priority="30" operator="containsText" text="8265MSS">
      <formula>NOT(ISERROR(SEARCH("8265MSS",AHK73)))</formula>
    </cfRule>
  </conditionalFormatting>
  <conditionalFormatting sqref="AHM73">
    <cfRule type="containsText" dxfId="26" priority="28" operator="containsText" text="8265MSS">
      <formula>NOT(ISERROR(SEARCH("8265MSS",AHM73)))</formula>
    </cfRule>
  </conditionalFormatting>
  <conditionalFormatting sqref="AHM75">
    <cfRule type="containsText" dxfId="25" priority="27" operator="containsText" text="8265MSS">
      <formula>NOT(ISERROR(SEARCH("8265MSS",AHM75)))</formula>
    </cfRule>
  </conditionalFormatting>
  <conditionalFormatting sqref="AHM71">
    <cfRule type="containsText" dxfId="24" priority="26" operator="containsText" text="8265MSS">
      <formula>NOT(ISERROR(SEARCH("8265MSS",AHM71)))</formula>
    </cfRule>
  </conditionalFormatting>
  <conditionalFormatting sqref="ALX43">
    <cfRule type="containsText" dxfId="23" priority="24" operator="containsText" text="8265MSS">
      <formula>NOT(ISERROR(SEARCH("8265MSS",ALX43)))</formula>
    </cfRule>
  </conditionalFormatting>
  <conditionalFormatting sqref="ALU43:ALW43">
    <cfRule type="containsText" dxfId="22" priority="23" operator="containsText" text="8265MSS">
      <formula>NOT(ISERROR(SEARCH("8265MSS",ALU43)))</formula>
    </cfRule>
  </conditionalFormatting>
  <conditionalFormatting sqref="AQN45:AQO45">
    <cfRule type="containsText" dxfId="21" priority="22" operator="containsText" text="8265MSS">
      <formula>NOT(ISERROR(SEARCH("8265MSS",AQN45)))</formula>
    </cfRule>
  </conditionalFormatting>
  <conditionalFormatting sqref="AHN71">
    <cfRule type="containsText" dxfId="20" priority="21" operator="containsText" text="8265MSS">
      <formula>NOT(ISERROR(SEARCH("8265MSS",AHN71)))</formula>
    </cfRule>
  </conditionalFormatting>
  <conditionalFormatting sqref="AHN73">
    <cfRule type="containsText" dxfId="19" priority="20" operator="containsText" text="8265MSS">
      <formula>NOT(ISERROR(SEARCH("8265MSS",AHN73)))</formula>
    </cfRule>
  </conditionalFormatting>
  <conditionalFormatting sqref="ASO43:ASQ43">
    <cfRule type="containsText" dxfId="18" priority="19" operator="containsText" text="8265MSS">
      <formula>NOT(ISERROR(SEARCH("8265MSS",ASO43)))</formula>
    </cfRule>
  </conditionalFormatting>
  <conditionalFormatting sqref="ASN43">
    <cfRule type="containsText" dxfId="17" priority="18" operator="containsText" text="8265MSS">
      <formula>NOT(ISERROR(SEARCH("8265MSS",ASN43)))</formula>
    </cfRule>
  </conditionalFormatting>
  <conditionalFormatting sqref="ASM43">
    <cfRule type="containsText" dxfId="16" priority="17" operator="containsText" text="8265MSS">
      <formula>NOT(ISERROR(SEARCH("8265MSS",ASM43)))</formula>
    </cfRule>
  </conditionalFormatting>
  <conditionalFormatting sqref="ASK43:ASL43">
    <cfRule type="containsText" dxfId="15" priority="16" operator="containsText" text="8265MSS">
      <formula>NOT(ISERROR(SEARCH("8265MSS",ASK43)))</formula>
    </cfRule>
  </conditionalFormatting>
  <conditionalFormatting sqref="AQW55">
    <cfRule type="containsText" dxfId="14" priority="15" operator="containsText" text="8265MSS">
      <formula>NOT(ISERROR(SEARCH("8265MSS",AQW55)))</formula>
    </cfRule>
  </conditionalFormatting>
  <conditionalFormatting sqref="AQV55">
    <cfRule type="containsText" dxfId="13" priority="14" operator="containsText" text="8265MSS">
      <formula>NOT(ISERROR(SEARCH("8265MSS",AQV55)))</formula>
    </cfRule>
  </conditionalFormatting>
  <conditionalFormatting sqref="AQT55:AQU55">
    <cfRule type="containsText" dxfId="12" priority="13" operator="containsText" text="8265MSS">
      <formula>NOT(ISERROR(SEARCH("8265MSS",AQT55)))</formula>
    </cfRule>
  </conditionalFormatting>
  <conditionalFormatting sqref="AQT43:AQW43">
    <cfRule type="containsText" dxfId="11" priority="12" operator="containsText" text="8265MSS">
      <formula>NOT(ISERROR(SEARCH("8265MSS",AQT43)))</formula>
    </cfRule>
  </conditionalFormatting>
  <conditionalFormatting sqref="AQS43">
    <cfRule type="containsText" dxfId="10" priority="11" operator="containsText" text="8265MSS">
      <formula>NOT(ISERROR(SEARCH("8265MSS",AQS43)))</formula>
    </cfRule>
  </conditionalFormatting>
  <conditionalFormatting sqref="AQQ43:AQR43">
    <cfRule type="containsText" dxfId="9" priority="10" operator="containsText" text="8265MSS">
      <formula>NOT(ISERROR(SEARCH("8265MSS",AQQ43)))</formula>
    </cfRule>
  </conditionalFormatting>
  <conditionalFormatting sqref="APY55:AQO55">
    <cfRule type="containsText" dxfId="8" priority="9" operator="containsText" text="8265MSS">
      <formula>NOT(ISERROR(SEARCH("8265MSS",APY55)))</formula>
    </cfRule>
  </conditionalFormatting>
  <conditionalFormatting sqref="APW55:APX55">
    <cfRule type="containsText" dxfId="7" priority="8" operator="containsText" text="8265MSS">
      <formula>NOT(ISERROR(SEARCH("8265MSS",APW55)))</formula>
    </cfRule>
  </conditionalFormatting>
  <conditionalFormatting sqref="ANW47:AOD47">
    <cfRule type="containsText" dxfId="6" priority="7" operator="containsText" text="8265MSS">
      <formula>NOT(ISERROR(SEARCH("8265MSS",ANW47)))</formula>
    </cfRule>
  </conditionalFormatting>
  <conditionalFormatting sqref="AIO72">
    <cfRule type="containsText" dxfId="5" priority="6" operator="containsText" text="8265MSS">
      <formula>NOT(ISERROR(SEARCH("8265MSS",AIO72)))</formula>
    </cfRule>
  </conditionalFormatting>
  <conditionalFormatting sqref="AHO71">
    <cfRule type="containsText" dxfId="4" priority="5" operator="containsText" text="8265MSS">
      <formula>NOT(ISERROR(SEARCH("8265MSS",AHO71)))</formula>
    </cfRule>
  </conditionalFormatting>
  <conditionalFormatting sqref="AHO73">
    <cfRule type="containsText" dxfId="3" priority="4" operator="containsText" text="8265MSS">
      <formula>NOT(ISERROR(SEARCH("8265MSS",AHO73)))</formula>
    </cfRule>
  </conditionalFormatting>
  <conditionalFormatting sqref="AHO63:AHP63">
    <cfRule type="containsText" dxfId="2" priority="3" operator="containsText" text="8265MSS">
      <formula>NOT(ISERROR(SEARCH("8265MSS",AHO63)))</formula>
    </cfRule>
  </conditionalFormatting>
  <conditionalFormatting sqref="AHP67">
    <cfRule type="containsText" dxfId="1" priority="2" operator="containsText" text="8265MSS">
      <formula>NOT(ISERROR(SEARCH("8265MSS",AHP67)))</formula>
    </cfRule>
  </conditionalFormatting>
  <conditionalFormatting sqref="AHQ71">
    <cfRule type="containsText" dxfId="0" priority="1" operator="containsText" text="8265MSS">
      <formula>NOT(ISERROR(SEARCH("8265MSS",AHQ71)))</formula>
    </cfRule>
  </conditionalFormatting>
  <printOptions horizontalCentered="1"/>
  <pageMargins left="1" right="1" top="1" bottom="1" header="0.5" footer="0.5"/>
  <pageSetup paperSize="9" scale="40" fitToWidth="9" fitToHeight="9" orientation="landscape" r:id="rId1"/>
  <headerFooter alignWithMargins="0">
    <oddFooter>&amp;L&amp;A&amp;C&amp;F&amp;R&amp;D     &amp;T   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20"/>
  <sheetViews>
    <sheetView workbookViewId="0">
      <selection activeCell="O6" sqref="O6"/>
    </sheetView>
  </sheetViews>
  <sheetFormatPr defaultRowHeight="13.2" x14ac:dyDescent="0.25"/>
  <cols>
    <col min="1" max="1" width="12.44140625" style="615" bestFit="1" customWidth="1"/>
    <col min="2" max="2" width="12.88671875" style="615" bestFit="1" customWidth="1"/>
    <col min="3" max="3" width="7" style="615" bestFit="1" customWidth="1"/>
    <col min="4" max="6" width="10.5546875" style="615" bestFit="1" customWidth="1"/>
    <col min="7" max="7" width="7" style="615" bestFit="1" customWidth="1"/>
    <col min="8" max="10" width="5.6640625" style="615" bestFit="1" customWidth="1"/>
    <col min="11" max="32" width="6.6640625" style="615" bestFit="1" customWidth="1"/>
    <col min="33" max="33" width="6" style="615" bestFit="1" customWidth="1"/>
    <col min="34" max="16384" width="8.88671875" style="615"/>
  </cols>
  <sheetData>
    <row r="1" spans="1:35" ht="13.8" thickBot="1" x14ac:dyDescent="0.3">
      <c r="A1" s="616">
        <v>44416</v>
      </c>
    </row>
    <row r="2" spans="1:35" ht="29.4" thickBot="1" x14ac:dyDescent="0.3">
      <c r="A2" s="619" t="s">
        <v>2496</v>
      </c>
      <c r="B2" s="620" t="s">
        <v>2497</v>
      </c>
      <c r="C2" s="620" t="s">
        <v>2498</v>
      </c>
      <c r="D2" s="620" t="s">
        <v>2499</v>
      </c>
      <c r="E2" s="620" t="s">
        <v>5</v>
      </c>
      <c r="F2" s="620" t="s">
        <v>2500</v>
      </c>
      <c r="G2" s="616"/>
      <c r="H2" s="616"/>
      <c r="I2" s="616"/>
      <c r="J2" s="616"/>
      <c r="K2" s="616"/>
      <c r="L2" s="616"/>
      <c r="M2" s="616"/>
      <c r="N2" s="616"/>
      <c r="O2" s="616"/>
      <c r="P2" s="616"/>
      <c r="Q2" s="616"/>
      <c r="R2" s="616"/>
      <c r="S2" s="616"/>
      <c r="T2" s="616"/>
      <c r="U2" s="616"/>
      <c r="V2" s="616"/>
      <c r="W2" s="616"/>
      <c r="X2" s="616"/>
      <c r="Y2" s="616"/>
      <c r="Z2" s="616"/>
      <c r="AA2" s="616"/>
      <c r="AB2" s="616"/>
      <c r="AC2" s="616"/>
      <c r="AD2" s="616"/>
      <c r="AE2" s="616"/>
      <c r="AF2" s="616"/>
      <c r="AG2" s="616"/>
      <c r="AH2" s="616"/>
      <c r="AI2" s="616"/>
    </row>
    <row r="3" spans="1:35" ht="15" thickBot="1" x14ac:dyDescent="0.3">
      <c r="A3" s="621">
        <v>332</v>
      </c>
      <c r="B3" s="622" t="s">
        <v>2501</v>
      </c>
      <c r="C3" s="622">
        <v>89000</v>
      </c>
      <c r="D3" s="623">
        <v>44535</v>
      </c>
      <c r="E3" s="623">
        <v>44570</v>
      </c>
      <c r="F3" s="623">
        <v>44571</v>
      </c>
    </row>
    <row r="4" spans="1:35" ht="29.4" thickBot="1" x14ac:dyDescent="0.3">
      <c r="A4" s="621">
        <v>46</v>
      </c>
      <c r="B4" s="622" t="s">
        <v>2502</v>
      </c>
      <c r="C4" s="622">
        <v>366000</v>
      </c>
      <c r="D4" s="623">
        <v>44517</v>
      </c>
      <c r="E4" s="623">
        <v>44552</v>
      </c>
      <c r="F4" s="623">
        <v>44552</v>
      </c>
    </row>
    <row r="5" spans="1:35" ht="15" thickBot="1" x14ac:dyDescent="0.3">
      <c r="A5" s="621">
        <v>33</v>
      </c>
      <c r="B5" s="622" t="s">
        <v>382</v>
      </c>
      <c r="C5" s="622">
        <v>105824</v>
      </c>
      <c r="D5" s="623">
        <v>44535</v>
      </c>
      <c r="E5" s="623">
        <v>44570</v>
      </c>
      <c r="F5" s="623">
        <v>44571</v>
      </c>
    </row>
    <row r="6" spans="1:35" ht="15" thickBot="1" x14ac:dyDescent="0.3">
      <c r="A6" s="621">
        <v>42</v>
      </c>
      <c r="B6" s="622" t="s">
        <v>2503</v>
      </c>
      <c r="C6" s="622">
        <v>296000</v>
      </c>
      <c r="D6" s="623">
        <v>44557</v>
      </c>
      <c r="E6" s="623">
        <v>44591</v>
      </c>
      <c r="F6" s="623">
        <v>44592</v>
      </c>
    </row>
    <row r="7" spans="1:35" ht="15" thickBot="1" x14ac:dyDescent="0.3">
      <c r="A7" s="621"/>
      <c r="B7" s="624" t="s">
        <v>293</v>
      </c>
      <c r="C7" s="624">
        <v>856824</v>
      </c>
      <c r="D7" s="622"/>
      <c r="E7" s="622"/>
      <c r="F7" s="622"/>
    </row>
    <row r="18" spans="2:2" x14ac:dyDescent="0.25">
      <c r="B18" s="617"/>
    </row>
    <row r="20" spans="2:2" x14ac:dyDescent="0.25">
      <c r="B20" s="6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2" sqref="G2"/>
    </sheetView>
  </sheetViews>
  <sheetFormatPr defaultRowHeight="13.2" x14ac:dyDescent="0.25"/>
  <cols>
    <col min="6" max="6" width="10.21875" bestFit="1" customWidth="1"/>
  </cols>
  <sheetData>
    <row r="1" spans="1:6" x14ac:dyDescent="0.25">
      <c r="A1" s="29" t="s">
        <v>379</v>
      </c>
      <c r="B1" s="29" t="s">
        <v>2514</v>
      </c>
      <c r="C1" s="29"/>
      <c r="D1" s="29"/>
      <c r="E1" s="29" t="s">
        <v>380</v>
      </c>
      <c r="F1" s="29" t="s">
        <v>2514</v>
      </c>
    </row>
    <row r="2" spans="1:6" x14ac:dyDescent="0.25">
      <c r="A2" s="29">
        <v>2</v>
      </c>
      <c r="B2" s="634">
        <v>44241</v>
      </c>
      <c r="C2" s="29"/>
      <c r="D2" s="29"/>
      <c r="E2" s="29">
        <v>1</v>
      </c>
      <c r="F2" s="634">
        <v>44251</v>
      </c>
    </row>
    <row r="3" spans="1:6" x14ac:dyDescent="0.25">
      <c r="A3" s="29">
        <v>7</v>
      </c>
      <c r="B3" s="634">
        <v>44230</v>
      </c>
      <c r="C3" s="29"/>
      <c r="D3" s="29"/>
      <c r="E3" s="29">
        <v>2</v>
      </c>
      <c r="F3" s="634">
        <v>44247</v>
      </c>
    </row>
    <row r="4" spans="1:6" x14ac:dyDescent="0.25">
      <c r="A4" s="29">
        <v>8</v>
      </c>
      <c r="B4" s="634">
        <v>44228</v>
      </c>
      <c r="C4" s="29"/>
      <c r="D4" s="29"/>
      <c r="E4" s="29">
        <v>3</v>
      </c>
      <c r="F4" s="634">
        <v>44239</v>
      </c>
    </row>
    <row r="5" spans="1:6" x14ac:dyDescent="0.25">
      <c r="A5" s="29">
        <v>10</v>
      </c>
      <c r="B5" s="634">
        <v>44242</v>
      </c>
      <c r="C5" s="29"/>
      <c r="D5" s="29"/>
      <c r="E5" s="29">
        <v>4</v>
      </c>
      <c r="F5" s="634">
        <v>44241</v>
      </c>
    </row>
    <row r="6" spans="1:6" x14ac:dyDescent="0.25">
      <c r="A6" s="29">
        <v>11</v>
      </c>
      <c r="B6" s="634">
        <v>44238</v>
      </c>
      <c r="C6" s="29"/>
      <c r="D6" s="29"/>
      <c r="E6" s="29">
        <v>5</v>
      </c>
      <c r="F6" s="634">
        <v>44235</v>
      </c>
    </row>
    <row r="7" spans="1:6" x14ac:dyDescent="0.25">
      <c r="A7" s="29">
        <v>12</v>
      </c>
      <c r="B7" s="634">
        <v>44238</v>
      </c>
      <c r="C7" s="29"/>
      <c r="D7" s="29"/>
      <c r="E7" s="29">
        <v>6</v>
      </c>
      <c r="F7" s="634">
        <v>44247</v>
      </c>
    </row>
    <row r="8" spans="1:6" x14ac:dyDescent="0.25">
      <c r="A8" s="29">
        <v>13</v>
      </c>
      <c r="B8" s="634">
        <v>44228</v>
      </c>
      <c r="C8" s="29"/>
      <c r="D8" s="29"/>
      <c r="E8" s="29">
        <v>7</v>
      </c>
      <c r="F8" s="634">
        <v>44230</v>
      </c>
    </row>
    <row r="9" spans="1:6" x14ac:dyDescent="0.25">
      <c r="A9" s="29"/>
      <c r="B9" s="29"/>
      <c r="C9" s="29"/>
      <c r="D9" s="29"/>
      <c r="E9" s="29">
        <v>8</v>
      </c>
      <c r="F9" s="634">
        <v>44324</v>
      </c>
    </row>
    <row r="10" spans="1:6" x14ac:dyDescent="0.25">
      <c r="A10" s="29"/>
      <c r="B10" s="29"/>
      <c r="C10" s="29"/>
      <c r="D10" s="29"/>
      <c r="E10" s="29">
        <v>9</v>
      </c>
      <c r="F10" s="634">
        <v>44240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528"/>
  <sheetViews>
    <sheetView workbookViewId="0">
      <pane xSplit="1" ySplit="1" topLeftCell="B514" activePane="bottomRight" state="frozen"/>
      <selection pane="topRight" activeCell="B1" sqref="B1"/>
      <selection pane="bottomLeft" activeCell="A2" sqref="A2"/>
      <selection pane="bottomRight" activeCell="E521" sqref="E521"/>
    </sheetView>
  </sheetViews>
  <sheetFormatPr defaultColWidth="9.109375" defaultRowHeight="14.4" x14ac:dyDescent="0.3"/>
  <cols>
    <col min="1" max="2" width="9.109375" style="232"/>
    <col min="3" max="3" width="20.6640625" style="232" bestFit="1" customWidth="1"/>
    <col min="4" max="4" width="13.5546875" style="232" bestFit="1" customWidth="1"/>
    <col min="5" max="5" width="10.5546875" style="232" bestFit="1" customWidth="1"/>
    <col min="6" max="6" width="9.88671875" style="232" customWidth="1"/>
    <col min="7" max="8" width="9.109375" style="232"/>
    <col min="9" max="9" width="6" style="232" customWidth="1"/>
    <col min="10" max="10" width="87.109375" style="232" customWidth="1"/>
    <col min="11" max="16384" width="9.109375" style="232"/>
  </cols>
  <sheetData>
    <row r="1" spans="1:12" s="229" customFormat="1" x14ac:dyDescent="0.3">
      <c r="A1" s="229" t="s">
        <v>23</v>
      </c>
      <c r="B1" s="229" t="s">
        <v>384</v>
      </c>
      <c r="C1" s="225" t="s">
        <v>547</v>
      </c>
      <c r="D1" s="226" t="s">
        <v>548</v>
      </c>
      <c r="E1" s="226" t="s">
        <v>293</v>
      </c>
      <c r="F1" s="226" t="s">
        <v>295</v>
      </c>
      <c r="G1" s="226" t="s">
        <v>580</v>
      </c>
      <c r="H1" s="226" t="s">
        <v>579</v>
      </c>
      <c r="I1" s="226" t="s">
        <v>550</v>
      </c>
      <c r="J1" s="227" t="s">
        <v>551</v>
      </c>
      <c r="K1" s="228"/>
    </row>
    <row r="2" spans="1:12" x14ac:dyDescent="0.3">
      <c r="A2" s="233" t="s">
        <v>583</v>
      </c>
      <c r="B2" s="233" t="s">
        <v>565</v>
      </c>
      <c r="C2" s="234" t="s">
        <v>581</v>
      </c>
      <c r="D2" s="246" t="s">
        <v>296</v>
      </c>
      <c r="E2" s="237">
        <v>25303</v>
      </c>
      <c r="F2" s="247" t="s">
        <v>569</v>
      </c>
      <c r="G2" s="248" t="s">
        <v>296</v>
      </c>
      <c r="H2" s="237">
        <v>180</v>
      </c>
      <c r="I2" s="245">
        <v>3</v>
      </c>
      <c r="J2" s="230" t="str">
        <f>A2&amp;" ,"&amp;B2&amp;" , #"&amp;C2&amp;" ("&amp;D2&amp;") Qty: "&amp;E2&amp;", FAB: "&amp;G2&amp;", DEL: "&amp;F2&amp;" Peak Tgt: "&amp;H2&amp;", BU-"&amp;I2</f>
        <v>KONTOOR ,Fall'20 , #LEE Misses (TBA) Qty: 25303, FAB: TBA, DEL: 27-Jun Peak Tgt: 180, BU-3</v>
      </c>
      <c r="K2" s="231"/>
      <c r="L2" s="232" t="s">
        <v>552</v>
      </c>
    </row>
    <row r="3" spans="1:12" x14ac:dyDescent="0.3">
      <c r="A3" s="233" t="s">
        <v>583</v>
      </c>
      <c r="B3" s="233" t="s">
        <v>565</v>
      </c>
      <c r="C3" s="234" t="s">
        <v>566</v>
      </c>
      <c r="D3" s="235" t="s">
        <v>567</v>
      </c>
      <c r="E3" s="237">
        <v>50000</v>
      </c>
      <c r="F3" s="236" t="s">
        <v>568</v>
      </c>
      <c r="G3" s="244" t="s">
        <v>296</v>
      </c>
      <c r="H3" s="237" t="s">
        <v>296</v>
      </c>
      <c r="I3" s="245">
        <v>5</v>
      </c>
      <c r="J3" s="230" t="str">
        <f t="shared" ref="J3:J25" si="0">A3&amp;" ,"&amp;B3&amp;" , #"&amp;C3&amp;" ("&amp;D3&amp;") Qty: "&amp;E3&amp;", FAB: "&amp;G3&amp;", DEL: "&amp;F3&amp;" Peak Tgt: "&amp;H3&amp;", BU-"&amp;I3</f>
        <v>KONTOOR ,Fall'20 , #92SSWWL (WILSON) Qty: 50000, FAB: TBA, DEL: 20-Jun Peak Tgt: TBA, BU-5</v>
      </c>
      <c r="K3" s="231"/>
      <c r="L3" s="232" t="s">
        <v>553</v>
      </c>
    </row>
    <row r="4" spans="1:12" x14ac:dyDescent="0.3">
      <c r="A4" s="233" t="s">
        <v>583</v>
      </c>
      <c r="B4" s="233" t="s">
        <v>565</v>
      </c>
      <c r="C4" s="234" t="s">
        <v>566</v>
      </c>
      <c r="D4" s="235" t="s">
        <v>567</v>
      </c>
      <c r="E4" s="237">
        <v>28000</v>
      </c>
      <c r="F4" s="236" t="s">
        <v>569</v>
      </c>
      <c r="G4" s="244" t="s">
        <v>296</v>
      </c>
      <c r="H4" s="237" t="s">
        <v>296</v>
      </c>
      <c r="I4" s="245">
        <v>3</v>
      </c>
      <c r="J4" s="230" t="str">
        <f t="shared" si="0"/>
        <v>KONTOOR ,Fall'20 , #92SSWWL (WILSON) Qty: 28000, FAB: TBA, DEL: 27-Jun Peak Tgt: TBA, BU-3</v>
      </c>
      <c r="K4" s="231"/>
      <c r="L4" s="232" t="s">
        <v>554</v>
      </c>
    </row>
    <row r="5" spans="1:12" x14ac:dyDescent="0.3">
      <c r="A5" s="233" t="s">
        <v>583</v>
      </c>
      <c r="B5" s="233" t="s">
        <v>565</v>
      </c>
      <c r="C5" s="234" t="s">
        <v>570</v>
      </c>
      <c r="D5" s="235" t="s">
        <v>567</v>
      </c>
      <c r="E5" s="238">
        <v>63000</v>
      </c>
      <c r="F5" s="236" t="s">
        <v>571</v>
      </c>
      <c r="G5" s="244" t="s">
        <v>296</v>
      </c>
      <c r="H5" s="237" t="s">
        <v>296</v>
      </c>
      <c r="I5" s="245">
        <v>3</v>
      </c>
      <c r="J5" s="230" t="str">
        <f t="shared" si="0"/>
        <v>KONTOOR ,Fall'20 , #92SSWWL(Projection) (WILSON) Qty: 63000, FAB: TBA, DEL: 30-Jul Peak Tgt: TBA, BU-3</v>
      </c>
      <c r="K5" s="231"/>
      <c r="L5" s="232" t="s">
        <v>555</v>
      </c>
    </row>
    <row r="6" spans="1:12" x14ac:dyDescent="0.3">
      <c r="A6" s="233" t="s">
        <v>583</v>
      </c>
      <c r="B6" s="233" t="s">
        <v>565</v>
      </c>
      <c r="C6" s="234" t="s">
        <v>570</v>
      </c>
      <c r="D6" s="235" t="s">
        <v>567</v>
      </c>
      <c r="E6" s="239">
        <v>83000</v>
      </c>
      <c r="F6" s="236" t="s">
        <v>549</v>
      </c>
      <c r="G6" s="244" t="s">
        <v>296</v>
      </c>
      <c r="H6" s="237" t="s">
        <v>296</v>
      </c>
      <c r="I6" s="245">
        <v>3</v>
      </c>
      <c r="J6" s="230" t="str">
        <f t="shared" si="0"/>
        <v>KONTOOR ,Fall'20 , #92SSWWL(Projection) (WILSON) Qty: 83000, FAB: TBA, DEL: 30-Aug Peak Tgt: TBA, BU-3</v>
      </c>
      <c r="K6" s="231"/>
      <c r="L6" s="232" t="s">
        <v>556</v>
      </c>
    </row>
    <row r="7" spans="1:12" x14ac:dyDescent="0.3">
      <c r="A7" s="233" t="s">
        <v>583</v>
      </c>
      <c r="B7" s="233" t="s">
        <v>565</v>
      </c>
      <c r="C7" s="234" t="s">
        <v>570</v>
      </c>
      <c r="D7" s="235" t="s">
        <v>567</v>
      </c>
      <c r="E7" s="238">
        <v>90000</v>
      </c>
      <c r="F7" s="236" t="s">
        <v>572</v>
      </c>
      <c r="G7" s="244" t="s">
        <v>296</v>
      </c>
      <c r="H7" s="237" t="s">
        <v>296</v>
      </c>
      <c r="I7" s="245">
        <v>3</v>
      </c>
      <c r="J7" s="230" t="str">
        <f t="shared" si="0"/>
        <v>KONTOOR ,Fall'20 , #92SSWWL(Projection) (WILSON) Qty: 90000, FAB: TBA, DEL: 30-Sep Peak Tgt: TBA, BU-3</v>
      </c>
      <c r="K7" s="231"/>
      <c r="L7" s="232" t="s">
        <v>557</v>
      </c>
    </row>
    <row r="8" spans="1:12" x14ac:dyDescent="0.3">
      <c r="A8" s="233" t="s">
        <v>583</v>
      </c>
      <c r="B8" s="233" t="s">
        <v>565</v>
      </c>
      <c r="C8" s="240" t="s">
        <v>573</v>
      </c>
      <c r="D8" s="241" t="s">
        <v>574</v>
      </c>
      <c r="E8" s="242">
        <v>2500</v>
      </c>
      <c r="F8" s="236" t="s">
        <v>568</v>
      </c>
      <c r="G8" s="244" t="s">
        <v>296</v>
      </c>
      <c r="H8" s="237" t="s">
        <v>296</v>
      </c>
      <c r="I8" s="245">
        <v>3</v>
      </c>
      <c r="J8" s="230" t="str">
        <f t="shared" si="0"/>
        <v>KONTOOR ,Fall'20 , #96UFMBB (Blue Banks) Qty: 2500, FAB: TBA, DEL: 20-Jun Peak Tgt: TBA, BU-3</v>
      </c>
      <c r="K8" s="231"/>
      <c r="L8" s="232" t="s">
        <v>558</v>
      </c>
    </row>
    <row r="9" spans="1:12" x14ac:dyDescent="0.3">
      <c r="A9" s="233" t="s">
        <v>583</v>
      </c>
      <c r="B9" s="233" t="s">
        <v>565</v>
      </c>
      <c r="C9" s="240" t="s">
        <v>573</v>
      </c>
      <c r="D9" s="241" t="s">
        <v>575</v>
      </c>
      <c r="E9" s="242">
        <v>2500</v>
      </c>
      <c r="F9" s="236" t="s">
        <v>568</v>
      </c>
      <c r="G9" s="244" t="s">
        <v>296</v>
      </c>
      <c r="H9" s="237" t="s">
        <v>296</v>
      </c>
      <c r="I9" s="245">
        <v>3</v>
      </c>
      <c r="J9" s="230" t="str">
        <f t="shared" si="0"/>
        <v>KONTOOR ,Fall'20 , #96UFMBB (Wright Blue) Qty: 2500, FAB: TBA, DEL: 20-Jun Peak Tgt: TBA, BU-3</v>
      </c>
      <c r="K9" s="231"/>
      <c r="L9" s="232" t="s">
        <v>559</v>
      </c>
    </row>
    <row r="10" spans="1:12" x14ac:dyDescent="0.3">
      <c r="A10" s="233" t="s">
        <v>583</v>
      </c>
      <c r="B10" s="233" t="s">
        <v>565</v>
      </c>
      <c r="C10" s="240" t="s">
        <v>573</v>
      </c>
      <c r="D10" s="241" t="s">
        <v>574</v>
      </c>
      <c r="E10" s="243">
        <v>2500</v>
      </c>
      <c r="F10" s="236" t="s">
        <v>568</v>
      </c>
      <c r="G10" s="244" t="s">
        <v>296</v>
      </c>
      <c r="H10" s="237" t="s">
        <v>296</v>
      </c>
      <c r="I10" s="245">
        <v>3</v>
      </c>
      <c r="J10" s="230" t="str">
        <f t="shared" si="0"/>
        <v>KONTOOR ,Fall'20 , #96UFMBB (Blue Banks) Qty: 2500, FAB: TBA, DEL: 20-Jun Peak Tgt: TBA, BU-3</v>
      </c>
      <c r="K10" s="231"/>
      <c r="L10" s="232" t="s">
        <v>560</v>
      </c>
    </row>
    <row r="11" spans="1:12" x14ac:dyDescent="0.3">
      <c r="A11" s="233" t="s">
        <v>583</v>
      </c>
      <c r="B11" s="233" t="s">
        <v>565</v>
      </c>
      <c r="C11" s="240" t="s">
        <v>573</v>
      </c>
      <c r="D11" s="241" t="s">
        <v>575</v>
      </c>
      <c r="E11" s="243">
        <v>2500</v>
      </c>
      <c r="F11" s="236" t="s">
        <v>568</v>
      </c>
      <c r="G11" s="244" t="s">
        <v>296</v>
      </c>
      <c r="H11" s="237" t="s">
        <v>296</v>
      </c>
      <c r="I11" s="245">
        <v>3</v>
      </c>
      <c r="J11" s="230" t="str">
        <f t="shared" si="0"/>
        <v>KONTOOR ,Fall'20 , #96UFMBB (Wright Blue) Qty: 2500, FAB: TBA, DEL: 20-Jun Peak Tgt: TBA, BU-3</v>
      </c>
      <c r="K11" s="231"/>
      <c r="L11" s="232" t="s">
        <v>561</v>
      </c>
    </row>
    <row r="12" spans="1:12" x14ac:dyDescent="0.3">
      <c r="A12" s="233" t="s">
        <v>583</v>
      </c>
      <c r="B12" s="233" t="s">
        <v>565</v>
      </c>
      <c r="C12" s="240" t="s">
        <v>573</v>
      </c>
      <c r="D12" s="241" t="s">
        <v>576</v>
      </c>
      <c r="E12" s="242">
        <v>3500</v>
      </c>
      <c r="F12" s="236" t="s">
        <v>568</v>
      </c>
      <c r="G12" s="244" t="s">
        <v>296</v>
      </c>
      <c r="H12" s="237" t="s">
        <v>296</v>
      </c>
      <c r="I12" s="245">
        <v>3</v>
      </c>
      <c r="J12" s="230" t="str">
        <f t="shared" si="0"/>
        <v>KONTOOR ,Fall'20 , #96UFMBB (Coastal Blue) Qty: 3500, FAB: TBA, DEL: 20-Jun Peak Tgt: TBA, BU-3</v>
      </c>
      <c r="K12" s="231"/>
      <c r="L12" s="232" t="s">
        <v>562</v>
      </c>
    </row>
    <row r="13" spans="1:12" x14ac:dyDescent="0.3">
      <c r="A13" s="233" t="s">
        <v>583</v>
      </c>
      <c r="B13" s="233" t="s">
        <v>565</v>
      </c>
      <c r="C13" s="240" t="s">
        <v>573</v>
      </c>
      <c r="D13" s="241" t="s">
        <v>577</v>
      </c>
      <c r="E13" s="242">
        <v>2500</v>
      </c>
      <c r="F13" s="236" t="s">
        <v>568</v>
      </c>
      <c r="G13" s="244" t="s">
        <v>296</v>
      </c>
      <c r="H13" s="237" t="s">
        <v>296</v>
      </c>
      <c r="I13" s="245">
        <v>3</v>
      </c>
      <c r="J13" s="230" t="str">
        <f t="shared" si="0"/>
        <v>KONTOOR ,Fall'20 , #96UFMBB (Seaside Indigo) Qty: 2500, FAB: TBA, DEL: 20-Jun Peak Tgt: TBA, BU-3</v>
      </c>
      <c r="K13" s="231"/>
      <c r="L13" s="232" t="s">
        <v>563</v>
      </c>
    </row>
    <row r="14" spans="1:12" x14ac:dyDescent="0.3">
      <c r="A14" s="233" t="s">
        <v>583</v>
      </c>
      <c r="B14" s="233" t="s">
        <v>565</v>
      </c>
      <c r="C14" s="240" t="s">
        <v>573</v>
      </c>
      <c r="D14" s="241" t="s">
        <v>578</v>
      </c>
      <c r="E14" s="242">
        <v>2500</v>
      </c>
      <c r="F14" s="236" t="s">
        <v>568</v>
      </c>
      <c r="G14" s="244" t="s">
        <v>296</v>
      </c>
      <c r="H14" s="237" t="s">
        <v>296</v>
      </c>
      <c r="I14" s="245">
        <v>3</v>
      </c>
      <c r="J14" s="230" t="str">
        <f t="shared" si="0"/>
        <v>KONTOOR ,Fall'20 , #96UFMBB (Wilson) Qty: 2500, FAB: TBA, DEL: 20-Jun Peak Tgt: TBA, BU-3</v>
      </c>
      <c r="K14" s="231"/>
      <c r="L14" s="232" t="s">
        <v>564</v>
      </c>
    </row>
    <row r="15" spans="1:12" x14ac:dyDescent="0.3">
      <c r="A15" s="233" t="s">
        <v>583</v>
      </c>
      <c r="B15" s="233" t="s">
        <v>565</v>
      </c>
      <c r="C15" s="232">
        <v>3522077</v>
      </c>
      <c r="D15" s="249" t="s">
        <v>459</v>
      </c>
      <c r="E15" s="232">
        <v>3000</v>
      </c>
      <c r="F15" s="250" t="s">
        <v>584</v>
      </c>
      <c r="G15" s="244" t="s">
        <v>296</v>
      </c>
      <c r="H15" s="237">
        <v>200</v>
      </c>
      <c r="I15" s="251">
        <v>4</v>
      </c>
      <c r="J15" s="230" t="str">
        <f t="shared" si="0"/>
        <v>KONTOOR ,Fall'20 , #3522077 (Nightshade) Qty: 3000, FAB: TBA, DEL: 4-Jul Peak Tgt: 200, BU-4</v>
      </c>
    </row>
    <row r="16" spans="1:12" x14ac:dyDescent="0.3">
      <c r="A16" s="233" t="s">
        <v>583</v>
      </c>
      <c r="B16" s="233" t="s">
        <v>565</v>
      </c>
      <c r="C16" s="232">
        <v>3522001</v>
      </c>
      <c r="D16" s="251" t="s">
        <v>428</v>
      </c>
      <c r="E16" s="232">
        <v>3000</v>
      </c>
      <c r="F16" s="250" t="s">
        <v>584</v>
      </c>
      <c r="G16" s="244" t="s">
        <v>296</v>
      </c>
      <c r="H16" s="237">
        <v>200</v>
      </c>
      <c r="I16" s="251">
        <v>4</v>
      </c>
      <c r="J16" s="230" t="str">
        <f t="shared" si="0"/>
        <v>KONTOOR ,Fall'20 , #3522001 (Black) Qty: 3000, FAB: TBA, DEL: 4-Jul Peak Tgt: 200, BU-4</v>
      </c>
    </row>
    <row r="17" spans="1:10" x14ac:dyDescent="0.3">
      <c r="A17" s="233" t="s">
        <v>583</v>
      </c>
      <c r="B17" s="233" t="s">
        <v>565</v>
      </c>
      <c r="C17" s="251" t="s">
        <v>461</v>
      </c>
      <c r="D17" s="251" t="s">
        <v>460</v>
      </c>
      <c r="E17" s="232">
        <v>3000</v>
      </c>
      <c r="F17" s="250" t="s">
        <v>584</v>
      </c>
      <c r="G17" s="244" t="s">
        <v>296</v>
      </c>
      <c r="H17" s="237">
        <v>200</v>
      </c>
      <c r="I17" s="251">
        <v>4</v>
      </c>
      <c r="J17" s="230" t="str">
        <f t="shared" si="0"/>
        <v>KONTOOR ,Fall'20 , #352203R (Seattle) Qty: 3000, FAB: TBA, DEL: 4-Jul Peak Tgt: 200, BU-4</v>
      </c>
    </row>
    <row r="18" spans="1:10" x14ac:dyDescent="0.3">
      <c r="A18" s="233" t="s">
        <v>583</v>
      </c>
      <c r="B18" s="233" t="s">
        <v>565</v>
      </c>
      <c r="C18" s="251" t="s">
        <v>462</v>
      </c>
      <c r="D18" s="251" t="s">
        <v>459</v>
      </c>
      <c r="E18" s="232">
        <v>3000</v>
      </c>
      <c r="F18" s="250" t="s">
        <v>584</v>
      </c>
      <c r="G18" s="244" t="s">
        <v>296</v>
      </c>
      <c r="H18" s="237">
        <v>200</v>
      </c>
      <c r="I18" s="251">
        <v>4</v>
      </c>
      <c r="J18" s="230" t="str">
        <f t="shared" si="0"/>
        <v>KONTOOR ,Fall'20 , #352207T (Nightshade) Qty: 3000, FAB: TBA, DEL: 4-Jul Peak Tgt: 200, BU-4</v>
      </c>
    </row>
    <row r="19" spans="1:10" x14ac:dyDescent="0.3">
      <c r="A19" s="233" t="s">
        <v>583</v>
      </c>
      <c r="B19" s="233" t="s">
        <v>565</v>
      </c>
      <c r="C19" s="232">
        <v>3408928</v>
      </c>
      <c r="D19" s="251" t="s">
        <v>585</v>
      </c>
      <c r="E19" s="232">
        <v>3000</v>
      </c>
      <c r="F19" s="250" t="s">
        <v>584</v>
      </c>
      <c r="G19" s="244" t="s">
        <v>296</v>
      </c>
      <c r="H19" s="237">
        <v>180</v>
      </c>
      <c r="I19" s="232">
        <v>3</v>
      </c>
      <c r="J19" s="230" t="str">
        <f t="shared" si="0"/>
        <v>KONTOOR ,Fall'20 , #3408928 (Renegade) Qty: 3000, FAB: TBA, DEL: 4-Jul Peak Tgt: 180, BU-3</v>
      </c>
    </row>
    <row r="20" spans="1:10" x14ac:dyDescent="0.3">
      <c r="A20" s="233" t="s">
        <v>583</v>
      </c>
      <c r="B20" s="233" t="s">
        <v>565</v>
      </c>
      <c r="C20" s="232">
        <v>3408964</v>
      </c>
      <c r="D20" s="251" t="s">
        <v>586</v>
      </c>
      <c r="E20" s="232">
        <v>3000</v>
      </c>
      <c r="F20" s="250" t="s">
        <v>584</v>
      </c>
      <c r="G20" s="244" t="s">
        <v>296</v>
      </c>
      <c r="H20" s="237">
        <v>180</v>
      </c>
      <c r="I20" s="232">
        <v>3</v>
      </c>
      <c r="J20" s="230" t="str">
        <f t="shared" si="0"/>
        <v>KONTOOR ,Fall'20 , #3408964 (Royal Chakra) Qty: 3000, FAB: TBA, DEL: 4-Jul Peak Tgt: 180, BU-3</v>
      </c>
    </row>
    <row r="21" spans="1:10" x14ac:dyDescent="0.3">
      <c r="A21" s="233" t="s">
        <v>583</v>
      </c>
      <c r="B21" s="233" t="s">
        <v>565</v>
      </c>
      <c r="C21" s="232">
        <v>3408901</v>
      </c>
      <c r="D21" s="251" t="s">
        <v>428</v>
      </c>
      <c r="E21" s="232">
        <v>1001</v>
      </c>
      <c r="F21" s="250" t="s">
        <v>584</v>
      </c>
      <c r="G21" s="244" t="s">
        <v>296</v>
      </c>
      <c r="H21" s="237">
        <v>180</v>
      </c>
      <c r="I21" s="232">
        <v>3</v>
      </c>
      <c r="J21" s="230" t="str">
        <f t="shared" si="0"/>
        <v>KONTOOR ,Fall'20 , #3408901 (Black) Qty: 1001, FAB: TBA, DEL: 4-Jul Peak Tgt: 180, BU-3</v>
      </c>
    </row>
    <row r="22" spans="1:10" x14ac:dyDescent="0.3">
      <c r="A22" s="233" t="s">
        <v>583</v>
      </c>
      <c r="B22" s="233" t="s">
        <v>565</v>
      </c>
      <c r="C22" s="232">
        <v>3087528</v>
      </c>
      <c r="D22" s="251" t="s">
        <v>585</v>
      </c>
      <c r="E22" s="232">
        <v>3300</v>
      </c>
      <c r="F22" s="250" t="s">
        <v>584</v>
      </c>
      <c r="G22" s="244" t="s">
        <v>296</v>
      </c>
      <c r="H22" s="237">
        <v>180</v>
      </c>
      <c r="I22" s="232">
        <v>3</v>
      </c>
      <c r="J22" s="230" t="str">
        <f t="shared" si="0"/>
        <v>KONTOOR ,Fall'20 , #3087528 (Renegade) Qty: 3300, FAB: TBA, DEL: 4-Jul Peak Tgt: 180, BU-3</v>
      </c>
    </row>
    <row r="23" spans="1:10" x14ac:dyDescent="0.3">
      <c r="A23" s="233" t="s">
        <v>583</v>
      </c>
      <c r="B23" s="233" t="s">
        <v>565</v>
      </c>
      <c r="C23" s="232" t="s">
        <v>587</v>
      </c>
      <c r="D23" s="251" t="s">
        <v>588</v>
      </c>
      <c r="E23" s="232">
        <v>1501</v>
      </c>
      <c r="F23" s="250" t="s">
        <v>584</v>
      </c>
      <c r="G23" s="244" t="s">
        <v>296</v>
      </c>
      <c r="H23" s="237">
        <v>180</v>
      </c>
      <c r="I23" s="232">
        <v>3</v>
      </c>
      <c r="J23" s="230" t="str">
        <f t="shared" si="0"/>
        <v>KONTOOR ,Fall'20 , #35L7933 (Infinity) Qty: 1501, FAB: TBA, DEL: 4-Jul Peak Tgt: 180, BU-3</v>
      </c>
    </row>
    <row r="24" spans="1:10" x14ac:dyDescent="0.3">
      <c r="A24" s="233" t="s">
        <v>583</v>
      </c>
      <c r="B24" s="233" t="s">
        <v>565</v>
      </c>
      <c r="C24" s="232">
        <v>3517933</v>
      </c>
      <c r="D24" s="251" t="s">
        <v>588</v>
      </c>
      <c r="E24" s="232">
        <v>1501</v>
      </c>
      <c r="F24" s="250" t="s">
        <v>584</v>
      </c>
      <c r="G24" s="244" t="s">
        <v>296</v>
      </c>
      <c r="H24" s="237">
        <v>180</v>
      </c>
      <c r="I24" s="232">
        <v>3</v>
      </c>
      <c r="J24" s="230" t="str">
        <f t="shared" si="0"/>
        <v>KONTOOR ,Fall'20 , #3517933 (Infinity) Qty: 1501, FAB: TBA, DEL: 4-Jul Peak Tgt: 180, BU-3</v>
      </c>
    </row>
    <row r="25" spans="1:10" x14ac:dyDescent="0.3">
      <c r="A25" s="252" t="s">
        <v>31</v>
      </c>
      <c r="B25" s="252" t="s">
        <v>589</v>
      </c>
      <c r="C25" s="253" t="s">
        <v>590</v>
      </c>
      <c r="D25" s="252" t="s">
        <v>591</v>
      </c>
      <c r="E25" s="232">
        <v>20004</v>
      </c>
      <c r="F25" s="254" t="s">
        <v>592</v>
      </c>
      <c r="G25" s="244" t="s">
        <v>296</v>
      </c>
      <c r="H25" s="252" t="s">
        <v>296</v>
      </c>
      <c r="I25" s="252" t="s">
        <v>296</v>
      </c>
      <c r="J25" s="230" t="str">
        <f t="shared" si="0"/>
        <v>GU ,FW'20 , #60120F121A (#65, #68) Qty: 20004, FAB: TBA, DEL: 1-May Peak Tgt: TBA, BU-TBA</v>
      </c>
    </row>
    <row r="26" spans="1:10" x14ac:dyDescent="0.3">
      <c r="A26" s="252" t="s">
        <v>31</v>
      </c>
      <c r="B26" s="252" t="s">
        <v>589</v>
      </c>
      <c r="C26" s="253" t="s">
        <v>593</v>
      </c>
      <c r="D26" s="252" t="s">
        <v>591</v>
      </c>
      <c r="E26" s="232">
        <v>20064</v>
      </c>
      <c r="F26" s="254" t="s">
        <v>592</v>
      </c>
      <c r="G26" s="244" t="s">
        <v>296</v>
      </c>
      <c r="H26" s="252" t="s">
        <v>296</v>
      </c>
      <c r="I26" s="252" t="s">
        <v>296</v>
      </c>
      <c r="J26" s="230" t="str">
        <f t="shared" ref="J26" si="1">A26&amp;" ,"&amp;B26&amp;" , #"&amp;C26&amp;" ("&amp;D26&amp;") Qty: "&amp;E26&amp;", FAB: "&amp;G26&amp;", DEL: "&amp;F26&amp;" Peak Tgt: "&amp;H26&amp;", BU-"&amp;I26</f>
        <v>GU ,FW'20 , #60120F127A (#65, #68) Qty: 20064, FAB: TBA, DEL: 1-May Peak Tgt: TBA, BU-TBA</v>
      </c>
    </row>
    <row r="27" spans="1:10" x14ac:dyDescent="0.3">
      <c r="A27" s="252" t="s">
        <v>31</v>
      </c>
      <c r="B27" s="252" t="s">
        <v>589</v>
      </c>
      <c r="C27" s="232" t="s">
        <v>594</v>
      </c>
      <c r="D27" s="252" t="s">
        <v>597</v>
      </c>
      <c r="E27" s="232">
        <v>37488</v>
      </c>
      <c r="F27" s="254" t="s">
        <v>596</v>
      </c>
      <c r="G27" s="254" t="s">
        <v>595</v>
      </c>
      <c r="H27" s="232">
        <v>230</v>
      </c>
      <c r="I27" s="232">
        <v>3</v>
      </c>
      <c r="J27" s="230" t="str">
        <f>A27&amp;", "&amp;B27&amp;",  #"&amp;C27&amp;" ("&amp;D27&amp;") Qty: "&amp;E27&amp;", FAB: "&amp;G27&amp;", DEL: "&amp;F27&amp;" Peak Tgt: "&amp;H27&amp;", BU-"&amp;I27</f>
        <v>GU, FW'20,  #60120F001A (#65, #68, #80) Qty: 37488, FAB: 13-Mar, DEL: 12-Apr Peak Tgt: 230, BU-3</v>
      </c>
    </row>
    <row r="28" spans="1:10" x14ac:dyDescent="0.3">
      <c r="A28" s="252" t="s">
        <v>31</v>
      </c>
      <c r="B28" s="252" t="s">
        <v>589</v>
      </c>
      <c r="C28" s="255" t="s">
        <v>635</v>
      </c>
      <c r="D28" s="255" t="s">
        <v>296</v>
      </c>
      <c r="E28" s="232">
        <v>15000</v>
      </c>
      <c r="F28" s="256" t="s">
        <v>636</v>
      </c>
      <c r="G28" s="255" t="s">
        <v>296</v>
      </c>
      <c r="H28" s="232">
        <v>230</v>
      </c>
      <c r="I28" s="232">
        <v>3</v>
      </c>
      <c r="J28" s="232" t="str">
        <f>A28&amp;", "&amp;B28&amp;",  #"&amp;C28&amp;" ("&amp;D28&amp;") Qty: "&amp;E28&amp;", FAB: "&amp;G28&amp;", DEL: "&amp;F28&amp;" Peak Tgt: "&amp;H28&amp;", BU-"&amp;I28</f>
        <v>GU, FW'20,  #60120F087A (TBA) Qty: 15000, FAB: TBA, DEL: 10-May Peak Tgt: 230, BU-3</v>
      </c>
    </row>
    <row r="29" spans="1:10" x14ac:dyDescent="0.3">
      <c r="A29" s="252" t="s">
        <v>31</v>
      </c>
      <c r="B29" s="252" t="s">
        <v>589</v>
      </c>
      <c r="C29" s="255" t="s">
        <v>635</v>
      </c>
      <c r="D29" s="255" t="s">
        <v>296</v>
      </c>
      <c r="E29" s="232">
        <v>15000</v>
      </c>
      <c r="F29" s="256" t="s">
        <v>637</v>
      </c>
      <c r="G29" s="255" t="s">
        <v>296</v>
      </c>
      <c r="H29" s="232">
        <v>230</v>
      </c>
      <c r="I29" s="232">
        <v>3</v>
      </c>
      <c r="J29" s="232" t="str">
        <f>A29&amp;", "&amp;B29&amp;",  #"&amp;C29&amp;" ("&amp;D29&amp;") Qty: "&amp;E29&amp;", FAB: "&amp;G29&amp;", DEL: "&amp;F29&amp;" Peak Tgt: "&amp;H29&amp;", BU-"&amp;I29</f>
        <v>GU, FW'20,  #60120F087A (TBA) Qty: 15000, FAB: TBA, DEL: 20-May Peak Tgt: 230, BU-3</v>
      </c>
    </row>
    <row r="30" spans="1:10" x14ac:dyDescent="0.3">
      <c r="A30" s="257" t="s">
        <v>435</v>
      </c>
      <c r="B30" s="257" t="s">
        <v>650</v>
      </c>
      <c r="C30" s="232">
        <v>198107</v>
      </c>
      <c r="D30" s="257" t="s">
        <v>651</v>
      </c>
      <c r="E30" s="232">
        <v>4900</v>
      </c>
      <c r="F30" s="258" t="s">
        <v>652</v>
      </c>
      <c r="G30" s="255" t="s">
        <v>296</v>
      </c>
      <c r="H30" s="257" t="s">
        <v>296</v>
      </c>
      <c r="I30" s="257" t="s">
        <v>296</v>
      </c>
      <c r="J30" s="232" t="str">
        <f t="shared" ref="J30:J31" si="2">A30&amp;", "&amp;B30&amp;",  #"&amp;C30&amp;" ("&amp;D30&amp;") Qty: "&amp;E30&amp;", FAB: "&amp;G30&amp;", DEL: "&amp;F30&amp;" Peak Tgt: "&amp;H30&amp;", BU-"&amp;I30</f>
        <v>T-AUS, Sum'21(Q1),  #198107 (White) Qty: 4900, FAB: TBA, DEL: 5-Jul Peak Tgt: TBA, BU-TBA</v>
      </c>
    </row>
    <row r="31" spans="1:10" x14ac:dyDescent="0.3">
      <c r="A31" s="257" t="s">
        <v>435</v>
      </c>
      <c r="B31" s="257" t="s">
        <v>650</v>
      </c>
      <c r="C31" s="232">
        <v>199590</v>
      </c>
      <c r="D31" s="257" t="s">
        <v>651</v>
      </c>
      <c r="E31" s="232">
        <v>6500</v>
      </c>
      <c r="F31" s="258" t="s">
        <v>653</v>
      </c>
      <c r="G31" s="255" t="s">
        <v>296</v>
      </c>
      <c r="H31" s="257" t="s">
        <v>296</v>
      </c>
      <c r="I31" s="257" t="s">
        <v>296</v>
      </c>
      <c r="J31" s="232" t="str">
        <f t="shared" si="2"/>
        <v>T-AUS, Sum'21(Q1),  #199590 (White) Qty: 6500, FAB: TBA, DEL: 7-Jun Peak Tgt: TBA, BU-TBA</v>
      </c>
    </row>
    <row r="32" spans="1:10" x14ac:dyDescent="0.3">
      <c r="A32" s="257" t="s">
        <v>435</v>
      </c>
      <c r="B32" s="257" t="s">
        <v>650</v>
      </c>
      <c r="C32" s="257" t="s">
        <v>654</v>
      </c>
      <c r="D32" s="257" t="s">
        <v>655</v>
      </c>
      <c r="E32" s="232">
        <v>2400</v>
      </c>
      <c r="F32" s="258" t="s">
        <v>653</v>
      </c>
      <c r="G32" s="255" t="s">
        <v>296</v>
      </c>
      <c r="H32" s="257" t="s">
        <v>296</v>
      </c>
      <c r="I32" s="257" t="s">
        <v>296</v>
      </c>
      <c r="J32" s="232" t="str">
        <f>A32&amp;", "&amp;B32&amp;",  #"&amp;C32&amp;" ("&amp;D32&amp;") Qty: "&amp;E32&amp;", FAB: "&amp;G32&amp;", DEL: "&amp;F32&amp;", Peak Tgt: "&amp;H32&amp;", BU-"&amp;I32</f>
        <v>T-AUS, Sum'21(Q1),  #201146B (Blue) Qty: 2400, FAB: TBA, DEL: 7-Jun, Peak Tgt: TBA, BU-TBA</v>
      </c>
    </row>
    <row r="33" spans="1:10" x14ac:dyDescent="0.3">
      <c r="A33" s="233" t="s">
        <v>583</v>
      </c>
      <c r="B33" s="233" t="s">
        <v>565</v>
      </c>
      <c r="C33" s="240" t="s">
        <v>656</v>
      </c>
      <c r="D33" s="241" t="s">
        <v>657</v>
      </c>
      <c r="E33" s="242">
        <v>365</v>
      </c>
      <c r="F33" s="259" t="s">
        <v>658</v>
      </c>
      <c r="G33" s="244" t="s">
        <v>296</v>
      </c>
      <c r="H33" s="237" t="s">
        <v>296</v>
      </c>
      <c r="I33" s="257" t="s">
        <v>296</v>
      </c>
      <c r="J33" s="232" t="str">
        <f>A33&amp;", "&amp;B33&amp;",  #"&amp;C33&amp;" ("&amp;D33&amp;") Qty: "&amp;E33&amp;", FAB: "&amp;G33&amp;", DEL: "&amp;F33&amp;", Peak Tgt: "&amp;H33&amp;", BU-"&amp;I33</f>
        <v>KONTOOR, Fall'20,  #WFFSJCR (Carnie Red) Qty: 365, FAB: TBA, DEL: 16-May, Peak Tgt: TBA, BU-TBA</v>
      </c>
    </row>
    <row r="34" spans="1:10" x14ac:dyDescent="0.3">
      <c r="A34" s="233" t="s">
        <v>583</v>
      </c>
      <c r="B34" s="260" t="s">
        <v>659</v>
      </c>
      <c r="C34" s="232">
        <v>3526842</v>
      </c>
      <c r="D34" s="232" t="s">
        <v>660</v>
      </c>
      <c r="E34" s="232">
        <v>700</v>
      </c>
      <c r="F34" s="261" t="s">
        <v>661</v>
      </c>
      <c r="G34" s="244" t="s">
        <v>296</v>
      </c>
      <c r="H34" s="237" t="s">
        <v>296</v>
      </c>
      <c r="I34" s="257" t="s">
        <v>296</v>
      </c>
      <c r="J34" s="232" t="str">
        <f>A34&amp;", "&amp;B34&amp;",  #"&amp;C34&amp;" ("&amp;D34&amp;") Qty: "&amp;E34&amp;", FAB: "&amp;G34&amp;", DEL: "&amp;F34&amp;", Peak Tgt: "&amp;H34&amp;", BU-"&amp;I34</f>
        <v>KONTOOR, Sum'20,  #3526842 (Bering Sea cord) Qty: 700, FAB: TBA, DEL: 6-Jun, Peak Tgt: TBA, BU-TBA</v>
      </c>
    </row>
    <row r="35" spans="1:10" x14ac:dyDescent="0.3">
      <c r="A35" s="233" t="s">
        <v>583</v>
      </c>
      <c r="B35" s="260" t="s">
        <v>659</v>
      </c>
      <c r="C35" s="232" t="s">
        <v>662</v>
      </c>
      <c r="D35" s="262" t="s">
        <v>663</v>
      </c>
      <c r="E35" s="232">
        <v>3000</v>
      </c>
      <c r="F35" s="263" t="s">
        <v>664</v>
      </c>
      <c r="G35" s="262" t="s">
        <v>296</v>
      </c>
      <c r="H35" s="232">
        <v>50</v>
      </c>
      <c r="I35" s="232">
        <v>5</v>
      </c>
      <c r="J35" s="232" t="str">
        <f t="shared" ref="J35:J99" si="3">A35&amp;", "&amp;B35&amp;",  #"&amp;C35&amp;" ("&amp;D35&amp;") Qty: "&amp;E35&amp;", FAB: "&amp;G35&amp;", DEL: "&amp;F35&amp;", Peak Tgt: "&amp;H35&amp;", BU-"&amp;I35</f>
        <v>KONTOOR, Sum'20,  #MRB47BL (Blues) Qty: 3000, FAB: TBA, DEL: 18-Jul, Peak Tgt: 50, BU-5</v>
      </c>
    </row>
    <row r="36" spans="1:10" x14ac:dyDescent="0.3">
      <c r="A36" s="233" t="s">
        <v>583</v>
      </c>
      <c r="B36" s="260" t="s">
        <v>659</v>
      </c>
      <c r="C36" s="232">
        <v>2018324</v>
      </c>
      <c r="D36" s="232" t="s">
        <v>665</v>
      </c>
      <c r="E36" s="232">
        <v>10000</v>
      </c>
      <c r="F36" s="263" t="s">
        <v>568</v>
      </c>
      <c r="G36" s="262" t="s">
        <v>296</v>
      </c>
      <c r="H36" s="232">
        <v>160</v>
      </c>
      <c r="I36" s="232">
        <v>5</v>
      </c>
      <c r="J36" s="232" t="str">
        <f t="shared" si="3"/>
        <v>KONTOOR, Sum'20,  #2018324 (Executive) Qty: 10000, FAB: TBA, DEL: 20-Jun, Peak Tgt: 160, BU-5</v>
      </c>
    </row>
    <row r="37" spans="1:10" x14ac:dyDescent="0.3">
      <c r="A37" s="233" t="s">
        <v>583</v>
      </c>
      <c r="B37" s="260" t="s">
        <v>659</v>
      </c>
      <c r="C37" s="232">
        <v>2018324</v>
      </c>
      <c r="D37" s="232" t="s">
        <v>665</v>
      </c>
      <c r="E37" s="232">
        <v>6500</v>
      </c>
      <c r="F37" s="263" t="s">
        <v>666</v>
      </c>
      <c r="G37" s="262" t="s">
        <v>296</v>
      </c>
      <c r="H37" s="232">
        <v>160</v>
      </c>
      <c r="I37" s="232">
        <v>5</v>
      </c>
      <c r="J37" s="232" t="str">
        <f t="shared" si="3"/>
        <v>KONTOOR, Sum'20,  #2018324 (Executive) Qty: 6500, FAB: TBA, DEL: 11-Jul, Peak Tgt: 160, BU-5</v>
      </c>
    </row>
    <row r="38" spans="1:10" x14ac:dyDescent="0.3">
      <c r="A38" s="233" t="s">
        <v>583</v>
      </c>
      <c r="B38" s="260" t="s">
        <v>659</v>
      </c>
      <c r="C38" s="232">
        <v>2015042</v>
      </c>
      <c r="D38" s="232" t="s">
        <v>294</v>
      </c>
      <c r="E38" s="232">
        <v>23000</v>
      </c>
      <c r="F38" s="263" t="s">
        <v>584</v>
      </c>
      <c r="G38" s="262" t="s">
        <v>296</v>
      </c>
      <c r="H38" s="232">
        <v>160</v>
      </c>
      <c r="I38" s="232">
        <v>5</v>
      </c>
      <c r="J38" s="232" t="str">
        <f t="shared" si="3"/>
        <v>KONTOOR, Sum'20,  #2015042 (Maddox) Qty: 23000, FAB: TBA, DEL: 4-Jul, Peak Tgt: 160, BU-5</v>
      </c>
    </row>
    <row r="39" spans="1:10" x14ac:dyDescent="0.3">
      <c r="A39" s="233" t="s">
        <v>583</v>
      </c>
      <c r="B39" s="260" t="s">
        <v>659</v>
      </c>
      <c r="C39" s="232">
        <v>2105042</v>
      </c>
      <c r="D39" s="232" t="s">
        <v>294</v>
      </c>
      <c r="E39" s="232">
        <v>3000</v>
      </c>
      <c r="F39" s="263" t="s">
        <v>568</v>
      </c>
      <c r="G39" s="262" t="s">
        <v>296</v>
      </c>
      <c r="H39" s="232">
        <v>160</v>
      </c>
      <c r="I39" s="232">
        <v>5</v>
      </c>
      <c r="J39" s="232" t="str">
        <f t="shared" si="3"/>
        <v>KONTOOR, Sum'20,  #2105042 (Maddox) Qty: 3000, FAB: TBA, DEL: 20-Jun, Peak Tgt: 160, BU-5</v>
      </c>
    </row>
    <row r="40" spans="1:10" x14ac:dyDescent="0.3">
      <c r="A40" s="233" t="s">
        <v>583</v>
      </c>
      <c r="B40" s="260" t="s">
        <v>659</v>
      </c>
      <c r="C40" s="232">
        <v>2109142</v>
      </c>
      <c r="D40" s="232" t="s">
        <v>294</v>
      </c>
      <c r="E40" s="232">
        <v>8500</v>
      </c>
      <c r="F40" s="263" t="s">
        <v>568</v>
      </c>
      <c r="G40" s="262" t="s">
        <v>296</v>
      </c>
      <c r="H40" s="232">
        <v>160</v>
      </c>
      <c r="I40" s="232">
        <v>5</v>
      </c>
      <c r="J40" s="232" t="str">
        <f t="shared" si="3"/>
        <v>KONTOOR, Sum'20,  #2109142 (Maddox) Qty: 8500, FAB: TBA, DEL: 20-Jun, Peak Tgt: 160, BU-5</v>
      </c>
    </row>
    <row r="41" spans="1:10" x14ac:dyDescent="0.3">
      <c r="A41" s="233" t="s">
        <v>435</v>
      </c>
      <c r="B41" s="264" t="s">
        <v>667</v>
      </c>
      <c r="C41" s="264" t="s">
        <v>668</v>
      </c>
      <c r="D41" s="264" t="s">
        <v>296</v>
      </c>
      <c r="E41" s="232">
        <v>150000</v>
      </c>
      <c r="F41" s="264" t="s">
        <v>669</v>
      </c>
      <c r="G41" s="264" t="s">
        <v>296</v>
      </c>
      <c r="H41" s="264" t="s">
        <v>670</v>
      </c>
      <c r="I41" s="264" t="s">
        <v>671</v>
      </c>
      <c r="J41" s="232" t="str">
        <f t="shared" si="3"/>
        <v>T-AUS, Sum'21(Q2),  #PROJECTION (TBA) Qty: 150000, FAB: TBA, DEL: Apr-Jun, Peak Tgt: BL-135, SL-95, BU-Avg</v>
      </c>
    </row>
    <row r="42" spans="1:10" x14ac:dyDescent="0.3">
      <c r="A42" s="252" t="s">
        <v>31</v>
      </c>
      <c r="B42" s="252" t="s">
        <v>589</v>
      </c>
      <c r="C42" s="264" t="s">
        <v>672</v>
      </c>
      <c r="D42" s="255" t="s">
        <v>296</v>
      </c>
      <c r="E42" s="232">
        <v>31670</v>
      </c>
      <c r="F42" s="265" t="s">
        <v>571</v>
      </c>
      <c r="G42" s="255" t="s">
        <v>296</v>
      </c>
      <c r="H42" s="264" t="s">
        <v>296</v>
      </c>
      <c r="I42" s="264" t="s">
        <v>296</v>
      </c>
      <c r="J42" s="232" t="str">
        <f t="shared" si="3"/>
        <v>GU, FW'20,  #60120F028A (TBA) Qty: 31670, FAB: TBA, DEL: 30-Jul, Peak Tgt: TBA, BU-TBA</v>
      </c>
    </row>
    <row r="43" spans="1:10" x14ac:dyDescent="0.3">
      <c r="A43" s="233" t="s">
        <v>583</v>
      </c>
      <c r="B43" s="260" t="s">
        <v>659</v>
      </c>
      <c r="C43" s="232">
        <v>2018312</v>
      </c>
      <c r="D43" s="266" t="s">
        <v>675</v>
      </c>
      <c r="E43" s="232">
        <v>17500</v>
      </c>
      <c r="F43" s="267" t="s">
        <v>584</v>
      </c>
      <c r="G43" s="266" t="s">
        <v>296</v>
      </c>
      <c r="H43" s="232">
        <v>160</v>
      </c>
      <c r="I43" s="232">
        <v>5</v>
      </c>
      <c r="J43" s="232" t="str">
        <f t="shared" si="3"/>
        <v>KONTOOR, Sum'20,  #2018312 (Majestic) Qty: 17500, FAB: TBA, DEL: 4-Jul, Peak Tgt: 160, BU-5</v>
      </c>
    </row>
    <row r="44" spans="1:10" x14ac:dyDescent="0.3">
      <c r="A44" s="233" t="s">
        <v>32</v>
      </c>
      <c r="B44" s="260" t="s">
        <v>683</v>
      </c>
      <c r="C44" s="232" t="s">
        <v>682</v>
      </c>
      <c r="E44" s="232">
        <v>2554</v>
      </c>
      <c r="F44" s="271" t="s">
        <v>686</v>
      </c>
      <c r="G44" s="272" t="s">
        <v>687</v>
      </c>
      <c r="H44" s="272" t="s">
        <v>296</v>
      </c>
      <c r="I44" s="272" t="s">
        <v>296</v>
      </c>
      <c r="J44" s="232" t="str">
        <f t="shared" si="3"/>
        <v>ZARA, Sum'21,  #9794 234 400 () Qty: 2554, FAB: OK, DEL: 8-Apr, Peak Tgt: TBA, BU-TBA</v>
      </c>
    </row>
    <row r="45" spans="1:10" x14ac:dyDescent="0.3">
      <c r="A45" s="233" t="s">
        <v>32</v>
      </c>
      <c r="B45" s="260" t="s">
        <v>684</v>
      </c>
      <c r="C45" s="232" t="s">
        <v>688</v>
      </c>
      <c r="E45" s="232">
        <v>1604</v>
      </c>
      <c r="F45" s="271" t="s">
        <v>689</v>
      </c>
      <c r="H45" s="272" t="s">
        <v>296</v>
      </c>
      <c r="I45" s="272" t="s">
        <v>296</v>
      </c>
      <c r="J45" s="232" t="str">
        <f t="shared" si="3"/>
        <v>ZARA, Sum'22,  #9794 014 407 () Qty: 1604, FAB: , DEL: 18-May, Peak Tgt: TBA, BU-TBA</v>
      </c>
    </row>
    <row r="46" spans="1:10" x14ac:dyDescent="0.3">
      <c r="A46" s="233" t="s">
        <v>32</v>
      </c>
      <c r="B46" s="260" t="s">
        <v>685</v>
      </c>
      <c r="C46" s="232" t="s">
        <v>690</v>
      </c>
      <c r="E46" s="232">
        <v>1755</v>
      </c>
      <c r="F46" s="271" t="s">
        <v>689</v>
      </c>
      <c r="H46" s="272" t="s">
        <v>296</v>
      </c>
      <c r="I46" s="272" t="s">
        <v>296</v>
      </c>
      <c r="J46" s="232" t="str">
        <f t="shared" si="3"/>
        <v>ZARA, Sum'23,  #9794 093 400 () Qty: 1755, FAB: , DEL: 18-May, Peak Tgt: TBA, BU-TBA</v>
      </c>
    </row>
    <row r="47" spans="1:10" x14ac:dyDescent="0.3">
      <c r="A47" s="233" t="s">
        <v>435</v>
      </c>
      <c r="B47" s="264" t="s">
        <v>667</v>
      </c>
      <c r="C47" s="232">
        <v>203990</v>
      </c>
      <c r="D47" s="294" t="s">
        <v>731</v>
      </c>
      <c r="E47" s="232">
        <v>6108</v>
      </c>
      <c r="F47" s="295" t="s">
        <v>732</v>
      </c>
      <c r="G47" s="296" t="s">
        <v>733</v>
      </c>
      <c r="H47" s="232">
        <v>180</v>
      </c>
      <c r="I47" s="232">
        <v>3</v>
      </c>
      <c r="J47" s="232" t="str">
        <f t="shared" si="3"/>
        <v>T-AUS, Sum'21(Q2),  #203990 (BLACK) Qty: 6108, FAB: 9-Jun, DEL: 28-Jun, Peak Tgt: 180, BU-3</v>
      </c>
    </row>
    <row r="48" spans="1:10" x14ac:dyDescent="0.3">
      <c r="A48" s="233" t="s">
        <v>583</v>
      </c>
      <c r="B48" s="322" t="s">
        <v>791</v>
      </c>
      <c r="C48" s="325" t="s">
        <v>792</v>
      </c>
      <c r="D48" s="326" t="s">
        <v>578</v>
      </c>
      <c r="E48" s="327">
        <v>3500</v>
      </c>
      <c r="F48" s="321" t="s">
        <v>793</v>
      </c>
      <c r="G48" s="322" t="s">
        <v>296</v>
      </c>
      <c r="H48" s="322" t="s">
        <v>296</v>
      </c>
      <c r="I48" s="322" t="s">
        <v>296</v>
      </c>
      <c r="J48" s="232" t="str">
        <f t="shared" si="3"/>
        <v>KONTOOR, SP'21,  #G96RTWL (Wilson) Qty: 3500, FAB: TBA, DEL: 8-Aug, Peak Tgt: TBA, BU-TBA</v>
      </c>
    </row>
    <row r="49" spans="1:10" x14ac:dyDescent="0.3">
      <c r="A49" s="233" t="s">
        <v>583</v>
      </c>
      <c r="B49" s="322" t="s">
        <v>791</v>
      </c>
      <c r="C49" s="325">
        <v>3527716</v>
      </c>
      <c r="D49" s="326" t="s">
        <v>794</v>
      </c>
      <c r="E49" s="327">
        <v>2135</v>
      </c>
      <c r="F49" s="321" t="s">
        <v>795</v>
      </c>
      <c r="G49" s="322" t="s">
        <v>296</v>
      </c>
      <c r="H49" s="322" t="s">
        <v>296</v>
      </c>
      <c r="I49" s="322" t="s">
        <v>296</v>
      </c>
      <c r="J49" s="232" t="str">
        <f t="shared" si="3"/>
        <v>KONTOOR, SP'21,  #3527716 (Oxford Tan Corduroy) Qty: 2135, FAB: TBA, DEL: 22-Aug, Peak Tgt: TBA, BU-TBA</v>
      </c>
    </row>
    <row r="50" spans="1:10" x14ac:dyDescent="0.3">
      <c r="A50" s="233" t="s">
        <v>583</v>
      </c>
      <c r="B50" s="322" t="s">
        <v>791</v>
      </c>
      <c r="C50" s="325">
        <v>3527733</v>
      </c>
      <c r="D50" s="326" t="s">
        <v>796</v>
      </c>
      <c r="E50" s="327">
        <v>1285</v>
      </c>
      <c r="F50" s="321" t="s">
        <v>795</v>
      </c>
      <c r="G50" s="322" t="s">
        <v>296</v>
      </c>
      <c r="H50" s="322" t="s">
        <v>296</v>
      </c>
      <c r="I50" s="322" t="s">
        <v>296</v>
      </c>
      <c r="J50" s="232" t="str">
        <f t="shared" si="3"/>
        <v>KONTOOR, SP'21,  #3527733 (Olive Night Corduroy) Qty: 1285, FAB: TBA, DEL: 22-Aug, Peak Tgt: TBA, BU-TBA</v>
      </c>
    </row>
    <row r="51" spans="1:10" x14ac:dyDescent="0.3">
      <c r="A51" s="233" t="s">
        <v>583</v>
      </c>
      <c r="B51" s="322" t="s">
        <v>791</v>
      </c>
      <c r="C51" s="325">
        <v>3526931</v>
      </c>
      <c r="D51" s="326" t="s">
        <v>797</v>
      </c>
      <c r="E51" s="327">
        <v>730</v>
      </c>
      <c r="F51" s="321" t="s">
        <v>795</v>
      </c>
      <c r="G51" s="322" t="s">
        <v>296</v>
      </c>
      <c r="H51" s="322" t="s">
        <v>296</v>
      </c>
      <c r="I51" s="322" t="s">
        <v>296</v>
      </c>
      <c r="J51" s="232" t="str">
        <f t="shared" si="3"/>
        <v>KONTOOR, SP'21,  #3526931 (Navy Peony Corduroy) Qty: 730, FAB: TBA, DEL: 22-Aug, Peak Tgt: TBA, BU-TBA</v>
      </c>
    </row>
    <row r="52" spans="1:10" x14ac:dyDescent="0.3">
      <c r="A52" s="233" t="s">
        <v>583</v>
      </c>
      <c r="B52" s="322" t="s">
        <v>791</v>
      </c>
      <c r="C52" s="325">
        <v>3536725</v>
      </c>
      <c r="D52" s="326" t="s">
        <v>798</v>
      </c>
      <c r="E52" s="327">
        <v>930</v>
      </c>
      <c r="F52" s="321" t="s">
        <v>795</v>
      </c>
      <c r="G52" s="322" t="s">
        <v>296</v>
      </c>
      <c r="H52" s="322" t="s">
        <v>296</v>
      </c>
      <c r="I52" s="322" t="s">
        <v>296</v>
      </c>
      <c r="J52" s="232" t="str">
        <f t="shared" si="3"/>
        <v>KONTOOR, SP'21,  #3536725 (Misty Rose Corduroy) Qty: 930, FAB: TBA, DEL: 22-Aug, Peak Tgt: TBA, BU-TBA</v>
      </c>
    </row>
    <row r="53" spans="1:10" x14ac:dyDescent="0.3">
      <c r="A53" s="233" t="s">
        <v>583</v>
      </c>
      <c r="B53" s="322" t="s">
        <v>791</v>
      </c>
      <c r="C53" s="325">
        <v>3527750</v>
      </c>
      <c r="D53" s="326" t="s">
        <v>799</v>
      </c>
      <c r="E53" s="327">
        <v>1470</v>
      </c>
      <c r="F53" s="321" t="s">
        <v>795</v>
      </c>
      <c r="G53" s="322" t="s">
        <v>296</v>
      </c>
      <c r="H53" s="322" t="s">
        <v>296</v>
      </c>
      <c r="I53" s="322" t="s">
        <v>296</v>
      </c>
      <c r="J53" s="232" t="str">
        <f t="shared" si="3"/>
        <v>KONTOOR, SP'21,  #3527750 (Wisteria) Qty: 1470, FAB: TBA, DEL: 22-Aug, Peak Tgt: TBA, BU-TBA</v>
      </c>
    </row>
    <row r="54" spans="1:10" x14ac:dyDescent="0.3">
      <c r="A54" s="233" t="s">
        <v>583</v>
      </c>
      <c r="B54" s="322" t="s">
        <v>791</v>
      </c>
      <c r="C54" s="325">
        <v>3526920</v>
      </c>
      <c r="D54" s="326" t="s">
        <v>800</v>
      </c>
      <c r="E54" s="327">
        <v>790</v>
      </c>
      <c r="F54" s="321" t="s">
        <v>795</v>
      </c>
      <c r="G54" s="322" t="s">
        <v>296</v>
      </c>
      <c r="H54" s="322" t="s">
        <v>296</v>
      </c>
      <c r="I54" s="322" t="s">
        <v>296</v>
      </c>
      <c r="J54" s="232" t="str">
        <f t="shared" si="3"/>
        <v>KONTOOR, SP'21,  #3526920 (Betty Lee) Qty: 790, FAB: TBA, DEL: 22-Aug, Peak Tgt: TBA, BU-TBA</v>
      </c>
    </row>
    <row r="55" spans="1:10" x14ac:dyDescent="0.3">
      <c r="A55" s="233" t="s">
        <v>583</v>
      </c>
      <c r="B55" s="322" t="s">
        <v>791</v>
      </c>
      <c r="C55" s="325">
        <v>3536780</v>
      </c>
      <c r="D55" s="326" t="s">
        <v>801</v>
      </c>
      <c r="E55" s="327">
        <v>930</v>
      </c>
      <c r="F55" s="321" t="s">
        <v>795</v>
      </c>
      <c r="G55" s="322" t="s">
        <v>296</v>
      </c>
      <c r="H55" s="322" t="s">
        <v>296</v>
      </c>
      <c r="I55" s="322" t="s">
        <v>296</v>
      </c>
      <c r="J55" s="232" t="str">
        <f t="shared" si="3"/>
        <v>KONTOOR, SP'21,  #3536780 (Lawrence KS) Qty: 930, FAB: TBA, DEL: 22-Aug, Peak Tgt: TBA, BU-TBA</v>
      </c>
    </row>
    <row r="56" spans="1:10" x14ac:dyDescent="0.3">
      <c r="A56" s="233" t="s">
        <v>435</v>
      </c>
      <c r="B56" s="328" t="s">
        <v>667</v>
      </c>
      <c r="C56" s="232">
        <v>161356</v>
      </c>
      <c r="D56" s="232" t="s">
        <v>428</v>
      </c>
      <c r="E56" s="232">
        <v>4000</v>
      </c>
      <c r="F56" s="329" t="s">
        <v>845</v>
      </c>
      <c r="G56" s="328" t="s">
        <v>296</v>
      </c>
      <c r="H56" s="232">
        <v>180</v>
      </c>
      <c r="I56" s="232">
        <v>3</v>
      </c>
      <c r="J56" s="232" t="str">
        <f t="shared" si="3"/>
        <v>T-AUS, Sum'21(Q2),  #161356 (Black) Qty: 4000, FAB: TBA, DEL: 20-Sep/1000, Peak Tgt: 180, BU-3</v>
      </c>
    </row>
    <row r="57" spans="1:10" x14ac:dyDescent="0.3">
      <c r="A57" s="233" t="s">
        <v>435</v>
      </c>
      <c r="B57" s="328" t="s">
        <v>667</v>
      </c>
      <c r="C57" s="232">
        <v>161358</v>
      </c>
      <c r="D57" s="232" t="s">
        <v>830</v>
      </c>
      <c r="E57" s="232">
        <v>3000</v>
      </c>
      <c r="F57" s="329" t="s">
        <v>846</v>
      </c>
      <c r="G57" s="328" t="s">
        <v>296</v>
      </c>
      <c r="H57" s="232">
        <v>180</v>
      </c>
      <c r="I57" s="232">
        <v>3</v>
      </c>
      <c r="J57" s="232" t="str">
        <f t="shared" si="3"/>
        <v>T-AUS, Sum'21(Q2),  #161358 (Indigo) Qty: 3000, FAB: TBA, DEL: 13-Sep/1000, Peak Tgt: 180, BU-3</v>
      </c>
    </row>
    <row r="58" spans="1:10" x14ac:dyDescent="0.3">
      <c r="A58" s="233" t="s">
        <v>435</v>
      </c>
      <c r="B58" s="328" t="s">
        <v>667</v>
      </c>
      <c r="C58" s="232">
        <v>163437</v>
      </c>
      <c r="D58" s="232" t="s">
        <v>655</v>
      </c>
      <c r="E58" s="232">
        <v>4000</v>
      </c>
      <c r="F58" s="329" t="s">
        <v>846</v>
      </c>
      <c r="G58" s="328" t="s">
        <v>296</v>
      </c>
      <c r="H58" s="232">
        <v>180</v>
      </c>
      <c r="I58" s="232">
        <v>3</v>
      </c>
      <c r="J58" s="232" t="str">
        <f t="shared" si="3"/>
        <v>T-AUS, Sum'21(Q2),  #163437 (Blue) Qty: 4000, FAB: TBA, DEL: 13-Sep/1000, Peak Tgt: 180, BU-3</v>
      </c>
    </row>
    <row r="59" spans="1:10" x14ac:dyDescent="0.3">
      <c r="A59" s="233" t="s">
        <v>435</v>
      </c>
      <c r="B59" s="328" t="s">
        <v>667</v>
      </c>
      <c r="C59" s="232">
        <v>197594</v>
      </c>
      <c r="D59" s="328" t="s">
        <v>428</v>
      </c>
      <c r="E59" s="232">
        <v>1000</v>
      </c>
      <c r="F59" s="329" t="s">
        <v>831</v>
      </c>
      <c r="G59" s="328" t="s">
        <v>296</v>
      </c>
      <c r="H59" s="232">
        <v>180</v>
      </c>
      <c r="I59" s="232">
        <v>3</v>
      </c>
      <c r="J59" s="232" t="str">
        <f t="shared" si="3"/>
        <v>T-AUS, Sum'21(Q2),  #197594 (Black) Qty: 1000, FAB: TBA, DEL: 18-Oct, Peak Tgt: 180, BU-3</v>
      </c>
    </row>
    <row r="60" spans="1:10" x14ac:dyDescent="0.3">
      <c r="A60" s="233" t="s">
        <v>435</v>
      </c>
      <c r="B60" s="328" t="s">
        <v>667</v>
      </c>
      <c r="C60" s="232">
        <v>203990</v>
      </c>
      <c r="D60" s="328" t="s">
        <v>428</v>
      </c>
      <c r="E60" s="232">
        <v>2000</v>
      </c>
      <c r="F60" s="329" t="s">
        <v>832</v>
      </c>
      <c r="G60" s="328" t="s">
        <v>296</v>
      </c>
      <c r="H60" s="232">
        <v>180</v>
      </c>
      <c r="I60" s="232">
        <v>3</v>
      </c>
      <c r="J60" s="232" t="str">
        <f t="shared" si="3"/>
        <v>T-AUS, Sum'21(Q2),  #203990 (Black) Qty: 2000, FAB: TBA, DEL: 27-Sep, Peak Tgt: 180, BU-3</v>
      </c>
    </row>
    <row r="61" spans="1:10" x14ac:dyDescent="0.3">
      <c r="A61" s="233" t="s">
        <v>435</v>
      </c>
      <c r="B61" s="328" t="s">
        <v>667</v>
      </c>
      <c r="C61" s="232" t="s">
        <v>833</v>
      </c>
      <c r="D61" s="328" t="s">
        <v>834</v>
      </c>
      <c r="E61" s="232">
        <v>4900</v>
      </c>
      <c r="F61" s="329" t="s">
        <v>835</v>
      </c>
      <c r="G61" s="328" t="s">
        <v>296</v>
      </c>
      <c r="H61" s="232">
        <v>180</v>
      </c>
      <c r="I61" s="232">
        <v>3</v>
      </c>
      <c r="J61" s="232" t="str">
        <f t="shared" si="3"/>
        <v>T-AUS, Sum'21(Q2),  #197586B (Khaki) Qty: 4900, FAB: TBA, DEL: 23-Aug, Peak Tgt: 180, BU-3</v>
      </c>
    </row>
    <row r="62" spans="1:10" x14ac:dyDescent="0.3">
      <c r="A62" s="233" t="s">
        <v>435</v>
      </c>
      <c r="B62" s="328" t="s">
        <v>667</v>
      </c>
      <c r="C62" s="328" t="s">
        <v>836</v>
      </c>
      <c r="D62" s="328" t="s">
        <v>837</v>
      </c>
      <c r="E62" s="232">
        <v>2000</v>
      </c>
      <c r="F62" s="329" t="s">
        <v>835</v>
      </c>
      <c r="G62" s="328" t="s">
        <v>296</v>
      </c>
      <c r="H62" s="232">
        <v>180</v>
      </c>
      <c r="I62" s="232">
        <v>3</v>
      </c>
      <c r="J62" s="232" t="str">
        <f t="shared" si="3"/>
        <v>T-AUS, Sum'21(Q2),  #197634B (Dark Indigo) Qty: 2000, FAB: TBA, DEL: 23-Aug, Peak Tgt: 180, BU-3</v>
      </c>
    </row>
    <row r="63" spans="1:10" x14ac:dyDescent="0.3">
      <c r="A63" s="233" t="s">
        <v>435</v>
      </c>
      <c r="B63" s="328" t="s">
        <v>667</v>
      </c>
      <c r="C63" s="328" t="s">
        <v>838</v>
      </c>
      <c r="D63" s="328" t="s">
        <v>428</v>
      </c>
      <c r="E63" s="232">
        <v>4900</v>
      </c>
      <c r="F63" s="329" t="s">
        <v>844</v>
      </c>
      <c r="G63" s="328" t="s">
        <v>296</v>
      </c>
      <c r="H63" s="232">
        <v>180</v>
      </c>
      <c r="I63" s="232">
        <v>3</v>
      </c>
      <c r="J63" s="232" t="str">
        <f t="shared" si="3"/>
        <v>T-AUS, Sum'21(Q2),  #198111C (Black) Qty: 4900, FAB: TBA, DEL: 6-Sep/3900, Peak Tgt: 180, BU-3</v>
      </c>
    </row>
    <row r="64" spans="1:10" x14ac:dyDescent="0.3">
      <c r="A64" s="233" t="s">
        <v>435</v>
      </c>
      <c r="B64" s="328" t="s">
        <v>667</v>
      </c>
      <c r="C64" s="328" t="s">
        <v>840</v>
      </c>
      <c r="D64" s="328" t="s">
        <v>841</v>
      </c>
      <c r="E64" s="232">
        <v>5097</v>
      </c>
      <c r="F64" s="329" t="s">
        <v>839</v>
      </c>
      <c r="G64" s="328" t="s">
        <v>296</v>
      </c>
      <c r="H64" s="232">
        <v>180</v>
      </c>
      <c r="I64" s="232">
        <v>3</v>
      </c>
      <c r="J64" s="232" t="str">
        <f t="shared" si="3"/>
        <v>T-AUS, Sum'21(Q2),  #198112A (Midwash) Qty: 5097, FAB: TBA, DEL: 6-Sep, Peak Tgt: 180, BU-3</v>
      </c>
    </row>
    <row r="65" spans="1:10" x14ac:dyDescent="0.3">
      <c r="A65" s="233" t="s">
        <v>435</v>
      </c>
      <c r="B65" s="328" t="s">
        <v>667</v>
      </c>
      <c r="C65" s="232">
        <v>201170</v>
      </c>
      <c r="D65" s="328" t="s">
        <v>830</v>
      </c>
      <c r="E65" s="232">
        <v>6989</v>
      </c>
      <c r="F65" s="329" t="s">
        <v>842</v>
      </c>
      <c r="G65" s="328" t="s">
        <v>296</v>
      </c>
      <c r="H65" s="232">
        <v>180</v>
      </c>
      <c r="I65" s="232">
        <v>3</v>
      </c>
      <c r="J65" s="232" t="str">
        <f t="shared" si="3"/>
        <v>T-AUS, Sum'21(Q2),  #201170 (Indigo) Qty: 6989, FAB: TBA, DEL: 23-Aug/3994, 27-Sep/1496, Peak Tgt: 180, BU-3</v>
      </c>
    </row>
    <row r="66" spans="1:10" x14ac:dyDescent="0.3">
      <c r="A66" s="233" t="s">
        <v>435</v>
      </c>
      <c r="B66" s="328" t="s">
        <v>667</v>
      </c>
      <c r="C66" s="232">
        <v>206401</v>
      </c>
      <c r="D66" s="328" t="s">
        <v>428</v>
      </c>
      <c r="E66" s="232">
        <v>4300</v>
      </c>
      <c r="F66" s="329" t="s">
        <v>843</v>
      </c>
      <c r="G66" s="328" t="s">
        <v>296</v>
      </c>
      <c r="H66" s="232">
        <v>180</v>
      </c>
      <c r="I66" s="232">
        <v>3</v>
      </c>
      <c r="J66" s="232" t="str">
        <f t="shared" si="3"/>
        <v>T-AUS, Sum'21(Q2),  #206401 (Black) Qty: 4300, FAB: TBA, DEL: 23-Aug/3500, Peak Tgt: 180, BU-3</v>
      </c>
    </row>
    <row r="67" spans="1:10" x14ac:dyDescent="0.3">
      <c r="A67" s="233" t="s">
        <v>31</v>
      </c>
      <c r="B67" s="330" t="s">
        <v>862</v>
      </c>
      <c r="C67" s="90" t="s">
        <v>863</v>
      </c>
      <c r="D67" s="330" t="s">
        <v>296</v>
      </c>
      <c r="E67" s="232">
        <v>46750</v>
      </c>
      <c r="F67" s="331" t="s">
        <v>869</v>
      </c>
      <c r="G67" s="331" t="s">
        <v>870</v>
      </c>
      <c r="H67" s="232">
        <v>290</v>
      </c>
      <c r="I67" s="232">
        <v>3</v>
      </c>
      <c r="J67" s="232" t="str">
        <f t="shared" si="3"/>
        <v>GU, SS21,  #H050A (TBA) Qty: 46750, FAB: 19-Jul, DEL: 15-Oct, Peak Tgt: 290, BU-3</v>
      </c>
    </row>
    <row r="68" spans="1:10" x14ac:dyDescent="0.3">
      <c r="A68" s="233" t="s">
        <v>31</v>
      </c>
      <c r="B68" s="330" t="s">
        <v>862</v>
      </c>
      <c r="C68" s="90" t="s">
        <v>864</v>
      </c>
      <c r="D68" s="330" t="s">
        <v>296</v>
      </c>
      <c r="E68" s="232">
        <v>19500</v>
      </c>
      <c r="F68" s="331" t="s">
        <v>869</v>
      </c>
      <c r="G68" s="331" t="s">
        <v>870</v>
      </c>
      <c r="H68" s="232">
        <v>225</v>
      </c>
      <c r="I68" s="232">
        <v>3</v>
      </c>
      <c r="J68" s="232" t="str">
        <f t="shared" si="3"/>
        <v>GU, SS21,  #H001A (TBA) Qty: 19500, FAB: 19-Jul, DEL: 15-Oct, Peak Tgt: 225, BU-3</v>
      </c>
    </row>
    <row r="69" spans="1:10" x14ac:dyDescent="0.3">
      <c r="A69" s="233" t="s">
        <v>31</v>
      </c>
      <c r="B69" s="330" t="s">
        <v>862</v>
      </c>
      <c r="C69" s="90" t="s">
        <v>865</v>
      </c>
      <c r="D69" s="330" t="s">
        <v>296</v>
      </c>
      <c r="E69" s="232">
        <v>40000</v>
      </c>
      <c r="F69" s="331" t="s">
        <v>869</v>
      </c>
      <c r="G69" s="331" t="s">
        <v>870</v>
      </c>
      <c r="H69" s="232">
        <v>240</v>
      </c>
      <c r="I69" s="232">
        <v>3</v>
      </c>
      <c r="J69" s="232" t="str">
        <f t="shared" si="3"/>
        <v>GU, SS21,  #H052A (TBA) Qty: 40000, FAB: 19-Jul, DEL: 15-Oct, Peak Tgt: 240, BU-3</v>
      </c>
    </row>
    <row r="70" spans="1:10" x14ac:dyDescent="0.3">
      <c r="A70" s="233" t="s">
        <v>31</v>
      </c>
      <c r="B70" s="330" t="s">
        <v>862</v>
      </c>
      <c r="C70" s="90" t="s">
        <v>866</v>
      </c>
      <c r="D70" s="330" t="s">
        <v>296</v>
      </c>
      <c r="E70" s="232">
        <v>40000</v>
      </c>
      <c r="F70" s="331" t="s">
        <v>869</v>
      </c>
      <c r="G70" s="331" t="s">
        <v>870</v>
      </c>
      <c r="H70" s="232">
        <v>250</v>
      </c>
      <c r="I70" s="232">
        <v>3</v>
      </c>
      <c r="J70" s="232" t="str">
        <f t="shared" si="3"/>
        <v>GU, SS21,  #N020A (TBA) Qty: 40000, FAB: 19-Jul, DEL: 15-Oct, Peak Tgt: 250, BU-3</v>
      </c>
    </row>
    <row r="71" spans="1:10" x14ac:dyDescent="0.3">
      <c r="A71" s="233" t="s">
        <v>31</v>
      </c>
      <c r="B71" s="330" t="s">
        <v>862</v>
      </c>
      <c r="C71" s="90" t="s">
        <v>867</v>
      </c>
      <c r="D71" s="330" t="s">
        <v>296</v>
      </c>
      <c r="E71" s="232">
        <v>40000</v>
      </c>
      <c r="F71" s="331" t="s">
        <v>869</v>
      </c>
      <c r="G71" s="331" t="s">
        <v>870</v>
      </c>
      <c r="H71" s="232">
        <v>250</v>
      </c>
      <c r="I71" s="232">
        <v>3</v>
      </c>
      <c r="J71" s="232" t="str">
        <f t="shared" si="3"/>
        <v>GU, SS21,  #N050A (TBA) Qty: 40000, FAB: 19-Jul, DEL: 15-Oct, Peak Tgt: 250, BU-3</v>
      </c>
    </row>
    <row r="72" spans="1:10" x14ac:dyDescent="0.3">
      <c r="A72" s="233" t="s">
        <v>31</v>
      </c>
      <c r="B72" s="330" t="s">
        <v>862</v>
      </c>
      <c r="C72" s="90" t="s">
        <v>868</v>
      </c>
      <c r="D72" s="330" t="s">
        <v>296</v>
      </c>
      <c r="E72" s="232">
        <v>40000</v>
      </c>
      <c r="F72" s="331" t="s">
        <v>869</v>
      </c>
      <c r="G72" s="331" t="s">
        <v>870</v>
      </c>
      <c r="H72" s="330" t="s">
        <v>296</v>
      </c>
      <c r="I72" s="330" t="s">
        <v>296</v>
      </c>
      <c r="J72" s="232" t="str">
        <f t="shared" si="3"/>
        <v>GU, SS21,  #N054A (TBA) Qty: 40000, FAB: 19-Jul, DEL: 15-Oct, Peak Tgt: TBA, BU-TBA</v>
      </c>
    </row>
    <row r="73" spans="1:10" x14ac:dyDescent="0.3">
      <c r="A73" s="233" t="s">
        <v>583</v>
      </c>
      <c r="B73" s="332" t="s">
        <v>871</v>
      </c>
      <c r="C73" s="232">
        <v>3087501</v>
      </c>
      <c r="D73" s="232" t="s">
        <v>731</v>
      </c>
      <c r="E73" s="232">
        <v>3500</v>
      </c>
      <c r="F73" s="333" t="s">
        <v>877</v>
      </c>
      <c r="G73" s="332" t="s">
        <v>296</v>
      </c>
      <c r="H73" s="232">
        <v>180</v>
      </c>
      <c r="I73" s="232">
        <v>3</v>
      </c>
      <c r="J73" s="232" t="str">
        <f t="shared" si="3"/>
        <v>KONTOOR, SP21,  #3087501 (BLACK) Qty: 3500, FAB: TBA, DEL: 29-Sep, Peak Tgt: 180, BU-3</v>
      </c>
    </row>
    <row r="74" spans="1:10" x14ac:dyDescent="0.3">
      <c r="A74" s="233" t="s">
        <v>583</v>
      </c>
      <c r="B74" s="332" t="s">
        <v>871</v>
      </c>
      <c r="C74" s="232">
        <v>3087528</v>
      </c>
      <c r="D74" s="232" t="s">
        <v>873</v>
      </c>
      <c r="E74" s="232">
        <v>2001</v>
      </c>
      <c r="F74" s="333" t="s">
        <v>877</v>
      </c>
      <c r="G74" s="332" t="s">
        <v>296</v>
      </c>
      <c r="H74" s="232">
        <v>180</v>
      </c>
      <c r="I74" s="232">
        <v>3</v>
      </c>
      <c r="J74" s="232" t="str">
        <f t="shared" si="3"/>
        <v>KONTOOR, SP21,  #3087528 (RENEGADE) Qty: 2001, FAB: TBA, DEL: 29-Sep, Peak Tgt: 180, BU-3</v>
      </c>
    </row>
    <row r="75" spans="1:10" x14ac:dyDescent="0.3">
      <c r="A75" s="233" t="s">
        <v>583</v>
      </c>
      <c r="B75" s="332" t="s">
        <v>871</v>
      </c>
      <c r="C75" s="232">
        <v>3087568</v>
      </c>
      <c r="D75" s="232" t="s">
        <v>874</v>
      </c>
      <c r="E75" s="232">
        <v>1501</v>
      </c>
      <c r="F75" s="333" t="s">
        <v>877</v>
      </c>
      <c r="G75" s="332" t="s">
        <v>296</v>
      </c>
      <c r="H75" s="232">
        <v>180</v>
      </c>
      <c r="I75" s="232">
        <v>3</v>
      </c>
      <c r="J75" s="232" t="str">
        <f t="shared" si="3"/>
        <v>KONTOOR, SP21,  #3087568 (RAYNE) Qty: 1501, FAB: TBA, DEL: 29-Sep, Peak Tgt: 180, BU-3</v>
      </c>
    </row>
    <row r="76" spans="1:10" x14ac:dyDescent="0.3">
      <c r="A76" s="233" t="s">
        <v>583</v>
      </c>
      <c r="B76" s="332" t="s">
        <v>871</v>
      </c>
      <c r="C76" s="232">
        <v>3408928</v>
      </c>
      <c r="D76" s="232" t="s">
        <v>873</v>
      </c>
      <c r="E76" s="232">
        <v>3000</v>
      </c>
      <c r="F76" s="333" t="s">
        <v>877</v>
      </c>
      <c r="G76" s="332" t="s">
        <v>296</v>
      </c>
      <c r="H76" s="232">
        <v>180</v>
      </c>
      <c r="I76" s="232">
        <v>3</v>
      </c>
      <c r="J76" s="232" t="str">
        <f t="shared" si="3"/>
        <v>KONTOOR, SP21,  #3408928 (RENEGADE) Qty: 3000, FAB: TBA, DEL: 29-Sep, Peak Tgt: 180, BU-3</v>
      </c>
    </row>
    <row r="77" spans="1:10" x14ac:dyDescent="0.3">
      <c r="A77" s="233" t="s">
        <v>583</v>
      </c>
      <c r="B77" s="332" t="s">
        <v>871</v>
      </c>
      <c r="C77" s="232">
        <v>3408946</v>
      </c>
      <c r="D77" s="232" t="s">
        <v>875</v>
      </c>
      <c r="E77" s="232">
        <v>1501</v>
      </c>
      <c r="F77" s="333" t="s">
        <v>877</v>
      </c>
      <c r="G77" s="332" t="s">
        <v>296</v>
      </c>
      <c r="H77" s="232">
        <v>180</v>
      </c>
      <c r="I77" s="232">
        <v>3</v>
      </c>
      <c r="J77" s="232" t="str">
        <f t="shared" si="3"/>
        <v>KONTOOR, SP21,  #3408946 (MAJESTIC) Qty: 1501, FAB: TBA, DEL: 29-Sep, Peak Tgt: 180, BU-3</v>
      </c>
    </row>
    <row r="78" spans="1:10" x14ac:dyDescent="0.3">
      <c r="A78" s="233" t="s">
        <v>583</v>
      </c>
      <c r="B78" s="332" t="s">
        <v>871</v>
      </c>
      <c r="C78" s="232">
        <v>3408964</v>
      </c>
      <c r="D78" s="232" t="s">
        <v>876</v>
      </c>
      <c r="E78" s="232">
        <v>3000</v>
      </c>
      <c r="F78" s="333" t="s">
        <v>877</v>
      </c>
      <c r="G78" s="332" t="s">
        <v>296</v>
      </c>
      <c r="H78" s="232">
        <v>180</v>
      </c>
      <c r="I78" s="232">
        <v>3</v>
      </c>
      <c r="J78" s="232" t="str">
        <f t="shared" si="3"/>
        <v>KONTOOR, SP21,  #3408964 (ROYALCHAKR) Qty: 3000, FAB: TBA, DEL: 29-Sep, Peak Tgt: 180, BU-3</v>
      </c>
    </row>
    <row r="79" spans="1:10" x14ac:dyDescent="0.3">
      <c r="A79" s="233" t="s">
        <v>583</v>
      </c>
      <c r="B79" s="332" t="s">
        <v>871</v>
      </c>
      <c r="C79" s="232" t="s">
        <v>872</v>
      </c>
      <c r="D79" s="232" t="s">
        <v>873</v>
      </c>
      <c r="E79" s="232">
        <v>1501</v>
      </c>
      <c r="F79" s="333" t="s">
        <v>877</v>
      </c>
      <c r="G79" s="332" t="s">
        <v>296</v>
      </c>
      <c r="H79" s="232">
        <v>180</v>
      </c>
      <c r="I79" s="232">
        <v>3</v>
      </c>
      <c r="J79" s="232" t="str">
        <f t="shared" si="3"/>
        <v>KONTOOR, SP21,  #34L8928 (RENEGADE) Qty: 1501, FAB: TBA, DEL: 29-Sep, Peak Tgt: 180, BU-3</v>
      </c>
    </row>
    <row r="80" spans="1:10" x14ac:dyDescent="0.3">
      <c r="A80" s="233" t="s">
        <v>583</v>
      </c>
      <c r="B80" s="332" t="s">
        <v>871</v>
      </c>
      <c r="C80" s="232">
        <v>3087135</v>
      </c>
      <c r="D80" s="232" t="s">
        <v>460</v>
      </c>
      <c r="E80" s="81">
        <v>2001</v>
      </c>
      <c r="F80" s="333" t="s">
        <v>877</v>
      </c>
      <c r="G80" s="332" t="s">
        <v>296</v>
      </c>
      <c r="H80" s="232">
        <v>200</v>
      </c>
      <c r="I80" s="232">
        <v>3</v>
      </c>
      <c r="J80" s="232" t="str">
        <f t="shared" si="3"/>
        <v>KONTOOR, SP21,  #3087135 (Seattle) Qty: 2001, FAB: TBA, DEL: 29-Sep, Peak Tgt: 200, BU-3</v>
      </c>
    </row>
    <row r="81" spans="1:10" x14ac:dyDescent="0.3">
      <c r="A81" s="233" t="s">
        <v>583</v>
      </c>
      <c r="B81" s="332" t="s">
        <v>871</v>
      </c>
      <c r="C81" s="232">
        <v>3517933</v>
      </c>
      <c r="D81" s="232" t="s">
        <v>878</v>
      </c>
      <c r="E81" s="81">
        <v>2001</v>
      </c>
      <c r="F81" s="333" t="s">
        <v>877</v>
      </c>
      <c r="G81" s="332" t="s">
        <v>296</v>
      </c>
      <c r="H81" s="232">
        <v>180</v>
      </c>
      <c r="I81" s="232">
        <v>3</v>
      </c>
      <c r="J81" s="232" t="str">
        <f t="shared" si="3"/>
        <v>KONTOOR, SP21,  #3517933 (INFINITY) Qty: 2001, FAB: TBA, DEL: 29-Sep, Peak Tgt: 180, BU-3</v>
      </c>
    </row>
    <row r="82" spans="1:10" x14ac:dyDescent="0.3">
      <c r="A82" s="233" t="s">
        <v>583</v>
      </c>
      <c r="B82" s="332" t="s">
        <v>871</v>
      </c>
      <c r="C82" s="232">
        <v>3522001</v>
      </c>
      <c r="D82" s="232" t="s">
        <v>428</v>
      </c>
      <c r="E82" s="81">
        <v>1501</v>
      </c>
      <c r="F82" s="333" t="s">
        <v>877</v>
      </c>
      <c r="G82" s="332" t="s">
        <v>296</v>
      </c>
      <c r="H82" s="232">
        <v>200</v>
      </c>
      <c r="I82" s="232">
        <v>3</v>
      </c>
      <c r="J82" s="232" t="str">
        <f t="shared" si="3"/>
        <v>KONTOOR, SP21,  #3522001 (Black) Qty: 1501, FAB: TBA, DEL: 29-Sep, Peak Tgt: 200, BU-3</v>
      </c>
    </row>
    <row r="83" spans="1:10" x14ac:dyDescent="0.3">
      <c r="A83" s="233" t="s">
        <v>583</v>
      </c>
      <c r="B83" s="332" t="s">
        <v>871</v>
      </c>
      <c r="C83" s="232">
        <v>3522006</v>
      </c>
      <c r="D83" s="232" t="s">
        <v>879</v>
      </c>
      <c r="E83" s="81">
        <v>2001</v>
      </c>
      <c r="F83" s="333" t="s">
        <v>877</v>
      </c>
      <c r="G83" s="332" t="s">
        <v>296</v>
      </c>
      <c r="H83" s="232">
        <v>200</v>
      </c>
      <c r="I83" s="232">
        <v>3</v>
      </c>
      <c r="J83" s="232" t="str">
        <f t="shared" si="3"/>
        <v>KONTOOR, SP21,  #3522006 (Gray Denim) Qty: 2001, FAB: TBA, DEL: 29-Sep, Peak Tgt: 200, BU-3</v>
      </c>
    </row>
    <row r="84" spans="1:10" x14ac:dyDescent="0.3">
      <c r="A84" s="233" t="s">
        <v>583</v>
      </c>
      <c r="B84" s="332" t="s">
        <v>871</v>
      </c>
      <c r="C84" s="232">
        <v>3522077</v>
      </c>
      <c r="D84" s="232" t="s">
        <v>459</v>
      </c>
      <c r="E84" s="81">
        <v>3000</v>
      </c>
      <c r="F84" s="333" t="s">
        <v>877</v>
      </c>
      <c r="G84" s="332" t="s">
        <v>296</v>
      </c>
      <c r="H84" s="232">
        <v>200</v>
      </c>
      <c r="I84" s="232">
        <v>3</v>
      </c>
      <c r="J84" s="232" t="str">
        <f t="shared" si="3"/>
        <v>KONTOOR, SP21,  #3522077 (Nightshade) Qty: 3000, FAB: TBA, DEL: 29-Sep, Peak Tgt: 200, BU-3</v>
      </c>
    </row>
    <row r="85" spans="1:10" x14ac:dyDescent="0.3">
      <c r="A85" s="233" t="s">
        <v>31</v>
      </c>
      <c r="B85" s="367" t="s">
        <v>920</v>
      </c>
      <c r="C85" s="367" t="s">
        <v>921</v>
      </c>
      <c r="D85" s="367" t="s">
        <v>296</v>
      </c>
      <c r="E85" s="232">
        <v>9110</v>
      </c>
      <c r="F85" s="368" t="s">
        <v>869</v>
      </c>
      <c r="G85" s="332" t="s">
        <v>296</v>
      </c>
      <c r="H85" s="367" t="s">
        <v>928</v>
      </c>
      <c r="I85" s="232">
        <v>3</v>
      </c>
      <c r="J85" s="232" t="str">
        <f t="shared" si="3"/>
        <v>GU, SS21 (Pro),  #H100A (TBA) Qty: 9110, FAB: TBA, DEL: 15-Oct, Peak Tgt: 160(?), BU-3</v>
      </c>
    </row>
    <row r="86" spans="1:10" x14ac:dyDescent="0.3">
      <c r="A86" s="233" t="s">
        <v>31</v>
      </c>
      <c r="B86" s="367" t="s">
        <v>920</v>
      </c>
      <c r="C86" s="367" t="s">
        <v>921</v>
      </c>
      <c r="D86" s="367" t="s">
        <v>296</v>
      </c>
      <c r="E86" s="232">
        <v>9000</v>
      </c>
      <c r="F86" s="368" t="s">
        <v>922</v>
      </c>
      <c r="G86" s="332" t="s">
        <v>296</v>
      </c>
      <c r="H86" s="367" t="s">
        <v>928</v>
      </c>
      <c r="I86" s="232">
        <v>3</v>
      </c>
      <c r="J86" s="232" t="str">
        <f t="shared" si="3"/>
        <v>GU, SS21 (Pro),  #H100A (TBA) Qty: 9000, FAB: TBA, DEL: 16-Jan, Peak Tgt: 160(?), BU-3</v>
      </c>
    </row>
    <row r="87" spans="1:10" x14ac:dyDescent="0.3">
      <c r="A87" s="233" t="s">
        <v>31</v>
      </c>
      <c r="B87" s="367" t="s">
        <v>920</v>
      </c>
      <c r="C87" s="367" t="s">
        <v>923</v>
      </c>
      <c r="D87" s="367" t="s">
        <v>296</v>
      </c>
      <c r="E87" s="232">
        <v>18000</v>
      </c>
      <c r="F87" s="368" t="s">
        <v>924</v>
      </c>
      <c r="G87" s="332" t="s">
        <v>296</v>
      </c>
      <c r="H87" s="367" t="s">
        <v>925</v>
      </c>
      <c r="I87" s="232">
        <v>4</v>
      </c>
      <c r="J87" s="232" t="str">
        <f t="shared" si="3"/>
        <v>GU, SS21 (Pro),  #H105A (TBA) Qty: 18000, FAB: TBA, DEL: 15-Dec, Peak Tgt: 125(110), BU-4</v>
      </c>
    </row>
    <row r="88" spans="1:10" x14ac:dyDescent="0.3">
      <c r="A88" s="233" t="s">
        <v>31</v>
      </c>
      <c r="B88" s="367" t="s">
        <v>920</v>
      </c>
      <c r="C88" s="367" t="s">
        <v>926</v>
      </c>
      <c r="D88" s="367" t="s">
        <v>296</v>
      </c>
      <c r="E88" s="232">
        <v>46100</v>
      </c>
      <c r="F88" s="368" t="s">
        <v>869</v>
      </c>
      <c r="G88" s="332" t="s">
        <v>296</v>
      </c>
      <c r="H88" s="367" t="s">
        <v>927</v>
      </c>
      <c r="I88" s="232">
        <v>3</v>
      </c>
      <c r="J88" s="232" t="str">
        <f t="shared" si="3"/>
        <v>GU, SS21 (Pro),  #H023A (TBA) Qty: 46100, FAB: TBA, DEL: 15-Oct, Peak Tgt: 240(220), BU-3</v>
      </c>
    </row>
    <row r="89" spans="1:10" x14ac:dyDescent="0.3">
      <c r="A89" s="233" t="s">
        <v>31</v>
      </c>
      <c r="B89" s="367" t="s">
        <v>920</v>
      </c>
      <c r="C89" s="367" t="s">
        <v>929</v>
      </c>
      <c r="D89" s="367" t="s">
        <v>296</v>
      </c>
      <c r="E89" s="232">
        <v>1300</v>
      </c>
      <c r="F89" s="368" t="s">
        <v>869</v>
      </c>
      <c r="G89" s="332" t="s">
        <v>296</v>
      </c>
      <c r="H89" s="232">
        <v>140</v>
      </c>
      <c r="I89" s="232">
        <v>4</v>
      </c>
      <c r="J89" s="232" t="str">
        <f t="shared" si="3"/>
        <v>GU, SS21 (Pro),  #H103A (TBA) Qty: 1300, FAB: TBA, DEL: 15-Oct, Peak Tgt: 140, BU-4</v>
      </c>
    </row>
    <row r="90" spans="1:10" x14ac:dyDescent="0.3">
      <c r="A90" s="233" t="s">
        <v>31</v>
      </c>
      <c r="B90" s="367" t="s">
        <v>920</v>
      </c>
      <c r="C90" s="367" t="s">
        <v>930</v>
      </c>
      <c r="D90" s="367" t="s">
        <v>296</v>
      </c>
      <c r="E90" s="232">
        <v>25900</v>
      </c>
      <c r="F90" s="368" t="s">
        <v>931</v>
      </c>
      <c r="G90" s="332" t="s">
        <v>296</v>
      </c>
      <c r="H90" s="367" t="s">
        <v>932</v>
      </c>
      <c r="I90" s="232">
        <v>3</v>
      </c>
      <c r="J90" s="232" t="str">
        <f t="shared" si="3"/>
        <v>GU, SS21 (Pro),  #H056A (TBA) Qty: 25900, FAB: TBA, DEL: 14-Nov, Peak Tgt: 165(152), BU-3</v>
      </c>
    </row>
    <row r="91" spans="1:10" x14ac:dyDescent="0.3">
      <c r="A91" s="233" t="s">
        <v>31</v>
      </c>
      <c r="B91" s="367" t="s">
        <v>920</v>
      </c>
      <c r="C91" s="367" t="s">
        <v>933</v>
      </c>
      <c r="D91" s="367" t="s">
        <v>296</v>
      </c>
      <c r="E91" s="232">
        <v>1000</v>
      </c>
      <c r="F91" s="368" t="s">
        <v>931</v>
      </c>
      <c r="G91" s="332" t="s">
        <v>296</v>
      </c>
      <c r="H91" s="232">
        <v>150</v>
      </c>
      <c r="I91" s="232">
        <v>3</v>
      </c>
      <c r="J91" s="232" t="str">
        <f t="shared" si="3"/>
        <v>GU, SS21 (Pro),  #H106A (TBA) Qty: 1000, FAB: TBA, DEL: 14-Nov, Peak Tgt: 150, BU-3</v>
      </c>
    </row>
    <row r="92" spans="1:10" x14ac:dyDescent="0.3">
      <c r="A92" s="233" t="s">
        <v>31</v>
      </c>
      <c r="B92" s="367" t="s">
        <v>920</v>
      </c>
      <c r="C92" s="367" t="s">
        <v>934</v>
      </c>
      <c r="D92" s="367" t="s">
        <v>296</v>
      </c>
      <c r="E92" s="232">
        <v>18130</v>
      </c>
      <c r="F92" s="368" t="s">
        <v>935</v>
      </c>
      <c r="G92" s="332" t="s">
        <v>296</v>
      </c>
      <c r="H92" s="367" t="s">
        <v>937</v>
      </c>
      <c r="I92" s="232">
        <v>3</v>
      </c>
      <c r="J92" s="232" t="str">
        <f t="shared" si="3"/>
        <v>GU, SS21 (Pro),  #N101A (TBA) Qty: 18130, FAB: TBA, DEL: 15-Jan, Peak Tgt: 165(150), BU-3</v>
      </c>
    </row>
    <row r="93" spans="1:10" x14ac:dyDescent="0.3">
      <c r="A93" s="233" t="s">
        <v>435</v>
      </c>
      <c r="B93" s="328" t="s">
        <v>667</v>
      </c>
      <c r="C93" s="232">
        <v>205679</v>
      </c>
      <c r="D93" s="369" t="s">
        <v>940</v>
      </c>
      <c r="E93" s="232">
        <v>7042</v>
      </c>
      <c r="F93" s="370" t="s">
        <v>941</v>
      </c>
      <c r="G93" s="370" t="s">
        <v>942</v>
      </c>
      <c r="H93" s="232">
        <v>180</v>
      </c>
      <c r="I93" s="232">
        <v>3</v>
      </c>
      <c r="J93" s="232" t="str">
        <f t="shared" si="3"/>
        <v>T-AUS, Sum'21(Q2),  #205679 (Light Wash) Qty: 7042, FAB: 18-Aug, DEL: 13-Sep/5000, Peak Tgt: 180, BU-3</v>
      </c>
    </row>
    <row r="94" spans="1:10" x14ac:dyDescent="0.3">
      <c r="A94" s="233" t="s">
        <v>435</v>
      </c>
      <c r="B94" s="328" t="s">
        <v>667</v>
      </c>
      <c r="C94" s="232">
        <v>199590</v>
      </c>
      <c r="D94" s="369" t="s">
        <v>943</v>
      </c>
      <c r="E94" s="232">
        <v>5601</v>
      </c>
      <c r="F94" s="370" t="s">
        <v>944</v>
      </c>
      <c r="G94" s="370" t="s">
        <v>942</v>
      </c>
      <c r="H94" s="232">
        <v>180</v>
      </c>
      <c r="I94" s="232">
        <v>3</v>
      </c>
      <c r="J94" s="232" t="str">
        <f t="shared" si="3"/>
        <v>T-AUS, Sum'21(Q2),  #199590 (Ecru) Qty: 5601, FAB: 18-Aug, DEL: 20-Sep, Peak Tgt: 180, BU-3</v>
      </c>
    </row>
    <row r="95" spans="1:10" x14ac:dyDescent="0.3">
      <c r="A95" s="233" t="s">
        <v>583</v>
      </c>
      <c r="B95" s="332" t="s">
        <v>871</v>
      </c>
      <c r="C95" s="232">
        <v>2018224</v>
      </c>
      <c r="D95" s="232" t="s">
        <v>665</v>
      </c>
      <c r="E95" s="232">
        <v>4600</v>
      </c>
      <c r="F95" s="373" t="s">
        <v>969</v>
      </c>
      <c r="G95" s="374" t="s">
        <v>296</v>
      </c>
      <c r="H95" s="232">
        <v>160</v>
      </c>
      <c r="I95" s="232">
        <v>4</v>
      </c>
      <c r="J95" s="232" t="str">
        <f t="shared" si="3"/>
        <v>KONTOOR, SP21,  #2018224 (Executive) Qty: 4600, FAB: TBA, DEL: 17-Nov, Peak Tgt: 160, BU-4</v>
      </c>
    </row>
    <row r="96" spans="1:10" x14ac:dyDescent="0.3">
      <c r="A96" s="233" t="s">
        <v>583</v>
      </c>
      <c r="B96" s="332" t="s">
        <v>871</v>
      </c>
      <c r="C96" s="232">
        <v>2018324</v>
      </c>
      <c r="D96" s="232" t="s">
        <v>665</v>
      </c>
      <c r="E96" s="232">
        <v>3000</v>
      </c>
      <c r="F96" s="373" t="s">
        <v>969</v>
      </c>
      <c r="G96" s="374" t="s">
        <v>296</v>
      </c>
      <c r="H96" s="232">
        <v>160</v>
      </c>
      <c r="I96" s="232">
        <v>4</v>
      </c>
      <c r="J96" s="232" t="str">
        <f t="shared" si="3"/>
        <v>KONTOOR, SP21,  #2018324 (Executive) Qty: 3000, FAB: TBA, DEL: 17-Nov, Peak Tgt: 160, BU-4</v>
      </c>
    </row>
    <row r="97" spans="1:10" x14ac:dyDescent="0.3">
      <c r="A97" s="233" t="s">
        <v>583</v>
      </c>
      <c r="B97" s="332" t="s">
        <v>871</v>
      </c>
      <c r="C97" s="232">
        <v>2162030</v>
      </c>
      <c r="D97" s="232" t="s">
        <v>967</v>
      </c>
      <c r="E97" s="232">
        <v>44000</v>
      </c>
      <c r="F97" s="373" t="s">
        <v>969</v>
      </c>
      <c r="G97" s="374" t="s">
        <v>296</v>
      </c>
      <c r="H97" s="232">
        <v>160</v>
      </c>
      <c r="I97" s="232">
        <v>4</v>
      </c>
      <c r="J97" s="232" t="str">
        <f t="shared" si="3"/>
        <v>KONTOOR, SP21,  #2162030 (Distance) Qty: 44000, FAB: TBA, DEL: 17-Nov, Peak Tgt: 160, BU-4</v>
      </c>
    </row>
    <row r="98" spans="1:10" x14ac:dyDescent="0.3">
      <c r="A98" s="233" t="s">
        <v>583</v>
      </c>
      <c r="B98" s="332" t="s">
        <v>871</v>
      </c>
      <c r="C98" s="232">
        <v>2161535</v>
      </c>
      <c r="D98" s="232" t="s">
        <v>968</v>
      </c>
      <c r="E98" s="232">
        <v>34000</v>
      </c>
      <c r="F98" s="373" t="s">
        <v>969</v>
      </c>
      <c r="G98" s="374" t="s">
        <v>296</v>
      </c>
      <c r="H98" s="232">
        <v>160</v>
      </c>
      <c r="I98" s="232">
        <v>4</v>
      </c>
      <c r="J98" s="232" t="str">
        <f t="shared" si="3"/>
        <v>KONTOOR, SP21,  #2161535 (Jet) Qty: 34000, FAB: TBA, DEL: 17-Nov, Peak Tgt: 160, BU-4</v>
      </c>
    </row>
    <row r="99" spans="1:10" x14ac:dyDescent="0.3">
      <c r="A99" s="233" t="s">
        <v>583</v>
      </c>
      <c r="B99" s="377" t="s">
        <v>871</v>
      </c>
      <c r="C99" s="377" t="s">
        <v>984</v>
      </c>
      <c r="D99" s="377" t="s">
        <v>578</v>
      </c>
      <c r="E99" s="232">
        <v>30000</v>
      </c>
      <c r="F99" s="378" t="s">
        <v>985</v>
      </c>
      <c r="G99" s="377" t="s">
        <v>296</v>
      </c>
      <c r="H99" s="232">
        <v>200</v>
      </c>
      <c r="I99" s="232">
        <v>4</v>
      </c>
      <c r="J99" s="232" t="str">
        <f t="shared" si="3"/>
        <v>KONTOOR, SP21,  #Wrangler (Pro) (Wilson) Qty: 30000, FAB: TBA, DEL: 17-Oct, Peak Tgt: 200, BU-4</v>
      </c>
    </row>
    <row r="100" spans="1:10" x14ac:dyDescent="0.3">
      <c r="A100" s="233" t="s">
        <v>583</v>
      </c>
      <c r="B100" s="377" t="s">
        <v>871</v>
      </c>
      <c r="C100" s="377" t="s">
        <v>987</v>
      </c>
      <c r="D100" s="377" t="s">
        <v>986</v>
      </c>
      <c r="E100" s="232">
        <v>26500</v>
      </c>
      <c r="F100" s="379" t="s">
        <v>990</v>
      </c>
      <c r="G100" s="377" t="s">
        <v>296</v>
      </c>
      <c r="H100" s="232">
        <v>160</v>
      </c>
      <c r="I100" s="232">
        <v>4</v>
      </c>
      <c r="J100" s="232" t="str">
        <f t="shared" ref="J100:J165" si="4">A100&amp;", "&amp;B100&amp;",  #"&amp;C100&amp;" ("&amp;D100&amp;") Qty: "&amp;E100&amp;", FAB: "&amp;G100&amp;", DEL: "&amp;F100&amp;", Peak Tgt: "&amp;H100&amp;", BU-"&amp;I100</f>
        <v>KONTOOR, SP21,  #Lee Mens (Pro) (Regular) Qty: 26500, FAB: TBA, DEL: 26-Dec, Peak Tgt: 160, BU-4</v>
      </c>
    </row>
    <row r="101" spans="1:10" x14ac:dyDescent="0.3">
      <c r="A101" s="233" t="s">
        <v>583</v>
      </c>
      <c r="B101" s="377" t="s">
        <v>871</v>
      </c>
      <c r="C101" s="377" t="s">
        <v>988</v>
      </c>
      <c r="D101" s="377" t="s">
        <v>986</v>
      </c>
      <c r="E101" s="232">
        <v>30000</v>
      </c>
      <c r="F101" s="379" t="s">
        <v>991</v>
      </c>
      <c r="G101" s="377" t="s">
        <v>296</v>
      </c>
      <c r="H101" s="232">
        <v>180</v>
      </c>
      <c r="I101" s="232">
        <v>3</v>
      </c>
      <c r="J101" s="232" t="str">
        <f t="shared" si="4"/>
        <v>KONTOOR, SP21,  #LEE Misses (Pro) (Regular) Qty: 30000, FAB: TBA, DEL: 24-Oct, Peak Tgt: 180, BU-3</v>
      </c>
    </row>
    <row r="102" spans="1:10" x14ac:dyDescent="0.3">
      <c r="A102" s="233" t="s">
        <v>583</v>
      </c>
      <c r="B102" s="377" t="s">
        <v>871</v>
      </c>
      <c r="C102" s="377" t="s">
        <v>988</v>
      </c>
      <c r="D102" s="377" t="s">
        <v>986</v>
      </c>
      <c r="E102" s="232">
        <v>40000</v>
      </c>
      <c r="F102" s="379" t="s">
        <v>992</v>
      </c>
      <c r="G102" s="377" t="s">
        <v>296</v>
      </c>
      <c r="H102" s="232">
        <v>180</v>
      </c>
      <c r="I102" s="232">
        <v>3</v>
      </c>
      <c r="J102" s="232" t="str">
        <f t="shared" si="4"/>
        <v>KONTOOR, SP21,  #LEE Misses (Pro) (Regular) Qty: 40000, FAB: TBA, DEL: 21-Nov, Peak Tgt: 180, BU-3</v>
      </c>
    </row>
    <row r="103" spans="1:10" x14ac:dyDescent="0.3">
      <c r="A103" s="233" t="s">
        <v>583</v>
      </c>
      <c r="B103" s="377" t="s">
        <v>871</v>
      </c>
      <c r="C103" s="377" t="s">
        <v>988</v>
      </c>
      <c r="D103" s="377" t="s">
        <v>986</v>
      </c>
      <c r="E103" s="232">
        <v>30000</v>
      </c>
      <c r="F103" s="379" t="s">
        <v>990</v>
      </c>
      <c r="G103" s="377" t="s">
        <v>296</v>
      </c>
      <c r="H103" s="232">
        <v>180</v>
      </c>
      <c r="I103" s="232">
        <v>3</v>
      </c>
      <c r="J103" s="232" t="str">
        <f t="shared" si="4"/>
        <v>KONTOOR, SP21,  #LEE Misses (Pro) (Regular) Qty: 30000, FAB: TBA, DEL: 26-Dec, Peak Tgt: 180, BU-3</v>
      </c>
    </row>
    <row r="104" spans="1:10" x14ac:dyDescent="0.3">
      <c r="A104" s="233" t="s">
        <v>583</v>
      </c>
      <c r="B104" s="377" t="s">
        <v>871</v>
      </c>
      <c r="C104" s="377" t="s">
        <v>988</v>
      </c>
      <c r="D104" s="377" t="s">
        <v>989</v>
      </c>
      <c r="E104" s="232">
        <v>60000</v>
      </c>
      <c r="F104" s="379" t="s">
        <v>931</v>
      </c>
      <c r="G104" s="377" t="s">
        <v>296</v>
      </c>
      <c r="H104" s="232">
        <v>200</v>
      </c>
      <c r="I104" s="232">
        <v>3</v>
      </c>
      <c r="J104" s="232" t="str">
        <f t="shared" si="4"/>
        <v>KONTOOR, SP21,  #LEE Misses (Pro) (Ladies) Qty: 60000, FAB: TBA, DEL: 14-Nov, Peak Tgt: 200, BU-3</v>
      </c>
    </row>
    <row r="105" spans="1:10" x14ac:dyDescent="0.3">
      <c r="A105" s="233" t="s">
        <v>583</v>
      </c>
      <c r="B105" s="377" t="s">
        <v>871</v>
      </c>
      <c r="C105" s="377" t="s">
        <v>988</v>
      </c>
      <c r="D105" s="377" t="s">
        <v>989</v>
      </c>
      <c r="E105" s="232">
        <v>60000</v>
      </c>
      <c r="F105" s="379" t="s">
        <v>993</v>
      </c>
      <c r="G105" s="377" t="s">
        <v>296</v>
      </c>
      <c r="H105" s="232">
        <v>200</v>
      </c>
      <c r="I105" s="232">
        <v>3</v>
      </c>
      <c r="J105" s="232" t="str">
        <f t="shared" si="4"/>
        <v>KONTOOR, SP21,  #LEE Misses (Pro) (Ladies) Qty: 60000, FAB: TBA, DEL: 12-Dec, Peak Tgt: 200, BU-3</v>
      </c>
    </row>
    <row r="106" spans="1:10" x14ac:dyDescent="0.3">
      <c r="A106" s="233" t="s">
        <v>583</v>
      </c>
      <c r="B106" s="377" t="s">
        <v>871</v>
      </c>
      <c r="C106" s="377" t="s">
        <v>988</v>
      </c>
      <c r="D106" s="377" t="s">
        <v>989</v>
      </c>
      <c r="E106" s="232">
        <v>50000</v>
      </c>
      <c r="F106" s="379" t="s">
        <v>994</v>
      </c>
      <c r="G106" s="377" t="s">
        <v>296</v>
      </c>
      <c r="H106" s="232">
        <v>200</v>
      </c>
      <c r="I106" s="232">
        <v>3</v>
      </c>
      <c r="J106" s="232" t="str">
        <f t="shared" si="4"/>
        <v>KONTOOR, SP21,  #LEE Misses (Pro) (Ladies) Qty: 50000, FAB: TBA, DEL: 19-Dec, Peak Tgt: 200, BU-3</v>
      </c>
    </row>
    <row r="107" spans="1:10" x14ac:dyDescent="0.3">
      <c r="A107" s="233" t="s">
        <v>583</v>
      </c>
      <c r="B107" s="377" t="s">
        <v>871</v>
      </c>
      <c r="C107" s="232">
        <v>3522077</v>
      </c>
      <c r="D107" s="383" t="s">
        <v>459</v>
      </c>
      <c r="E107" s="232">
        <v>3000</v>
      </c>
      <c r="F107" s="384" t="s">
        <v>997</v>
      </c>
      <c r="G107" s="377" t="s">
        <v>296</v>
      </c>
      <c r="H107" s="232">
        <v>200</v>
      </c>
      <c r="I107" s="232">
        <v>3</v>
      </c>
      <c r="J107" s="232" t="str">
        <f t="shared" si="4"/>
        <v>KONTOOR, SP21,  #3522077 (Nightshade) Qty: 3000, FAB: TBA, DEL: 21-Oct, Peak Tgt: 200, BU-3</v>
      </c>
    </row>
    <row r="108" spans="1:10" x14ac:dyDescent="0.3">
      <c r="A108" s="233" t="s">
        <v>583</v>
      </c>
      <c r="B108" s="377" t="s">
        <v>871</v>
      </c>
      <c r="C108" s="232">
        <v>3522095</v>
      </c>
      <c r="D108" s="383" t="s">
        <v>460</v>
      </c>
      <c r="E108" s="232">
        <v>3000</v>
      </c>
      <c r="F108" s="384" t="s">
        <v>997</v>
      </c>
      <c r="G108" s="377" t="s">
        <v>296</v>
      </c>
      <c r="H108" s="232">
        <v>200</v>
      </c>
      <c r="I108" s="232">
        <v>3</v>
      </c>
      <c r="J108" s="232" t="str">
        <f t="shared" si="4"/>
        <v>KONTOOR, SP21,  #3522095 (Seattle) Qty: 3000, FAB: TBA, DEL: 21-Oct, Peak Tgt: 200, BU-3</v>
      </c>
    </row>
    <row r="109" spans="1:10" x14ac:dyDescent="0.3">
      <c r="A109" s="233" t="s">
        <v>583</v>
      </c>
      <c r="B109" s="377" t="s">
        <v>871</v>
      </c>
      <c r="C109" s="232">
        <v>3408964</v>
      </c>
      <c r="D109" s="385" t="s">
        <v>1002</v>
      </c>
      <c r="E109" s="232">
        <v>3000</v>
      </c>
      <c r="F109" s="386" t="s">
        <v>1003</v>
      </c>
      <c r="G109" s="377" t="s">
        <v>296</v>
      </c>
      <c r="H109" s="232">
        <v>180</v>
      </c>
      <c r="I109" s="232">
        <v>3</v>
      </c>
      <c r="J109" s="232" t="str">
        <f t="shared" si="4"/>
        <v>KONTOOR, SP21,  #3408964 (ROYALCHAKRA) Qty: 3000, FAB: TBA, DEL: 3-Oct, Peak Tgt: 180, BU-3</v>
      </c>
    </row>
    <row r="110" spans="1:10" x14ac:dyDescent="0.3">
      <c r="A110" s="233" t="s">
        <v>583</v>
      </c>
      <c r="B110" s="377" t="s">
        <v>871</v>
      </c>
      <c r="C110" s="232">
        <v>3408901</v>
      </c>
      <c r="D110" s="385" t="s">
        <v>428</v>
      </c>
      <c r="E110" s="232">
        <v>3000</v>
      </c>
      <c r="F110" s="386" t="s">
        <v>1004</v>
      </c>
      <c r="G110" s="377" t="s">
        <v>296</v>
      </c>
      <c r="H110" s="232">
        <v>180</v>
      </c>
      <c r="I110" s="232">
        <v>3</v>
      </c>
      <c r="J110" s="232" t="str">
        <f t="shared" si="4"/>
        <v>KONTOOR, SP21,  #3408901 (Black) Qty: 3000, FAB: TBA, DEL: 31-Oct, Peak Tgt: 180, BU-3</v>
      </c>
    </row>
    <row r="111" spans="1:10" x14ac:dyDescent="0.3">
      <c r="A111" s="233" t="s">
        <v>583</v>
      </c>
      <c r="B111" s="377" t="s">
        <v>871</v>
      </c>
      <c r="C111" s="232" t="s">
        <v>1005</v>
      </c>
      <c r="D111" s="232" t="s">
        <v>1007</v>
      </c>
      <c r="E111" s="232">
        <v>3000</v>
      </c>
      <c r="F111" s="386" t="s">
        <v>1004</v>
      </c>
      <c r="G111" s="377" t="s">
        <v>296</v>
      </c>
      <c r="H111" s="232">
        <v>180</v>
      </c>
      <c r="I111" s="232">
        <v>3</v>
      </c>
      <c r="J111" s="232" t="str">
        <f t="shared" si="4"/>
        <v>KONTOOR, SP21,  #ZFC9BI2 (Dark) Qty: 3000, FAB: TBA, DEL: 31-Oct, Peak Tgt: 180, BU-3</v>
      </c>
    </row>
    <row r="112" spans="1:10" x14ac:dyDescent="0.3">
      <c r="A112" s="233" t="s">
        <v>583</v>
      </c>
      <c r="B112" s="377" t="s">
        <v>871</v>
      </c>
      <c r="C112" s="232" t="s">
        <v>1006</v>
      </c>
      <c r="D112" s="232" t="s">
        <v>1008</v>
      </c>
      <c r="E112" s="232">
        <v>3000</v>
      </c>
      <c r="F112" s="386" t="s">
        <v>1004</v>
      </c>
      <c r="G112" s="377" t="s">
        <v>296</v>
      </c>
      <c r="H112" s="232">
        <v>180</v>
      </c>
      <c r="I112" s="232">
        <v>3</v>
      </c>
      <c r="J112" s="232" t="str">
        <f t="shared" si="4"/>
        <v>KONTOOR, SP21,  #ZFC9BI4 (Mid) Qty: 3000, FAB: TBA, DEL: 31-Oct, Peak Tgt: 180, BU-3</v>
      </c>
    </row>
    <row r="113" spans="1:10" x14ac:dyDescent="0.3">
      <c r="A113" s="233" t="s">
        <v>583</v>
      </c>
      <c r="B113" s="377" t="s">
        <v>871</v>
      </c>
      <c r="C113" s="232">
        <v>4605891</v>
      </c>
      <c r="D113" s="232" t="s">
        <v>1009</v>
      </c>
      <c r="E113" s="232">
        <v>1501</v>
      </c>
      <c r="F113" s="386" t="s">
        <v>1004</v>
      </c>
      <c r="G113" s="377" t="s">
        <v>296</v>
      </c>
      <c r="H113" s="232">
        <v>180</v>
      </c>
      <c r="I113" s="232">
        <v>3</v>
      </c>
      <c r="J113" s="232" t="str">
        <f t="shared" si="4"/>
        <v>KONTOOR, SP21,  #4605891 (SORA BLUE) Qty: 1501, FAB: TBA, DEL: 31-Oct, Peak Tgt: 180, BU-3</v>
      </c>
    </row>
    <row r="114" spans="1:10" x14ac:dyDescent="0.3">
      <c r="A114" s="233" t="s">
        <v>139</v>
      </c>
      <c r="B114" s="387" t="s">
        <v>1030</v>
      </c>
      <c r="C114" s="232">
        <v>569214</v>
      </c>
      <c r="D114" s="232" t="s">
        <v>486</v>
      </c>
      <c r="E114" s="232">
        <v>69000</v>
      </c>
      <c r="F114" s="387" t="s">
        <v>1031</v>
      </c>
      <c r="G114" s="387" t="s">
        <v>296</v>
      </c>
      <c r="H114" s="232">
        <v>210</v>
      </c>
      <c r="I114" s="232">
        <v>3</v>
      </c>
      <c r="J114" s="232" t="str">
        <f t="shared" si="4"/>
        <v>T-USA, C1'21,  #569214 (Ranch) Qty: 69000, FAB: TBA, DEL: Nov-Dec, Peak Tgt: 210, BU-3</v>
      </c>
    </row>
    <row r="115" spans="1:10" x14ac:dyDescent="0.3">
      <c r="A115" s="233" t="s">
        <v>139</v>
      </c>
      <c r="B115" s="387" t="s">
        <v>1030</v>
      </c>
      <c r="C115" s="232">
        <v>569245</v>
      </c>
      <c r="D115" s="232" t="s">
        <v>24</v>
      </c>
      <c r="E115" s="232">
        <v>81000</v>
      </c>
      <c r="F115" s="387" t="s">
        <v>1031</v>
      </c>
      <c r="G115" s="387" t="s">
        <v>296</v>
      </c>
      <c r="H115" s="232">
        <v>210</v>
      </c>
      <c r="I115" s="232">
        <v>3</v>
      </c>
      <c r="J115" s="232" t="str">
        <f t="shared" si="4"/>
        <v>T-USA, C1'21,  #569245 (Molton) Qty: 81000, FAB: TBA, DEL: Nov-Dec, Peak Tgt: 210, BU-3</v>
      </c>
    </row>
    <row r="116" spans="1:10" x14ac:dyDescent="0.3">
      <c r="A116" s="233" t="s">
        <v>139</v>
      </c>
      <c r="B116" s="387" t="s">
        <v>1030</v>
      </c>
      <c r="C116" s="232">
        <v>569245</v>
      </c>
      <c r="D116" s="232" t="s">
        <v>485</v>
      </c>
      <c r="E116" s="232">
        <v>56000</v>
      </c>
      <c r="F116" s="387" t="s">
        <v>1031</v>
      </c>
      <c r="G116" s="387" t="s">
        <v>296</v>
      </c>
      <c r="H116" s="232">
        <v>210</v>
      </c>
      <c r="I116" s="232">
        <v>3</v>
      </c>
      <c r="J116" s="232" t="str">
        <f t="shared" si="4"/>
        <v>T-USA, C1'21,  #569245 (Shane) Qty: 56000, FAB: TBA, DEL: Nov-Dec, Peak Tgt: 210, BU-3</v>
      </c>
    </row>
    <row r="117" spans="1:10" x14ac:dyDescent="0.3">
      <c r="A117" s="233" t="s">
        <v>139</v>
      </c>
      <c r="B117" s="387" t="s">
        <v>1030</v>
      </c>
      <c r="C117" s="232">
        <v>569582</v>
      </c>
      <c r="D117" s="232" t="s">
        <v>1032</v>
      </c>
      <c r="E117" s="232">
        <v>5742</v>
      </c>
      <c r="F117" s="387" t="s">
        <v>1031</v>
      </c>
      <c r="G117" s="387" t="s">
        <v>296</v>
      </c>
      <c r="H117" s="232">
        <v>210</v>
      </c>
      <c r="I117" s="232">
        <v>3</v>
      </c>
      <c r="J117" s="232" t="str">
        <f t="shared" si="4"/>
        <v>T-USA, C1'21,  #569582 (Highbrow) Qty: 5742, FAB: TBA, DEL: Nov-Dec, Peak Tgt: 210, BU-3</v>
      </c>
    </row>
    <row r="118" spans="1:10" x14ac:dyDescent="0.3">
      <c r="A118" s="390" t="s">
        <v>139</v>
      </c>
      <c r="B118" s="391" t="s">
        <v>1030</v>
      </c>
      <c r="C118" s="391">
        <v>570574</v>
      </c>
      <c r="D118" s="391" t="s">
        <v>1033</v>
      </c>
      <c r="E118" s="391">
        <v>16300</v>
      </c>
      <c r="F118" s="391" t="s">
        <v>1031</v>
      </c>
      <c r="G118" s="391" t="s">
        <v>296</v>
      </c>
      <c r="H118" s="391">
        <v>210</v>
      </c>
      <c r="I118" s="391">
        <v>3</v>
      </c>
      <c r="J118" s="391" t="str">
        <f t="shared" si="4"/>
        <v>T-USA, C1'21,  #570574 (Tenacious) Qty: 16300, FAB: TBA, DEL: Nov-Dec, Peak Tgt: 210, BU-3</v>
      </c>
    </row>
    <row r="119" spans="1:10" x14ac:dyDescent="0.3">
      <c r="A119" s="233" t="s">
        <v>583</v>
      </c>
      <c r="B119" s="377" t="s">
        <v>871</v>
      </c>
      <c r="C119" s="232">
        <v>2105042</v>
      </c>
      <c r="D119" s="232" t="s">
        <v>294</v>
      </c>
      <c r="E119" s="232">
        <v>1300</v>
      </c>
      <c r="F119" s="389" t="s">
        <v>1111</v>
      </c>
      <c r="G119" s="387" t="s">
        <v>296</v>
      </c>
      <c r="H119" s="232">
        <v>160</v>
      </c>
      <c r="I119" s="232">
        <v>5</v>
      </c>
      <c r="J119" s="391" t="str">
        <f t="shared" si="4"/>
        <v>KONTOOR, SP21,  #2105042 (Maddox) Qty: 1300, FAB: TBA, DEL: 28-Nov, Peak Tgt: 160, BU-5</v>
      </c>
    </row>
    <row r="120" spans="1:10" x14ac:dyDescent="0.3">
      <c r="A120" s="233" t="s">
        <v>583</v>
      </c>
      <c r="B120" s="377" t="s">
        <v>871</v>
      </c>
      <c r="C120" s="232">
        <v>2109142</v>
      </c>
      <c r="D120" s="232" t="s">
        <v>294</v>
      </c>
      <c r="E120" s="232">
        <v>3000</v>
      </c>
      <c r="F120" s="389" t="s">
        <v>1111</v>
      </c>
      <c r="G120" s="387" t="s">
        <v>296</v>
      </c>
      <c r="H120" s="232">
        <v>160</v>
      </c>
      <c r="I120" s="232">
        <v>5</v>
      </c>
      <c r="J120" s="391" t="str">
        <f t="shared" si="4"/>
        <v>KONTOOR, SP21,  #2109142 (Maddox) Qty: 3000, FAB: TBA, DEL: 28-Nov, Peak Tgt: 160, BU-5</v>
      </c>
    </row>
    <row r="121" spans="1:10" x14ac:dyDescent="0.3">
      <c r="A121" s="233" t="s">
        <v>583</v>
      </c>
      <c r="B121" s="377" t="s">
        <v>871</v>
      </c>
      <c r="C121" s="232">
        <v>3087528</v>
      </c>
      <c r="D121" s="232" t="s">
        <v>873</v>
      </c>
      <c r="E121" s="232">
        <v>3000</v>
      </c>
      <c r="F121" s="389" t="s">
        <v>1111</v>
      </c>
      <c r="G121" s="387" t="s">
        <v>296</v>
      </c>
      <c r="H121" s="232">
        <v>180</v>
      </c>
      <c r="I121" s="232">
        <v>3</v>
      </c>
      <c r="J121" s="391" t="str">
        <f t="shared" si="4"/>
        <v>KONTOOR, SP21,  #3087528 (RENEGADE) Qty: 3000, FAB: TBA, DEL: 28-Nov, Peak Tgt: 180, BU-3</v>
      </c>
    </row>
    <row r="122" spans="1:10" x14ac:dyDescent="0.3">
      <c r="A122" s="233" t="s">
        <v>583</v>
      </c>
      <c r="B122" s="377" t="s">
        <v>871</v>
      </c>
      <c r="C122" s="232">
        <v>3087568</v>
      </c>
      <c r="D122" s="232" t="s">
        <v>874</v>
      </c>
      <c r="E122" s="232">
        <v>1501</v>
      </c>
      <c r="F122" s="389" t="s">
        <v>1111</v>
      </c>
      <c r="G122" s="387" t="s">
        <v>296</v>
      </c>
      <c r="H122" s="232">
        <v>180</v>
      </c>
      <c r="I122" s="232">
        <v>3</v>
      </c>
      <c r="J122" s="391" t="str">
        <f t="shared" si="4"/>
        <v>KONTOOR, SP21,  #3087568 (RAYNE) Qty: 1501, FAB: TBA, DEL: 28-Nov, Peak Tgt: 180, BU-3</v>
      </c>
    </row>
    <row r="123" spans="1:10" x14ac:dyDescent="0.3">
      <c r="A123" s="233" t="s">
        <v>583</v>
      </c>
      <c r="B123" s="377" t="s">
        <v>871</v>
      </c>
      <c r="C123" s="232">
        <v>3380401</v>
      </c>
      <c r="D123" s="232" t="s">
        <v>731</v>
      </c>
      <c r="E123" s="232">
        <v>4500</v>
      </c>
      <c r="F123" s="389" t="s">
        <v>1111</v>
      </c>
      <c r="G123" s="387" t="s">
        <v>296</v>
      </c>
      <c r="H123" s="232">
        <v>180</v>
      </c>
      <c r="I123" s="232">
        <v>3</v>
      </c>
      <c r="J123" s="391" t="str">
        <f t="shared" si="4"/>
        <v>KONTOOR, SP21,  #3380401 (BLACK) Qty: 4500, FAB: TBA, DEL: 28-Nov, Peak Tgt: 180, BU-3</v>
      </c>
    </row>
    <row r="124" spans="1:10" x14ac:dyDescent="0.3">
      <c r="A124" s="233" t="s">
        <v>583</v>
      </c>
      <c r="B124" s="377" t="s">
        <v>871</v>
      </c>
      <c r="C124" s="232">
        <v>3380430</v>
      </c>
      <c r="D124" s="232" t="s">
        <v>1093</v>
      </c>
      <c r="E124" s="232">
        <v>3000</v>
      </c>
      <c r="F124" s="389" t="s">
        <v>1112</v>
      </c>
      <c r="G124" s="387" t="s">
        <v>296</v>
      </c>
      <c r="H124" s="232">
        <v>180</v>
      </c>
      <c r="I124" s="232">
        <v>3</v>
      </c>
      <c r="J124" s="391" t="str">
        <f t="shared" si="4"/>
        <v>KONTOOR, SP21,  #3380430 (BLUE PHOEN) Qty: 3000, FAB: TBA, DEL: 5-Dec, Peak Tgt: 180, BU-3</v>
      </c>
    </row>
    <row r="125" spans="1:10" x14ac:dyDescent="0.3">
      <c r="A125" s="233" t="s">
        <v>583</v>
      </c>
      <c r="B125" s="377" t="s">
        <v>871</v>
      </c>
      <c r="C125" s="232">
        <v>3380430</v>
      </c>
      <c r="D125" s="232" t="s">
        <v>1093</v>
      </c>
      <c r="E125" s="232">
        <v>3000</v>
      </c>
      <c r="F125" s="389" t="s">
        <v>1113</v>
      </c>
      <c r="G125" s="387" t="s">
        <v>296</v>
      </c>
      <c r="H125" s="232">
        <v>180</v>
      </c>
      <c r="I125" s="232">
        <v>3</v>
      </c>
      <c r="J125" s="391" t="str">
        <f t="shared" si="4"/>
        <v>KONTOOR, SP21,  #3380430 (BLUE PHOEN) Qty: 3000, FAB: TBA, DEL: 2-Jan, Peak Tgt: 180, BU-3</v>
      </c>
    </row>
    <row r="126" spans="1:10" x14ac:dyDescent="0.3">
      <c r="A126" s="233" t="s">
        <v>583</v>
      </c>
      <c r="B126" s="377" t="s">
        <v>871</v>
      </c>
      <c r="C126" s="232">
        <v>3193901</v>
      </c>
      <c r="D126" s="232" t="s">
        <v>731</v>
      </c>
      <c r="E126" s="232">
        <v>2001</v>
      </c>
      <c r="F126" s="389" t="s">
        <v>1111</v>
      </c>
      <c r="G126" s="387" t="s">
        <v>296</v>
      </c>
      <c r="H126" s="232">
        <v>180</v>
      </c>
      <c r="I126" s="232">
        <v>3</v>
      </c>
      <c r="J126" s="391" t="str">
        <f t="shared" si="4"/>
        <v>KONTOOR, SP21,  #3193901 (BLACK) Qty: 2001, FAB: TBA, DEL: 28-Nov, Peak Tgt: 180, BU-3</v>
      </c>
    </row>
    <row r="127" spans="1:10" x14ac:dyDescent="0.3">
      <c r="A127" s="233" t="s">
        <v>583</v>
      </c>
      <c r="B127" s="377" t="s">
        <v>871</v>
      </c>
      <c r="C127" s="232">
        <v>3193930</v>
      </c>
      <c r="D127" s="232" t="s">
        <v>1093</v>
      </c>
      <c r="E127" s="232">
        <v>3000</v>
      </c>
      <c r="F127" s="389" t="s">
        <v>1112</v>
      </c>
      <c r="G127" s="387" t="s">
        <v>296</v>
      </c>
      <c r="H127" s="232">
        <v>180</v>
      </c>
      <c r="I127" s="232">
        <v>3</v>
      </c>
      <c r="J127" s="391" t="str">
        <f t="shared" si="4"/>
        <v>KONTOOR, SP21,  #3193930 (BLUE PHOEN) Qty: 3000, FAB: TBA, DEL: 5-Dec, Peak Tgt: 180, BU-3</v>
      </c>
    </row>
    <row r="128" spans="1:10" x14ac:dyDescent="0.3">
      <c r="A128" s="233" t="s">
        <v>583</v>
      </c>
      <c r="B128" s="377" t="s">
        <v>871</v>
      </c>
      <c r="C128" s="232">
        <v>3408946</v>
      </c>
      <c r="D128" s="232" t="s">
        <v>875</v>
      </c>
      <c r="E128" s="232">
        <v>3300</v>
      </c>
      <c r="F128" s="389" t="s">
        <v>1111</v>
      </c>
      <c r="G128" s="387" t="s">
        <v>296</v>
      </c>
      <c r="H128" s="232">
        <v>180</v>
      </c>
      <c r="I128" s="232">
        <v>3</v>
      </c>
      <c r="J128" s="391" t="str">
        <f t="shared" si="4"/>
        <v>KONTOOR, SP21,  #3408946 (MAJESTIC) Qty: 3300, FAB: TBA, DEL: 28-Nov, Peak Tgt: 180, BU-3</v>
      </c>
    </row>
    <row r="129" spans="1:10" x14ac:dyDescent="0.3">
      <c r="A129" s="233" t="s">
        <v>583</v>
      </c>
      <c r="B129" s="377" t="s">
        <v>871</v>
      </c>
      <c r="C129" s="232">
        <v>3408964</v>
      </c>
      <c r="D129" s="388" t="s">
        <v>1110</v>
      </c>
      <c r="E129" s="232">
        <v>3000</v>
      </c>
      <c r="F129" s="389" t="s">
        <v>1111</v>
      </c>
      <c r="G129" s="387" t="s">
        <v>296</v>
      </c>
      <c r="H129" s="232">
        <v>180</v>
      </c>
      <c r="I129" s="232">
        <v>3</v>
      </c>
      <c r="J129" s="391" t="str">
        <f t="shared" si="4"/>
        <v>KONTOOR, SP21,  #3408964 (ROYAL CHAKRA) Qty: 3000, FAB: TBA, DEL: 28-Nov, Peak Tgt: 180, BU-3</v>
      </c>
    </row>
    <row r="130" spans="1:10" x14ac:dyDescent="0.3">
      <c r="A130" s="233" t="s">
        <v>583</v>
      </c>
      <c r="B130" s="377" t="s">
        <v>871</v>
      </c>
      <c r="C130" s="232">
        <v>3517976</v>
      </c>
      <c r="D130" s="232" t="s">
        <v>1094</v>
      </c>
      <c r="E130" s="232">
        <v>3000</v>
      </c>
      <c r="F130" s="389" t="s">
        <v>1112</v>
      </c>
      <c r="G130" s="387" t="s">
        <v>296</v>
      </c>
      <c r="H130" s="232">
        <v>180</v>
      </c>
      <c r="I130" s="232">
        <v>3</v>
      </c>
      <c r="J130" s="391" t="str">
        <f t="shared" si="4"/>
        <v>KONTOOR, SP21,  #3517976 (EXPEDITION) Qty: 3000, FAB: TBA, DEL: 5-Dec, Peak Tgt: 180, BU-3</v>
      </c>
    </row>
    <row r="131" spans="1:10" x14ac:dyDescent="0.3">
      <c r="A131" s="233" t="s">
        <v>583</v>
      </c>
      <c r="B131" s="377" t="s">
        <v>871</v>
      </c>
      <c r="C131" s="232">
        <v>4606214</v>
      </c>
      <c r="D131" s="232" t="s">
        <v>1095</v>
      </c>
      <c r="E131" s="232">
        <v>3000</v>
      </c>
      <c r="F131" s="389" t="s">
        <v>1113</v>
      </c>
      <c r="G131" s="387" t="s">
        <v>296</v>
      </c>
      <c r="H131" s="232">
        <v>200</v>
      </c>
      <c r="I131" s="232">
        <v>4</v>
      </c>
      <c r="J131" s="391" t="str">
        <f t="shared" si="4"/>
        <v>KONTOOR, SP21,  #4606214 (DAZED) Qty: 3000, FAB: TBA, DEL: 2-Jan, Peak Tgt: 200, BU-4</v>
      </c>
    </row>
    <row r="132" spans="1:10" x14ac:dyDescent="0.3">
      <c r="A132" s="233" t="s">
        <v>583</v>
      </c>
      <c r="B132" s="377" t="s">
        <v>871</v>
      </c>
      <c r="C132" s="232" t="s">
        <v>1096</v>
      </c>
      <c r="D132" s="232" t="s">
        <v>588</v>
      </c>
      <c r="E132" s="232">
        <v>300</v>
      </c>
      <c r="F132" s="389" t="s">
        <v>1114</v>
      </c>
      <c r="G132" s="387" t="s">
        <v>296</v>
      </c>
      <c r="H132" s="388" t="s">
        <v>296</v>
      </c>
      <c r="I132" s="388" t="s">
        <v>296</v>
      </c>
      <c r="J132" s="391" t="str">
        <f t="shared" si="4"/>
        <v>KONTOOR, SP21,  #1CMSC02 (Infinity) Qty: 300, FAB: TBA, DEL: 6-Nov, Peak Tgt: TBA, BU-TBA</v>
      </c>
    </row>
    <row r="133" spans="1:10" x14ac:dyDescent="0.3">
      <c r="A133" s="233" t="s">
        <v>583</v>
      </c>
      <c r="B133" s="377" t="s">
        <v>871</v>
      </c>
      <c r="C133" s="232" t="s">
        <v>1096</v>
      </c>
      <c r="D133" s="232" t="s">
        <v>588</v>
      </c>
      <c r="E133" s="232">
        <v>4063</v>
      </c>
      <c r="F133" s="389" t="s">
        <v>1115</v>
      </c>
      <c r="G133" s="387" t="s">
        <v>296</v>
      </c>
      <c r="H133" s="388" t="s">
        <v>296</v>
      </c>
      <c r="I133" s="388" t="s">
        <v>296</v>
      </c>
      <c r="J133" s="391" t="str">
        <f t="shared" si="4"/>
        <v>KONTOOR, SP21,  #1CMSC02 (Infinity) Qty: 4063, FAB: TBA, DEL: 6-Dec, Peak Tgt: TBA, BU-TBA</v>
      </c>
    </row>
    <row r="134" spans="1:10" x14ac:dyDescent="0.3">
      <c r="A134" s="233" t="s">
        <v>583</v>
      </c>
      <c r="B134" s="377" t="s">
        <v>871</v>
      </c>
      <c r="C134" s="232" t="s">
        <v>1096</v>
      </c>
      <c r="D134" s="232" t="s">
        <v>588</v>
      </c>
      <c r="E134" s="232">
        <v>4253</v>
      </c>
      <c r="F134" s="389" t="s">
        <v>1116</v>
      </c>
      <c r="G134" s="387" t="s">
        <v>296</v>
      </c>
      <c r="H134" s="388" t="s">
        <v>296</v>
      </c>
      <c r="I134" s="388" t="s">
        <v>296</v>
      </c>
      <c r="J134" s="391" t="str">
        <f t="shared" si="4"/>
        <v>KONTOOR, SP21,  #1CMSC02 (Infinity) Qty: 4253, FAB: TBA, DEL: 27-Dec, Peak Tgt: TBA, BU-TBA</v>
      </c>
    </row>
    <row r="135" spans="1:10" x14ac:dyDescent="0.3">
      <c r="A135" s="233" t="s">
        <v>583</v>
      </c>
      <c r="B135" s="377" t="s">
        <v>871</v>
      </c>
      <c r="C135" s="232" t="s">
        <v>1097</v>
      </c>
      <c r="D135" s="232" t="s">
        <v>428</v>
      </c>
      <c r="E135" s="232">
        <v>300</v>
      </c>
      <c r="F135" s="389" t="s">
        <v>1117</v>
      </c>
      <c r="G135" s="387" t="s">
        <v>296</v>
      </c>
      <c r="H135" s="388" t="s">
        <v>296</v>
      </c>
      <c r="I135" s="388" t="s">
        <v>296</v>
      </c>
      <c r="J135" s="391" t="str">
        <f t="shared" si="4"/>
        <v>KONTOOR, SP21,  #1MSBP01 (Black) Qty: 300, FAB: TBA, DEL: 12-Nov, Peak Tgt: TBA, BU-TBA</v>
      </c>
    </row>
    <row r="136" spans="1:10" x14ac:dyDescent="0.3">
      <c r="A136" s="233" t="s">
        <v>583</v>
      </c>
      <c r="B136" s="377" t="s">
        <v>871</v>
      </c>
      <c r="C136" s="232" t="s">
        <v>1097</v>
      </c>
      <c r="D136" s="232" t="s">
        <v>428</v>
      </c>
      <c r="E136" s="232">
        <v>6902</v>
      </c>
      <c r="F136" s="389" t="s">
        <v>993</v>
      </c>
      <c r="G136" s="387" t="s">
        <v>296</v>
      </c>
      <c r="H136" s="388" t="s">
        <v>296</v>
      </c>
      <c r="I136" s="388" t="s">
        <v>296</v>
      </c>
      <c r="J136" s="391" t="str">
        <f t="shared" si="4"/>
        <v>KONTOOR, SP21,  #1MSBP01 (Black) Qty: 6902, FAB: TBA, DEL: 12-Dec, Peak Tgt: TBA, BU-TBA</v>
      </c>
    </row>
    <row r="137" spans="1:10" x14ac:dyDescent="0.3">
      <c r="A137" s="233" t="s">
        <v>583</v>
      </c>
      <c r="B137" s="377" t="s">
        <v>871</v>
      </c>
      <c r="C137" s="232">
        <v>3591502</v>
      </c>
      <c r="D137" s="232" t="s">
        <v>1098</v>
      </c>
      <c r="E137" s="232">
        <v>850</v>
      </c>
      <c r="F137" s="389" t="s">
        <v>931</v>
      </c>
      <c r="G137" s="387" t="s">
        <v>296</v>
      </c>
      <c r="H137" s="388" t="s">
        <v>296</v>
      </c>
      <c r="I137" s="388" t="s">
        <v>296</v>
      </c>
      <c r="J137" s="391" t="str">
        <f t="shared" si="4"/>
        <v>KONTOOR, SP21,  #3591502 (Washed Black) Qty: 850, FAB: TBA, DEL: 14-Nov, Peak Tgt: TBA, BU-TBA</v>
      </c>
    </row>
    <row r="138" spans="1:10" x14ac:dyDescent="0.3">
      <c r="A138" s="233" t="s">
        <v>583</v>
      </c>
      <c r="B138" s="377" t="s">
        <v>871</v>
      </c>
      <c r="C138" s="232">
        <v>3523209</v>
      </c>
      <c r="D138" s="232" t="s">
        <v>1099</v>
      </c>
      <c r="E138" s="232">
        <v>650</v>
      </c>
      <c r="F138" s="389" t="s">
        <v>931</v>
      </c>
      <c r="G138" s="387" t="s">
        <v>296</v>
      </c>
      <c r="H138" s="388" t="s">
        <v>296</v>
      </c>
      <c r="I138" s="388" t="s">
        <v>296</v>
      </c>
      <c r="J138" s="391" t="str">
        <f t="shared" si="4"/>
        <v>KONTOOR, SP21,  #3523209 (Compass) Qty: 650, FAB: TBA, DEL: 14-Nov, Peak Tgt: TBA, BU-TBA</v>
      </c>
    </row>
    <row r="139" spans="1:10" x14ac:dyDescent="0.3">
      <c r="A139" s="233" t="s">
        <v>583</v>
      </c>
      <c r="B139" s="377" t="s">
        <v>871</v>
      </c>
      <c r="C139" s="232">
        <v>3591508</v>
      </c>
      <c r="D139" s="232" t="s">
        <v>943</v>
      </c>
      <c r="E139" s="232">
        <v>850</v>
      </c>
      <c r="F139" s="389" t="s">
        <v>1111</v>
      </c>
      <c r="G139" s="387" t="s">
        <v>296</v>
      </c>
      <c r="H139" s="388" t="s">
        <v>296</v>
      </c>
      <c r="I139" s="388" t="s">
        <v>296</v>
      </c>
      <c r="J139" s="391" t="str">
        <f t="shared" si="4"/>
        <v>KONTOOR, SP21,  #3591508 (Ecru) Qty: 850, FAB: TBA, DEL: 28-Nov, Peak Tgt: TBA, BU-TBA</v>
      </c>
    </row>
    <row r="140" spans="1:10" x14ac:dyDescent="0.3">
      <c r="A140" s="233" t="s">
        <v>583</v>
      </c>
      <c r="B140" s="377" t="s">
        <v>871</v>
      </c>
      <c r="C140" s="232">
        <v>3538043</v>
      </c>
      <c r="D140" s="232" t="s">
        <v>1100</v>
      </c>
      <c r="E140" s="232">
        <v>700</v>
      </c>
      <c r="F140" s="389" t="s">
        <v>1111</v>
      </c>
      <c r="G140" s="387" t="s">
        <v>296</v>
      </c>
      <c r="H140" s="388" t="s">
        <v>296</v>
      </c>
      <c r="I140" s="388" t="s">
        <v>296</v>
      </c>
      <c r="J140" s="391" t="str">
        <f t="shared" si="4"/>
        <v>KONTOOR, SP21,  #3538043 (Denim Herringbone) Qty: 700, FAB: TBA, DEL: 28-Nov, Peak Tgt: TBA, BU-TBA</v>
      </c>
    </row>
    <row r="141" spans="1:10" x14ac:dyDescent="0.3">
      <c r="A141" s="233" t="s">
        <v>583</v>
      </c>
      <c r="B141" s="377" t="s">
        <v>871</v>
      </c>
      <c r="C141" s="232">
        <v>3529086</v>
      </c>
      <c r="D141" s="232" t="s">
        <v>1101</v>
      </c>
      <c r="E141" s="232">
        <v>500</v>
      </c>
      <c r="F141" s="389" t="s">
        <v>1111</v>
      </c>
      <c r="G141" s="387" t="s">
        <v>296</v>
      </c>
      <c r="H141" s="388" t="s">
        <v>296</v>
      </c>
      <c r="I141" s="388" t="s">
        <v>296</v>
      </c>
      <c r="J141" s="391" t="str">
        <f t="shared" si="4"/>
        <v>KONTOOR, SP21,  #3529086 (Deep Fog Acid) Qty: 500, FAB: TBA, DEL: 28-Nov, Peak Tgt: TBA, BU-TBA</v>
      </c>
    </row>
    <row r="142" spans="1:10" x14ac:dyDescent="0.3">
      <c r="A142" s="233" t="s">
        <v>583</v>
      </c>
      <c r="B142" s="377" t="s">
        <v>871</v>
      </c>
      <c r="C142" s="232">
        <v>3535186</v>
      </c>
      <c r="D142" s="232" t="s">
        <v>1101</v>
      </c>
      <c r="E142" s="232">
        <v>950</v>
      </c>
      <c r="F142" s="389" t="s">
        <v>1111</v>
      </c>
      <c r="G142" s="387" t="s">
        <v>296</v>
      </c>
      <c r="H142" s="388" t="s">
        <v>296</v>
      </c>
      <c r="I142" s="388" t="s">
        <v>296</v>
      </c>
      <c r="J142" s="391" t="str">
        <f t="shared" si="4"/>
        <v>KONTOOR, SP21,  #3535186 (Deep Fog Acid) Qty: 950, FAB: TBA, DEL: 28-Nov, Peak Tgt: TBA, BU-TBA</v>
      </c>
    </row>
    <row r="143" spans="1:10" x14ac:dyDescent="0.3">
      <c r="A143" s="233" t="s">
        <v>583</v>
      </c>
      <c r="B143" s="377" t="s">
        <v>871</v>
      </c>
      <c r="C143" s="232">
        <v>3529014</v>
      </c>
      <c r="D143" s="232" t="s">
        <v>1102</v>
      </c>
      <c r="E143" s="232">
        <v>1200</v>
      </c>
      <c r="F143" s="389" t="s">
        <v>1118</v>
      </c>
      <c r="G143" s="387" t="s">
        <v>296</v>
      </c>
      <c r="H143" s="388" t="s">
        <v>296</v>
      </c>
      <c r="I143" s="388" t="s">
        <v>296</v>
      </c>
      <c r="J143" s="391" t="str">
        <f t="shared" si="4"/>
        <v>KONTOOR, SP21,  #3529014 (Always Iconic) Qty: 1200, FAB: TBA, DEL: 7-Nov, Peak Tgt: TBA, BU-TBA</v>
      </c>
    </row>
    <row r="144" spans="1:10" x14ac:dyDescent="0.3">
      <c r="A144" s="233" t="s">
        <v>583</v>
      </c>
      <c r="B144" s="377" t="s">
        <v>871</v>
      </c>
      <c r="C144" s="232">
        <v>3527755</v>
      </c>
      <c r="D144" s="232" t="s">
        <v>1103</v>
      </c>
      <c r="E144" s="232">
        <v>1100</v>
      </c>
      <c r="F144" s="389" t="s">
        <v>1118</v>
      </c>
      <c r="G144" s="387" t="s">
        <v>296</v>
      </c>
      <c r="H144" s="388" t="s">
        <v>296</v>
      </c>
      <c r="I144" s="388" t="s">
        <v>296</v>
      </c>
      <c r="J144" s="391" t="str">
        <f t="shared" si="4"/>
        <v>KONTOOR, SP21,  #3527755 (Modern Cyan) Qty: 1100, FAB: TBA, DEL: 7-Nov, Peak Tgt: TBA, BU-TBA</v>
      </c>
    </row>
    <row r="145" spans="1:10" x14ac:dyDescent="0.3">
      <c r="A145" s="233" t="s">
        <v>583</v>
      </c>
      <c r="B145" s="377" t="s">
        <v>871</v>
      </c>
      <c r="C145" s="232">
        <v>3527703</v>
      </c>
      <c r="D145" s="232" t="s">
        <v>1104</v>
      </c>
      <c r="E145" s="232">
        <v>1900</v>
      </c>
      <c r="F145" s="389" t="s">
        <v>1118</v>
      </c>
      <c r="G145" s="387" t="s">
        <v>296</v>
      </c>
      <c r="H145" s="388" t="s">
        <v>296</v>
      </c>
      <c r="I145" s="388" t="s">
        <v>296</v>
      </c>
      <c r="J145" s="391" t="str">
        <f t="shared" si="4"/>
        <v>KONTOOR, SP21,  #3527703 (Horizon) Qty: 1900, FAB: TBA, DEL: 7-Nov, Peak Tgt: TBA, BU-TBA</v>
      </c>
    </row>
    <row r="146" spans="1:10" x14ac:dyDescent="0.3">
      <c r="A146" s="233" t="s">
        <v>583</v>
      </c>
      <c r="B146" s="377" t="s">
        <v>871</v>
      </c>
      <c r="C146" s="232">
        <v>3538045</v>
      </c>
      <c r="D146" s="232" t="s">
        <v>1105</v>
      </c>
      <c r="E146" s="232">
        <v>700</v>
      </c>
      <c r="F146" s="389" t="s">
        <v>1004</v>
      </c>
      <c r="G146" s="387" t="s">
        <v>296</v>
      </c>
      <c r="H146" s="388" t="s">
        <v>296</v>
      </c>
      <c r="I146" s="388" t="s">
        <v>296</v>
      </c>
      <c r="J146" s="391" t="str">
        <f t="shared" si="4"/>
        <v>KONTOOR, SP21,  #3538045 (Very Peculiar) Qty: 700, FAB: TBA, DEL: 31-Oct, Peak Tgt: TBA, BU-TBA</v>
      </c>
    </row>
    <row r="147" spans="1:10" x14ac:dyDescent="0.3">
      <c r="A147" s="233" t="s">
        <v>583</v>
      </c>
      <c r="B147" s="377" t="s">
        <v>871</v>
      </c>
      <c r="C147" s="232">
        <v>3778309</v>
      </c>
      <c r="D147" s="232" t="s">
        <v>1099</v>
      </c>
      <c r="E147" s="232">
        <v>2200</v>
      </c>
      <c r="F147" s="389" t="s">
        <v>1004</v>
      </c>
      <c r="G147" s="387" t="s">
        <v>296</v>
      </c>
      <c r="H147" s="388" t="s">
        <v>296</v>
      </c>
      <c r="I147" s="388" t="s">
        <v>296</v>
      </c>
      <c r="J147" s="391" t="str">
        <f t="shared" si="4"/>
        <v>KONTOOR, SP21,  #3778309 (Compass) Qty: 2200, FAB: TBA, DEL: 31-Oct, Peak Tgt: TBA, BU-TBA</v>
      </c>
    </row>
    <row r="148" spans="1:10" x14ac:dyDescent="0.3">
      <c r="A148" s="233" t="s">
        <v>583</v>
      </c>
      <c r="B148" s="377" t="s">
        <v>871</v>
      </c>
      <c r="C148" s="232">
        <v>3778328</v>
      </c>
      <c r="D148" s="232" t="s">
        <v>1106</v>
      </c>
      <c r="E148" s="232">
        <v>1800</v>
      </c>
      <c r="F148" s="389" t="s">
        <v>1004</v>
      </c>
      <c r="G148" s="387" t="s">
        <v>296</v>
      </c>
      <c r="H148" s="388" t="s">
        <v>296</v>
      </c>
      <c r="I148" s="388" t="s">
        <v>296</v>
      </c>
      <c r="J148" s="391" t="str">
        <f t="shared" si="4"/>
        <v>KONTOOR, SP21,  #3778328 (Clouded Bleach) Qty: 1800, FAB: TBA, DEL: 31-Oct, Peak Tgt: TBA, BU-TBA</v>
      </c>
    </row>
    <row r="149" spans="1:10" x14ac:dyDescent="0.3">
      <c r="A149" s="233" t="s">
        <v>583</v>
      </c>
      <c r="B149" s="377" t="s">
        <v>871</v>
      </c>
      <c r="C149" s="232">
        <v>3591563</v>
      </c>
      <c r="D149" s="232" t="s">
        <v>1107</v>
      </c>
      <c r="E149" s="232">
        <v>800</v>
      </c>
      <c r="F149" s="389" t="s">
        <v>1004</v>
      </c>
      <c r="G149" s="387" t="s">
        <v>296</v>
      </c>
      <c r="H149" s="388" t="s">
        <v>296</v>
      </c>
      <c r="I149" s="388" t="s">
        <v>296</v>
      </c>
      <c r="J149" s="391" t="str">
        <f t="shared" si="4"/>
        <v>KONTOOR, SP21,  #3591563 (Vintage Essex) Qty: 800, FAB: TBA, DEL: 31-Oct, Peak Tgt: TBA, BU-TBA</v>
      </c>
    </row>
    <row r="150" spans="1:10" x14ac:dyDescent="0.3">
      <c r="A150" s="233" t="s">
        <v>583</v>
      </c>
      <c r="B150" s="377" t="s">
        <v>871</v>
      </c>
      <c r="C150" s="232">
        <v>3523245</v>
      </c>
      <c r="D150" s="232" t="s">
        <v>1105</v>
      </c>
      <c r="E150" s="232">
        <v>650</v>
      </c>
      <c r="F150" s="389" t="s">
        <v>991</v>
      </c>
      <c r="G150" s="387" t="s">
        <v>296</v>
      </c>
      <c r="H150" s="388" t="s">
        <v>296</v>
      </c>
      <c r="I150" s="388" t="s">
        <v>296</v>
      </c>
      <c r="J150" s="391" t="str">
        <f t="shared" si="4"/>
        <v>KONTOOR, SP21,  #3523245 (Very Peculiar) Qty: 650, FAB: TBA, DEL: 24-Oct, Peak Tgt: TBA, BU-TBA</v>
      </c>
    </row>
    <row r="151" spans="1:10" x14ac:dyDescent="0.3">
      <c r="A151" s="233" t="s">
        <v>583</v>
      </c>
      <c r="B151" s="377" t="s">
        <v>871</v>
      </c>
      <c r="C151" s="232">
        <v>3527760</v>
      </c>
      <c r="D151" s="232" t="s">
        <v>1108</v>
      </c>
      <c r="E151" s="232">
        <v>1700</v>
      </c>
      <c r="F151" s="389" t="s">
        <v>991</v>
      </c>
      <c r="G151" s="387" t="s">
        <v>296</v>
      </c>
      <c r="H151" s="388" t="s">
        <v>296</v>
      </c>
      <c r="I151" s="388" t="s">
        <v>296</v>
      </c>
      <c r="J151" s="391" t="str">
        <f t="shared" si="4"/>
        <v>KONTOOR, SP21,  #3527760 (Alpine) Qty: 1700, FAB: TBA, DEL: 24-Oct, Peak Tgt: TBA, BU-TBA</v>
      </c>
    </row>
    <row r="152" spans="1:10" x14ac:dyDescent="0.3">
      <c r="A152" s="233" t="s">
        <v>583</v>
      </c>
      <c r="B152" s="377" t="s">
        <v>871</v>
      </c>
      <c r="C152" s="232">
        <v>3535146</v>
      </c>
      <c r="D152" s="232" t="s">
        <v>1109</v>
      </c>
      <c r="E152" s="232">
        <v>800</v>
      </c>
      <c r="F152" s="389" t="s">
        <v>991</v>
      </c>
      <c r="G152" s="387" t="s">
        <v>296</v>
      </c>
      <c r="H152" s="388" t="s">
        <v>296</v>
      </c>
      <c r="I152" s="388" t="s">
        <v>296</v>
      </c>
      <c r="J152" s="391" t="str">
        <f t="shared" si="4"/>
        <v>KONTOOR, SP21,  #3535146 (Fort Green) Qty: 800, FAB: TBA, DEL: 24-Oct, Peak Tgt: TBA, BU-TBA</v>
      </c>
    </row>
    <row r="153" spans="1:10" x14ac:dyDescent="0.3">
      <c r="A153" s="233" t="s">
        <v>583</v>
      </c>
      <c r="B153" s="377" t="s">
        <v>871</v>
      </c>
      <c r="C153" s="232" t="s">
        <v>1131</v>
      </c>
      <c r="D153" s="232" t="s">
        <v>1139</v>
      </c>
      <c r="E153" s="232">
        <v>12170</v>
      </c>
      <c r="F153" s="389" t="s">
        <v>1151</v>
      </c>
      <c r="G153" s="392" t="s">
        <v>572</v>
      </c>
      <c r="H153" s="232">
        <v>215</v>
      </c>
      <c r="I153" s="232">
        <v>4</v>
      </c>
      <c r="J153" s="391" t="str">
        <f t="shared" si="4"/>
        <v>KONTOOR, SP21,  #1CMRS88 (Railroad Stripe) Qty: 12170, FAB: 30-Sep, DEL: 28-Oct/300, 28-Nov/11870, Peak Tgt: 215, BU-4</v>
      </c>
    </row>
    <row r="154" spans="1:10" x14ac:dyDescent="0.3">
      <c r="A154" s="233" t="s">
        <v>583</v>
      </c>
      <c r="B154" s="377" t="s">
        <v>871</v>
      </c>
      <c r="C154" s="232" t="s">
        <v>1131</v>
      </c>
      <c r="D154" s="232" t="s">
        <v>1139</v>
      </c>
      <c r="E154" s="232">
        <v>53806</v>
      </c>
      <c r="F154" s="389" t="s">
        <v>1112</v>
      </c>
      <c r="G154" s="392" t="s">
        <v>572</v>
      </c>
      <c r="H154" s="232">
        <v>215</v>
      </c>
      <c r="I154" s="232">
        <v>4</v>
      </c>
      <c r="J154" s="391" t="str">
        <f t="shared" si="4"/>
        <v>KONTOOR, SP21,  #1CMRS88 (Railroad Stripe) Qty: 53806, FAB: 30-Sep, DEL: 5-Dec, Peak Tgt: 215, BU-4</v>
      </c>
    </row>
    <row r="155" spans="1:10" x14ac:dyDescent="0.3">
      <c r="A155" s="233" t="s">
        <v>583</v>
      </c>
      <c r="B155" s="377" t="s">
        <v>871</v>
      </c>
      <c r="C155" s="232" t="s">
        <v>1131</v>
      </c>
      <c r="D155" s="232" t="s">
        <v>1139</v>
      </c>
      <c r="E155" s="232">
        <v>13197</v>
      </c>
      <c r="F155" s="389" t="s">
        <v>994</v>
      </c>
      <c r="G155" s="392" t="s">
        <v>572</v>
      </c>
      <c r="H155" s="232">
        <v>215</v>
      </c>
      <c r="I155" s="232">
        <v>4</v>
      </c>
      <c r="J155" s="391" t="str">
        <f t="shared" si="4"/>
        <v>KONTOOR, SP21,  #1CMRS88 (Railroad Stripe) Qty: 13197, FAB: 30-Sep, DEL: 19-Dec, Peak Tgt: 215, BU-4</v>
      </c>
    </row>
    <row r="156" spans="1:10" x14ac:dyDescent="0.3">
      <c r="A156" s="233" t="s">
        <v>583</v>
      </c>
      <c r="B156" s="377" t="s">
        <v>871</v>
      </c>
      <c r="C156" s="232" t="s">
        <v>1131</v>
      </c>
      <c r="D156" s="232" t="s">
        <v>1139</v>
      </c>
      <c r="E156" s="232">
        <v>14971</v>
      </c>
      <c r="F156" s="389" t="s">
        <v>1155</v>
      </c>
      <c r="G156" s="392" t="s">
        <v>572</v>
      </c>
      <c r="H156" s="232">
        <v>215</v>
      </c>
      <c r="I156" s="232">
        <v>4</v>
      </c>
      <c r="J156" s="391" t="str">
        <f t="shared" si="4"/>
        <v>KONTOOR, SP21,  #1CMRS88 (Railroad Stripe) Qty: 14971, FAB: 30-Sep, DEL: 9-Jan, Peak Tgt: 215, BU-4</v>
      </c>
    </row>
    <row r="157" spans="1:10" x14ac:dyDescent="0.3">
      <c r="A157" s="233" t="s">
        <v>583</v>
      </c>
      <c r="B157" s="377" t="s">
        <v>871</v>
      </c>
      <c r="C157" s="232" t="s">
        <v>1132</v>
      </c>
      <c r="D157" s="232" t="s">
        <v>588</v>
      </c>
      <c r="E157" s="232">
        <v>7637</v>
      </c>
      <c r="F157" s="389" t="s">
        <v>1144</v>
      </c>
      <c r="H157" s="232">
        <v>215</v>
      </c>
      <c r="I157" s="232">
        <v>4</v>
      </c>
      <c r="J157" s="391" t="str">
        <f t="shared" si="4"/>
        <v>KONTOOR, SP21,  #1MSBP02 (Infinity) Qty: 7637, FAB: , DEL: 12-Nov/300, 12-Dec/7337, Peak Tgt: 215, BU-4</v>
      </c>
    </row>
    <row r="158" spans="1:10" x14ac:dyDescent="0.3">
      <c r="A158" s="233" t="s">
        <v>583</v>
      </c>
      <c r="B158" s="377" t="s">
        <v>871</v>
      </c>
      <c r="C158" s="232" t="s">
        <v>1133</v>
      </c>
      <c r="D158" s="232" t="s">
        <v>1140</v>
      </c>
      <c r="E158" s="232">
        <v>8125</v>
      </c>
      <c r="F158" s="389" t="s">
        <v>1145</v>
      </c>
      <c r="H158" s="232">
        <v>215</v>
      </c>
      <c r="I158" s="232">
        <v>4</v>
      </c>
      <c r="J158" s="391" t="str">
        <f t="shared" si="4"/>
        <v>KONTOOR, SP21,  #1MSBP03 (Influx) Qty: 8125, FAB: , DEL: 12-Nov/300, 12-Dec/7825, Peak Tgt: 215, BU-4</v>
      </c>
    </row>
    <row r="159" spans="1:10" x14ac:dyDescent="0.3">
      <c r="A159" s="233" t="s">
        <v>583</v>
      </c>
      <c r="B159" s="377" t="s">
        <v>871</v>
      </c>
      <c r="C159" s="232" t="s">
        <v>1134</v>
      </c>
      <c r="D159" s="232" t="s">
        <v>1141</v>
      </c>
      <c r="E159" s="232">
        <v>7643</v>
      </c>
      <c r="F159" s="389" t="s">
        <v>1146</v>
      </c>
      <c r="H159" s="232">
        <v>215</v>
      </c>
      <c r="I159" s="232">
        <v>4</v>
      </c>
      <c r="J159" s="391" t="str">
        <f t="shared" si="4"/>
        <v>KONTOOR, SP21,  #1MSBP06 (Ultramarine) Qty: 7643, FAB: , DEL: 12-Nov/300, 12-Dec/7343, Peak Tgt: 215, BU-4</v>
      </c>
    </row>
    <row r="160" spans="1:10" x14ac:dyDescent="0.3">
      <c r="A160" s="233" t="s">
        <v>583</v>
      </c>
      <c r="B160" s="377" t="s">
        <v>871</v>
      </c>
      <c r="C160" s="232" t="s">
        <v>1135</v>
      </c>
      <c r="D160" s="232" t="s">
        <v>1140</v>
      </c>
      <c r="E160" s="232">
        <v>5553</v>
      </c>
      <c r="F160" s="389" t="s">
        <v>1147</v>
      </c>
      <c r="H160" s="232">
        <v>215</v>
      </c>
      <c r="I160" s="232">
        <v>4</v>
      </c>
      <c r="J160" s="391" t="str">
        <f t="shared" si="4"/>
        <v>KONTOOR, SP21,  #1MSSF03 (Influx) Qty: 5553, FAB: , DEL: 12-Nov/300, 12-Dec/5253, Peak Tgt: 215, BU-4</v>
      </c>
    </row>
    <row r="161" spans="1:10" x14ac:dyDescent="0.3">
      <c r="A161" s="233" t="s">
        <v>583</v>
      </c>
      <c r="B161" s="377" t="s">
        <v>871</v>
      </c>
      <c r="C161" s="232" t="s">
        <v>1136</v>
      </c>
      <c r="D161" s="232" t="s">
        <v>1142</v>
      </c>
      <c r="E161" s="232">
        <v>5175</v>
      </c>
      <c r="F161" s="389" t="s">
        <v>1148</v>
      </c>
      <c r="H161" s="232">
        <v>215</v>
      </c>
      <c r="I161" s="232">
        <v>4</v>
      </c>
      <c r="J161" s="391" t="str">
        <f t="shared" si="4"/>
        <v>KONTOOR, SP21,  #1MSSF07 (Liberty) Qty: 5175, FAB: , DEL: 12-Nov/300, 12-Dec/4875, Peak Tgt: 215, BU-4</v>
      </c>
    </row>
    <row r="162" spans="1:10" x14ac:dyDescent="0.3">
      <c r="A162" s="233" t="s">
        <v>583</v>
      </c>
      <c r="B162" s="377" t="s">
        <v>871</v>
      </c>
      <c r="C162" s="232" t="s">
        <v>1137</v>
      </c>
      <c r="D162" s="232" t="s">
        <v>837</v>
      </c>
      <c r="E162" s="232">
        <v>8224</v>
      </c>
      <c r="F162" s="389" t="s">
        <v>1149</v>
      </c>
      <c r="H162" s="232">
        <v>215</v>
      </c>
      <c r="I162" s="232">
        <v>4</v>
      </c>
      <c r="J162" s="391" t="str">
        <f t="shared" si="4"/>
        <v>KONTOOR, SP21,  #1MSPP04 (Dark Indigo) Qty: 8224, FAB: , DEL: 12-Nov/300, 12-Dec/7924, Peak Tgt: 215, BU-4</v>
      </c>
    </row>
    <row r="163" spans="1:10" x14ac:dyDescent="0.3">
      <c r="A163" s="233" t="s">
        <v>583</v>
      </c>
      <c r="B163" s="377" t="s">
        <v>871</v>
      </c>
      <c r="C163" s="232" t="s">
        <v>1138</v>
      </c>
      <c r="D163" s="232" t="s">
        <v>1143</v>
      </c>
      <c r="E163" s="232">
        <v>8811</v>
      </c>
      <c r="F163" s="389" t="s">
        <v>1150</v>
      </c>
      <c r="H163" s="232">
        <v>215</v>
      </c>
      <c r="I163" s="232">
        <v>4</v>
      </c>
      <c r="J163" s="391" t="str">
        <f t="shared" si="4"/>
        <v>KONTOOR, SP21,  #1MSPP05 (Devotion) Qty: 8811, FAB: , DEL: 12-Nov/300, 12-Dec/8511, Peak Tgt: 215, BU-4</v>
      </c>
    </row>
    <row r="164" spans="1:10" x14ac:dyDescent="0.3">
      <c r="A164" s="233" t="s">
        <v>31</v>
      </c>
      <c r="B164" s="393" t="s">
        <v>862</v>
      </c>
      <c r="C164" s="393" t="s">
        <v>1160</v>
      </c>
      <c r="D164" s="393" t="s">
        <v>296</v>
      </c>
      <c r="E164" s="232">
        <v>4500</v>
      </c>
      <c r="F164" s="394" t="s">
        <v>1161</v>
      </c>
      <c r="G164" s="394" t="s">
        <v>944</v>
      </c>
      <c r="H164" s="232">
        <v>190</v>
      </c>
      <c r="I164" s="232">
        <v>4</v>
      </c>
      <c r="J164" s="391" t="str">
        <f t="shared" si="4"/>
        <v>GU, SS21,  #H102D (TBA) Qty: 4500, FAB: 20-Sep, DEL: 26-Oct, Peak Tgt: 190, BU-4</v>
      </c>
    </row>
    <row r="165" spans="1:10" x14ac:dyDescent="0.3">
      <c r="A165" s="233" t="s">
        <v>435</v>
      </c>
      <c r="B165" s="393" t="s">
        <v>1194</v>
      </c>
      <c r="C165" s="395">
        <v>189205</v>
      </c>
      <c r="D165" s="395" t="s">
        <v>830</v>
      </c>
      <c r="E165" s="395">
        <v>2500</v>
      </c>
      <c r="F165" s="396" t="s">
        <v>1164</v>
      </c>
      <c r="G165" s="397" t="s">
        <v>296</v>
      </c>
      <c r="H165" s="397">
        <v>180</v>
      </c>
      <c r="I165" s="397">
        <v>3</v>
      </c>
      <c r="J165" s="391" t="str">
        <f t="shared" si="4"/>
        <v>T-AUS, Win21,  #189205 (Indigo) Qty: 2500, FAB: TBA, DEL: 29-Nov/1500, 10-Jan/1000, Peak Tgt: 180, BU-3</v>
      </c>
    </row>
    <row r="166" spans="1:10" x14ac:dyDescent="0.3">
      <c r="A166" s="233" t="s">
        <v>435</v>
      </c>
      <c r="B166" s="393" t="s">
        <v>1194</v>
      </c>
      <c r="C166" s="395">
        <v>189204</v>
      </c>
      <c r="D166" s="397" t="s">
        <v>655</v>
      </c>
      <c r="E166" s="397">
        <v>3500</v>
      </c>
      <c r="F166" s="396" t="s">
        <v>1165</v>
      </c>
      <c r="G166" s="397" t="s">
        <v>296</v>
      </c>
      <c r="H166" s="397">
        <v>180</v>
      </c>
      <c r="I166" s="397">
        <v>3</v>
      </c>
      <c r="J166" s="391" t="str">
        <f t="shared" ref="J166:J229" si="5">A166&amp;", "&amp;B166&amp;",  #"&amp;C166&amp;" ("&amp;D166&amp;") Qty: "&amp;E166&amp;", FAB: "&amp;G166&amp;", DEL: "&amp;F166&amp;", Peak Tgt: "&amp;H166&amp;", BU-"&amp;I166</f>
        <v>T-AUS, Win21,  #189204 (Blue) Qty: 3500, FAB: TBA, DEL: 3-Jan, Peak Tgt: 180, BU-3</v>
      </c>
    </row>
    <row r="167" spans="1:10" x14ac:dyDescent="0.3">
      <c r="A167" s="233" t="s">
        <v>435</v>
      </c>
      <c r="B167" s="393" t="s">
        <v>1194</v>
      </c>
      <c r="C167" s="397">
        <v>189207</v>
      </c>
      <c r="D167" s="397" t="s">
        <v>655</v>
      </c>
      <c r="E167" s="397">
        <v>5500</v>
      </c>
      <c r="F167" s="396" t="s">
        <v>1166</v>
      </c>
      <c r="G167" s="397" t="s">
        <v>296</v>
      </c>
      <c r="H167" s="397">
        <v>180</v>
      </c>
      <c r="I167" s="397">
        <v>3</v>
      </c>
      <c r="J167" s="391" t="str">
        <f t="shared" si="5"/>
        <v>T-AUS, Win21,  #189207 (Blue) Qty: 5500, FAB: TBA, DEL: 6-Dec/3500, 10-Jan/2000, Peak Tgt: 180, BU-3</v>
      </c>
    </row>
    <row r="168" spans="1:10" x14ac:dyDescent="0.3">
      <c r="A168" s="233" t="s">
        <v>435</v>
      </c>
      <c r="B168" s="393" t="s">
        <v>1194</v>
      </c>
      <c r="C168" s="395">
        <v>198721</v>
      </c>
      <c r="D168" s="395" t="s">
        <v>830</v>
      </c>
      <c r="E168" s="395">
        <v>3500</v>
      </c>
      <c r="F168" s="396" t="s">
        <v>1165</v>
      </c>
      <c r="G168" s="397" t="s">
        <v>296</v>
      </c>
      <c r="H168" s="397">
        <v>180</v>
      </c>
      <c r="I168" s="397">
        <v>3</v>
      </c>
      <c r="J168" s="398" t="str">
        <f t="shared" si="5"/>
        <v>T-AUS, Win21,  #198721 (Indigo) Qty: 3500, FAB: TBA, DEL: 3-Jan, Peak Tgt: 180, BU-3</v>
      </c>
    </row>
    <row r="169" spans="1:10" x14ac:dyDescent="0.3">
      <c r="A169" s="233" t="s">
        <v>435</v>
      </c>
      <c r="B169" s="393" t="s">
        <v>1194</v>
      </c>
      <c r="C169" s="395">
        <v>193238</v>
      </c>
      <c r="D169" s="395" t="s">
        <v>1167</v>
      </c>
      <c r="E169" s="395">
        <v>4000</v>
      </c>
      <c r="F169" s="396" t="s">
        <v>1168</v>
      </c>
      <c r="G169" s="397" t="s">
        <v>296</v>
      </c>
      <c r="H169" s="397">
        <v>180</v>
      </c>
      <c r="I169" s="397">
        <v>3</v>
      </c>
      <c r="J169" s="391" t="str">
        <f t="shared" si="5"/>
        <v>T-AUS, Win21,  #193238 (W. Blue) Qty: 4000, FAB: TBA, DEL: 6-Dec/2500, 3-Jan/1500, Peak Tgt: 180, BU-3</v>
      </c>
    </row>
    <row r="170" spans="1:10" x14ac:dyDescent="0.3">
      <c r="A170" s="233" t="s">
        <v>435</v>
      </c>
      <c r="B170" s="393" t="s">
        <v>1194</v>
      </c>
      <c r="C170" s="395">
        <v>189211</v>
      </c>
      <c r="D170" s="395" t="s">
        <v>655</v>
      </c>
      <c r="E170" s="395">
        <v>5500</v>
      </c>
      <c r="F170" s="396" t="s">
        <v>1169</v>
      </c>
      <c r="G170" s="397" t="s">
        <v>296</v>
      </c>
      <c r="H170" s="397">
        <v>180</v>
      </c>
      <c r="I170" s="397">
        <v>3</v>
      </c>
      <c r="J170" s="391" t="str">
        <f t="shared" si="5"/>
        <v>T-AUS, Win21,  #189211 (Blue) Qty: 5500, FAB: TBA, DEL: 15-Nov/3500, 13-Dec/500, Peak Tgt: 180, BU-3</v>
      </c>
    </row>
    <row r="171" spans="1:10" x14ac:dyDescent="0.3">
      <c r="A171" s="233" t="s">
        <v>435</v>
      </c>
      <c r="B171" s="393" t="s">
        <v>1194</v>
      </c>
      <c r="C171" s="395">
        <v>193242</v>
      </c>
      <c r="D171" s="395" t="s">
        <v>1167</v>
      </c>
      <c r="E171" s="395">
        <v>2300</v>
      </c>
      <c r="F171" s="396" t="s">
        <v>1170</v>
      </c>
      <c r="G171" s="397" t="s">
        <v>296</v>
      </c>
      <c r="H171" s="397">
        <v>180</v>
      </c>
      <c r="I171" s="397">
        <v>3</v>
      </c>
      <c r="J171" s="391" t="str">
        <f t="shared" si="5"/>
        <v>T-AUS, Win21,  #193242 (W. Blue) Qty: 2300, FAB: TBA, DEL: 6-Dec/1500, Peak Tgt: 180, BU-3</v>
      </c>
    </row>
    <row r="172" spans="1:10" x14ac:dyDescent="0.3">
      <c r="A172" s="233" t="s">
        <v>435</v>
      </c>
      <c r="B172" s="393" t="s">
        <v>1194</v>
      </c>
      <c r="C172" s="395">
        <v>198720</v>
      </c>
      <c r="D172" s="395" t="s">
        <v>1171</v>
      </c>
      <c r="E172" s="395">
        <v>4008</v>
      </c>
      <c r="F172" s="396" t="s">
        <v>1172</v>
      </c>
      <c r="G172" s="397" t="s">
        <v>296</v>
      </c>
      <c r="H172" s="397">
        <v>180</v>
      </c>
      <c r="I172" s="397">
        <v>3</v>
      </c>
      <c r="J172" s="391" t="str">
        <f t="shared" si="5"/>
        <v>T-AUS, Win21,  #198720 (Boston Blue) Qty: 4008, FAB: TBA, DEL: 15-Nov, Peak Tgt: 180, BU-3</v>
      </c>
    </row>
    <row r="173" spans="1:10" x14ac:dyDescent="0.3">
      <c r="A173" s="233" t="s">
        <v>435</v>
      </c>
      <c r="B173" s="393" t="s">
        <v>1194</v>
      </c>
      <c r="C173" s="395">
        <v>208700</v>
      </c>
      <c r="D173" s="395" t="s">
        <v>1173</v>
      </c>
      <c r="E173" s="395">
        <v>5000</v>
      </c>
      <c r="F173" s="396" t="s">
        <v>1174</v>
      </c>
      <c r="G173" s="397" t="s">
        <v>296</v>
      </c>
      <c r="H173" s="397">
        <v>180</v>
      </c>
      <c r="I173" s="397">
        <v>3</v>
      </c>
      <c r="J173" s="391" t="str">
        <f t="shared" si="5"/>
        <v>T-AUS, Win21,  #208700 (Blue/Black) Qty: 5000, FAB: TBA, DEL: 6-Dec/3500, 10-Jan/1500, Peak Tgt: 180, BU-3</v>
      </c>
    </row>
    <row r="174" spans="1:10" x14ac:dyDescent="0.3">
      <c r="A174" s="233" t="s">
        <v>435</v>
      </c>
      <c r="B174" s="393" t="s">
        <v>1194</v>
      </c>
      <c r="C174" s="395">
        <v>208704</v>
      </c>
      <c r="D174" s="395" t="s">
        <v>296</v>
      </c>
      <c r="E174" s="395">
        <v>3600</v>
      </c>
      <c r="F174" s="396" t="s">
        <v>1175</v>
      </c>
      <c r="G174" s="397" t="s">
        <v>296</v>
      </c>
      <c r="H174" s="397">
        <v>180</v>
      </c>
      <c r="I174" s="397">
        <v>3</v>
      </c>
      <c r="J174" s="391" t="str">
        <f t="shared" si="5"/>
        <v>T-AUS, Win21,  #208704 (TBA) Qty: 3600, FAB: TBA, DEL: 6-Dec/2800, 10-Jan/800, Peak Tgt: 180, BU-3</v>
      </c>
    </row>
    <row r="175" spans="1:10" x14ac:dyDescent="0.3">
      <c r="A175" s="233" t="s">
        <v>435</v>
      </c>
      <c r="B175" s="393" t="s">
        <v>1194</v>
      </c>
      <c r="C175" s="395">
        <v>208701</v>
      </c>
      <c r="D175" s="395" t="s">
        <v>1176</v>
      </c>
      <c r="E175" s="395">
        <v>2800</v>
      </c>
      <c r="F175" s="396" t="s">
        <v>1165</v>
      </c>
      <c r="G175" s="397" t="s">
        <v>296</v>
      </c>
      <c r="H175" s="397">
        <v>180</v>
      </c>
      <c r="I175" s="397">
        <v>3</v>
      </c>
      <c r="J175" s="391" t="str">
        <f t="shared" si="5"/>
        <v>T-AUS, Win21,  #208701 (Dark Blue) Qty: 2800, FAB: TBA, DEL: 3-Jan, Peak Tgt: 180, BU-3</v>
      </c>
    </row>
    <row r="176" spans="1:10" x14ac:dyDescent="0.3">
      <c r="A176" s="233" t="s">
        <v>435</v>
      </c>
      <c r="B176" s="393" t="s">
        <v>1194</v>
      </c>
      <c r="C176" s="397" t="s">
        <v>1177</v>
      </c>
      <c r="D176" s="395" t="s">
        <v>830</v>
      </c>
      <c r="E176" s="395">
        <v>2500</v>
      </c>
      <c r="F176" s="396" t="s">
        <v>1178</v>
      </c>
      <c r="G176" s="397" t="s">
        <v>296</v>
      </c>
      <c r="H176" s="397">
        <v>180</v>
      </c>
      <c r="I176" s="397">
        <v>3</v>
      </c>
      <c r="J176" s="391" t="str">
        <f t="shared" si="5"/>
        <v>T-AUS, Win21,  #186058P (Indigo) Qty: 2500, FAB: TBA, DEL: 6-Dec/500, 10-Jan/500, Peak Tgt: 180, BU-3</v>
      </c>
    </row>
    <row r="177" spans="1:10" x14ac:dyDescent="0.3">
      <c r="A177" s="233" t="s">
        <v>435</v>
      </c>
      <c r="B177" s="393" t="s">
        <v>1194</v>
      </c>
      <c r="C177" s="397" t="s">
        <v>1179</v>
      </c>
      <c r="D177" s="395" t="s">
        <v>428</v>
      </c>
      <c r="E177" s="395">
        <v>3080</v>
      </c>
      <c r="F177" s="396" t="s">
        <v>1180</v>
      </c>
      <c r="G177" s="397" t="s">
        <v>296</v>
      </c>
      <c r="H177" s="397">
        <v>180</v>
      </c>
      <c r="I177" s="397">
        <v>3</v>
      </c>
      <c r="J177" s="391" t="str">
        <f t="shared" si="5"/>
        <v>T-AUS, Win21,  #197594A (Black) Qty: 3080, FAB: TBA, DEL: 15-Nov/1040, Peak Tgt: 180, BU-3</v>
      </c>
    </row>
    <row r="178" spans="1:10" x14ac:dyDescent="0.3">
      <c r="A178" s="233" t="s">
        <v>435</v>
      </c>
      <c r="B178" s="393" t="s">
        <v>1194</v>
      </c>
      <c r="C178" s="397" t="s">
        <v>1181</v>
      </c>
      <c r="D178" s="395" t="s">
        <v>1182</v>
      </c>
      <c r="E178" s="395">
        <v>4540</v>
      </c>
      <c r="F178" s="396" t="s">
        <v>1183</v>
      </c>
      <c r="G178" s="397" t="s">
        <v>296</v>
      </c>
      <c r="H178" s="397">
        <v>180</v>
      </c>
      <c r="I178" s="397">
        <v>3</v>
      </c>
      <c r="J178" s="391" t="str">
        <f t="shared" si="5"/>
        <v>T-AUS, Win21,  #209024A (Mid Wash) Qty: 4540, FAB: TBA, DEL: 6-Dce/3500, 3-Jan/1040, Peak Tgt: 180, BU-3</v>
      </c>
    </row>
    <row r="179" spans="1:10" x14ac:dyDescent="0.3">
      <c r="A179" s="233" t="s">
        <v>435</v>
      </c>
      <c r="B179" s="393" t="s">
        <v>1194</v>
      </c>
      <c r="C179" s="395">
        <v>201340</v>
      </c>
      <c r="D179" s="395" t="s">
        <v>428</v>
      </c>
      <c r="E179" s="395">
        <v>3000</v>
      </c>
      <c r="F179" s="396" t="s">
        <v>1184</v>
      </c>
      <c r="G179" s="397" t="s">
        <v>296</v>
      </c>
      <c r="H179" s="397">
        <v>180</v>
      </c>
      <c r="I179" s="397">
        <v>3</v>
      </c>
      <c r="J179" s="391" t="str">
        <f t="shared" si="5"/>
        <v>T-AUS, Win21,  #201340 (Black) Qty: 3000, FAB: TBA, DEL: 22-Nov/1000, 27-Dec/2000, Peak Tgt: 180, BU-3</v>
      </c>
    </row>
    <row r="180" spans="1:10" x14ac:dyDescent="0.3">
      <c r="A180" s="233" t="s">
        <v>435</v>
      </c>
      <c r="B180" s="393" t="s">
        <v>1194</v>
      </c>
      <c r="C180" s="395">
        <v>199980</v>
      </c>
      <c r="D180" s="395" t="s">
        <v>1182</v>
      </c>
      <c r="E180" s="395">
        <v>2398</v>
      </c>
      <c r="F180" s="396" t="s">
        <v>1185</v>
      </c>
      <c r="G180" s="397" t="s">
        <v>296</v>
      </c>
      <c r="H180" s="397">
        <v>180</v>
      </c>
      <c r="I180" s="397">
        <v>3</v>
      </c>
      <c r="J180" s="391" t="str">
        <f t="shared" si="5"/>
        <v>T-AUS, Win21,  #199980 (Mid Wash) Qty: 2398, FAB: TBA, DEL: 22-Nov/792, Peak Tgt: 180, BU-3</v>
      </c>
    </row>
    <row r="181" spans="1:10" x14ac:dyDescent="0.3">
      <c r="A181" s="233" t="s">
        <v>435</v>
      </c>
      <c r="B181" s="393" t="s">
        <v>1194</v>
      </c>
      <c r="C181" s="395" t="s">
        <v>1186</v>
      </c>
      <c r="D181" s="395" t="s">
        <v>428</v>
      </c>
      <c r="E181" s="395">
        <v>5740</v>
      </c>
      <c r="F181" s="396" t="s">
        <v>1187</v>
      </c>
      <c r="G181" s="397" t="s">
        <v>296</v>
      </c>
      <c r="H181" s="397">
        <v>180</v>
      </c>
      <c r="I181" s="397">
        <v>3</v>
      </c>
      <c r="J181" s="391" t="str">
        <f t="shared" si="5"/>
        <v>T-AUS, Win21,  #197594B (Black) Qty: 5740, FAB: TBA, DEL: 6-Dec/4700, Peak Tgt: 180, BU-3</v>
      </c>
    </row>
    <row r="182" spans="1:10" x14ac:dyDescent="0.3">
      <c r="A182" s="233" t="s">
        <v>435</v>
      </c>
      <c r="B182" s="393" t="s">
        <v>1194</v>
      </c>
      <c r="C182" s="395" t="s">
        <v>1188</v>
      </c>
      <c r="D182" s="395" t="s">
        <v>1182</v>
      </c>
      <c r="E182" s="395">
        <v>6900</v>
      </c>
      <c r="F182" s="396" t="s">
        <v>1189</v>
      </c>
      <c r="G182" s="397" t="s">
        <v>296</v>
      </c>
      <c r="H182" s="397">
        <v>180</v>
      </c>
      <c r="I182" s="397">
        <v>3</v>
      </c>
      <c r="J182" s="391" t="str">
        <f t="shared" si="5"/>
        <v>T-AUS, Win21,  #209024B (Mid Wash) Qty: 6900, FAB: TBA, DEL: 6-Dec/5500, 3-Jan/1400, Peak Tgt: 180, BU-3</v>
      </c>
    </row>
    <row r="183" spans="1:10" x14ac:dyDescent="0.3">
      <c r="A183" s="233" t="s">
        <v>435</v>
      </c>
      <c r="B183" s="393" t="s">
        <v>1194</v>
      </c>
      <c r="C183" s="395">
        <v>184731</v>
      </c>
      <c r="D183" s="395" t="s">
        <v>1190</v>
      </c>
      <c r="E183" s="395">
        <v>7581</v>
      </c>
      <c r="F183" s="396" t="s">
        <v>1191</v>
      </c>
      <c r="G183" s="397" t="s">
        <v>296</v>
      </c>
      <c r="H183" s="397">
        <v>180</v>
      </c>
      <c r="I183" s="397">
        <v>3</v>
      </c>
      <c r="J183" s="391" t="str">
        <f t="shared" si="5"/>
        <v>T-AUS, Win21,  #184731 (Dark Wash) Qty: 7581, FAB: TBA, DEL: 15-Nov/5501, 29-Nov/1040, Peak Tgt: 180, BU-3</v>
      </c>
    </row>
    <row r="184" spans="1:10" x14ac:dyDescent="0.3">
      <c r="A184" s="233" t="s">
        <v>435</v>
      </c>
      <c r="B184" s="393" t="s">
        <v>1194</v>
      </c>
      <c r="C184" s="395">
        <v>191550</v>
      </c>
      <c r="D184" s="395" t="s">
        <v>940</v>
      </c>
      <c r="E184" s="395">
        <v>7080</v>
      </c>
      <c r="F184" s="396" t="s">
        <v>1192</v>
      </c>
      <c r="G184" s="397" t="s">
        <v>296</v>
      </c>
      <c r="H184" s="397">
        <v>180</v>
      </c>
      <c r="I184" s="397">
        <v>3</v>
      </c>
      <c r="J184" s="391" t="str">
        <f t="shared" si="5"/>
        <v>T-AUS, Win21,  #191550 (Light Wash) Qty: 7080, FAB: TBA, DEL: 15-Nov/5000, 29-Nov/1040, Peak Tgt: 180, BU-3</v>
      </c>
    </row>
    <row r="185" spans="1:10" x14ac:dyDescent="0.3">
      <c r="A185" s="233" t="s">
        <v>435</v>
      </c>
      <c r="B185" s="393" t="s">
        <v>1194</v>
      </c>
      <c r="C185" s="395">
        <v>191578</v>
      </c>
      <c r="D185" s="395" t="s">
        <v>1182</v>
      </c>
      <c r="E185" s="395">
        <v>7080</v>
      </c>
      <c r="F185" s="396" t="s">
        <v>1192</v>
      </c>
      <c r="G185" s="397" t="s">
        <v>296</v>
      </c>
      <c r="H185" s="397">
        <v>180</v>
      </c>
      <c r="I185" s="397">
        <v>3</v>
      </c>
      <c r="J185" s="391" t="str">
        <f t="shared" si="5"/>
        <v>T-AUS, Win21,  #191578 (Mid Wash) Qty: 7080, FAB: TBA, DEL: 15-Nov/5000, 29-Nov/1040, Peak Tgt: 180, BU-3</v>
      </c>
    </row>
    <row r="186" spans="1:10" x14ac:dyDescent="0.3">
      <c r="A186" s="233" t="s">
        <v>435</v>
      </c>
      <c r="B186" s="393" t="s">
        <v>1194</v>
      </c>
      <c r="C186" s="395">
        <v>213928</v>
      </c>
      <c r="D186" s="395" t="s">
        <v>296</v>
      </c>
      <c r="E186" s="395">
        <v>3500</v>
      </c>
      <c r="F186" s="396" t="s">
        <v>1115</v>
      </c>
      <c r="G186" s="397" t="s">
        <v>296</v>
      </c>
      <c r="H186" s="397">
        <v>180</v>
      </c>
      <c r="I186" s="397">
        <v>3</v>
      </c>
      <c r="J186" s="391" t="str">
        <f t="shared" si="5"/>
        <v>T-AUS, Win21,  #213928 (TBA) Qty: 3500, FAB: TBA, DEL: 6-Dec, Peak Tgt: 180, BU-3</v>
      </c>
    </row>
    <row r="187" spans="1:10" x14ac:dyDescent="0.3">
      <c r="A187" s="233" t="s">
        <v>435</v>
      </c>
      <c r="B187" s="393" t="s">
        <v>1194</v>
      </c>
      <c r="C187" s="395">
        <v>208486</v>
      </c>
      <c r="D187" s="395" t="s">
        <v>296</v>
      </c>
      <c r="E187" s="395">
        <v>4200</v>
      </c>
      <c r="F187" s="396" t="s">
        <v>1115</v>
      </c>
      <c r="G187" s="397" t="s">
        <v>296</v>
      </c>
      <c r="H187" s="397">
        <v>180</v>
      </c>
      <c r="I187" s="397">
        <v>3</v>
      </c>
      <c r="J187" s="391" t="str">
        <f t="shared" si="5"/>
        <v>T-AUS, Win21,  #208486 (TBA) Qty: 4200, FAB: TBA, DEL: 6-Dec, Peak Tgt: 180, BU-3</v>
      </c>
    </row>
    <row r="188" spans="1:10" x14ac:dyDescent="0.3">
      <c r="A188" s="233" t="s">
        <v>435</v>
      </c>
      <c r="B188" s="393" t="s">
        <v>1194</v>
      </c>
      <c r="C188" s="395">
        <v>212053</v>
      </c>
      <c r="D188" s="395" t="s">
        <v>1182</v>
      </c>
      <c r="E188" s="395">
        <v>4500</v>
      </c>
      <c r="F188" s="396" t="s">
        <v>1115</v>
      </c>
      <c r="G188" s="397" t="s">
        <v>296</v>
      </c>
      <c r="H188" s="397">
        <v>180</v>
      </c>
      <c r="I188" s="397">
        <v>3</v>
      </c>
      <c r="J188" s="391" t="str">
        <f t="shared" si="5"/>
        <v>T-AUS, Win21,  #212053 (Mid Wash) Qty: 4500, FAB: TBA, DEL: 6-Dec, Peak Tgt: 180, BU-3</v>
      </c>
    </row>
    <row r="189" spans="1:10" x14ac:dyDescent="0.3">
      <c r="A189" s="233" t="s">
        <v>435</v>
      </c>
      <c r="B189" s="393" t="s">
        <v>1194</v>
      </c>
      <c r="C189" s="395">
        <v>209360</v>
      </c>
      <c r="D189" s="395" t="s">
        <v>1182</v>
      </c>
      <c r="E189" s="395">
        <v>3500</v>
      </c>
      <c r="F189" s="396" t="s">
        <v>1115</v>
      </c>
      <c r="G189" s="397" t="s">
        <v>296</v>
      </c>
      <c r="H189" s="397">
        <v>180</v>
      </c>
      <c r="I189" s="397">
        <v>3</v>
      </c>
      <c r="J189" s="391" t="str">
        <f t="shared" si="5"/>
        <v>T-AUS, Win21,  #209360 (Mid Wash) Qty: 3500, FAB: TBA, DEL: 6-Dec, Peak Tgt: 180, BU-3</v>
      </c>
    </row>
    <row r="190" spans="1:10" x14ac:dyDescent="0.3">
      <c r="A190" s="233" t="s">
        <v>435</v>
      </c>
      <c r="B190" s="393" t="s">
        <v>1194</v>
      </c>
      <c r="C190" s="395">
        <v>212060</v>
      </c>
      <c r="D190" s="395" t="s">
        <v>428</v>
      </c>
      <c r="E190" s="395">
        <v>3192</v>
      </c>
      <c r="F190" s="396" t="s">
        <v>1193</v>
      </c>
      <c r="G190" s="397" t="s">
        <v>296</v>
      </c>
      <c r="H190" s="397">
        <v>180</v>
      </c>
      <c r="I190" s="397">
        <v>3</v>
      </c>
      <c r="J190" s="391" t="str">
        <f t="shared" si="5"/>
        <v>T-AUS, Win21,  #212060 (Black) Qty: 3192, FAB: TBA, DEL: 8-Nov, Peak Tgt: 180, BU-3</v>
      </c>
    </row>
    <row r="191" spans="1:10" x14ac:dyDescent="0.3">
      <c r="A191" s="233" t="s">
        <v>435</v>
      </c>
      <c r="B191" s="393" t="s">
        <v>1194</v>
      </c>
      <c r="C191" s="395">
        <v>212061</v>
      </c>
      <c r="D191" s="395" t="s">
        <v>296</v>
      </c>
      <c r="E191" s="395">
        <v>3200</v>
      </c>
      <c r="F191" s="396" t="s">
        <v>1115</v>
      </c>
      <c r="G191" s="397" t="s">
        <v>296</v>
      </c>
      <c r="H191" s="397">
        <v>180</v>
      </c>
      <c r="I191" s="397">
        <v>3</v>
      </c>
      <c r="J191" s="391" t="str">
        <f t="shared" si="5"/>
        <v>T-AUS, Win21,  #212061 (TBA) Qty: 3200, FAB: TBA, DEL: 6-Dec, Peak Tgt: 180, BU-3</v>
      </c>
    </row>
    <row r="192" spans="1:10" x14ac:dyDescent="0.3">
      <c r="A192" s="233" t="s">
        <v>435</v>
      </c>
      <c r="B192" s="393" t="s">
        <v>1194</v>
      </c>
      <c r="C192" s="395">
        <v>211252</v>
      </c>
      <c r="D192" s="395" t="s">
        <v>655</v>
      </c>
      <c r="E192" s="395">
        <v>6904</v>
      </c>
      <c r="F192" s="396" t="s">
        <v>1193</v>
      </c>
      <c r="G192" s="397" t="s">
        <v>296</v>
      </c>
      <c r="H192" s="397">
        <v>180</v>
      </c>
      <c r="I192" s="397">
        <v>3</v>
      </c>
      <c r="J192" s="391" t="str">
        <f t="shared" si="5"/>
        <v>T-AUS, Win21,  #211252 (Blue) Qty: 6904, FAB: TBA, DEL: 8-Nov, Peak Tgt: 180, BU-3</v>
      </c>
    </row>
    <row r="193" spans="1:10" x14ac:dyDescent="0.3">
      <c r="A193" s="233" t="s">
        <v>435</v>
      </c>
      <c r="B193" s="393" t="s">
        <v>1194</v>
      </c>
      <c r="C193" s="395">
        <v>211253</v>
      </c>
      <c r="D193" s="395" t="s">
        <v>830</v>
      </c>
      <c r="E193" s="395">
        <v>6904</v>
      </c>
      <c r="F193" s="396" t="s">
        <v>1193</v>
      </c>
      <c r="G193" s="397" t="s">
        <v>296</v>
      </c>
      <c r="H193" s="397">
        <v>180</v>
      </c>
      <c r="I193" s="397">
        <v>3</v>
      </c>
      <c r="J193" s="391" t="str">
        <f t="shared" si="5"/>
        <v>T-AUS, Win21,  #211253 (Indigo) Qty: 6904, FAB: TBA, DEL: 8-Nov, Peak Tgt: 180, BU-3</v>
      </c>
    </row>
    <row r="194" spans="1:10" x14ac:dyDescent="0.3">
      <c r="A194" s="233" t="s">
        <v>435</v>
      </c>
      <c r="B194" s="393" t="s">
        <v>1194</v>
      </c>
      <c r="C194" s="395">
        <v>213268</v>
      </c>
      <c r="D194" s="395" t="s">
        <v>428</v>
      </c>
      <c r="E194" s="395">
        <v>7896</v>
      </c>
      <c r="F194" s="396" t="s">
        <v>1193</v>
      </c>
      <c r="G194" s="397" t="s">
        <v>296</v>
      </c>
      <c r="H194" s="397">
        <v>180</v>
      </c>
      <c r="I194" s="397">
        <v>3</v>
      </c>
      <c r="J194" s="391" t="str">
        <f t="shared" si="5"/>
        <v>T-AUS, Win21,  #213268 (Black) Qty: 7896, FAB: TBA, DEL: 8-Nov, Peak Tgt: 180, BU-3</v>
      </c>
    </row>
    <row r="195" spans="1:10" x14ac:dyDescent="0.3">
      <c r="A195" s="233" t="s">
        <v>435</v>
      </c>
      <c r="B195" s="393" t="s">
        <v>1194</v>
      </c>
      <c r="C195" s="395">
        <v>209342</v>
      </c>
      <c r="D195" s="395" t="s">
        <v>1182</v>
      </c>
      <c r="E195" s="395">
        <v>6900</v>
      </c>
      <c r="F195" s="396" t="s">
        <v>1115</v>
      </c>
      <c r="G195" s="397" t="s">
        <v>296</v>
      </c>
      <c r="H195" s="397">
        <v>90</v>
      </c>
      <c r="I195" s="397">
        <v>5</v>
      </c>
      <c r="J195" s="391" t="str">
        <f t="shared" si="5"/>
        <v>T-AUS, Win21,  #209342 (Mid Wash) Qty: 6900, FAB: TBA, DEL: 6-Dec, Peak Tgt: 90, BU-5</v>
      </c>
    </row>
    <row r="196" spans="1:10" x14ac:dyDescent="0.3">
      <c r="A196" s="233" t="s">
        <v>31</v>
      </c>
      <c r="B196" s="393" t="s">
        <v>862</v>
      </c>
      <c r="C196" s="393" t="s">
        <v>1199</v>
      </c>
      <c r="D196" s="393" t="s">
        <v>296</v>
      </c>
      <c r="E196" s="232">
        <v>10000</v>
      </c>
      <c r="F196" s="394" t="s">
        <v>1200</v>
      </c>
      <c r="G196" s="394" t="s">
        <v>1201</v>
      </c>
      <c r="H196" s="232">
        <v>240</v>
      </c>
      <c r="I196" s="232">
        <v>3</v>
      </c>
      <c r="J196" s="391" t="str">
        <f t="shared" si="5"/>
        <v>GU, SS21,  #H052A(Pro) (TBA) Qty: 10000, FAB: 2-Oct, DEL: 1-Nov, Peak Tgt: 240, BU-3</v>
      </c>
    </row>
    <row r="197" spans="1:10" x14ac:dyDescent="0.3">
      <c r="A197" s="233" t="s">
        <v>31</v>
      </c>
      <c r="B197" s="393" t="s">
        <v>862</v>
      </c>
      <c r="C197" s="393" t="s">
        <v>1198</v>
      </c>
      <c r="D197" s="393" t="s">
        <v>296</v>
      </c>
      <c r="E197" s="232">
        <v>10000</v>
      </c>
      <c r="F197" s="394" t="s">
        <v>1202</v>
      </c>
      <c r="G197" s="394" t="s">
        <v>1203</v>
      </c>
      <c r="H197" s="232">
        <v>240</v>
      </c>
      <c r="I197" s="232">
        <v>3</v>
      </c>
      <c r="J197" s="398" t="str">
        <f t="shared" si="5"/>
        <v>GU, SS21,  #H052A(Ph-3) (TBA) Qty: 10000, FAB: 11-Dec, DEL: 10-Jan, Peak Tgt: 240, BU-3</v>
      </c>
    </row>
    <row r="198" spans="1:10" x14ac:dyDescent="0.3">
      <c r="A198" s="233" t="s">
        <v>31</v>
      </c>
      <c r="B198" s="393" t="s">
        <v>862</v>
      </c>
      <c r="C198" s="393" t="s">
        <v>1204</v>
      </c>
      <c r="D198" s="393" t="s">
        <v>296</v>
      </c>
      <c r="E198" s="232">
        <v>10000</v>
      </c>
      <c r="F198" s="394" t="s">
        <v>1205</v>
      </c>
      <c r="G198" s="394" t="s">
        <v>1206</v>
      </c>
      <c r="H198" s="232">
        <v>240</v>
      </c>
      <c r="I198" s="232">
        <v>3</v>
      </c>
      <c r="J198" s="398" t="str">
        <f t="shared" si="5"/>
        <v>GU, SS21,  #H023A(Ph-3) (TBA) Qty: 10000, FAB: 16-Nov, DEL: 16-Dec, Peak Tgt: 240, BU-3</v>
      </c>
    </row>
    <row r="199" spans="1:10" x14ac:dyDescent="0.3">
      <c r="A199" s="233" t="s">
        <v>31</v>
      </c>
      <c r="B199" s="393" t="s">
        <v>862</v>
      </c>
      <c r="C199" s="393" t="s">
        <v>1204</v>
      </c>
      <c r="D199" s="393" t="s">
        <v>296</v>
      </c>
      <c r="E199" s="232">
        <v>10000</v>
      </c>
      <c r="F199" s="394" t="s">
        <v>1207</v>
      </c>
      <c r="G199" s="394" t="s">
        <v>1208</v>
      </c>
      <c r="H199" s="232">
        <v>240</v>
      </c>
      <c r="I199" s="232">
        <v>3</v>
      </c>
      <c r="J199" s="398" t="str">
        <f t="shared" si="5"/>
        <v>GU, SS21,  #H023A(Ph-3) (TBA) Qty: 10000, FAB: 23-Nov, DEL: 23-Dec, Peak Tgt: 240, BU-3</v>
      </c>
    </row>
    <row r="200" spans="1:10" x14ac:dyDescent="0.3">
      <c r="A200" s="233" t="s">
        <v>31</v>
      </c>
      <c r="B200" s="393" t="s">
        <v>862</v>
      </c>
      <c r="C200" s="393" t="s">
        <v>1209</v>
      </c>
      <c r="D200" s="393" t="s">
        <v>296</v>
      </c>
      <c r="E200" s="232">
        <v>5000</v>
      </c>
      <c r="F200" s="394" t="s">
        <v>1205</v>
      </c>
      <c r="G200" s="394" t="s">
        <v>1206</v>
      </c>
      <c r="H200" s="232">
        <v>290</v>
      </c>
      <c r="I200" s="232">
        <v>3</v>
      </c>
      <c r="J200" s="398" t="str">
        <f t="shared" si="5"/>
        <v>GU, SS21,  #H050A(Ph-3) (TBA) Qty: 5000, FAB: 16-Nov, DEL: 16-Dec, Peak Tgt: 290, BU-3</v>
      </c>
    </row>
    <row r="201" spans="1:10" x14ac:dyDescent="0.3">
      <c r="A201" s="233" t="s">
        <v>31</v>
      </c>
      <c r="B201" s="393" t="s">
        <v>862</v>
      </c>
      <c r="C201" s="393" t="s">
        <v>1209</v>
      </c>
      <c r="D201" s="393" t="s">
        <v>296</v>
      </c>
      <c r="E201" s="232">
        <v>5000</v>
      </c>
      <c r="F201" s="394" t="s">
        <v>1207</v>
      </c>
      <c r="G201" s="394" t="s">
        <v>1208</v>
      </c>
      <c r="H201" s="232">
        <v>290</v>
      </c>
      <c r="I201" s="232">
        <v>3</v>
      </c>
      <c r="J201" s="398" t="str">
        <f t="shared" si="5"/>
        <v>GU, SS21,  #H050A(Ph-3) (TBA) Qty: 5000, FAB: 23-Nov, DEL: 23-Dec, Peak Tgt: 290, BU-3</v>
      </c>
    </row>
    <row r="202" spans="1:10" x14ac:dyDescent="0.3">
      <c r="A202" s="233" t="s">
        <v>31</v>
      </c>
      <c r="B202" s="393" t="s">
        <v>862</v>
      </c>
      <c r="C202" s="393" t="s">
        <v>1209</v>
      </c>
      <c r="D202" s="393" t="s">
        <v>296</v>
      </c>
      <c r="E202" s="232">
        <v>5000</v>
      </c>
      <c r="F202" s="394" t="s">
        <v>1210</v>
      </c>
      <c r="G202" s="394" t="s">
        <v>1211</v>
      </c>
      <c r="H202" s="232">
        <v>290</v>
      </c>
      <c r="I202" s="232">
        <v>3</v>
      </c>
      <c r="J202" s="398" t="str">
        <f t="shared" si="5"/>
        <v>GU, SS21,  #H050A(Ph-3) (TBA) Qty: 5000, FAB: 30-Nov, DEL: 30-Dec, Peak Tgt: 290, BU-3</v>
      </c>
    </row>
    <row r="203" spans="1:10" x14ac:dyDescent="0.3">
      <c r="A203" s="233" t="s">
        <v>31</v>
      </c>
      <c r="B203" s="393" t="s">
        <v>862</v>
      </c>
      <c r="C203" s="393" t="s">
        <v>1209</v>
      </c>
      <c r="D203" s="393" t="s">
        <v>296</v>
      </c>
      <c r="E203" s="232">
        <v>5000</v>
      </c>
      <c r="F203" s="394" t="s">
        <v>1212</v>
      </c>
      <c r="G203" s="394" t="s">
        <v>1213</v>
      </c>
      <c r="H203" s="232">
        <v>290</v>
      </c>
      <c r="I203" s="232">
        <v>3</v>
      </c>
      <c r="J203" s="398" t="str">
        <f t="shared" si="5"/>
        <v>GU, SS21,  #H050A(Ph-3) (TBA) Qty: 5000, FAB: 7-Dec, DEL: 6-Jan, Peak Tgt: 290, BU-3</v>
      </c>
    </row>
    <row r="204" spans="1:10" x14ac:dyDescent="0.3">
      <c r="A204" s="233" t="s">
        <v>31</v>
      </c>
      <c r="B204" s="393" t="s">
        <v>862</v>
      </c>
      <c r="C204" s="393" t="s">
        <v>1209</v>
      </c>
      <c r="D204" s="393" t="s">
        <v>296</v>
      </c>
      <c r="E204" s="232">
        <v>5000</v>
      </c>
      <c r="F204" s="394" t="s">
        <v>1214</v>
      </c>
      <c r="G204" s="394" t="s">
        <v>1215</v>
      </c>
      <c r="H204" s="232">
        <v>290</v>
      </c>
      <c r="I204" s="232">
        <v>3</v>
      </c>
      <c r="J204" s="398" t="str">
        <f t="shared" si="5"/>
        <v>GU, SS21,  #H050A(Ph-3) (TBA) Qty: 5000, FAB: 14-Dec, DEL: 13-Jan, Peak Tgt: 290, BU-3</v>
      </c>
    </row>
    <row r="205" spans="1:10" x14ac:dyDescent="0.3">
      <c r="A205" s="233" t="s">
        <v>31</v>
      </c>
      <c r="B205" s="393" t="s">
        <v>862</v>
      </c>
      <c r="C205" s="393" t="s">
        <v>1209</v>
      </c>
      <c r="D205" s="393" t="s">
        <v>296</v>
      </c>
      <c r="E205" s="232">
        <v>10000</v>
      </c>
      <c r="F205" s="394" t="s">
        <v>1216</v>
      </c>
      <c r="G205" s="394" t="s">
        <v>1217</v>
      </c>
      <c r="H205" s="232">
        <v>290</v>
      </c>
      <c r="I205" s="232">
        <v>3</v>
      </c>
      <c r="J205" s="398" t="str">
        <f t="shared" si="5"/>
        <v>GU, SS21,  #H050A(Ph-3) (TBA) Qty: 10000, FAB: 21-Dec, DEL: 20-Jan, Peak Tgt: 290, BU-3</v>
      </c>
    </row>
    <row r="206" spans="1:10" x14ac:dyDescent="0.3">
      <c r="A206" s="233" t="s">
        <v>31</v>
      </c>
      <c r="B206" s="393" t="s">
        <v>862</v>
      </c>
      <c r="C206" s="393" t="s">
        <v>1209</v>
      </c>
      <c r="D206" s="393" t="s">
        <v>296</v>
      </c>
      <c r="E206" s="232">
        <v>10000</v>
      </c>
      <c r="F206" s="394" t="s">
        <v>1218</v>
      </c>
      <c r="G206" s="394" t="s">
        <v>1219</v>
      </c>
      <c r="H206" s="232">
        <v>290</v>
      </c>
      <c r="I206" s="232">
        <v>3</v>
      </c>
      <c r="J206" s="398" t="str">
        <f t="shared" si="5"/>
        <v>GU, SS21,  #H050A(Ph-3) (TBA) Qty: 10000, FAB: 28-Dec, DEL: 27-Jan, Peak Tgt: 290, BU-3</v>
      </c>
    </row>
    <row r="207" spans="1:10" x14ac:dyDescent="0.3">
      <c r="A207" s="233" t="s">
        <v>31</v>
      </c>
      <c r="B207" s="393" t="s">
        <v>862</v>
      </c>
      <c r="C207" s="393" t="s">
        <v>1220</v>
      </c>
      <c r="D207" s="393" t="s">
        <v>296</v>
      </c>
      <c r="E207" s="232">
        <v>5000</v>
      </c>
      <c r="F207" s="394" t="s">
        <v>1222</v>
      </c>
      <c r="G207" s="394" t="s">
        <v>997</v>
      </c>
      <c r="H207" s="232">
        <v>225</v>
      </c>
      <c r="I207" s="232">
        <v>3</v>
      </c>
      <c r="J207" s="391" t="str">
        <f t="shared" si="5"/>
        <v>GU, SS21,  #H001A(Ph-2) (TBA) Qty: 5000, FAB: 21-Oct, DEL: 20-Nov, Peak Tgt: 225, BU-3</v>
      </c>
    </row>
    <row r="208" spans="1:10" x14ac:dyDescent="0.3">
      <c r="A208" s="233" t="s">
        <v>31</v>
      </c>
      <c r="B208" s="393" t="s">
        <v>862</v>
      </c>
      <c r="C208" s="393" t="s">
        <v>1221</v>
      </c>
      <c r="D208" s="393" t="s">
        <v>296</v>
      </c>
      <c r="E208" s="232">
        <v>5000</v>
      </c>
      <c r="F208" s="394" t="s">
        <v>1113</v>
      </c>
      <c r="G208" s="394" t="s">
        <v>1224</v>
      </c>
      <c r="H208" s="232">
        <v>225</v>
      </c>
      <c r="I208" s="232">
        <v>3</v>
      </c>
      <c r="J208" s="398" t="str">
        <f t="shared" si="5"/>
        <v>GU, SS21,  #H001A(Ph-3) (TBA) Qty: 5000, FAB: 3-Dec, DEL: 2-Jan, Peak Tgt: 225, BU-3</v>
      </c>
    </row>
    <row r="209" spans="1:10" x14ac:dyDescent="0.3">
      <c r="A209" s="233" t="s">
        <v>31</v>
      </c>
      <c r="B209" s="393" t="s">
        <v>862</v>
      </c>
      <c r="C209" s="393" t="s">
        <v>1221</v>
      </c>
      <c r="D209" s="393" t="s">
        <v>296</v>
      </c>
      <c r="E209" s="232">
        <v>10000</v>
      </c>
      <c r="F209" s="394" t="s">
        <v>1223</v>
      </c>
      <c r="G209" s="394" t="s">
        <v>993</v>
      </c>
      <c r="H209" s="232">
        <v>225</v>
      </c>
      <c r="I209" s="232">
        <v>3</v>
      </c>
      <c r="J209" s="398" t="str">
        <f t="shared" si="5"/>
        <v>GU, SS21,  #H001A(Ph-3) (TBA) Qty: 10000, FAB: 12-Dec, DEL: 11-Jan, Peak Tgt: 225, BU-3</v>
      </c>
    </row>
    <row r="210" spans="1:10" x14ac:dyDescent="0.3">
      <c r="A210" s="233" t="s">
        <v>31</v>
      </c>
      <c r="B210" s="393" t="s">
        <v>862</v>
      </c>
      <c r="C210" s="393" t="s">
        <v>1225</v>
      </c>
      <c r="D210" s="393" t="s">
        <v>296</v>
      </c>
      <c r="E210" s="232">
        <v>10000</v>
      </c>
      <c r="F210" s="394" t="s">
        <v>1226</v>
      </c>
      <c r="G210" s="394" t="s">
        <v>1227</v>
      </c>
      <c r="H210" s="232">
        <v>250</v>
      </c>
      <c r="I210" s="232">
        <v>3</v>
      </c>
      <c r="J210" s="398" t="str">
        <f t="shared" si="5"/>
        <v>GU, SS21,  #N050A(Ph-3) (TBA) Qty: 10000, FAB: 19-Feb, DEL: 21-Mar, Peak Tgt: 250, BU-3</v>
      </c>
    </row>
    <row r="211" spans="1:10" x14ac:dyDescent="0.3">
      <c r="A211" s="233" t="s">
        <v>583</v>
      </c>
      <c r="B211" s="377" t="s">
        <v>871</v>
      </c>
      <c r="C211" s="232">
        <v>3778476</v>
      </c>
      <c r="D211" s="232" t="s">
        <v>1094</v>
      </c>
      <c r="E211" s="232">
        <v>2100</v>
      </c>
      <c r="F211" s="400" t="s">
        <v>1111</v>
      </c>
      <c r="G211" s="401" t="s">
        <v>296</v>
      </c>
      <c r="H211" s="232">
        <v>180</v>
      </c>
      <c r="I211" s="232">
        <v>3</v>
      </c>
      <c r="J211" s="398" t="str">
        <f t="shared" si="5"/>
        <v>KONTOOR, SP21,  #3778476 (EXPEDITION) Qty: 2100, FAB: TBA, DEL: 28-Nov, Peak Tgt: 180, BU-3</v>
      </c>
    </row>
    <row r="212" spans="1:10" x14ac:dyDescent="0.3">
      <c r="A212" s="233" t="s">
        <v>583</v>
      </c>
      <c r="B212" s="377" t="s">
        <v>871</v>
      </c>
      <c r="C212" s="232">
        <v>3784719</v>
      </c>
      <c r="D212" s="232" t="s">
        <v>1229</v>
      </c>
      <c r="E212" s="232">
        <v>2100</v>
      </c>
      <c r="F212" s="400" t="s">
        <v>1111</v>
      </c>
      <c r="G212" s="401" t="s">
        <v>296</v>
      </c>
      <c r="H212" s="232">
        <v>180</v>
      </c>
      <c r="I212" s="232">
        <v>3</v>
      </c>
      <c r="J212" s="398" t="str">
        <f t="shared" si="5"/>
        <v>KONTOOR, SP21,  #3784719 (Monaco) Qty: 2100, FAB: TBA, DEL: 28-Nov, Peak Tgt: 180, BU-3</v>
      </c>
    </row>
    <row r="213" spans="1:10" x14ac:dyDescent="0.3">
      <c r="A213" s="233" t="s">
        <v>435</v>
      </c>
      <c r="B213" s="393" t="s">
        <v>1194</v>
      </c>
      <c r="C213" s="402" t="s">
        <v>1234</v>
      </c>
      <c r="D213" s="402" t="s">
        <v>655</v>
      </c>
      <c r="E213" s="232">
        <v>3100</v>
      </c>
      <c r="F213" s="403" t="s">
        <v>1232</v>
      </c>
      <c r="G213" s="401" t="s">
        <v>296</v>
      </c>
      <c r="H213" s="232">
        <v>90</v>
      </c>
      <c r="I213" s="232">
        <v>5</v>
      </c>
      <c r="J213" s="232" t="str">
        <f t="shared" si="5"/>
        <v>T-AUS, Win21,  #199355-BK (Blue) Qty: 3100, FAB: TBA, DEL: 6-Dec/2000, 10-Jan/1100, Peak Tgt: 90, BU-5</v>
      </c>
    </row>
    <row r="214" spans="1:10" x14ac:dyDescent="0.3">
      <c r="A214" s="233" t="s">
        <v>435</v>
      </c>
      <c r="B214" s="393" t="s">
        <v>1194</v>
      </c>
      <c r="C214" s="402" t="s">
        <v>1235</v>
      </c>
      <c r="D214" s="402" t="s">
        <v>428</v>
      </c>
      <c r="E214" s="232">
        <v>3325</v>
      </c>
      <c r="F214" s="403" t="s">
        <v>1233</v>
      </c>
      <c r="G214" s="401" t="s">
        <v>296</v>
      </c>
      <c r="H214" s="232">
        <v>90</v>
      </c>
      <c r="I214" s="232">
        <v>5</v>
      </c>
      <c r="J214" s="232" t="str">
        <f t="shared" si="5"/>
        <v>T-AUS, Win21,  #199356-BK (Black) Qty: 3325, FAB: TBA, DEL: 6-Dec/2100, 10-Jan/1225, Peak Tgt: 90, BU-5</v>
      </c>
    </row>
    <row r="215" spans="1:10" x14ac:dyDescent="0.3">
      <c r="A215" s="233" t="s">
        <v>435</v>
      </c>
      <c r="B215" s="393" t="s">
        <v>1194</v>
      </c>
      <c r="C215" s="232">
        <v>217354</v>
      </c>
      <c r="D215" s="232" t="s">
        <v>834</v>
      </c>
      <c r="E215" s="232">
        <v>5500</v>
      </c>
      <c r="F215" s="403" t="s">
        <v>1236</v>
      </c>
      <c r="G215" s="401" t="s">
        <v>296</v>
      </c>
      <c r="H215" s="232">
        <v>180</v>
      </c>
      <c r="I215" s="232">
        <v>3</v>
      </c>
      <c r="J215" s="232" t="str">
        <f t="shared" si="5"/>
        <v>T-AUS, Win21,  #217354 (Khaki) Qty: 5500, FAB: TBA, DEL: 20-Dec/3500, 10-Jan/1000, Peak Tgt: 180, BU-3</v>
      </c>
    </row>
    <row r="216" spans="1:10" x14ac:dyDescent="0.3">
      <c r="A216" s="233" t="s">
        <v>435</v>
      </c>
      <c r="B216" s="393" t="s">
        <v>1194</v>
      </c>
      <c r="C216" s="232">
        <v>211244</v>
      </c>
      <c r="D216" s="29" t="s">
        <v>940</v>
      </c>
      <c r="E216" s="232">
        <v>7000</v>
      </c>
      <c r="F216" s="403" t="s">
        <v>1237</v>
      </c>
      <c r="G216" s="401" t="s">
        <v>296</v>
      </c>
      <c r="H216" s="232">
        <v>180</v>
      </c>
      <c r="I216" s="232">
        <v>3</v>
      </c>
      <c r="J216" s="232" t="str">
        <f t="shared" si="5"/>
        <v>T-AUS, Win21,  #211244 (Light Wash) Qty: 7000, FAB: TBA, DEL: 3-Jan/4000, 31-Jan/600, Peak Tgt: 180, BU-3</v>
      </c>
    </row>
    <row r="217" spans="1:10" x14ac:dyDescent="0.3">
      <c r="A217" s="233" t="s">
        <v>435</v>
      </c>
      <c r="B217" s="393" t="s">
        <v>1194</v>
      </c>
      <c r="C217" s="402" t="s">
        <v>1238</v>
      </c>
      <c r="D217" s="395" t="s">
        <v>1173</v>
      </c>
      <c r="E217" s="232">
        <v>4000</v>
      </c>
      <c r="F217" s="403" t="s">
        <v>1239</v>
      </c>
      <c r="G217" s="401" t="s">
        <v>296</v>
      </c>
      <c r="H217" s="232">
        <v>180</v>
      </c>
      <c r="I217" s="232">
        <v>3</v>
      </c>
      <c r="J217" s="232" t="str">
        <f t="shared" si="5"/>
        <v>T-AUS, Win21,  #209026A (Blue/Black) Qty: 4000, FAB: TBA, DEL: 3-Jan/3500, Peak Tgt: 180, BU-3</v>
      </c>
    </row>
    <row r="218" spans="1:10" x14ac:dyDescent="0.3">
      <c r="A218" s="233" t="s">
        <v>583</v>
      </c>
      <c r="B218" s="377" t="s">
        <v>871</v>
      </c>
      <c r="C218" s="232" t="s">
        <v>1240</v>
      </c>
      <c r="D218" s="232" t="s">
        <v>1241</v>
      </c>
      <c r="E218" s="232">
        <v>4568</v>
      </c>
      <c r="F218" s="403" t="s">
        <v>1242</v>
      </c>
      <c r="G218" s="402" t="s">
        <v>296</v>
      </c>
      <c r="H218" s="232">
        <v>215</v>
      </c>
      <c r="I218" s="232">
        <v>4</v>
      </c>
      <c r="J218" s="232" t="str">
        <f t="shared" si="5"/>
        <v>KONTOOR, SP21,  #1CMSC74 (Wander) Qty: 4568, FAB: TBA, DEL: 6-Nov/300, 6-Dec/4268, Peak Tgt: 215, BU-4</v>
      </c>
    </row>
    <row r="219" spans="1:10" x14ac:dyDescent="0.3">
      <c r="A219" s="233" t="s">
        <v>583</v>
      </c>
      <c r="B219" s="377" t="s">
        <v>871</v>
      </c>
      <c r="C219" s="232">
        <v>2105279</v>
      </c>
      <c r="D219" s="232" t="s">
        <v>1246</v>
      </c>
      <c r="E219" s="232">
        <v>2700</v>
      </c>
      <c r="F219" s="404" t="s">
        <v>1112</v>
      </c>
      <c r="G219" s="404" t="s">
        <v>1247</v>
      </c>
      <c r="H219" s="232">
        <v>160</v>
      </c>
      <c r="I219" s="232">
        <v>4</v>
      </c>
      <c r="J219" s="232" t="str">
        <f t="shared" si="5"/>
        <v>KONTOOR, SP21,  #2105279 (Blue Strike) Qty: 2700, FAB: 8-Oct, DEL: 5-Dec, Peak Tgt: 160, BU-4</v>
      </c>
    </row>
    <row r="220" spans="1:10" x14ac:dyDescent="0.3">
      <c r="A220" s="233" t="s">
        <v>583</v>
      </c>
      <c r="B220" s="377" t="s">
        <v>871</v>
      </c>
      <c r="C220" s="232">
        <v>2109142</v>
      </c>
      <c r="D220" s="232" t="s">
        <v>294</v>
      </c>
      <c r="E220" s="232">
        <v>3000</v>
      </c>
      <c r="F220" s="404" t="s">
        <v>1112</v>
      </c>
      <c r="G220" s="404" t="s">
        <v>1248</v>
      </c>
      <c r="H220" s="232">
        <v>160</v>
      </c>
      <c r="I220" s="232">
        <v>4</v>
      </c>
      <c r="J220" s="232" t="str">
        <f t="shared" si="5"/>
        <v>KONTOOR, SP21,  #2109142 (Maddox) Qty: 3000, FAB: 5-Nov, DEL: 5-Dec, Peak Tgt: 160, BU-4</v>
      </c>
    </row>
    <row r="221" spans="1:10" x14ac:dyDescent="0.3">
      <c r="A221" s="233" t="s">
        <v>583</v>
      </c>
      <c r="B221" s="377" t="s">
        <v>871</v>
      </c>
      <c r="C221" s="232">
        <v>2108524</v>
      </c>
      <c r="D221" s="232" t="s">
        <v>665</v>
      </c>
      <c r="E221" s="232">
        <v>21102</v>
      </c>
      <c r="F221" s="404" t="s">
        <v>1112</v>
      </c>
      <c r="G221" s="406" t="s">
        <v>296</v>
      </c>
      <c r="H221" s="232">
        <v>160</v>
      </c>
      <c r="I221" s="232">
        <v>4</v>
      </c>
      <c r="J221" s="232" t="str">
        <f t="shared" si="5"/>
        <v>KONTOOR, SP21,  #2108524 (Executive) Qty: 21102, FAB: TBA, DEL: 5-Dec, Peak Tgt: 160, BU-4</v>
      </c>
    </row>
    <row r="222" spans="1:10" x14ac:dyDescent="0.3">
      <c r="A222" s="233" t="s">
        <v>583</v>
      </c>
      <c r="B222" s="377" t="s">
        <v>871</v>
      </c>
      <c r="C222" s="232">
        <v>2108524</v>
      </c>
      <c r="D222" s="232" t="s">
        <v>665</v>
      </c>
      <c r="E222" s="232">
        <v>3800</v>
      </c>
      <c r="F222" s="405" t="s">
        <v>990</v>
      </c>
      <c r="G222" s="406" t="s">
        <v>296</v>
      </c>
      <c r="H222" s="232">
        <v>160</v>
      </c>
      <c r="I222" s="232">
        <v>4</v>
      </c>
      <c r="J222" s="232" t="str">
        <f t="shared" si="5"/>
        <v>KONTOOR, SP21,  #2108524 (Executive) Qty: 3800, FAB: TBA, DEL: 26-Dec, Peak Tgt: 160, BU-4</v>
      </c>
    </row>
    <row r="223" spans="1:10" x14ac:dyDescent="0.3">
      <c r="A223" s="233" t="s">
        <v>583</v>
      </c>
      <c r="B223" s="377" t="s">
        <v>871</v>
      </c>
      <c r="C223" s="232" t="s">
        <v>1251</v>
      </c>
      <c r="D223" s="232" t="s">
        <v>1254</v>
      </c>
      <c r="E223" s="232">
        <v>15452</v>
      </c>
      <c r="F223" s="407" t="s">
        <v>1247</v>
      </c>
      <c r="G223" s="406" t="s">
        <v>296</v>
      </c>
      <c r="H223" s="232">
        <v>150</v>
      </c>
      <c r="I223" s="232">
        <v>4</v>
      </c>
      <c r="J223" s="232" t="str">
        <f t="shared" si="5"/>
        <v>KONTOOR, SP21,  #L12726 6KK BGG (BGG) Qty: 15452, FAB: TBA, DEL: 8-Oct, Peak Tgt: 150, BU-4</v>
      </c>
    </row>
    <row r="224" spans="1:10" x14ac:dyDescent="0.3">
      <c r="A224" s="233" t="s">
        <v>583</v>
      </c>
      <c r="B224" s="377" t="s">
        <v>871</v>
      </c>
      <c r="C224" s="232" t="s">
        <v>1252</v>
      </c>
      <c r="D224" s="232" t="s">
        <v>1255</v>
      </c>
      <c r="E224" s="232">
        <v>2800</v>
      </c>
      <c r="F224" s="407" t="s">
        <v>1117</v>
      </c>
      <c r="G224" s="406" t="s">
        <v>296</v>
      </c>
      <c r="H224" s="232">
        <v>100</v>
      </c>
      <c r="I224" s="232">
        <v>4</v>
      </c>
      <c r="J224" s="232" t="str">
        <f t="shared" si="5"/>
        <v>KONTOOR, SP21,  #LMS706 6KK BHX (BHX) Qty: 2800, FAB: TBA, DEL: 12-Nov, Peak Tgt: 100, BU-4</v>
      </c>
    </row>
    <row r="225" spans="1:10" x14ac:dyDescent="0.3">
      <c r="A225" s="233" t="s">
        <v>583</v>
      </c>
      <c r="B225" s="377" t="s">
        <v>871</v>
      </c>
      <c r="C225" s="232" t="s">
        <v>1253</v>
      </c>
      <c r="D225" s="232" t="s">
        <v>1256</v>
      </c>
      <c r="E225" s="232">
        <v>8556</v>
      </c>
      <c r="F225" s="407" t="s">
        <v>1117</v>
      </c>
      <c r="G225" s="406" t="s">
        <v>296</v>
      </c>
      <c r="H225" s="232">
        <v>180</v>
      </c>
      <c r="I225" s="232">
        <v>3</v>
      </c>
      <c r="J225" s="232" t="str">
        <f t="shared" si="5"/>
        <v>KONTOOR, SP21,  #L11709 6KK BHU (BHU) Qty: 8556, FAB: TBA, DEL: 12-Nov, Peak Tgt: 180, BU-3</v>
      </c>
    </row>
    <row r="226" spans="1:10" x14ac:dyDescent="0.3">
      <c r="A226" s="233" t="s">
        <v>435</v>
      </c>
      <c r="B226" s="408" t="s">
        <v>1194</v>
      </c>
      <c r="C226" s="408" t="s">
        <v>1257</v>
      </c>
      <c r="D226" s="408" t="s">
        <v>655</v>
      </c>
      <c r="E226" s="232">
        <v>6000</v>
      </c>
      <c r="F226" s="409" t="s">
        <v>1165</v>
      </c>
      <c r="G226" s="406" t="s">
        <v>296</v>
      </c>
      <c r="H226" s="232">
        <v>180</v>
      </c>
      <c r="I226" s="232">
        <v>3</v>
      </c>
      <c r="J226" s="232" t="str">
        <f t="shared" si="5"/>
        <v>T-AUS, Win21,  #212051B (Blue) Qty: 6000, FAB: TBA, DEL: 3-Jan, Peak Tgt: 180, BU-3</v>
      </c>
    </row>
    <row r="227" spans="1:10" x14ac:dyDescent="0.3">
      <c r="A227" s="233" t="s">
        <v>583</v>
      </c>
      <c r="B227" s="377" t="s">
        <v>871</v>
      </c>
      <c r="C227" s="232">
        <v>2015042</v>
      </c>
      <c r="D227" s="232" t="s">
        <v>294</v>
      </c>
      <c r="E227" s="232">
        <v>3017</v>
      </c>
      <c r="F227" s="410" t="s">
        <v>990</v>
      </c>
      <c r="G227" s="406" t="s">
        <v>296</v>
      </c>
      <c r="H227" s="232">
        <v>160</v>
      </c>
      <c r="I227" s="232">
        <v>4</v>
      </c>
      <c r="J227" s="232" t="str">
        <f t="shared" si="5"/>
        <v>KONTOOR, SP21,  #2015042 (Maddox) Qty: 3017, FAB: TBA, DEL: 26-Dec, Peak Tgt: 160, BU-4</v>
      </c>
    </row>
    <row r="228" spans="1:10" x14ac:dyDescent="0.3">
      <c r="A228" s="233" t="s">
        <v>583</v>
      </c>
      <c r="B228" s="377" t="s">
        <v>871</v>
      </c>
      <c r="C228" s="232">
        <v>2018312</v>
      </c>
      <c r="D228" s="232" t="s">
        <v>675</v>
      </c>
      <c r="E228" s="232">
        <v>4400</v>
      </c>
      <c r="F228" s="410" t="s">
        <v>990</v>
      </c>
      <c r="G228" s="406" t="s">
        <v>296</v>
      </c>
      <c r="H228" s="232">
        <v>160</v>
      </c>
      <c r="I228" s="232">
        <v>4</v>
      </c>
      <c r="J228" s="232" t="str">
        <f t="shared" si="5"/>
        <v>KONTOOR, SP21,  #2018312 (Majestic) Qty: 4400, FAB: TBA, DEL: 26-Dec, Peak Tgt: 160, BU-4</v>
      </c>
    </row>
    <row r="229" spans="1:10" x14ac:dyDescent="0.3">
      <c r="A229" s="233" t="s">
        <v>583</v>
      </c>
      <c r="B229" s="411" t="s">
        <v>1258</v>
      </c>
      <c r="C229" s="232" t="s">
        <v>1259</v>
      </c>
      <c r="D229" s="232" t="s">
        <v>1094</v>
      </c>
      <c r="E229" s="232">
        <v>12900</v>
      </c>
      <c r="F229" s="410" t="s">
        <v>1155</v>
      </c>
      <c r="G229" s="406" t="s">
        <v>296</v>
      </c>
      <c r="H229" s="232">
        <v>180</v>
      </c>
      <c r="I229" s="232">
        <v>3</v>
      </c>
      <c r="J229" s="232" t="str">
        <f t="shared" si="5"/>
        <v>KONTOOR, Fall21,  #37784B6 (EXPEDITION) Qty: 12900, FAB: TBA, DEL: 9-Jan, Peak Tgt: 180, BU-3</v>
      </c>
    </row>
    <row r="230" spans="1:10" x14ac:dyDescent="0.3">
      <c r="A230" s="233" t="s">
        <v>583</v>
      </c>
      <c r="B230" s="411" t="s">
        <v>1258</v>
      </c>
      <c r="C230" s="232" t="s">
        <v>1260</v>
      </c>
      <c r="D230" s="232" t="s">
        <v>1261</v>
      </c>
      <c r="E230" s="232">
        <v>8650</v>
      </c>
      <c r="F230" s="410" t="s">
        <v>1155</v>
      </c>
      <c r="G230" s="406" t="s">
        <v>296</v>
      </c>
      <c r="H230" s="232">
        <v>180</v>
      </c>
      <c r="I230" s="232">
        <v>3</v>
      </c>
      <c r="J230" s="232" t="str">
        <f t="shared" ref="J230:J294" si="6">A230&amp;", "&amp;B230&amp;",  #"&amp;C230&amp;" ("&amp;D230&amp;") Qty: "&amp;E230&amp;", FAB: "&amp;G230&amp;", DEL: "&amp;F230&amp;", Peak Tgt: "&amp;H230&amp;", BU-"&amp;I230</f>
        <v>KONTOOR, Fall21,  #37784B1 (MONACO) Qty: 8650, FAB: TBA, DEL: 9-Jan, Peak Tgt: 180, BU-3</v>
      </c>
    </row>
    <row r="231" spans="1:10" x14ac:dyDescent="0.3">
      <c r="A231" s="233" t="s">
        <v>583</v>
      </c>
      <c r="B231" s="411" t="s">
        <v>1258</v>
      </c>
      <c r="C231" s="232" t="s">
        <v>1262</v>
      </c>
      <c r="D231" s="232" t="s">
        <v>1263</v>
      </c>
      <c r="E231" s="232">
        <v>11475</v>
      </c>
      <c r="F231" s="410" t="s">
        <v>1155</v>
      </c>
      <c r="G231" s="406" t="s">
        <v>296</v>
      </c>
      <c r="H231" s="232">
        <v>180</v>
      </c>
      <c r="I231" s="232">
        <v>3</v>
      </c>
      <c r="J231" s="232" t="str">
        <f t="shared" si="6"/>
        <v>KONTOOR, Fall21,  #37784B5 (HUNTER CAM) Qty: 11475, FAB: TBA, DEL: 9-Jan, Peak Tgt: 180, BU-3</v>
      </c>
    </row>
    <row r="232" spans="1:10" x14ac:dyDescent="0.3">
      <c r="A232" s="233" t="s">
        <v>583</v>
      </c>
      <c r="B232" s="377" t="s">
        <v>871</v>
      </c>
      <c r="C232" s="232" t="s">
        <v>1005</v>
      </c>
      <c r="D232" s="232" t="s">
        <v>1007</v>
      </c>
      <c r="E232" s="232">
        <v>3000</v>
      </c>
      <c r="F232" s="412" t="s">
        <v>1113</v>
      </c>
      <c r="G232" s="377" t="s">
        <v>296</v>
      </c>
      <c r="H232" s="232">
        <v>180</v>
      </c>
      <c r="I232" s="232">
        <v>3</v>
      </c>
      <c r="J232" s="232" t="str">
        <f t="shared" si="6"/>
        <v>KONTOOR, SP21,  #ZFC9BI2 (Dark) Qty: 3000, FAB: TBA, DEL: 2-Jan, Peak Tgt: 180, BU-3</v>
      </c>
    </row>
    <row r="233" spans="1:10" x14ac:dyDescent="0.3">
      <c r="A233" s="233" t="s">
        <v>583</v>
      </c>
      <c r="B233" s="377" t="s">
        <v>871</v>
      </c>
      <c r="C233" s="232" t="s">
        <v>1006</v>
      </c>
      <c r="D233" s="232" t="s">
        <v>1008</v>
      </c>
      <c r="E233" s="232">
        <v>5000</v>
      </c>
      <c r="F233" s="412" t="s">
        <v>1113</v>
      </c>
      <c r="G233" s="377" t="s">
        <v>296</v>
      </c>
      <c r="H233" s="232">
        <v>180</v>
      </c>
      <c r="I233" s="232">
        <v>3</v>
      </c>
      <c r="J233" s="232" t="str">
        <f t="shared" si="6"/>
        <v>KONTOOR, SP21,  #ZFC9BI4 (Mid) Qty: 5000, FAB: TBA, DEL: 2-Jan, Peak Tgt: 180, BU-3</v>
      </c>
    </row>
    <row r="234" spans="1:10" x14ac:dyDescent="0.3">
      <c r="A234" s="233" t="s">
        <v>583</v>
      </c>
      <c r="B234" s="377" t="s">
        <v>871</v>
      </c>
      <c r="C234" s="232">
        <v>2015042</v>
      </c>
      <c r="D234" s="232" t="s">
        <v>294</v>
      </c>
      <c r="E234" s="413">
        <v>3017</v>
      </c>
      <c r="F234" s="410" t="s">
        <v>990</v>
      </c>
      <c r="G234" s="414" t="s">
        <v>1222</v>
      </c>
      <c r="H234" s="232">
        <v>160</v>
      </c>
      <c r="I234" s="232">
        <v>4</v>
      </c>
      <c r="J234" s="232" t="str">
        <f t="shared" si="6"/>
        <v>KONTOOR, SP21,  #2015042 (Maddox) Qty: 3017, FAB: 20-Nov, DEL: 26-Dec, Peak Tgt: 160, BU-4</v>
      </c>
    </row>
    <row r="235" spans="1:10" x14ac:dyDescent="0.3">
      <c r="A235" s="233" t="s">
        <v>583</v>
      </c>
      <c r="B235" s="377" t="s">
        <v>871</v>
      </c>
      <c r="C235" s="232">
        <v>2018312</v>
      </c>
      <c r="D235" s="232" t="s">
        <v>675</v>
      </c>
      <c r="E235" s="413">
        <v>4400</v>
      </c>
      <c r="F235" s="410" t="s">
        <v>990</v>
      </c>
      <c r="G235" s="414" t="s">
        <v>1222</v>
      </c>
      <c r="H235" s="232">
        <v>160</v>
      </c>
      <c r="I235" s="232">
        <v>4</v>
      </c>
      <c r="J235" s="232" t="str">
        <f t="shared" si="6"/>
        <v>KONTOOR, SP21,  #2018312 (Majestic) Qty: 4400, FAB: 20-Nov, DEL: 26-Dec, Peak Tgt: 160, BU-4</v>
      </c>
    </row>
    <row r="236" spans="1:10" x14ac:dyDescent="0.3">
      <c r="A236" s="233" t="s">
        <v>31</v>
      </c>
      <c r="B236" s="415" t="s">
        <v>862</v>
      </c>
      <c r="C236" s="232" t="s">
        <v>1302</v>
      </c>
      <c r="D236" s="415" t="s">
        <v>296</v>
      </c>
      <c r="E236" s="232">
        <v>17126</v>
      </c>
      <c r="F236" s="416" t="s">
        <v>1306</v>
      </c>
      <c r="G236" s="415" t="s">
        <v>296</v>
      </c>
      <c r="H236" s="232">
        <v>180</v>
      </c>
      <c r="I236" s="232">
        <v>4</v>
      </c>
      <c r="J236" s="232" t="str">
        <f t="shared" si="6"/>
        <v>GU, SS21,  #N110A (TBA) Qty: 17126, FAB: TBA, DEL: 3-Feb, Peak Tgt: 180, BU-4</v>
      </c>
    </row>
    <row r="237" spans="1:10" x14ac:dyDescent="0.3">
      <c r="A237" s="233" t="s">
        <v>31</v>
      </c>
      <c r="B237" s="415" t="s">
        <v>862</v>
      </c>
      <c r="C237" s="232" t="s">
        <v>1303</v>
      </c>
      <c r="D237" s="415" t="s">
        <v>296</v>
      </c>
      <c r="E237" s="232">
        <v>1200</v>
      </c>
      <c r="F237" s="416" t="s">
        <v>1306</v>
      </c>
      <c r="G237" s="415" t="s">
        <v>296</v>
      </c>
      <c r="H237" s="415" t="s">
        <v>296</v>
      </c>
      <c r="I237" s="415" t="s">
        <v>296</v>
      </c>
      <c r="J237" s="232" t="str">
        <f t="shared" si="6"/>
        <v>GU, SS21,  #N111A (TBA) Qty: 1200, FAB: TBA, DEL: 3-Feb, Peak Tgt: TBA, BU-TBA</v>
      </c>
    </row>
    <row r="238" spans="1:10" x14ac:dyDescent="0.3">
      <c r="A238" s="233" t="s">
        <v>31</v>
      </c>
      <c r="B238" s="415" t="s">
        <v>862</v>
      </c>
      <c r="C238" s="232" t="s">
        <v>1304</v>
      </c>
      <c r="D238" s="415" t="s">
        <v>296</v>
      </c>
      <c r="E238" s="232">
        <v>20130</v>
      </c>
      <c r="F238" s="416" t="s">
        <v>1306</v>
      </c>
      <c r="G238" s="415" t="s">
        <v>296</v>
      </c>
      <c r="H238" s="232">
        <v>150</v>
      </c>
      <c r="I238" s="232">
        <v>4</v>
      </c>
      <c r="J238" s="232" t="str">
        <f t="shared" si="6"/>
        <v>GU, SS21,  #N117A (TBA) Qty: 20130, FAB: TBA, DEL: 3-Feb, Peak Tgt: 150, BU-4</v>
      </c>
    </row>
    <row r="239" spans="1:10" x14ac:dyDescent="0.3">
      <c r="A239" s="233" t="s">
        <v>31</v>
      </c>
      <c r="B239" s="415" t="s">
        <v>862</v>
      </c>
      <c r="C239" s="232" t="s">
        <v>1305</v>
      </c>
      <c r="D239" s="415" t="s">
        <v>296</v>
      </c>
      <c r="E239" s="232">
        <v>1300</v>
      </c>
      <c r="F239" s="416" t="s">
        <v>1306</v>
      </c>
      <c r="G239" s="415" t="s">
        <v>296</v>
      </c>
      <c r="H239" s="232">
        <v>190</v>
      </c>
      <c r="I239" s="232">
        <v>4</v>
      </c>
      <c r="J239" s="232" t="str">
        <f t="shared" si="6"/>
        <v>GU, SS21,  #N118A (TBA) Qty: 1300, FAB: TBA, DEL: 3-Feb, Peak Tgt: 190, BU-4</v>
      </c>
    </row>
    <row r="240" spans="1:10" x14ac:dyDescent="0.3">
      <c r="A240" s="233" t="s">
        <v>583</v>
      </c>
      <c r="B240" s="411" t="s">
        <v>1258</v>
      </c>
      <c r="C240" s="325" t="s">
        <v>792</v>
      </c>
      <c r="D240" s="326" t="s">
        <v>578</v>
      </c>
      <c r="E240" s="327">
        <v>4000</v>
      </c>
      <c r="F240" s="417" t="s">
        <v>993</v>
      </c>
      <c r="G240" s="322" t="s">
        <v>296</v>
      </c>
      <c r="H240" s="322">
        <v>180</v>
      </c>
      <c r="I240" s="322">
        <v>3</v>
      </c>
      <c r="J240" s="232" t="str">
        <f t="shared" si="6"/>
        <v>KONTOOR, Fall21,  #G96RTWL (Wilson) Qty: 4000, FAB: TBA, DEL: 12-Dec, Peak Tgt: 180, BU-3</v>
      </c>
    </row>
    <row r="241" spans="1:10" x14ac:dyDescent="0.3">
      <c r="A241" s="420" t="s">
        <v>583</v>
      </c>
      <c r="B241" s="421" t="s">
        <v>1258</v>
      </c>
      <c r="C241" s="422" t="s">
        <v>792</v>
      </c>
      <c r="D241" s="423" t="s">
        <v>578</v>
      </c>
      <c r="E241" s="424">
        <v>3000</v>
      </c>
      <c r="F241" s="425" t="s">
        <v>1308</v>
      </c>
      <c r="G241" s="426" t="s">
        <v>296</v>
      </c>
      <c r="H241" s="424">
        <v>180</v>
      </c>
      <c r="I241" s="424">
        <v>3</v>
      </c>
      <c r="J241" s="424" t="str">
        <f t="shared" si="6"/>
        <v>KONTOOR, Fall21,  #G96RTWL (Wilson) Qty: 3000, FAB: TBA, DEL: 4-Jan, Peak Tgt: 180, BU-3</v>
      </c>
    </row>
    <row r="242" spans="1:10" x14ac:dyDescent="0.3">
      <c r="A242" s="233" t="s">
        <v>583</v>
      </c>
      <c r="B242" s="411" t="s">
        <v>1258</v>
      </c>
      <c r="C242" s="232" t="s">
        <v>1310</v>
      </c>
      <c r="D242" s="232" t="s">
        <v>1311</v>
      </c>
      <c r="E242" s="232">
        <v>3000</v>
      </c>
      <c r="F242" s="418" t="s">
        <v>922</v>
      </c>
      <c r="G242" s="322" t="s">
        <v>296</v>
      </c>
      <c r="H242" s="419" t="s">
        <v>296</v>
      </c>
      <c r="I242" s="419" t="s">
        <v>296</v>
      </c>
      <c r="J242" s="424" t="str">
        <f t="shared" si="6"/>
        <v>KONTOOR, Fall21,  #ZMREB10 (WHITE) Qty: 3000, FAB: TBA, DEL: 16-Jan, Peak Tgt: TBA, BU-TBA</v>
      </c>
    </row>
    <row r="243" spans="1:10" x14ac:dyDescent="0.3">
      <c r="A243" s="233" t="s">
        <v>583</v>
      </c>
      <c r="B243" s="411" t="s">
        <v>1258</v>
      </c>
      <c r="C243" s="232" t="s">
        <v>1312</v>
      </c>
      <c r="D243" s="232" t="s">
        <v>1342</v>
      </c>
      <c r="E243" s="232">
        <v>3000</v>
      </c>
      <c r="F243" s="418" t="s">
        <v>922</v>
      </c>
      <c r="G243" s="322" t="s">
        <v>296</v>
      </c>
      <c r="H243" s="232">
        <v>200</v>
      </c>
      <c r="I243" s="232">
        <v>3</v>
      </c>
      <c r="J243" s="424" t="str">
        <f t="shared" si="6"/>
        <v>KONTOOR, Fall21,  #3522026-LFDM0003 (ANCHOR) Qty: 3000, FAB: TBA, DEL: 16-Jan, Peak Tgt: 200, BU-3</v>
      </c>
    </row>
    <row r="244" spans="1:10" x14ac:dyDescent="0.3">
      <c r="A244" s="233" t="s">
        <v>583</v>
      </c>
      <c r="B244" s="411" t="s">
        <v>1258</v>
      </c>
      <c r="C244" s="232" t="s">
        <v>1313</v>
      </c>
      <c r="D244" s="232" t="s">
        <v>1343</v>
      </c>
      <c r="E244" s="232">
        <v>3000</v>
      </c>
      <c r="F244" s="418" t="s">
        <v>922</v>
      </c>
      <c r="G244" s="322" t="s">
        <v>296</v>
      </c>
      <c r="H244" s="232">
        <v>200</v>
      </c>
      <c r="I244" s="232">
        <v>3</v>
      </c>
      <c r="J244" s="424" t="str">
        <f t="shared" si="6"/>
        <v>KONTOOR, Fall21,  #3522077-LFDM0003 (NIGHTSHADE) Qty: 3000, FAB: TBA, DEL: 16-Jan, Peak Tgt: 200, BU-3</v>
      </c>
    </row>
    <row r="245" spans="1:10" x14ac:dyDescent="0.3">
      <c r="A245" s="233" t="s">
        <v>583</v>
      </c>
      <c r="B245" s="411" t="s">
        <v>1258</v>
      </c>
      <c r="C245" s="232" t="s">
        <v>1314</v>
      </c>
      <c r="D245" s="232" t="s">
        <v>1344</v>
      </c>
      <c r="E245" s="232">
        <v>3000</v>
      </c>
      <c r="F245" s="418" t="s">
        <v>922</v>
      </c>
      <c r="G245" s="322" t="s">
        <v>296</v>
      </c>
      <c r="H245" s="232">
        <v>200</v>
      </c>
      <c r="I245" s="232">
        <v>3</v>
      </c>
      <c r="J245" s="424" t="str">
        <f t="shared" si="6"/>
        <v>KONTOOR, Fall21,  #3522095-LFDM0003 (SEATTLE) Qty: 3000, FAB: TBA, DEL: 16-Jan, Peak Tgt: 200, BU-3</v>
      </c>
    </row>
    <row r="246" spans="1:10" x14ac:dyDescent="0.3">
      <c r="A246" s="233" t="s">
        <v>583</v>
      </c>
      <c r="B246" s="411" t="s">
        <v>1258</v>
      </c>
      <c r="C246" s="232" t="s">
        <v>1315</v>
      </c>
      <c r="D246" s="232" t="s">
        <v>878</v>
      </c>
      <c r="E246" s="232">
        <v>1500</v>
      </c>
      <c r="F246" s="427" t="s">
        <v>1360</v>
      </c>
      <c r="G246" s="322" t="s">
        <v>296</v>
      </c>
      <c r="H246" s="232">
        <v>180</v>
      </c>
      <c r="I246" s="232">
        <v>3</v>
      </c>
      <c r="J246" s="424" t="str">
        <f t="shared" si="6"/>
        <v>KONTOOR, Fall21,  #3517933-7742MS (INFINITY) Qty: 1500, FAB: TBA, DEL: 23-Jan, Peak Tgt: 180, BU-3</v>
      </c>
    </row>
    <row r="247" spans="1:10" x14ac:dyDescent="0.3">
      <c r="A247" s="233" t="s">
        <v>583</v>
      </c>
      <c r="B247" s="411" t="s">
        <v>1258</v>
      </c>
      <c r="C247" s="232" t="s">
        <v>1316</v>
      </c>
      <c r="D247" s="232" t="s">
        <v>878</v>
      </c>
      <c r="E247" s="232">
        <v>1000</v>
      </c>
      <c r="F247" s="427" t="s">
        <v>1360</v>
      </c>
      <c r="G247" s="322" t="s">
        <v>296</v>
      </c>
      <c r="H247" s="232">
        <v>180</v>
      </c>
      <c r="I247" s="232">
        <v>3</v>
      </c>
      <c r="J247" s="424" t="str">
        <f t="shared" si="6"/>
        <v>KONTOOR, Fall21,  #35L7933-7742MS (INFINITY) Qty: 1000, FAB: TBA, DEL: 23-Jan, Peak Tgt: 180, BU-3</v>
      </c>
    </row>
    <row r="248" spans="1:10" x14ac:dyDescent="0.3">
      <c r="A248" s="233" t="s">
        <v>583</v>
      </c>
      <c r="B248" s="411" t="s">
        <v>1258</v>
      </c>
      <c r="C248" s="232" t="s">
        <v>1317</v>
      </c>
      <c r="D248" s="232" t="s">
        <v>1094</v>
      </c>
      <c r="E248" s="232">
        <v>3300</v>
      </c>
      <c r="F248" s="427" t="s">
        <v>1360</v>
      </c>
      <c r="G248" s="322" t="s">
        <v>296</v>
      </c>
      <c r="H248" s="232">
        <v>180</v>
      </c>
      <c r="I248" s="232">
        <v>3</v>
      </c>
      <c r="J248" s="424" t="str">
        <f t="shared" si="6"/>
        <v>KONTOOR, Fall21,  #3517976-7742MS (EXPEDITION) Qty: 3300, FAB: TBA, DEL: 23-Jan, Peak Tgt: 180, BU-3</v>
      </c>
    </row>
    <row r="249" spans="1:10" x14ac:dyDescent="0.3">
      <c r="A249" s="233" t="s">
        <v>583</v>
      </c>
      <c r="B249" s="411" t="s">
        <v>1258</v>
      </c>
      <c r="C249" s="232" t="s">
        <v>1318</v>
      </c>
      <c r="D249" s="232" t="s">
        <v>1093</v>
      </c>
      <c r="E249" s="232">
        <v>3000</v>
      </c>
      <c r="F249" s="427" t="s">
        <v>1360</v>
      </c>
      <c r="G249" s="322" t="s">
        <v>296</v>
      </c>
      <c r="H249" s="232">
        <v>180</v>
      </c>
      <c r="I249" s="232">
        <v>3</v>
      </c>
      <c r="J249" s="424" t="str">
        <f t="shared" si="6"/>
        <v>KONTOOR, Fall21,  #3193930-8260WMS (BLUE PHOEN) Qty: 3000, FAB: TBA, DEL: 23-Jan, Peak Tgt: 180, BU-3</v>
      </c>
    </row>
    <row r="250" spans="1:10" x14ac:dyDescent="0.3">
      <c r="A250" s="233" t="s">
        <v>583</v>
      </c>
      <c r="B250" s="411" t="s">
        <v>1258</v>
      </c>
      <c r="C250" s="232" t="s">
        <v>1319</v>
      </c>
      <c r="D250" s="232" t="s">
        <v>873</v>
      </c>
      <c r="E250" s="232">
        <v>2001</v>
      </c>
      <c r="F250" s="427" t="s">
        <v>1360</v>
      </c>
      <c r="G250" s="322" t="s">
        <v>296</v>
      </c>
      <c r="H250" s="232">
        <v>180</v>
      </c>
      <c r="I250" s="232">
        <v>3</v>
      </c>
      <c r="J250" s="424" t="str">
        <f t="shared" si="6"/>
        <v>KONTOOR, Fall21,  #3408928-7743MS (RENEGADE) Qty: 2001, FAB: TBA, DEL: 23-Jan, Peak Tgt: 180, BU-3</v>
      </c>
    </row>
    <row r="251" spans="1:10" x14ac:dyDescent="0.3">
      <c r="A251" s="233" t="s">
        <v>583</v>
      </c>
      <c r="B251" s="411" t="s">
        <v>1258</v>
      </c>
      <c r="C251" s="232" t="s">
        <v>1320</v>
      </c>
      <c r="D251" s="232" t="s">
        <v>731</v>
      </c>
      <c r="E251" s="232">
        <v>3000</v>
      </c>
      <c r="F251" s="427" t="s">
        <v>1360</v>
      </c>
      <c r="G251" s="322" t="s">
        <v>296</v>
      </c>
      <c r="H251" s="232">
        <v>200</v>
      </c>
      <c r="I251" s="232">
        <v>4</v>
      </c>
      <c r="J251" s="424" t="str">
        <f t="shared" si="6"/>
        <v>KONTOOR, Fall21,  #4606201-LFCM0075 (BLACK) Qty: 3000, FAB: TBA, DEL: 23-Jan, Peak Tgt: 200, BU-4</v>
      </c>
    </row>
    <row r="252" spans="1:10" x14ac:dyDescent="0.3">
      <c r="A252" s="233" t="s">
        <v>583</v>
      </c>
      <c r="B252" s="411" t="s">
        <v>1258</v>
      </c>
      <c r="C252" s="232" t="s">
        <v>1321</v>
      </c>
      <c r="D252" s="232" t="s">
        <v>1345</v>
      </c>
      <c r="E252" s="232">
        <v>3000</v>
      </c>
      <c r="F252" s="427" t="s">
        <v>1360</v>
      </c>
      <c r="G252" s="322" t="s">
        <v>296</v>
      </c>
      <c r="H252" s="232">
        <v>200</v>
      </c>
      <c r="I252" s="232">
        <v>4</v>
      </c>
      <c r="J252" s="424" t="str">
        <f t="shared" si="6"/>
        <v>KONTOOR, Fall21,  #4606209-LFCM0075 (MOON ROCK) Qty: 3000, FAB: TBA, DEL: 23-Jan, Peak Tgt: 200, BU-4</v>
      </c>
    </row>
    <row r="253" spans="1:10" x14ac:dyDescent="0.3">
      <c r="A253" s="233" t="s">
        <v>583</v>
      </c>
      <c r="B253" s="411" t="s">
        <v>1258</v>
      </c>
      <c r="C253" s="232" t="s">
        <v>1322</v>
      </c>
      <c r="D253" s="232" t="s">
        <v>1095</v>
      </c>
      <c r="E253" s="232">
        <v>3000</v>
      </c>
      <c r="F253" s="427" t="s">
        <v>1360</v>
      </c>
      <c r="G253" s="322" t="s">
        <v>296</v>
      </c>
      <c r="H253" s="232">
        <v>200</v>
      </c>
      <c r="I253" s="232">
        <v>4</v>
      </c>
      <c r="J253" s="424" t="str">
        <f t="shared" si="6"/>
        <v>KONTOOR, Fall21,  #4606214-LFCM0075 (DAZED) Qty: 3000, FAB: TBA, DEL: 23-Jan, Peak Tgt: 200, BU-4</v>
      </c>
    </row>
    <row r="254" spans="1:10" x14ac:dyDescent="0.3">
      <c r="A254" s="233" t="s">
        <v>583</v>
      </c>
      <c r="B254" s="411" t="s">
        <v>1258</v>
      </c>
      <c r="C254" s="232" t="s">
        <v>1323</v>
      </c>
      <c r="D254" s="232" t="s">
        <v>1346</v>
      </c>
      <c r="E254" s="232">
        <v>3500</v>
      </c>
      <c r="F254" s="427" t="s">
        <v>1360</v>
      </c>
      <c r="G254" s="322" t="s">
        <v>296</v>
      </c>
      <c r="H254" s="232">
        <v>200</v>
      </c>
      <c r="I254" s="232">
        <v>4</v>
      </c>
      <c r="J254" s="424" t="str">
        <f t="shared" si="6"/>
        <v>KONTOOR, Fall21,  #4606246-LFCM0075 (RAINSTORM) Qty: 3500, FAB: TBA, DEL: 23-Jan, Peak Tgt: 200, BU-4</v>
      </c>
    </row>
    <row r="255" spans="1:10" x14ac:dyDescent="0.3">
      <c r="A255" s="233" t="s">
        <v>583</v>
      </c>
      <c r="B255" s="411" t="s">
        <v>1258</v>
      </c>
      <c r="C255" s="232" t="s">
        <v>1324</v>
      </c>
      <c r="D255" s="232" t="s">
        <v>1009</v>
      </c>
      <c r="E255" s="232">
        <v>4700</v>
      </c>
      <c r="F255" s="427" t="s">
        <v>1360</v>
      </c>
      <c r="G255" s="322" t="s">
        <v>296</v>
      </c>
      <c r="H255" s="232">
        <v>200</v>
      </c>
      <c r="I255" s="232">
        <v>4</v>
      </c>
      <c r="J255" s="424" t="str">
        <f t="shared" si="6"/>
        <v>KONTOOR, Fall21,  #460589M-LFCM0075 (SORA BLUE) Qty: 4700, FAB: TBA, DEL: 23-Jan, Peak Tgt: 200, BU-4</v>
      </c>
    </row>
    <row r="256" spans="1:10" x14ac:dyDescent="0.3">
      <c r="A256" s="233" t="s">
        <v>583</v>
      </c>
      <c r="B256" s="411" t="s">
        <v>1258</v>
      </c>
      <c r="C256" s="232" t="s">
        <v>1325</v>
      </c>
      <c r="D256" s="232" t="s">
        <v>1347</v>
      </c>
      <c r="E256" s="232">
        <v>2000</v>
      </c>
      <c r="F256" s="427" t="s">
        <v>1155</v>
      </c>
      <c r="G256" s="322" t="s">
        <v>296</v>
      </c>
      <c r="H256" s="419" t="s">
        <v>296</v>
      </c>
      <c r="I256" s="419" t="s">
        <v>296</v>
      </c>
      <c r="J256" s="424" t="str">
        <f t="shared" si="6"/>
        <v>KONTOOR, Fall21,  #2090243-8330MW (Eclipse Blue) Qty: 2000, FAB: TBA, DEL: 9-Jan, Peak Tgt: TBA, BU-TBA</v>
      </c>
    </row>
    <row r="257" spans="1:10" x14ac:dyDescent="0.3">
      <c r="A257" s="233" t="s">
        <v>583</v>
      </c>
      <c r="B257" s="411" t="s">
        <v>1258</v>
      </c>
      <c r="C257" s="232" t="s">
        <v>1326</v>
      </c>
      <c r="D257" s="232" t="s">
        <v>1348</v>
      </c>
      <c r="E257" s="232">
        <v>2000</v>
      </c>
      <c r="F257" s="427" t="s">
        <v>1155</v>
      </c>
      <c r="G257" s="322" t="s">
        <v>296</v>
      </c>
      <c r="H257" s="419" t="s">
        <v>296</v>
      </c>
      <c r="I257" s="419" t="s">
        <v>296</v>
      </c>
      <c r="J257" s="424" t="str">
        <f t="shared" si="6"/>
        <v>KONTOOR, Fall21,  #2090244-8330MW (Grove) Qty: 2000, FAB: TBA, DEL: 9-Jan, Peak Tgt: TBA, BU-TBA</v>
      </c>
    </row>
    <row r="258" spans="1:10" x14ac:dyDescent="0.3">
      <c r="A258" s="233" t="s">
        <v>583</v>
      </c>
      <c r="B258" s="411" t="s">
        <v>1258</v>
      </c>
      <c r="C258" s="232" t="s">
        <v>1327</v>
      </c>
      <c r="D258" s="232" t="s">
        <v>1349</v>
      </c>
      <c r="E258" s="232">
        <v>1500</v>
      </c>
      <c r="F258" s="418" t="s">
        <v>922</v>
      </c>
      <c r="G258" s="322" t="s">
        <v>296</v>
      </c>
      <c r="H258" s="419" t="s">
        <v>296</v>
      </c>
      <c r="I258" s="419" t="s">
        <v>296</v>
      </c>
      <c r="J258" s="424" t="str">
        <f t="shared" si="6"/>
        <v>KONTOOR, Fall21,  #2090245-8330MW (Clay) Qty: 1500, FAB: TBA, DEL: 16-Jan, Peak Tgt: TBA, BU-TBA</v>
      </c>
    </row>
    <row r="259" spans="1:10" x14ac:dyDescent="0.3">
      <c r="A259" s="233" t="s">
        <v>583</v>
      </c>
      <c r="B259" s="411" t="s">
        <v>1258</v>
      </c>
      <c r="C259" s="232" t="s">
        <v>1328</v>
      </c>
      <c r="D259" s="232" t="s">
        <v>1350</v>
      </c>
      <c r="E259" s="232">
        <v>1500</v>
      </c>
      <c r="F259" s="427" t="s">
        <v>1155</v>
      </c>
      <c r="G259" s="322" t="s">
        <v>296</v>
      </c>
      <c r="H259" s="419" t="s">
        <v>296</v>
      </c>
      <c r="I259" s="419" t="s">
        <v>296</v>
      </c>
      <c r="J259" s="424" t="str">
        <f t="shared" si="6"/>
        <v>KONTOOR, Fall21,  #2090246-8330MW (Rip) Qty: 1500, FAB: TBA, DEL: 9-Jan, Peak Tgt: TBA, BU-TBA</v>
      </c>
    </row>
    <row r="260" spans="1:10" x14ac:dyDescent="0.3">
      <c r="A260" s="233" t="s">
        <v>583</v>
      </c>
      <c r="B260" s="411" t="s">
        <v>1258</v>
      </c>
      <c r="C260" s="232" t="s">
        <v>1329</v>
      </c>
      <c r="D260" s="232" t="s">
        <v>1351</v>
      </c>
      <c r="E260" s="232">
        <v>2000</v>
      </c>
      <c r="F260" s="418" t="s">
        <v>922</v>
      </c>
      <c r="G260" s="322" t="s">
        <v>296</v>
      </c>
      <c r="H260" s="419" t="s">
        <v>296</v>
      </c>
      <c r="I260" s="419" t="s">
        <v>296</v>
      </c>
      <c r="J260" s="424" t="str">
        <f t="shared" si="6"/>
        <v>KONTOOR, Fall21,  #2090103-8329MW (Desert) Qty: 2000, FAB: TBA, DEL: 16-Jan, Peak Tgt: TBA, BU-TBA</v>
      </c>
    </row>
    <row r="261" spans="1:10" x14ac:dyDescent="0.3">
      <c r="A261" s="233" t="s">
        <v>583</v>
      </c>
      <c r="B261" s="411" t="s">
        <v>1258</v>
      </c>
      <c r="C261" s="232" t="s">
        <v>1330</v>
      </c>
      <c r="D261" s="232" t="s">
        <v>1352</v>
      </c>
      <c r="E261" s="232">
        <v>2000</v>
      </c>
      <c r="F261" s="418" t="s">
        <v>922</v>
      </c>
      <c r="G261" s="322" t="s">
        <v>296</v>
      </c>
      <c r="H261" s="419" t="s">
        <v>296</v>
      </c>
      <c r="I261" s="419" t="s">
        <v>296</v>
      </c>
      <c r="J261" s="424" t="str">
        <f t="shared" si="6"/>
        <v>KONTOOR, Fall21,  #2090104-8329MW (Austin) Qty: 2000, FAB: TBA, DEL: 16-Jan, Peak Tgt: TBA, BU-TBA</v>
      </c>
    </row>
    <row r="262" spans="1:10" x14ac:dyDescent="0.3">
      <c r="A262" s="233" t="s">
        <v>583</v>
      </c>
      <c r="B262" s="411" t="s">
        <v>1258</v>
      </c>
      <c r="C262" s="232" t="s">
        <v>1331</v>
      </c>
      <c r="D262" s="232" t="s">
        <v>1353</v>
      </c>
      <c r="E262" s="232">
        <v>1500</v>
      </c>
      <c r="F262" s="427" t="s">
        <v>1155</v>
      </c>
      <c r="G262" s="322" t="s">
        <v>296</v>
      </c>
      <c r="H262" s="419" t="s">
        <v>296</v>
      </c>
      <c r="I262" s="419" t="s">
        <v>296</v>
      </c>
      <c r="J262" s="424" t="str">
        <f t="shared" si="6"/>
        <v>KONTOOR, Fall21,  #2090102-8329MW (Pavement) Qty: 1500, FAB: TBA, DEL: 9-Jan, Peak Tgt: TBA, BU-TBA</v>
      </c>
    </row>
    <row r="263" spans="1:10" x14ac:dyDescent="0.3">
      <c r="A263" s="233" t="s">
        <v>583</v>
      </c>
      <c r="B263" s="411" t="s">
        <v>1258</v>
      </c>
      <c r="C263" s="232" t="s">
        <v>1332</v>
      </c>
      <c r="D263" s="232" t="s">
        <v>1099</v>
      </c>
      <c r="E263" s="232">
        <v>1200</v>
      </c>
      <c r="F263" s="427" t="s">
        <v>1360</v>
      </c>
      <c r="G263" s="322" t="s">
        <v>296</v>
      </c>
      <c r="H263" s="419" t="s">
        <v>296</v>
      </c>
      <c r="I263" s="419" t="s">
        <v>296</v>
      </c>
      <c r="J263" s="424" t="str">
        <f t="shared" si="6"/>
        <v>KONTOOR, Fall21,  #3527709-LFDM0036 (Compass) Qty: 1200, FAB: TBA, DEL: 23-Jan, Peak Tgt: TBA, BU-TBA</v>
      </c>
    </row>
    <row r="264" spans="1:10" x14ac:dyDescent="0.3">
      <c r="A264" s="233" t="s">
        <v>583</v>
      </c>
      <c r="B264" s="411" t="s">
        <v>1258</v>
      </c>
      <c r="C264" s="232" t="s">
        <v>1333</v>
      </c>
      <c r="D264" s="232" t="s">
        <v>651</v>
      </c>
      <c r="E264" s="232">
        <v>850</v>
      </c>
      <c r="F264" s="427" t="s">
        <v>1359</v>
      </c>
      <c r="G264" s="322" t="s">
        <v>296</v>
      </c>
      <c r="H264" s="419" t="s">
        <v>296</v>
      </c>
      <c r="I264" s="419" t="s">
        <v>296</v>
      </c>
      <c r="J264" s="424" t="str">
        <f t="shared" si="6"/>
        <v>KONTOOR, Fall21,  #3527710-LFDM0036 (White) Qty: 850, FAB: TBA, DEL: 30-Jan, Peak Tgt: TBA, BU-TBA</v>
      </c>
    </row>
    <row r="265" spans="1:10" x14ac:dyDescent="0.3">
      <c r="A265" s="233" t="s">
        <v>583</v>
      </c>
      <c r="B265" s="411" t="s">
        <v>1258</v>
      </c>
      <c r="C265" s="232" t="s">
        <v>1334</v>
      </c>
      <c r="D265" s="232" t="s">
        <v>1354</v>
      </c>
      <c r="E265" s="232">
        <v>700</v>
      </c>
      <c r="F265" s="427" t="s">
        <v>1360</v>
      </c>
      <c r="G265" s="322" t="s">
        <v>296</v>
      </c>
      <c r="H265" s="419" t="s">
        <v>296</v>
      </c>
      <c r="I265" s="419" t="s">
        <v>296</v>
      </c>
      <c r="J265" s="424" t="str">
        <f t="shared" si="6"/>
        <v>KONTOOR, Fall21,  #3527782-LFDM0036 (Summer Haze Acid) Qty: 700, FAB: TBA, DEL: 23-Jan, Peak Tgt: TBA, BU-TBA</v>
      </c>
    </row>
    <row r="266" spans="1:10" x14ac:dyDescent="0.3">
      <c r="A266" s="233" t="s">
        <v>583</v>
      </c>
      <c r="B266" s="411" t="s">
        <v>1258</v>
      </c>
      <c r="C266" s="232" t="s">
        <v>1335</v>
      </c>
      <c r="D266" s="232" t="s">
        <v>1355</v>
      </c>
      <c r="E266" s="232">
        <v>950</v>
      </c>
      <c r="F266" s="427" t="s">
        <v>1360</v>
      </c>
      <c r="G266" s="322" t="s">
        <v>296</v>
      </c>
      <c r="H266" s="419" t="s">
        <v>296</v>
      </c>
      <c r="I266" s="419" t="s">
        <v>296</v>
      </c>
      <c r="J266" s="424" t="str">
        <f t="shared" si="6"/>
        <v>KONTOOR, Fall21,  #3772388-LFDM0104 (Berry Pink Acid) Qty: 950, FAB: TBA, DEL: 23-Jan, Peak Tgt: TBA, BU-TBA</v>
      </c>
    </row>
    <row r="267" spans="1:10" x14ac:dyDescent="0.3">
      <c r="A267" s="233" t="s">
        <v>583</v>
      </c>
      <c r="B267" s="411" t="s">
        <v>1258</v>
      </c>
      <c r="C267" s="232" t="s">
        <v>1336</v>
      </c>
      <c r="D267" s="232" t="s">
        <v>1356</v>
      </c>
      <c r="E267" s="232">
        <v>750</v>
      </c>
      <c r="F267" s="427" t="s">
        <v>1359</v>
      </c>
      <c r="G267" s="322" t="s">
        <v>296</v>
      </c>
      <c r="H267" s="419" t="s">
        <v>296</v>
      </c>
      <c r="I267" s="419" t="s">
        <v>296</v>
      </c>
      <c r="J267" s="424" t="str">
        <f t="shared" si="6"/>
        <v>KONTOOR, Fall21,  #3772385-LFDM0104 (Light Indigo Acid) Qty: 750, FAB: TBA, DEL: 30-Jan, Peak Tgt: TBA, BU-TBA</v>
      </c>
    </row>
    <row r="268" spans="1:10" x14ac:dyDescent="0.3">
      <c r="A268" s="233" t="s">
        <v>583</v>
      </c>
      <c r="B268" s="411" t="s">
        <v>1258</v>
      </c>
      <c r="C268" s="232" t="s">
        <v>1337</v>
      </c>
      <c r="D268" s="232" t="s">
        <v>1357</v>
      </c>
      <c r="E268" s="232">
        <v>1000</v>
      </c>
      <c r="F268" s="427" t="s">
        <v>1360</v>
      </c>
      <c r="G268" s="322" t="s">
        <v>296</v>
      </c>
      <c r="H268" s="419" t="s">
        <v>296</v>
      </c>
      <c r="I268" s="419" t="s">
        <v>296</v>
      </c>
      <c r="J268" s="424" t="str">
        <f t="shared" si="6"/>
        <v>KONTOOR, Fall21,  #3535180-LFDM0119 (Persimmon Acid) Qty: 1000, FAB: TBA, DEL: 23-Jan, Peak Tgt: TBA, BU-TBA</v>
      </c>
    </row>
    <row r="269" spans="1:10" x14ac:dyDescent="0.3">
      <c r="A269" s="233" t="s">
        <v>583</v>
      </c>
      <c r="B269" s="411" t="s">
        <v>1258</v>
      </c>
      <c r="C269" s="232" t="s">
        <v>1338</v>
      </c>
      <c r="D269" s="232" t="s">
        <v>1356</v>
      </c>
      <c r="E269" s="232">
        <v>1000</v>
      </c>
      <c r="F269" s="427" t="s">
        <v>1359</v>
      </c>
      <c r="G269" s="322" t="s">
        <v>296</v>
      </c>
      <c r="H269" s="419" t="s">
        <v>296</v>
      </c>
      <c r="I269" s="419" t="s">
        <v>296</v>
      </c>
      <c r="J269" s="424" t="str">
        <f t="shared" si="6"/>
        <v>KONTOOR, Fall21,  #3535185-LFDM0119 (Light Indigo Acid) Qty: 1000, FAB: TBA, DEL: 30-Jan, Peak Tgt: TBA, BU-TBA</v>
      </c>
    </row>
    <row r="270" spans="1:10" x14ac:dyDescent="0.3">
      <c r="A270" s="233" t="s">
        <v>583</v>
      </c>
      <c r="B270" s="411" t="s">
        <v>1258</v>
      </c>
      <c r="C270" s="232" t="s">
        <v>1339</v>
      </c>
      <c r="D270" s="232" t="s">
        <v>1358</v>
      </c>
      <c r="E270" s="232">
        <v>800</v>
      </c>
      <c r="F270" s="427" t="s">
        <v>1359</v>
      </c>
      <c r="G270" s="322" t="s">
        <v>296</v>
      </c>
      <c r="H270" s="419" t="s">
        <v>296</v>
      </c>
      <c r="I270" s="419" t="s">
        <v>296</v>
      </c>
      <c r="J270" s="424" t="str">
        <f t="shared" si="6"/>
        <v>KONTOOR, Fall21,  #3778640-LFDM0120 (Got Your Back) Qty: 800, FAB: TBA, DEL: 30-Jan, Peak Tgt: TBA, BU-TBA</v>
      </c>
    </row>
    <row r="271" spans="1:10" x14ac:dyDescent="0.3">
      <c r="A271" s="233" t="s">
        <v>583</v>
      </c>
      <c r="B271" s="411" t="s">
        <v>1258</v>
      </c>
      <c r="C271" s="232" t="s">
        <v>1340</v>
      </c>
      <c r="D271" s="232" t="s">
        <v>940</v>
      </c>
      <c r="E271" s="232">
        <v>1050</v>
      </c>
      <c r="F271" s="427" t="s">
        <v>1360</v>
      </c>
      <c r="G271" s="322" t="s">
        <v>296</v>
      </c>
      <c r="H271" s="419" t="s">
        <v>296</v>
      </c>
      <c r="I271" s="419" t="s">
        <v>296</v>
      </c>
      <c r="J271" s="424" t="str">
        <f t="shared" si="6"/>
        <v>KONTOOR, Fall21,  #3778638-LFDM0120 (Light Wash) Qty: 1050, FAB: TBA, DEL: 23-Jan, Peak Tgt: TBA, BU-TBA</v>
      </c>
    </row>
    <row r="272" spans="1:10" x14ac:dyDescent="0.3">
      <c r="A272" s="233" t="s">
        <v>583</v>
      </c>
      <c r="B272" s="411" t="s">
        <v>1258</v>
      </c>
      <c r="C272" s="232" t="s">
        <v>1341</v>
      </c>
      <c r="D272" s="232" t="s">
        <v>1104</v>
      </c>
      <c r="E272" s="232">
        <v>800</v>
      </c>
      <c r="F272" s="427" t="s">
        <v>1359</v>
      </c>
      <c r="G272" s="322" t="s">
        <v>296</v>
      </c>
      <c r="H272" s="419" t="s">
        <v>296</v>
      </c>
      <c r="I272" s="419" t="s">
        <v>296</v>
      </c>
      <c r="J272" s="424" t="str">
        <f t="shared" si="6"/>
        <v>KONTOOR, Fall21,  #3772330-LFDM0104 (Horizon) Qty: 800, FAB: TBA, DEL: 30-Jan, Peak Tgt: TBA, BU-TBA</v>
      </c>
    </row>
    <row r="273" spans="1:10" x14ac:dyDescent="0.3">
      <c r="A273" s="233" t="s">
        <v>583</v>
      </c>
      <c r="B273" s="428" t="s">
        <v>1258</v>
      </c>
      <c r="C273" s="232" t="s">
        <v>1131</v>
      </c>
      <c r="D273" s="232" t="s">
        <v>1139</v>
      </c>
      <c r="E273" s="232">
        <v>18055</v>
      </c>
      <c r="F273" s="429" t="s">
        <v>1378</v>
      </c>
      <c r="G273" s="322" t="s">
        <v>296</v>
      </c>
      <c r="H273" s="232">
        <v>215</v>
      </c>
      <c r="I273" s="232">
        <v>4</v>
      </c>
      <c r="J273" s="398" t="str">
        <f t="shared" si="6"/>
        <v>KONTOOR, Fall21,  #1CMRS88 (Railroad Stripe) Qty: 18055, FAB: TBA, DEL: 6-Feb, Peak Tgt: 215, BU-4</v>
      </c>
    </row>
    <row r="274" spans="1:10" x14ac:dyDescent="0.3">
      <c r="A274" s="233" t="s">
        <v>583</v>
      </c>
      <c r="B274" s="428" t="s">
        <v>1258</v>
      </c>
      <c r="C274" s="232" t="s">
        <v>1131</v>
      </c>
      <c r="D274" s="232" t="s">
        <v>1139</v>
      </c>
      <c r="E274" s="232">
        <v>4155</v>
      </c>
      <c r="F274" s="430" t="s">
        <v>1379</v>
      </c>
      <c r="G274" s="322" t="s">
        <v>296</v>
      </c>
      <c r="H274" s="232">
        <v>215</v>
      </c>
      <c r="I274" s="232">
        <v>4</v>
      </c>
      <c r="J274" s="398" t="str">
        <f t="shared" si="6"/>
        <v>KONTOOR, Fall21,  #1CMRS88 (Railroad Stripe) Qty: 4155, FAB: TBA, DEL: 6-Mar, Peak Tgt: 215, BU-4</v>
      </c>
    </row>
    <row r="275" spans="1:10" x14ac:dyDescent="0.3">
      <c r="A275" s="233" t="s">
        <v>583</v>
      </c>
      <c r="B275" s="428" t="s">
        <v>1258</v>
      </c>
      <c r="C275" s="232">
        <v>3784755</v>
      </c>
      <c r="D275" s="232" t="s">
        <v>1009</v>
      </c>
      <c r="E275" s="232">
        <v>1501</v>
      </c>
      <c r="F275" s="430" t="s">
        <v>1359</v>
      </c>
      <c r="G275" s="322" t="s">
        <v>296</v>
      </c>
      <c r="H275" s="232">
        <v>180</v>
      </c>
      <c r="I275" s="232">
        <v>3</v>
      </c>
      <c r="J275" s="434" t="str">
        <f t="shared" si="6"/>
        <v>KONTOOR, Fall21,  #3784755 (SORA BLUE) Qty: 1501, FAB: TBA, DEL: 30-Jan, Peak Tgt: 180, BU-3</v>
      </c>
    </row>
    <row r="276" spans="1:10" x14ac:dyDescent="0.3">
      <c r="A276" s="233" t="s">
        <v>583</v>
      </c>
      <c r="B276" s="428" t="s">
        <v>1258</v>
      </c>
      <c r="C276" s="232" t="s">
        <v>1005</v>
      </c>
      <c r="D276" s="232" t="s">
        <v>1007</v>
      </c>
      <c r="E276" s="232">
        <v>5000</v>
      </c>
      <c r="F276" s="430" t="s">
        <v>1359</v>
      </c>
      <c r="G276" s="322" t="s">
        <v>296</v>
      </c>
      <c r="H276" s="232">
        <v>180</v>
      </c>
      <c r="I276" s="232">
        <v>3</v>
      </c>
      <c r="J276" s="434" t="str">
        <f t="shared" si="6"/>
        <v>KONTOOR, Fall21,  #ZFC9BI2 (Dark) Qty: 5000, FAB: TBA, DEL: 30-Jan, Peak Tgt: 180, BU-3</v>
      </c>
    </row>
    <row r="277" spans="1:10" x14ac:dyDescent="0.3">
      <c r="A277" s="233" t="s">
        <v>583</v>
      </c>
      <c r="B277" s="428" t="s">
        <v>1258</v>
      </c>
      <c r="C277" s="232" t="s">
        <v>1006</v>
      </c>
      <c r="D277" s="232" t="s">
        <v>1008</v>
      </c>
      <c r="E277" s="232">
        <v>8000</v>
      </c>
      <c r="F277" s="430" t="s">
        <v>1359</v>
      </c>
      <c r="G277" s="322" t="s">
        <v>296</v>
      </c>
      <c r="H277" s="232">
        <v>180</v>
      </c>
      <c r="I277" s="232">
        <v>3</v>
      </c>
      <c r="J277" s="434" t="str">
        <f t="shared" si="6"/>
        <v>KONTOOR, Fall21,  #ZFC9BI4 (Mid) Qty: 8000, FAB: TBA, DEL: 30-Jan, Peak Tgt: 180, BU-3</v>
      </c>
    </row>
    <row r="278" spans="1:10" x14ac:dyDescent="0.3">
      <c r="A278" s="233" t="s">
        <v>583</v>
      </c>
      <c r="B278" s="428" t="s">
        <v>1258</v>
      </c>
      <c r="C278" s="232" t="s">
        <v>1414</v>
      </c>
      <c r="D278" s="232" t="s">
        <v>575</v>
      </c>
      <c r="E278" s="232">
        <v>1800</v>
      </c>
      <c r="F278" s="432" t="s">
        <v>1113</v>
      </c>
      <c r="G278" s="322" t="s">
        <v>296</v>
      </c>
      <c r="H278" s="232">
        <v>180</v>
      </c>
      <c r="I278" s="232">
        <v>4</v>
      </c>
      <c r="J278" s="434" t="str">
        <f t="shared" si="6"/>
        <v>KONTOOR, Fall21,  #96UFMWB (Wright Blue) Qty: 1800, FAB: TBA, DEL: 2-Jan, Peak Tgt: 180, BU-4</v>
      </c>
    </row>
    <row r="279" spans="1:10" x14ac:dyDescent="0.3">
      <c r="A279" s="233" t="s">
        <v>583</v>
      </c>
      <c r="B279" s="428" t="s">
        <v>1258</v>
      </c>
      <c r="C279" s="232" t="s">
        <v>573</v>
      </c>
      <c r="D279" s="232" t="s">
        <v>574</v>
      </c>
      <c r="E279" s="232">
        <v>1800</v>
      </c>
      <c r="F279" s="432" t="s">
        <v>1113</v>
      </c>
      <c r="G279" s="322" t="s">
        <v>296</v>
      </c>
      <c r="H279" s="232">
        <v>180</v>
      </c>
      <c r="I279" s="232">
        <v>4</v>
      </c>
      <c r="J279" s="434" t="str">
        <f t="shared" si="6"/>
        <v>KONTOOR, Fall21,  #96UFMBB (Blue Banks) Qty: 1800, FAB: TBA, DEL: 2-Jan, Peak Tgt: 180, BU-4</v>
      </c>
    </row>
    <row r="280" spans="1:10" x14ac:dyDescent="0.3">
      <c r="A280" s="233" t="s">
        <v>583</v>
      </c>
      <c r="B280" s="428" t="s">
        <v>1258</v>
      </c>
      <c r="C280" s="232" t="s">
        <v>1414</v>
      </c>
      <c r="D280" s="232" t="s">
        <v>575</v>
      </c>
      <c r="E280" s="232">
        <v>2500</v>
      </c>
      <c r="F280" s="432" t="s">
        <v>1155</v>
      </c>
      <c r="G280" s="322" t="s">
        <v>296</v>
      </c>
      <c r="H280" s="232">
        <v>180</v>
      </c>
      <c r="I280" s="232">
        <v>4</v>
      </c>
      <c r="J280" s="434" t="str">
        <f t="shared" si="6"/>
        <v>KONTOOR, Fall21,  #96UFMWB (Wright Blue) Qty: 2500, FAB: TBA, DEL: 9-Jan, Peak Tgt: 180, BU-4</v>
      </c>
    </row>
    <row r="281" spans="1:10" x14ac:dyDescent="0.3">
      <c r="A281" s="233" t="s">
        <v>583</v>
      </c>
      <c r="B281" s="428" t="s">
        <v>1258</v>
      </c>
      <c r="C281" s="232" t="s">
        <v>573</v>
      </c>
      <c r="D281" s="232" t="s">
        <v>574</v>
      </c>
      <c r="E281" s="232">
        <v>2500</v>
      </c>
      <c r="F281" s="432" t="s">
        <v>1155</v>
      </c>
      <c r="G281" s="322" t="s">
        <v>296</v>
      </c>
      <c r="H281" s="232">
        <v>180</v>
      </c>
      <c r="I281" s="232">
        <v>4</v>
      </c>
      <c r="J281" s="434" t="str">
        <f t="shared" si="6"/>
        <v>KONTOOR, Fall21,  #96UFMBB (Blue Banks) Qty: 2500, FAB: TBA, DEL: 9-Jan, Peak Tgt: 180, BU-4</v>
      </c>
    </row>
    <row r="282" spans="1:10" x14ac:dyDescent="0.3">
      <c r="A282" s="233" t="s">
        <v>583</v>
      </c>
      <c r="B282" s="428" t="s">
        <v>1258</v>
      </c>
      <c r="C282" s="232">
        <v>2015042</v>
      </c>
      <c r="D282" s="232" t="s">
        <v>294</v>
      </c>
      <c r="E282" s="232">
        <v>11400</v>
      </c>
      <c r="F282" s="432" t="s">
        <v>1113</v>
      </c>
      <c r="G282" s="322" t="s">
        <v>296</v>
      </c>
      <c r="H282" s="232">
        <v>160</v>
      </c>
      <c r="I282" s="232">
        <v>4</v>
      </c>
      <c r="J282" s="434" t="str">
        <f t="shared" si="6"/>
        <v>KONTOOR, Fall21,  #2015042 (Maddox) Qty: 11400, FAB: TBA, DEL: 2-Jan, Peak Tgt: 160, BU-4</v>
      </c>
    </row>
    <row r="283" spans="1:10" x14ac:dyDescent="0.3">
      <c r="A283" s="233" t="s">
        <v>583</v>
      </c>
      <c r="B283" s="428" t="s">
        <v>1258</v>
      </c>
      <c r="C283" s="232">
        <v>2105042</v>
      </c>
      <c r="D283" s="232" t="s">
        <v>294</v>
      </c>
      <c r="E283" s="232">
        <v>800</v>
      </c>
      <c r="F283" s="432" t="s">
        <v>1113</v>
      </c>
      <c r="G283" s="322" t="s">
        <v>296</v>
      </c>
      <c r="H283" s="232">
        <v>160</v>
      </c>
      <c r="I283" s="232">
        <v>4</v>
      </c>
      <c r="J283" s="434" t="str">
        <f t="shared" si="6"/>
        <v>KONTOOR, Fall21,  #2105042 (Maddox) Qty: 800, FAB: TBA, DEL: 2-Jan, Peak Tgt: 160, BU-4</v>
      </c>
    </row>
    <row r="284" spans="1:10" x14ac:dyDescent="0.3">
      <c r="A284" s="233" t="s">
        <v>583</v>
      </c>
      <c r="B284" s="428" t="s">
        <v>1258</v>
      </c>
      <c r="C284" s="232" t="s">
        <v>1425</v>
      </c>
      <c r="D284" s="232" t="s">
        <v>576</v>
      </c>
      <c r="E284" s="232">
        <v>3400</v>
      </c>
      <c r="F284" s="432" t="s">
        <v>1155</v>
      </c>
      <c r="G284" s="322" t="s">
        <v>296</v>
      </c>
      <c r="H284" s="232">
        <v>180</v>
      </c>
      <c r="I284" s="232">
        <v>4</v>
      </c>
      <c r="J284" s="434" t="str">
        <f t="shared" si="6"/>
        <v>KONTOOR, Fall21,  #95UFMCU (Coastal Blue) Qty: 3400, FAB: TBA, DEL: 9-Jan, Peak Tgt: 180, BU-4</v>
      </c>
    </row>
    <row r="285" spans="1:10" x14ac:dyDescent="0.3">
      <c r="A285" s="233" t="s">
        <v>583</v>
      </c>
      <c r="B285" s="428" t="s">
        <v>1258</v>
      </c>
      <c r="C285" s="232" t="s">
        <v>1426</v>
      </c>
      <c r="D285" s="232" t="s">
        <v>577</v>
      </c>
      <c r="E285" s="232">
        <v>3000</v>
      </c>
      <c r="F285" s="432" t="s">
        <v>1155</v>
      </c>
      <c r="G285" s="322" t="s">
        <v>296</v>
      </c>
      <c r="H285" s="232">
        <v>180</v>
      </c>
      <c r="I285" s="232">
        <v>4</v>
      </c>
      <c r="J285" s="434" t="str">
        <f t="shared" si="6"/>
        <v>KONTOOR, Fall21,  #95UFMSI (Seaside Indigo) Qty: 3000, FAB: TBA, DEL: 9-Jan, Peak Tgt: 180, BU-4</v>
      </c>
    </row>
    <row r="286" spans="1:10" x14ac:dyDescent="0.3">
      <c r="A286" s="233" t="s">
        <v>583</v>
      </c>
      <c r="B286" s="428" t="s">
        <v>1258</v>
      </c>
      <c r="C286" s="232" t="s">
        <v>1425</v>
      </c>
      <c r="D286" s="232" t="s">
        <v>576</v>
      </c>
      <c r="E286" s="232">
        <v>3000</v>
      </c>
      <c r="F286" s="432" t="s">
        <v>1113</v>
      </c>
      <c r="G286" s="322" t="s">
        <v>296</v>
      </c>
      <c r="H286" s="232">
        <v>180</v>
      </c>
      <c r="I286" s="232">
        <v>4</v>
      </c>
      <c r="J286" s="434" t="str">
        <f t="shared" si="6"/>
        <v>KONTOOR, Fall21,  #95UFMCU (Coastal Blue) Qty: 3000, FAB: TBA, DEL: 2-Jan, Peak Tgt: 180, BU-4</v>
      </c>
    </row>
    <row r="287" spans="1:10" x14ac:dyDescent="0.3">
      <c r="A287" s="233" t="s">
        <v>583</v>
      </c>
      <c r="B287" s="428" t="s">
        <v>1258</v>
      </c>
      <c r="C287" s="232" t="s">
        <v>1426</v>
      </c>
      <c r="D287" s="232" t="s">
        <v>577</v>
      </c>
      <c r="E287" s="232">
        <v>4200</v>
      </c>
      <c r="F287" s="432" t="s">
        <v>1113</v>
      </c>
      <c r="G287" s="322" t="s">
        <v>296</v>
      </c>
      <c r="H287" s="232">
        <v>180</v>
      </c>
      <c r="I287" s="232">
        <v>4</v>
      </c>
      <c r="J287" s="434" t="str">
        <f t="shared" si="6"/>
        <v>KONTOOR, Fall21,  #95UFMSI (Seaside Indigo) Qty: 4200, FAB: TBA, DEL: 2-Jan, Peak Tgt: 180, BU-4</v>
      </c>
    </row>
    <row r="288" spans="1:10" x14ac:dyDescent="0.3">
      <c r="A288" s="233" t="s">
        <v>583</v>
      </c>
      <c r="B288" s="428" t="s">
        <v>1258</v>
      </c>
      <c r="C288" s="232">
        <v>2015042</v>
      </c>
      <c r="D288" s="232" t="s">
        <v>294</v>
      </c>
      <c r="E288" s="232">
        <v>3600</v>
      </c>
      <c r="F288" s="430" t="s">
        <v>1359</v>
      </c>
      <c r="G288" s="322" t="s">
        <v>296</v>
      </c>
      <c r="H288" s="232">
        <v>160</v>
      </c>
      <c r="I288" s="232">
        <v>4</v>
      </c>
      <c r="J288" s="434" t="str">
        <f t="shared" si="6"/>
        <v>KONTOOR, Fall21,  #2015042 (Maddox) Qty: 3600, FAB: TBA, DEL: 30-Jan, Peak Tgt: 160, BU-4</v>
      </c>
    </row>
    <row r="289" spans="1:10" x14ac:dyDescent="0.3">
      <c r="A289" s="233" t="s">
        <v>583</v>
      </c>
      <c r="B289" s="428" t="s">
        <v>1258</v>
      </c>
      <c r="C289" s="232">
        <v>2018224</v>
      </c>
      <c r="D289" s="232" t="s">
        <v>665</v>
      </c>
      <c r="E289" s="232">
        <v>3000</v>
      </c>
      <c r="F289" s="430" t="s">
        <v>1359</v>
      </c>
      <c r="G289" s="322" t="s">
        <v>296</v>
      </c>
      <c r="H289" s="232">
        <v>160</v>
      </c>
      <c r="I289" s="232">
        <v>4</v>
      </c>
      <c r="J289" s="434" t="str">
        <f t="shared" si="6"/>
        <v>KONTOOR, Fall21,  #2018224 (Executive) Qty: 3000, FAB: TBA, DEL: 30-Jan, Peak Tgt: 160, BU-4</v>
      </c>
    </row>
    <row r="290" spans="1:10" x14ac:dyDescent="0.3">
      <c r="A290" s="233" t="s">
        <v>583</v>
      </c>
      <c r="B290" s="428" t="s">
        <v>1258</v>
      </c>
      <c r="C290" s="232">
        <v>2108524</v>
      </c>
      <c r="D290" s="232" t="s">
        <v>665</v>
      </c>
      <c r="E290" s="232">
        <v>3500</v>
      </c>
      <c r="F290" s="430" t="s">
        <v>1359</v>
      </c>
      <c r="G290" s="322" t="s">
        <v>296</v>
      </c>
      <c r="H290" s="232">
        <v>160</v>
      </c>
      <c r="I290" s="232">
        <v>4</v>
      </c>
      <c r="J290" s="434" t="str">
        <f t="shared" si="6"/>
        <v>KONTOOR, Fall21,  #2108524 (Executive) Qty: 3500, FAB: TBA, DEL: 30-Jan, Peak Tgt: 160, BU-4</v>
      </c>
    </row>
    <row r="291" spans="1:10" x14ac:dyDescent="0.3">
      <c r="A291" s="233" t="s">
        <v>583</v>
      </c>
      <c r="B291" s="428" t="s">
        <v>1258</v>
      </c>
      <c r="C291" s="232">
        <v>3778605</v>
      </c>
      <c r="D291" s="437" t="s">
        <v>1140</v>
      </c>
      <c r="E291" s="232">
        <v>1000</v>
      </c>
      <c r="F291" s="430" t="s">
        <v>1359</v>
      </c>
      <c r="G291" s="322" t="s">
        <v>296</v>
      </c>
      <c r="H291" s="232">
        <v>180</v>
      </c>
      <c r="I291" s="232">
        <v>3</v>
      </c>
      <c r="J291" s="232" t="str">
        <f t="shared" si="6"/>
        <v>KONTOOR, Fall21,  #3778605 (Influx) Qty: 1000, FAB: TBA, DEL: 30-Jan, Peak Tgt: 180, BU-3</v>
      </c>
    </row>
    <row r="292" spans="1:10" x14ac:dyDescent="0.3">
      <c r="A292" s="233" t="s">
        <v>583</v>
      </c>
      <c r="B292" s="428" t="s">
        <v>1258</v>
      </c>
      <c r="C292" s="232">
        <v>3778612</v>
      </c>
      <c r="D292" s="437" t="s">
        <v>1437</v>
      </c>
      <c r="E292" s="232">
        <v>2000</v>
      </c>
      <c r="F292" s="430" t="s">
        <v>1359</v>
      </c>
      <c r="G292" s="322" t="s">
        <v>296</v>
      </c>
      <c r="H292" s="232">
        <v>180</v>
      </c>
      <c r="I292" s="232">
        <v>3</v>
      </c>
      <c r="J292" s="232" t="str">
        <f t="shared" si="6"/>
        <v>KONTOOR, Fall21,  #3778612 (Tide) Qty: 2000, FAB: TBA, DEL: 30-Jan, Peak Tgt: 180, BU-3</v>
      </c>
    </row>
    <row r="293" spans="1:10" x14ac:dyDescent="0.3">
      <c r="A293" s="233" t="s">
        <v>435</v>
      </c>
      <c r="B293" s="393" t="s">
        <v>1194</v>
      </c>
      <c r="C293" s="232">
        <v>189205</v>
      </c>
      <c r="D293" s="454" t="s">
        <v>1547</v>
      </c>
      <c r="E293" s="232">
        <v>2493</v>
      </c>
      <c r="F293" s="453" t="s">
        <v>1546</v>
      </c>
      <c r="G293" s="322" t="s">
        <v>296</v>
      </c>
      <c r="H293" s="232">
        <v>180</v>
      </c>
      <c r="I293" s="232">
        <v>3</v>
      </c>
      <c r="J293" s="457" t="str">
        <f t="shared" si="6"/>
        <v>T-AUS, Win21,  #189205 (BLU/BLK) Qty: 2493, FAB: TBA, DEL: 11-Feb/999, 25-Mar/999, Peak Tgt: 180, BU-3</v>
      </c>
    </row>
    <row r="294" spans="1:10" x14ac:dyDescent="0.3">
      <c r="A294" s="233" t="s">
        <v>435</v>
      </c>
      <c r="B294" s="393" t="s">
        <v>1194</v>
      </c>
      <c r="C294" s="232">
        <v>189204</v>
      </c>
      <c r="D294" s="232" t="s">
        <v>1176</v>
      </c>
      <c r="E294" s="232">
        <v>3486</v>
      </c>
      <c r="F294" s="453" t="s">
        <v>1548</v>
      </c>
      <c r="G294" s="322" t="s">
        <v>296</v>
      </c>
      <c r="H294" s="232">
        <v>180</v>
      </c>
      <c r="I294" s="232">
        <v>3</v>
      </c>
      <c r="J294" s="457" t="str">
        <f t="shared" si="6"/>
        <v>T-AUS, Win21,  #189204 (Dark Blue) Qty: 3486, FAB: TBA, DEL: 11-Feb/1496, 18-Mar/1000, Peak Tgt: 180, BU-3</v>
      </c>
    </row>
    <row r="295" spans="1:10" x14ac:dyDescent="0.3">
      <c r="A295" s="233" t="s">
        <v>435</v>
      </c>
      <c r="B295" s="393" t="s">
        <v>1194</v>
      </c>
      <c r="C295" s="232">
        <v>189207</v>
      </c>
      <c r="D295" s="454" t="s">
        <v>1167</v>
      </c>
      <c r="E295" s="232">
        <v>3486</v>
      </c>
      <c r="F295" s="453" t="s">
        <v>1548</v>
      </c>
      <c r="G295" s="322" t="s">
        <v>296</v>
      </c>
      <c r="H295" s="232">
        <v>180</v>
      </c>
      <c r="I295" s="232">
        <v>3</v>
      </c>
      <c r="J295" s="457" t="str">
        <f t="shared" ref="J295:J332" si="7">A295&amp;", "&amp;B295&amp;",  #"&amp;C295&amp;" ("&amp;D295&amp;") Qty: "&amp;E295&amp;", FAB: "&amp;G295&amp;", DEL: "&amp;F295&amp;", Peak Tgt: "&amp;H295&amp;", BU-"&amp;I295</f>
        <v>T-AUS, Win21,  #189207 (W. Blue) Qty: 3486, FAB: TBA, DEL: 11-Feb/1496, 18-Mar/1000, Peak Tgt: 180, BU-3</v>
      </c>
    </row>
    <row r="296" spans="1:10" x14ac:dyDescent="0.3">
      <c r="A296" s="233" t="s">
        <v>435</v>
      </c>
      <c r="B296" s="393" t="s">
        <v>1194</v>
      </c>
      <c r="C296" s="232">
        <v>193238</v>
      </c>
      <c r="D296" s="454" t="s">
        <v>1167</v>
      </c>
      <c r="E296" s="232">
        <v>1980</v>
      </c>
      <c r="F296" s="453" t="s">
        <v>1549</v>
      </c>
      <c r="G296" s="322" t="s">
        <v>296</v>
      </c>
      <c r="H296" s="232">
        <v>180</v>
      </c>
      <c r="I296" s="232">
        <v>3</v>
      </c>
      <c r="J296" s="457" t="str">
        <f t="shared" si="7"/>
        <v>T-AUS, Win21,  #193238 (W. Blue) Qty: 1980, FAB: TBA, DEL: 11-Feb/990, 18-Mar/495, Peak Tgt: 180, BU-3</v>
      </c>
    </row>
    <row r="297" spans="1:10" x14ac:dyDescent="0.3">
      <c r="A297" s="233" t="s">
        <v>435</v>
      </c>
      <c r="B297" s="393" t="s">
        <v>1194</v>
      </c>
      <c r="C297" s="232">
        <v>189211</v>
      </c>
      <c r="D297" s="454" t="s">
        <v>1547</v>
      </c>
      <c r="E297" s="232">
        <v>1985</v>
      </c>
      <c r="F297" s="453" t="s">
        <v>1549</v>
      </c>
      <c r="G297" s="322" t="s">
        <v>296</v>
      </c>
      <c r="H297" s="232">
        <v>180</v>
      </c>
      <c r="I297" s="232">
        <v>3</v>
      </c>
      <c r="J297" s="457" t="str">
        <f t="shared" si="7"/>
        <v>T-AUS, Win21,  #189211 (BLU/BLK) Qty: 1985, FAB: TBA, DEL: 11-Feb/990, 18-Mar/495, Peak Tgt: 180, BU-3</v>
      </c>
    </row>
    <row r="298" spans="1:10" x14ac:dyDescent="0.3">
      <c r="A298" s="233" t="s">
        <v>435</v>
      </c>
      <c r="B298" s="393" t="s">
        <v>1194</v>
      </c>
      <c r="C298" s="232">
        <v>208701</v>
      </c>
      <c r="D298" s="454" t="s">
        <v>1547</v>
      </c>
      <c r="E298" s="232">
        <v>1995</v>
      </c>
      <c r="F298" s="453" t="s">
        <v>1550</v>
      </c>
      <c r="G298" s="322" t="s">
        <v>296</v>
      </c>
      <c r="H298" s="232">
        <v>180</v>
      </c>
      <c r="I298" s="232">
        <v>3</v>
      </c>
      <c r="J298" s="457" t="str">
        <f t="shared" si="7"/>
        <v>T-AUS, Win21,  #208701 (BLU/BLK) Qty: 1995, FAB: TBA, DEL: 11-Feb/1000, 18-Mar/495, Peak Tgt: 180, BU-3</v>
      </c>
    </row>
    <row r="299" spans="1:10" x14ac:dyDescent="0.3">
      <c r="A299" s="233" t="s">
        <v>435</v>
      </c>
      <c r="B299" s="393" t="s">
        <v>1194</v>
      </c>
      <c r="C299" s="232" t="s">
        <v>1186</v>
      </c>
      <c r="D299" s="232" t="s">
        <v>1551</v>
      </c>
      <c r="E299" s="232">
        <v>6340</v>
      </c>
      <c r="F299" s="453" t="s">
        <v>1552</v>
      </c>
      <c r="G299" s="322" t="s">
        <v>296</v>
      </c>
      <c r="H299" s="232">
        <v>180</v>
      </c>
      <c r="I299" s="232">
        <v>3</v>
      </c>
      <c r="J299" s="457" t="str">
        <f t="shared" si="7"/>
        <v>T-AUS, Win21,  #197594B (STAY BLACK) Qty: 6340, FAB: TBA, DEL: 14-Feb/780, 28-Feb/800, Peak Tgt: 180, BU-3</v>
      </c>
    </row>
    <row r="300" spans="1:10" x14ac:dyDescent="0.3">
      <c r="A300" s="233" t="s">
        <v>435</v>
      </c>
      <c r="B300" s="393" t="s">
        <v>1194</v>
      </c>
      <c r="C300" s="232" t="s">
        <v>1188</v>
      </c>
      <c r="D300" s="232" t="s">
        <v>1553</v>
      </c>
      <c r="E300" s="232">
        <v>6019</v>
      </c>
      <c r="F300" s="453" t="s">
        <v>1554</v>
      </c>
      <c r="G300" s="322" t="s">
        <v>296</v>
      </c>
      <c r="H300" s="232">
        <v>180</v>
      </c>
      <c r="I300" s="232">
        <v>3</v>
      </c>
      <c r="J300" s="457" t="str">
        <f t="shared" si="7"/>
        <v>T-AUS, Win21,  #209024B (Mid wash) Qty: 6019, FAB: TBA, DEL: 14-Feb/906, 28-Feb/1200, Peak Tgt: 180, BU-3</v>
      </c>
    </row>
    <row r="301" spans="1:10" x14ac:dyDescent="0.3">
      <c r="A301" s="233" t="s">
        <v>435</v>
      </c>
      <c r="B301" s="393" t="s">
        <v>1194</v>
      </c>
      <c r="C301" s="232">
        <v>184731</v>
      </c>
      <c r="D301" s="232" t="s">
        <v>1555</v>
      </c>
      <c r="E301" s="232">
        <v>5580</v>
      </c>
      <c r="F301" s="453" t="s">
        <v>1556</v>
      </c>
      <c r="G301" s="322" t="s">
        <v>296</v>
      </c>
      <c r="H301" s="232">
        <v>180</v>
      </c>
      <c r="I301" s="232">
        <v>3</v>
      </c>
      <c r="J301" s="457" t="str">
        <f t="shared" si="7"/>
        <v>T-AUS, Win21,  #184731 (DARK WASH) Qty: 5580, FAB: TBA, DEL: 14-Feb/1200, 28-Feb/780, Peak Tgt: 180, BU-3</v>
      </c>
    </row>
    <row r="302" spans="1:10" x14ac:dyDescent="0.3">
      <c r="A302" s="233" t="s">
        <v>435</v>
      </c>
      <c r="B302" s="393" t="s">
        <v>1194</v>
      </c>
      <c r="C302" s="232">
        <v>191550</v>
      </c>
      <c r="D302" s="232" t="s">
        <v>1557</v>
      </c>
      <c r="E302" s="232">
        <v>2100</v>
      </c>
      <c r="F302" s="453" t="s">
        <v>1558</v>
      </c>
      <c r="G302" s="322" t="s">
        <v>296</v>
      </c>
      <c r="H302" s="232">
        <v>180</v>
      </c>
      <c r="I302" s="232">
        <v>3</v>
      </c>
      <c r="J302" s="457" t="str">
        <f t="shared" si="7"/>
        <v>T-AUS, Win21,  #191550 (LIGHT WASH) Qty: 2100, FAB: TBA, DEL: 14-Feb/700, 14-Mar/700, Peak Tgt: 180, BU-3</v>
      </c>
    </row>
    <row r="303" spans="1:10" x14ac:dyDescent="0.3">
      <c r="A303" s="233" t="s">
        <v>435</v>
      </c>
      <c r="B303" s="393" t="s">
        <v>1194</v>
      </c>
      <c r="C303" s="232">
        <v>191578</v>
      </c>
      <c r="D303" s="232" t="s">
        <v>1559</v>
      </c>
      <c r="E303" s="232">
        <v>2100</v>
      </c>
      <c r="F303" s="453" t="s">
        <v>1558</v>
      </c>
      <c r="G303" s="322" t="s">
        <v>296</v>
      </c>
      <c r="H303" s="232">
        <v>180</v>
      </c>
      <c r="I303" s="232">
        <v>3</v>
      </c>
      <c r="J303" s="457" t="str">
        <f t="shared" si="7"/>
        <v>T-AUS, Win21,  #191578 (MID WASh) Qty: 2100, FAB: TBA, DEL: 14-Feb/700, 14-Mar/700, Peak Tgt: 180, BU-3</v>
      </c>
    </row>
    <row r="304" spans="1:10" x14ac:dyDescent="0.3">
      <c r="A304" s="233" t="s">
        <v>435</v>
      </c>
      <c r="B304" s="393" t="s">
        <v>1194</v>
      </c>
      <c r="C304" s="232">
        <v>208486</v>
      </c>
      <c r="D304" s="232" t="s">
        <v>1560</v>
      </c>
      <c r="E304" s="232">
        <v>2120</v>
      </c>
      <c r="F304" s="453" t="s">
        <v>1561</v>
      </c>
      <c r="G304" s="322" t="s">
        <v>296</v>
      </c>
      <c r="H304" s="232">
        <v>180</v>
      </c>
      <c r="I304" s="232">
        <v>3</v>
      </c>
      <c r="J304" s="457" t="str">
        <f t="shared" si="7"/>
        <v>T-AUS, Win21,  #208486 (RINSE) Qty: 2120, FAB: TBA, DEL: 14-Feb/712, 21-Mar/712, Peak Tgt: 180, BU-3</v>
      </c>
    </row>
    <row r="305" spans="1:10" x14ac:dyDescent="0.3">
      <c r="A305" s="233" t="s">
        <v>435</v>
      </c>
      <c r="B305" s="393" t="s">
        <v>1194</v>
      </c>
      <c r="C305" s="232">
        <v>212053</v>
      </c>
      <c r="D305" s="232" t="s">
        <v>1562</v>
      </c>
      <c r="E305" s="232">
        <v>2452</v>
      </c>
      <c r="F305" s="453" t="s">
        <v>1563</v>
      </c>
      <c r="G305" s="322" t="s">
        <v>296</v>
      </c>
      <c r="H305" s="232">
        <v>180</v>
      </c>
      <c r="I305" s="232">
        <v>3</v>
      </c>
      <c r="J305" s="457" t="str">
        <f t="shared" si="7"/>
        <v>T-AUS, Win21,  #212053 (MID WASH) Qty: 2452, FAB: TBA, DEL: 14-Feb/824, 21-Mar/824, Peak Tgt: 180, BU-3</v>
      </c>
    </row>
    <row r="306" spans="1:10" x14ac:dyDescent="0.3">
      <c r="A306" s="233" t="s">
        <v>435</v>
      </c>
      <c r="B306" s="393" t="s">
        <v>1194</v>
      </c>
      <c r="C306" s="232">
        <v>211252</v>
      </c>
      <c r="D306" s="232" t="s">
        <v>1564</v>
      </c>
      <c r="E306" s="232">
        <v>3964</v>
      </c>
      <c r="F306" s="453" t="s">
        <v>1565</v>
      </c>
      <c r="G306" s="322" t="s">
        <v>296</v>
      </c>
      <c r="H306" s="232">
        <v>180</v>
      </c>
      <c r="I306" s="232">
        <v>3</v>
      </c>
      <c r="J306" s="457" t="str">
        <f t="shared" si="7"/>
        <v>T-AUS, Win21,  #211252 (MID BLUE) Qty: 3964, FAB: TBA, DEL: 25-Feb/1001, 11-Mar/996, Peak Tgt: 180, BU-3</v>
      </c>
    </row>
    <row r="307" spans="1:10" x14ac:dyDescent="0.3">
      <c r="A307" s="233" t="s">
        <v>435</v>
      </c>
      <c r="B307" s="393" t="s">
        <v>1194</v>
      </c>
      <c r="C307" s="232">
        <v>211253</v>
      </c>
      <c r="D307" s="454" t="s">
        <v>1566</v>
      </c>
      <c r="E307" s="232">
        <v>4192</v>
      </c>
      <c r="F307" s="453" t="s">
        <v>1565</v>
      </c>
      <c r="G307" s="322" t="s">
        <v>296</v>
      </c>
      <c r="H307" s="232">
        <v>180</v>
      </c>
      <c r="I307" s="232">
        <v>3</v>
      </c>
      <c r="J307" s="457" t="str">
        <f t="shared" si="7"/>
        <v>T-AUS, Win21,  #211253 (INDIGO) Qty: 4192, FAB: TBA, DEL: 25-Feb/1001, 11-Mar/996, Peak Tgt: 180, BU-3</v>
      </c>
    </row>
    <row r="308" spans="1:10" x14ac:dyDescent="0.3">
      <c r="A308" s="233" t="s">
        <v>435</v>
      </c>
      <c r="B308" s="393" t="s">
        <v>1194</v>
      </c>
      <c r="C308" s="232">
        <v>213268</v>
      </c>
      <c r="D308" s="232" t="s">
        <v>1551</v>
      </c>
      <c r="E308" s="232">
        <v>5692</v>
      </c>
      <c r="F308" s="453" t="s">
        <v>1567</v>
      </c>
      <c r="G308" s="322" t="s">
        <v>296</v>
      </c>
      <c r="H308" s="232">
        <v>180</v>
      </c>
      <c r="I308" s="232">
        <v>3</v>
      </c>
      <c r="J308" s="457" t="str">
        <f t="shared" si="7"/>
        <v>T-AUS, Win21,  #213268 (STAY BLACK) Qty: 5692, FAB: TBA, DEL: 11-Feb/1496, 25-Feb/1500, Peak Tgt: 180, BU-3</v>
      </c>
    </row>
    <row r="309" spans="1:10" x14ac:dyDescent="0.3">
      <c r="A309" s="233" t="s">
        <v>435</v>
      </c>
      <c r="B309" s="393" t="s">
        <v>1194</v>
      </c>
      <c r="C309" s="454" t="s">
        <v>1569</v>
      </c>
      <c r="D309" s="232" t="s">
        <v>1562</v>
      </c>
      <c r="E309" s="232">
        <v>4570</v>
      </c>
      <c r="F309" s="453" t="s">
        <v>1568</v>
      </c>
      <c r="G309" s="322" t="s">
        <v>296</v>
      </c>
      <c r="H309" s="232">
        <v>180</v>
      </c>
      <c r="I309" s="232">
        <v>3</v>
      </c>
      <c r="J309" s="457" t="str">
        <f t="shared" si="7"/>
        <v>T-AUS, Win21,  #209342-BK (MID WASH) Qty: 4570, FAB: TBA, DEL: 18-Feb/764, 4-Mar/764, Peak Tgt: 180, BU-3</v>
      </c>
    </row>
    <row r="310" spans="1:10" x14ac:dyDescent="0.3">
      <c r="A310" s="233" t="s">
        <v>435</v>
      </c>
      <c r="B310" s="393" t="s">
        <v>1194</v>
      </c>
      <c r="C310" s="232" t="s">
        <v>1570</v>
      </c>
      <c r="D310" s="454" t="s">
        <v>1566</v>
      </c>
      <c r="E310" s="232">
        <v>6223</v>
      </c>
      <c r="F310" s="453" t="s">
        <v>1571</v>
      </c>
      <c r="G310" s="322" t="s">
        <v>296</v>
      </c>
      <c r="H310" s="232">
        <v>180</v>
      </c>
      <c r="I310" s="232">
        <v>3</v>
      </c>
      <c r="J310" s="457" t="str">
        <f t="shared" si="7"/>
        <v>T-AUS, Win21,  #209026B (INDIGO) Qty: 6223, FAB: TBA, DEL: 7-Feb/2552, 28-Feb/786, Peak Tgt: 180, BU-3</v>
      </c>
    </row>
    <row r="311" spans="1:10" x14ac:dyDescent="0.3">
      <c r="A311" s="233" t="s">
        <v>435</v>
      </c>
      <c r="B311" s="393" t="s">
        <v>1194</v>
      </c>
      <c r="C311" s="232" t="s">
        <v>1572</v>
      </c>
      <c r="D311" s="232" t="s">
        <v>428</v>
      </c>
      <c r="E311" s="232">
        <v>4162</v>
      </c>
      <c r="F311" s="453" t="s">
        <v>1573</v>
      </c>
      <c r="G311" s="322" t="s">
        <v>296</v>
      </c>
      <c r="H311" s="232">
        <v>180</v>
      </c>
      <c r="I311" s="232">
        <v>3</v>
      </c>
      <c r="J311" s="457" t="str">
        <f t="shared" si="7"/>
        <v>T-AUS, Win21,  #212045A (Black) Qty: 4162, FAB: TBA, DEL: 7-Feb/2550, 21-Mar/812, Peak Tgt: 180, BU-3</v>
      </c>
    </row>
    <row r="312" spans="1:10" x14ac:dyDescent="0.3">
      <c r="A312" s="233" t="s">
        <v>435</v>
      </c>
      <c r="B312" s="393" t="s">
        <v>1194</v>
      </c>
      <c r="C312" s="232">
        <v>217355</v>
      </c>
      <c r="D312" s="232" t="s">
        <v>428</v>
      </c>
      <c r="E312" s="232">
        <v>3800</v>
      </c>
      <c r="F312" s="453" t="s">
        <v>1574</v>
      </c>
      <c r="G312" s="322" t="s">
        <v>296</v>
      </c>
      <c r="H312" s="232">
        <v>180</v>
      </c>
      <c r="I312" s="232">
        <v>3</v>
      </c>
      <c r="J312" s="457" t="str">
        <f t="shared" si="7"/>
        <v>T-AUS, Win21,  #217355 (Black) Qty: 3800, FAB: TBA, DEL: 18-Feb/3000, 25-Mar/800, Peak Tgt: 180, BU-3</v>
      </c>
    </row>
    <row r="313" spans="1:10" x14ac:dyDescent="0.3">
      <c r="A313" s="233" t="s">
        <v>583</v>
      </c>
      <c r="B313" s="428" t="s">
        <v>1258</v>
      </c>
      <c r="C313" s="232">
        <v>2161535</v>
      </c>
      <c r="D313" s="454" t="s">
        <v>1575</v>
      </c>
      <c r="E313" s="232">
        <v>17000</v>
      </c>
      <c r="F313" s="453" t="s">
        <v>1360</v>
      </c>
      <c r="G313" s="454" t="s">
        <v>296</v>
      </c>
      <c r="H313" s="232">
        <v>160</v>
      </c>
      <c r="I313" s="232">
        <v>4</v>
      </c>
      <c r="J313" s="457" t="str">
        <f t="shared" si="7"/>
        <v>KONTOOR, Fall21,  #2161535 (JET) Qty: 17000, FAB: TBA, DEL: 23-Jan, Peak Tgt: 160, BU-4</v>
      </c>
    </row>
    <row r="314" spans="1:10" x14ac:dyDescent="0.3">
      <c r="A314" s="233" t="s">
        <v>583</v>
      </c>
      <c r="B314" s="428" t="s">
        <v>1258</v>
      </c>
      <c r="C314" s="232">
        <v>3784776</v>
      </c>
      <c r="D314" s="232" t="s">
        <v>1094</v>
      </c>
      <c r="E314" s="232">
        <v>3000</v>
      </c>
      <c r="F314" s="456" t="s">
        <v>1577</v>
      </c>
      <c r="G314" s="454" t="s">
        <v>296</v>
      </c>
      <c r="H314" s="232">
        <v>160</v>
      </c>
      <c r="I314" s="232">
        <v>4</v>
      </c>
      <c r="J314" s="458" t="str">
        <f t="shared" si="7"/>
        <v>KONTOOR, Fall21,  #3784776 (EXPEDITION) Qty: 3000, FAB: TBA, DEL: 20-Feb, Peak Tgt: 160, BU-4</v>
      </c>
    </row>
    <row r="315" spans="1:10" x14ac:dyDescent="0.3">
      <c r="A315" s="233" t="s">
        <v>583</v>
      </c>
      <c r="B315" s="428" t="s">
        <v>1258</v>
      </c>
      <c r="C315" s="232">
        <v>3522095</v>
      </c>
      <c r="D315" s="232" t="s">
        <v>460</v>
      </c>
      <c r="E315" s="232">
        <v>5000</v>
      </c>
      <c r="F315" s="456" t="s">
        <v>1577</v>
      </c>
      <c r="G315" s="454" t="s">
        <v>296</v>
      </c>
      <c r="H315" s="232">
        <v>200</v>
      </c>
      <c r="I315" s="232">
        <v>3</v>
      </c>
      <c r="J315" s="458" t="str">
        <f t="shared" si="7"/>
        <v>KONTOOR, Fall21,  #3522095 (Seattle) Qty: 5000, FAB: TBA, DEL: 20-Feb, Peak Tgt: 200, BU-3</v>
      </c>
    </row>
    <row r="316" spans="1:10" x14ac:dyDescent="0.3">
      <c r="A316" s="233" t="s">
        <v>583</v>
      </c>
      <c r="B316" s="428" t="s">
        <v>1258</v>
      </c>
      <c r="C316" s="232">
        <v>3517901</v>
      </c>
      <c r="D316" s="232" t="s">
        <v>731</v>
      </c>
      <c r="E316" s="232">
        <v>1001</v>
      </c>
      <c r="F316" s="456" t="s">
        <v>1577</v>
      </c>
      <c r="G316" s="454" t="s">
        <v>296</v>
      </c>
      <c r="H316" s="232">
        <v>180</v>
      </c>
      <c r="I316" s="232">
        <v>3</v>
      </c>
      <c r="J316" s="458" t="str">
        <f t="shared" si="7"/>
        <v>KONTOOR, Fall21,  #3517901 (BLACK) Qty: 1001, FAB: TBA, DEL: 20-Feb, Peak Tgt: 180, BU-3</v>
      </c>
    </row>
    <row r="317" spans="1:10" x14ac:dyDescent="0.3">
      <c r="A317" s="233" t="s">
        <v>583</v>
      </c>
      <c r="B317" s="428" t="s">
        <v>1258</v>
      </c>
      <c r="C317" s="232">
        <v>3517933</v>
      </c>
      <c r="D317" s="232" t="s">
        <v>878</v>
      </c>
      <c r="E317" s="232">
        <v>4000</v>
      </c>
      <c r="F317" s="456" t="s">
        <v>1577</v>
      </c>
      <c r="G317" s="454" t="s">
        <v>296</v>
      </c>
      <c r="H317" s="232">
        <v>180</v>
      </c>
      <c r="I317" s="232">
        <v>3</v>
      </c>
      <c r="J317" s="458" t="str">
        <f t="shared" si="7"/>
        <v>KONTOOR, Fall21,  #3517933 (INFINITY) Qty: 4000, FAB: TBA, DEL: 20-Feb, Peak Tgt: 180, BU-3</v>
      </c>
    </row>
    <row r="318" spans="1:10" x14ac:dyDescent="0.3">
      <c r="A318" s="233" t="s">
        <v>583</v>
      </c>
      <c r="B318" s="428" t="s">
        <v>1258</v>
      </c>
      <c r="C318" s="232">
        <v>3193901</v>
      </c>
      <c r="D318" s="232" t="s">
        <v>731</v>
      </c>
      <c r="E318" s="232">
        <v>1200</v>
      </c>
      <c r="F318" s="456" t="s">
        <v>1577</v>
      </c>
      <c r="G318" s="454" t="s">
        <v>296</v>
      </c>
      <c r="H318" s="232">
        <v>180</v>
      </c>
      <c r="I318" s="232">
        <v>3</v>
      </c>
      <c r="J318" s="458" t="str">
        <f t="shared" si="7"/>
        <v>KONTOOR, Fall21,  #3193901 (BLACK) Qty: 1200, FAB: TBA, DEL: 20-Feb, Peak Tgt: 180, BU-3</v>
      </c>
    </row>
    <row r="319" spans="1:10" x14ac:dyDescent="0.3">
      <c r="A319" s="233" t="s">
        <v>583</v>
      </c>
      <c r="B319" s="428" t="s">
        <v>1258</v>
      </c>
      <c r="C319" s="232">
        <v>3408964</v>
      </c>
      <c r="D319" s="232" t="s">
        <v>1110</v>
      </c>
      <c r="E319" s="232">
        <v>5000</v>
      </c>
      <c r="F319" s="456" t="s">
        <v>1577</v>
      </c>
      <c r="G319" s="454" t="s">
        <v>296</v>
      </c>
      <c r="H319" s="232">
        <v>180</v>
      </c>
      <c r="I319" s="232">
        <v>3</v>
      </c>
      <c r="J319" s="458" t="str">
        <f t="shared" si="7"/>
        <v>KONTOOR, Fall21,  #3408964 (ROYAL CHAKRA) Qty: 5000, FAB: TBA, DEL: 20-Feb, Peak Tgt: 180, BU-3</v>
      </c>
    </row>
    <row r="320" spans="1:10" x14ac:dyDescent="0.3">
      <c r="A320" s="233" t="s">
        <v>583</v>
      </c>
      <c r="B320" s="428" t="s">
        <v>1258</v>
      </c>
      <c r="C320" s="232">
        <v>3087568</v>
      </c>
      <c r="D320" s="232" t="s">
        <v>874</v>
      </c>
      <c r="E320" s="232">
        <v>2501</v>
      </c>
      <c r="F320" s="456" t="s">
        <v>1577</v>
      </c>
      <c r="G320" s="454" t="s">
        <v>296</v>
      </c>
      <c r="H320" s="232">
        <v>180</v>
      </c>
      <c r="I320" s="232">
        <v>3</v>
      </c>
      <c r="J320" s="458" t="str">
        <f t="shared" si="7"/>
        <v>KONTOOR, Fall21,  #3087568 (RAYNE) Qty: 2501, FAB: TBA, DEL: 20-Feb, Peak Tgt: 180, BU-3</v>
      </c>
    </row>
    <row r="321" spans="1:10" x14ac:dyDescent="0.3">
      <c r="A321" s="233" t="s">
        <v>583</v>
      </c>
      <c r="B321" s="428" t="s">
        <v>1258</v>
      </c>
      <c r="C321" s="232">
        <v>3087528</v>
      </c>
      <c r="D321" s="232" t="s">
        <v>873</v>
      </c>
      <c r="E321" s="232">
        <v>3000</v>
      </c>
      <c r="F321" s="456" t="s">
        <v>1577</v>
      </c>
      <c r="G321" s="454" t="s">
        <v>296</v>
      </c>
      <c r="H321" s="232">
        <v>180</v>
      </c>
      <c r="I321" s="232">
        <v>3</v>
      </c>
      <c r="J321" s="458" t="str">
        <f t="shared" si="7"/>
        <v>KONTOOR, Fall21,  #3087528 (RENEGADE) Qty: 3000, FAB: TBA, DEL: 20-Feb, Peak Tgt: 180, BU-3</v>
      </c>
    </row>
    <row r="322" spans="1:10" x14ac:dyDescent="0.3">
      <c r="A322" s="233" t="s">
        <v>583</v>
      </c>
      <c r="B322" s="428" t="s">
        <v>1258</v>
      </c>
      <c r="C322" s="232">
        <v>3196017</v>
      </c>
      <c r="D322" s="232" t="s">
        <v>1578</v>
      </c>
      <c r="E322" s="232">
        <v>1001</v>
      </c>
      <c r="F322" s="456" t="s">
        <v>1577</v>
      </c>
      <c r="G322" s="454" t="s">
        <v>296</v>
      </c>
      <c r="H322" s="232">
        <v>180</v>
      </c>
      <c r="I322" s="232">
        <v>3</v>
      </c>
      <c r="J322" s="458" t="str">
        <f t="shared" si="7"/>
        <v>KONTOOR, Fall21,  #3196017 (CAMDEN) Qty: 1001, FAB: TBA, DEL: 20-Feb, Peak Tgt: 180, BU-3</v>
      </c>
    </row>
    <row r="323" spans="1:10" x14ac:dyDescent="0.3">
      <c r="A323" s="233" t="s">
        <v>583</v>
      </c>
      <c r="B323" s="428" t="s">
        <v>1258</v>
      </c>
      <c r="C323" s="232">
        <v>3196066</v>
      </c>
      <c r="D323" s="232" t="s">
        <v>1579</v>
      </c>
      <c r="E323" s="232">
        <v>2001</v>
      </c>
      <c r="F323" s="456" t="s">
        <v>1577</v>
      </c>
      <c r="G323" s="454" t="s">
        <v>296</v>
      </c>
      <c r="H323" s="232">
        <v>180</v>
      </c>
      <c r="I323" s="232">
        <v>3</v>
      </c>
      <c r="J323" s="458" t="str">
        <f t="shared" si="7"/>
        <v>KONTOOR, Fall21,  #3196066 (NIGHTGAMES) Qty: 2001, FAB: TBA, DEL: 20-Feb, Peak Tgt: 180, BU-3</v>
      </c>
    </row>
    <row r="324" spans="1:10" x14ac:dyDescent="0.3">
      <c r="A324" s="233" t="s">
        <v>583</v>
      </c>
      <c r="B324" s="428" t="s">
        <v>1258</v>
      </c>
      <c r="C324" s="232">
        <v>3381930</v>
      </c>
      <c r="D324" s="232" t="s">
        <v>1093</v>
      </c>
      <c r="E324" s="232">
        <v>2501</v>
      </c>
      <c r="F324" s="456" t="s">
        <v>1577</v>
      </c>
      <c r="G324" s="454" t="s">
        <v>296</v>
      </c>
      <c r="H324" s="232">
        <v>180</v>
      </c>
      <c r="I324" s="232">
        <v>3</v>
      </c>
      <c r="J324" s="458" t="str">
        <f t="shared" si="7"/>
        <v>KONTOOR, Fall21,  #3381930 (BLUE PHOEN) Qty: 2501, FAB: TBA, DEL: 20-Feb, Peak Tgt: 180, BU-3</v>
      </c>
    </row>
    <row r="325" spans="1:10" x14ac:dyDescent="0.3">
      <c r="A325" s="233" t="s">
        <v>583</v>
      </c>
      <c r="B325" s="428" t="s">
        <v>1258</v>
      </c>
      <c r="C325" s="232">
        <v>3381966</v>
      </c>
      <c r="D325" s="232" t="s">
        <v>1579</v>
      </c>
      <c r="E325" s="232">
        <v>3000</v>
      </c>
      <c r="F325" s="456" t="s">
        <v>1577</v>
      </c>
      <c r="G325" s="454" t="s">
        <v>296</v>
      </c>
      <c r="H325" s="232">
        <v>180</v>
      </c>
      <c r="I325" s="232">
        <v>3</v>
      </c>
      <c r="J325" s="458" t="str">
        <f t="shared" si="7"/>
        <v>KONTOOR, Fall21,  #3381966 (NIGHTGAMES) Qty: 3000, FAB: TBA, DEL: 20-Feb, Peak Tgt: 180, BU-3</v>
      </c>
    </row>
    <row r="326" spans="1:10" x14ac:dyDescent="0.3">
      <c r="A326" s="233" t="s">
        <v>583</v>
      </c>
      <c r="B326" s="428" t="s">
        <v>1258</v>
      </c>
      <c r="C326" s="232">
        <v>4606201</v>
      </c>
      <c r="D326" s="232" t="s">
        <v>731</v>
      </c>
      <c r="E326" s="232">
        <v>1993</v>
      </c>
      <c r="F326" s="456" t="s">
        <v>1577</v>
      </c>
      <c r="G326" s="454" t="s">
        <v>296</v>
      </c>
      <c r="H326" s="232">
        <v>200</v>
      </c>
      <c r="I326" s="232">
        <v>4</v>
      </c>
      <c r="J326" s="458" t="str">
        <f t="shared" si="7"/>
        <v>KONTOOR, Fall21,  #4606201 (BLACK) Qty: 1993, FAB: TBA, DEL: 20-Feb, Peak Tgt: 200, BU-4</v>
      </c>
    </row>
    <row r="327" spans="1:10" x14ac:dyDescent="0.3">
      <c r="A327" s="233" t="s">
        <v>583</v>
      </c>
      <c r="B327" s="428" t="s">
        <v>1258</v>
      </c>
      <c r="C327" s="232">
        <v>4606201</v>
      </c>
      <c r="D327" s="232" t="s">
        <v>731</v>
      </c>
      <c r="E327" s="232">
        <v>2107</v>
      </c>
      <c r="F327" s="456" t="s">
        <v>1577</v>
      </c>
      <c r="G327" s="454" t="s">
        <v>296</v>
      </c>
      <c r="H327" s="232">
        <v>200</v>
      </c>
      <c r="I327" s="232">
        <v>4</v>
      </c>
      <c r="J327" s="458" t="str">
        <f t="shared" si="7"/>
        <v>KONTOOR, Fall21,  #4606201 (BLACK) Qty: 2107, FAB: TBA, DEL: 20-Feb, Peak Tgt: 200, BU-4</v>
      </c>
    </row>
    <row r="328" spans="1:10" x14ac:dyDescent="0.3">
      <c r="A328" s="233" t="s">
        <v>583</v>
      </c>
      <c r="B328" s="428" t="s">
        <v>1258</v>
      </c>
      <c r="C328" s="232">
        <v>4606209</v>
      </c>
      <c r="D328" s="232" t="s">
        <v>1345</v>
      </c>
      <c r="E328" s="232">
        <v>3000</v>
      </c>
      <c r="F328" s="456" t="s">
        <v>1577</v>
      </c>
      <c r="G328" s="454" t="s">
        <v>296</v>
      </c>
      <c r="H328" s="232">
        <v>200</v>
      </c>
      <c r="I328" s="232">
        <v>4</v>
      </c>
      <c r="J328" s="458" t="str">
        <f t="shared" si="7"/>
        <v>KONTOOR, Fall21,  #4606209 (MOON ROCK) Qty: 3000, FAB: TBA, DEL: 20-Feb, Peak Tgt: 200, BU-4</v>
      </c>
    </row>
    <row r="329" spans="1:10" x14ac:dyDescent="0.3">
      <c r="A329" s="233" t="s">
        <v>583</v>
      </c>
      <c r="B329" s="428" t="s">
        <v>1258</v>
      </c>
      <c r="C329" s="232">
        <v>4606214</v>
      </c>
      <c r="D329" s="232" t="s">
        <v>1095</v>
      </c>
      <c r="E329" s="232">
        <v>2990</v>
      </c>
      <c r="F329" s="456" t="s">
        <v>1577</v>
      </c>
      <c r="G329" s="454" t="s">
        <v>296</v>
      </c>
      <c r="H329" s="232">
        <v>200</v>
      </c>
      <c r="I329" s="232">
        <v>4</v>
      </c>
      <c r="J329" s="458" t="str">
        <f t="shared" si="7"/>
        <v>KONTOOR, Fall21,  #4606214 (DAZED) Qty: 2990, FAB: TBA, DEL: 20-Feb, Peak Tgt: 200, BU-4</v>
      </c>
    </row>
    <row r="330" spans="1:10" x14ac:dyDescent="0.3">
      <c r="A330" s="233" t="s">
        <v>583</v>
      </c>
      <c r="B330" s="428" t="s">
        <v>1258</v>
      </c>
      <c r="C330" s="232">
        <v>4606214</v>
      </c>
      <c r="D330" s="232" t="s">
        <v>1095</v>
      </c>
      <c r="E330" s="232">
        <v>142</v>
      </c>
      <c r="F330" s="456" t="s">
        <v>1577</v>
      </c>
      <c r="G330" s="454" t="s">
        <v>296</v>
      </c>
      <c r="H330" s="232">
        <v>200</v>
      </c>
      <c r="I330" s="232">
        <v>4</v>
      </c>
      <c r="J330" s="458" t="str">
        <f t="shared" si="7"/>
        <v>KONTOOR, Fall21,  #4606214 (DAZED) Qty: 142, FAB: TBA, DEL: 20-Feb, Peak Tgt: 200, BU-4</v>
      </c>
    </row>
    <row r="331" spans="1:10" x14ac:dyDescent="0.3">
      <c r="A331" s="233" t="s">
        <v>583</v>
      </c>
      <c r="B331" s="428" t="s">
        <v>1258</v>
      </c>
      <c r="C331" s="232">
        <v>4606246</v>
      </c>
      <c r="D331" s="232" t="s">
        <v>1346</v>
      </c>
      <c r="E331" s="232">
        <v>7700</v>
      </c>
      <c r="F331" s="456" t="s">
        <v>1577</v>
      </c>
      <c r="G331" s="454" t="s">
        <v>296</v>
      </c>
      <c r="H331" s="232">
        <v>200</v>
      </c>
      <c r="I331" s="232">
        <v>4</v>
      </c>
      <c r="J331" s="458" t="str">
        <f t="shared" si="7"/>
        <v>KONTOOR, Fall21,  #4606246 (RAINSTORM) Qty: 7700, FAB: TBA, DEL: 20-Feb, Peak Tgt: 200, BU-4</v>
      </c>
    </row>
    <row r="332" spans="1:10" x14ac:dyDescent="0.3">
      <c r="A332" s="233" t="s">
        <v>583</v>
      </c>
      <c r="B332" s="428" t="s">
        <v>1258</v>
      </c>
      <c r="C332" s="232">
        <v>3382936</v>
      </c>
      <c r="D332" s="232" t="s">
        <v>1580</v>
      </c>
      <c r="E332" s="232">
        <v>1501</v>
      </c>
      <c r="F332" s="456" t="s">
        <v>1577</v>
      </c>
      <c r="G332" s="454" t="s">
        <v>296</v>
      </c>
      <c r="H332" s="232">
        <v>180</v>
      </c>
      <c r="I332" s="232">
        <v>3</v>
      </c>
      <c r="J332" s="458" t="str">
        <f t="shared" si="7"/>
        <v>KONTOOR, Fall21,  #3382936 (EXPANSE BLUE) Qty: 1501, FAB: TBA, DEL: 20-Feb, Peak Tgt: 180, BU-3</v>
      </c>
    </row>
    <row r="333" spans="1:10" x14ac:dyDescent="0.3">
      <c r="A333" s="233" t="s">
        <v>435</v>
      </c>
      <c r="B333" s="393" t="s">
        <v>1194</v>
      </c>
      <c r="C333" s="232">
        <v>193242</v>
      </c>
      <c r="D333" s="454" t="s">
        <v>1167</v>
      </c>
      <c r="E333" s="232">
        <v>2600</v>
      </c>
      <c r="F333" s="459" t="s">
        <v>1595</v>
      </c>
      <c r="G333" s="322" t="s">
        <v>296</v>
      </c>
      <c r="H333" s="232">
        <v>180</v>
      </c>
      <c r="I333" s="232">
        <v>3</v>
      </c>
      <c r="J333" s="457" t="str">
        <f t="shared" ref="J333:J350" si="8">A333&amp;", "&amp;B333&amp;",  #"&amp;C333&amp;" ("&amp;D333&amp;") Qty: "&amp;E333&amp;", FAB: "&amp;G333&amp;", DEL: "&amp;F333&amp;", Peak Tgt: "&amp;H333&amp;", BU-"&amp;I333</f>
        <v>T-AUS, Win21,  #193242 (W. Blue) Qty: 2600, FAB: TBA, DEL: 11-Feb/1000, 26-Feb/800, Peak Tgt: 180, BU-3</v>
      </c>
    </row>
    <row r="334" spans="1:10" x14ac:dyDescent="0.3">
      <c r="A334" s="233" t="s">
        <v>583</v>
      </c>
      <c r="B334" s="428" t="s">
        <v>1258</v>
      </c>
      <c r="C334" s="232" t="s">
        <v>1005</v>
      </c>
      <c r="D334" s="232" t="s">
        <v>1007</v>
      </c>
      <c r="E334" s="232">
        <v>8000</v>
      </c>
      <c r="F334" s="460" t="s">
        <v>1379</v>
      </c>
      <c r="G334" s="322" t="s">
        <v>296</v>
      </c>
      <c r="H334" s="232">
        <v>180</v>
      </c>
      <c r="I334" s="232">
        <v>3</v>
      </c>
      <c r="J334" s="434" t="str">
        <f t="shared" si="8"/>
        <v>KONTOOR, Fall21,  #ZFC9BI2 (Dark) Qty: 8000, FAB: TBA, DEL: 6-Mar, Peak Tgt: 180, BU-3</v>
      </c>
    </row>
    <row r="335" spans="1:10" x14ac:dyDescent="0.3">
      <c r="A335" s="233" t="s">
        <v>583</v>
      </c>
      <c r="B335" s="428" t="s">
        <v>1258</v>
      </c>
      <c r="C335" s="232" t="s">
        <v>1006</v>
      </c>
      <c r="D335" s="232" t="s">
        <v>1008</v>
      </c>
      <c r="E335" s="232">
        <v>10000</v>
      </c>
      <c r="F335" s="460" t="s">
        <v>1379</v>
      </c>
      <c r="G335" s="322" t="s">
        <v>296</v>
      </c>
      <c r="H335" s="232">
        <v>180</v>
      </c>
      <c r="I335" s="232">
        <v>3</v>
      </c>
      <c r="J335" s="434" t="str">
        <f t="shared" si="8"/>
        <v>KONTOOR, Fall21,  #ZFC9BI4 (Mid) Qty: 10000, FAB: TBA, DEL: 6-Mar, Peak Tgt: 180, BU-3</v>
      </c>
    </row>
    <row r="336" spans="1:10" x14ac:dyDescent="0.3">
      <c r="A336" s="233" t="s">
        <v>583</v>
      </c>
      <c r="B336" s="428" t="s">
        <v>1258</v>
      </c>
      <c r="C336" s="232">
        <v>2015042</v>
      </c>
      <c r="D336" s="232" t="s">
        <v>294</v>
      </c>
      <c r="E336" s="232">
        <v>11000</v>
      </c>
      <c r="F336" s="461" t="s">
        <v>1359</v>
      </c>
      <c r="G336" s="322" t="s">
        <v>296</v>
      </c>
      <c r="H336" s="232">
        <v>160</v>
      </c>
      <c r="I336" s="232">
        <v>4</v>
      </c>
      <c r="J336" s="434" t="str">
        <f t="shared" si="8"/>
        <v>KONTOOR, Fall21,  #2015042 (Maddox) Qty: 11000, FAB: TBA, DEL: 30-Jan, Peak Tgt: 160, BU-4</v>
      </c>
    </row>
    <row r="337" spans="1:10" x14ac:dyDescent="0.3">
      <c r="A337" s="233" t="s">
        <v>583</v>
      </c>
      <c r="B337" s="428" t="s">
        <v>1258</v>
      </c>
      <c r="C337" s="232">
        <v>2015042</v>
      </c>
      <c r="D337" s="232" t="s">
        <v>294</v>
      </c>
      <c r="E337" s="232">
        <v>3500</v>
      </c>
      <c r="F337" s="461" t="s">
        <v>1603</v>
      </c>
      <c r="G337" s="322" t="s">
        <v>296</v>
      </c>
      <c r="H337" s="232">
        <v>160</v>
      </c>
      <c r="I337" s="232">
        <v>4</v>
      </c>
      <c r="J337" s="434" t="str">
        <f t="shared" si="8"/>
        <v>KONTOOR, Fall21,  #2015042 (Maddox) Qty: 3500, FAB: TBA, DEL: 13-Feb, Peak Tgt: 160, BU-4</v>
      </c>
    </row>
    <row r="338" spans="1:10" x14ac:dyDescent="0.3">
      <c r="A338" s="233" t="s">
        <v>583</v>
      </c>
      <c r="B338" s="428" t="s">
        <v>1258</v>
      </c>
      <c r="C338" s="232">
        <v>2108524</v>
      </c>
      <c r="D338" s="232" t="s">
        <v>665</v>
      </c>
      <c r="E338" s="232">
        <v>6800</v>
      </c>
      <c r="F338" s="461" t="s">
        <v>1603</v>
      </c>
      <c r="G338" s="322" t="s">
        <v>296</v>
      </c>
      <c r="H338" s="232">
        <v>160</v>
      </c>
      <c r="I338" s="232">
        <v>4</v>
      </c>
      <c r="J338" s="434" t="str">
        <f t="shared" si="8"/>
        <v>KONTOOR, Fall21,  #2108524 (Executive) Qty: 6800, FAB: TBA, DEL: 13-Feb, Peak Tgt: 160, BU-4</v>
      </c>
    </row>
    <row r="339" spans="1:10" x14ac:dyDescent="0.3">
      <c r="A339" s="233" t="s">
        <v>583</v>
      </c>
      <c r="B339" s="428" t="s">
        <v>1258</v>
      </c>
      <c r="C339" s="232">
        <v>2161535</v>
      </c>
      <c r="D339" s="232" t="s">
        <v>968</v>
      </c>
      <c r="E339" s="232">
        <v>26000</v>
      </c>
      <c r="F339" s="461" t="s">
        <v>1577</v>
      </c>
      <c r="G339" s="322" t="s">
        <v>296</v>
      </c>
      <c r="H339" s="232">
        <v>160</v>
      </c>
      <c r="I339" s="232">
        <v>4</v>
      </c>
      <c r="J339" s="434" t="str">
        <f t="shared" si="8"/>
        <v>KONTOOR, Fall21,  #2161535 (Jet) Qty: 26000, FAB: TBA, DEL: 20-Feb, Peak Tgt: 160, BU-4</v>
      </c>
    </row>
    <row r="340" spans="1:10" x14ac:dyDescent="0.3">
      <c r="A340" s="472" t="s">
        <v>583</v>
      </c>
      <c r="B340" s="428" t="s">
        <v>1258</v>
      </c>
      <c r="C340" s="232">
        <v>3522026</v>
      </c>
      <c r="D340" s="232" t="s">
        <v>1646</v>
      </c>
      <c r="E340" s="232">
        <v>3000</v>
      </c>
      <c r="F340" s="471" t="s">
        <v>1647</v>
      </c>
      <c r="G340" s="322" t="s">
        <v>296</v>
      </c>
      <c r="H340" s="232">
        <v>200</v>
      </c>
      <c r="I340" s="232">
        <v>3</v>
      </c>
      <c r="J340" s="232" t="str">
        <f t="shared" si="8"/>
        <v>KONTOOR, Fall21,  #3522026 (Anchor) Qty: 3000, FAB: TBA, DEL: 27-Mar, Peak Tgt: 200, BU-3</v>
      </c>
    </row>
    <row r="341" spans="1:10" x14ac:dyDescent="0.3">
      <c r="A341" s="233" t="s">
        <v>583</v>
      </c>
      <c r="B341" s="428" t="s">
        <v>1258</v>
      </c>
      <c r="C341" s="232">
        <v>3522077</v>
      </c>
      <c r="D341" s="232" t="s">
        <v>459</v>
      </c>
      <c r="E341" s="232">
        <v>3000</v>
      </c>
      <c r="F341" s="471" t="s">
        <v>1647</v>
      </c>
      <c r="G341" s="322" t="s">
        <v>296</v>
      </c>
      <c r="H341" s="232">
        <v>200</v>
      </c>
      <c r="I341" s="232">
        <v>3</v>
      </c>
      <c r="J341" s="232" t="str">
        <f t="shared" si="8"/>
        <v>KONTOOR, Fall21,  #3522077 (Nightshade) Qty: 3000, FAB: TBA, DEL: 27-Mar, Peak Tgt: 200, BU-3</v>
      </c>
    </row>
    <row r="342" spans="1:10" x14ac:dyDescent="0.3">
      <c r="A342" s="233" t="s">
        <v>583</v>
      </c>
      <c r="B342" s="428" t="s">
        <v>1258</v>
      </c>
      <c r="C342" s="232">
        <v>3522095</v>
      </c>
      <c r="D342" s="232" t="s">
        <v>460</v>
      </c>
      <c r="E342" s="232">
        <v>3000</v>
      </c>
      <c r="F342" s="471" t="s">
        <v>1648</v>
      </c>
      <c r="G342" s="322" t="s">
        <v>296</v>
      </c>
      <c r="H342" s="232">
        <v>200</v>
      </c>
      <c r="I342" s="232">
        <v>3</v>
      </c>
      <c r="J342" s="232" t="str">
        <f t="shared" si="8"/>
        <v>KONTOOR, Fall21,  #3522095 (Seattle) Qty: 3000, FAB: TBA, DEL: 27-Feb, Peak Tgt: 200, BU-3</v>
      </c>
    </row>
    <row r="343" spans="1:10" x14ac:dyDescent="0.3">
      <c r="A343" s="233" t="s">
        <v>583</v>
      </c>
      <c r="B343" s="428" t="s">
        <v>1258</v>
      </c>
      <c r="C343" s="232">
        <v>3380430</v>
      </c>
      <c r="D343" s="232" t="s">
        <v>1093</v>
      </c>
      <c r="E343" s="232">
        <v>3100</v>
      </c>
      <c r="F343" s="471" t="s">
        <v>1648</v>
      </c>
      <c r="G343" s="322" t="s">
        <v>296</v>
      </c>
      <c r="H343" s="232">
        <v>180</v>
      </c>
      <c r="I343" s="232">
        <v>3</v>
      </c>
      <c r="J343" s="232" t="str">
        <f t="shared" si="8"/>
        <v>KONTOOR, Fall21,  #3380430 (BLUE PHOEN) Qty: 3100, FAB: TBA, DEL: 27-Feb, Peak Tgt: 180, BU-3</v>
      </c>
    </row>
    <row r="344" spans="1:10" x14ac:dyDescent="0.3">
      <c r="A344" s="233" t="s">
        <v>583</v>
      </c>
      <c r="B344" s="428" t="s">
        <v>1258</v>
      </c>
      <c r="C344" s="232">
        <v>3381917</v>
      </c>
      <c r="D344" s="232" t="s">
        <v>1578</v>
      </c>
      <c r="E344" s="232">
        <v>3200</v>
      </c>
      <c r="F344" s="471" t="s">
        <v>1648</v>
      </c>
      <c r="G344" s="322" t="s">
        <v>296</v>
      </c>
      <c r="H344" s="232">
        <v>180</v>
      </c>
      <c r="I344" s="232">
        <v>3</v>
      </c>
      <c r="J344" s="232" t="str">
        <f t="shared" si="8"/>
        <v>KONTOOR, Fall21,  #3381917 (CAMDEN) Qty: 3200, FAB: TBA, DEL: 27-Feb, Peak Tgt: 180, BU-3</v>
      </c>
    </row>
    <row r="345" spans="1:10" x14ac:dyDescent="0.3">
      <c r="A345" s="233" t="s">
        <v>583</v>
      </c>
      <c r="B345" s="428" t="s">
        <v>1258</v>
      </c>
      <c r="C345" s="232">
        <v>3381966</v>
      </c>
      <c r="D345" s="232" t="s">
        <v>1579</v>
      </c>
      <c r="E345" s="232">
        <v>3200</v>
      </c>
      <c r="F345" s="471" t="s">
        <v>1648</v>
      </c>
      <c r="G345" s="322" t="s">
        <v>296</v>
      </c>
      <c r="H345" s="232">
        <v>180</v>
      </c>
      <c r="I345" s="232">
        <v>3</v>
      </c>
      <c r="J345" s="232" t="str">
        <f t="shared" si="8"/>
        <v>KONTOOR, Fall21,  #3381966 (NIGHTGAMES) Qty: 3200, FAB: TBA, DEL: 27-Feb, Peak Tgt: 180, BU-3</v>
      </c>
    </row>
    <row r="346" spans="1:10" x14ac:dyDescent="0.3">
      <c r="A346" s="233" t="s">
        <v>583</v>
      </c>
      <c r="B346" s="428" t="s">
        <v>1258</v>
      </c>
      <c r="C346" s="232">
        <v>3087528</v>
      </c>
      <c r="D346" s="232" t="s">
        <v>873</v>
      </c>
      <c r="E346" s="232">
        <v>3000</v>
      </c>
      <c r="F346" s="471" t="s">
        <v>1648</v>
      </c>
      <c r="G346" s="322" t="s">
        <v>296</v>
      </c>
      <c r="H346" s="232">
        <v>180</v>
      </c>
      <c r="I346" s="232">
        <v>3</v>
      </c>
      <c r="J346" s="232" t="str">
        <f t="shared" si="8"/>
        <v>KONTOOR, Fall21,  #3087528 (RENEGADE) Qty: 3000, FAB: TBA, DEL: 27-Feb, Peak Tgt: 180, BU-3</v>
      </c>
    </row>
    <row r="347" spans="1:10" x14ac:dyDescent="0.3">
      <c r="A347" s="233" t="s">
        <v>583</v>
      </c>
      <c r="B347" s="428" t="s">
        <v>1258</v>
      </c>
      <c r="C347" s="232">
        <v>3408928</v>
      </c>
      <c r="D347" s="232" t="s">
        <v>873</v>
      </c>
      <c r="E347" s="232">
        <v>3000</v>
      </c>
      <c r="F347" s="471" t="s">
        <v>1647</v>
      </c>
      <c r="G347" s="322" t="s">
        <v>296</v>
      </c>
      <c r="H347" s="232">
        <v>180</v>
      </c>
      <c r="I347" s="232">
        <v>3</v>
      </c>
      <c r="J347" s="232" t="str">
        <f t="shared" si="8"/>
        <v>KONTOOR, Fall21,  #3408928 (RENEGADE) Qty: 3000, FAB: TBA, DEL: 27-Mar, Peak Tgt: 180, BU-3</v>
      </c>
    </row>
    <row r="348" spans="1:10" x14ac:dyDescent="0.3">
      <c r="A348" s="233" t="s">
        <v>583</v>
      </c>
      <c r="B348" s="428" t="s">
        <v>1258</v>
      </c>
      <c r="C348" s="232">
        <v>3408946</v>
      </c>
      <c r="D348" s="232" t="s">
        <v>875</v>
      </c>
      <c r="E348" s="232">
        <v>3000</v>
      </c>
      <c r="F348" s="471" t="s">
        <v>1648</v>
      </c>
      <c r="G348" s="322" t="s">
        <v>296</v>
      </c>
      <c r="H348" s="232">
        <v>180</v>
      </c>
      <c r="I348" s="232">
        <v>3</v>
      </c>
      <c r="J348" s="232" t="str">
        <f t="shared" si="8"/>
        <v>KONTOOR, Fall21,  #3408946 (MAJESTIC) Qty: 3000, FAB: TBA, DEL: 27-Feb, Peak Tgt: 180, BU-3</v>
      </c>
    </row>
    <row r="349" spans="1:10" x14ac:dyDescent="0.3">
      <c r="A349" s="233" t="s">
        <v>583</v>
      </c>
      <c r="B349" s="428" t="s">
        <v>1258</v>
      </c>
      <c r="C349" s="232">
        <v>3408964</v>
      </c>
      <c r="D349" s="232" t="s">
        <v>876</v>
      </c>
      <c r="E349" s="232">
        <v>3000</v>
      </c>
      <c r="F349" s="471" t="s">
        <v>1648</v>
      </c>
      <c r="G349" s="322" t="s">
        <v>296</v>
      </c>
      <c r="H349" s="232">
        <v>180</v>
      </c>
      <c r="I349" s="232">
        <v>3</v>
      </c>
      <c r="J349" s="232" t="str">
        <f t="shared" si="8"/>
        <v>KONTOOR, Fall21,  #3408964 (ROYALCHAKR) Qty: 3000, FAB: TBA, DEL: 27-Feb, Peak Tgt: 180, BU-3</v>
      </c>
    </row>
    <row r="350" spans="1:10" x14ac:dyDescent="0.3">
      <c r="A350" s="233" t="s">
        <v>583</v>
      </c>
      <c r="B350" s="428" t="s">
        <v>1258</v>
      </c>
      <c r="C350" s="232">
        <v>3408964</v>
      </c>
      <c r="D350" s="232" t="s">
        <v>876</v>
      </c>
      <c r="E350" s="232">
        <v>3000</v>
      </c>
      <c r="F350" s="471" t="s">
        <v>1647</v>
      </c>
      <c r="G350" s="322" t="s">
        <v>296</v>
      </c>
      <c r="H350" s="232">
        <v>180</v>
      </c>
      <c r="I350" s="232">
        <v>3</v>
      </c>
      <c r="J350" s="232" t="str">
        <f t="shared" si="8"/>
        <v>KONTOOR, Fall21,  #3408964 (ROYALCHAKR) Qty: 3000, FAB: TBA, DEL: 27-Mar, Peak Tgt: 180, BU-3</v>
      </c>
    </row>
    <row r="351" spans="1:10" x14ac:dyDescent="0.3">
      <c r="A351" s="233" t="s">
        <v>583</v>
      </c>
      <c r="B351" s="428" t="s">
        <v>1258</v>
      </c>
      <c r="C351" s="232">
        <v>3408901</v>
      </c>
      <c r="D351" s="232" t="s">
        <v>731</v>
      </c>
      <c r="E351" s="232">
        <v>3400</v>
      </c>
      <c r="F351" s="471" t="s">
        <v>1648</v>
      </c>
      <c r="G351" s="322" t="s">
        <v>296</v>
      </c>
      <c r="H351" s="232">
        <v>180</v>
      </c>
      <c r="I351" s="232">
        <v>3</v>
      </c>
      <c r="J351" s="232" t="str">
        <f>A351&amp;", "&amp;B351&amp;",  #"&amp;C351&amp;", ("&amp;D351&amp;") Qty: "&amp;E351&amp;", FAB: "&amp;G351&amp;", DEL: "&amp;F351&amp;", Peak Tgt: "&amp;H351&amp;", BU-"&amp;I351</f>
        <v>KONTOOR, Fall21,  #3408901, (BLACK) Qty: 3400, FAB: TBA, DEL: 27-Feb, Peak Tgt: 180, BU-3</v>
      </c>
    </row>
    <row r="352" spans="1:10" x14ac:dyDescent="0.3">
      <c r="A352" s="233" t="s">
        <v>31</v>
      </c>
      <c r="B352" s="415" t="s">
        <v>862</v>
      </c>
      <c r="C352" s="473" t="s">
        <v>1649</v>
      </c>
      <c r="D352" s="473" t="s">
        <v>296</v>
      </c>
      <c r="E352" s="232">
        <v>8000</v>
      </c>
      <c r="F352" s="471" t="s">
        <v>1378</v>
      </c>
      <c r="G352" s="322" t="s">
        <v>296</v>
      </c>
      <c r="H352" s="473" t="s">
        <v>296</v>
      </c>
      <c r="I352" s="473" t="s">
        <v>296</v>
      </c>
      <c r="J352" s="232" t="str">
        <f>A352&amp;", "&amp;B352&amp;",  #"&amp;C352&amp;", ("&amp;D352&amp;") Qty: "&amp;E352&amp;", FAB: "&amp;G352&amp;", DEL: "&amp;F352&amp;", Peak Tgt: "&amp;H352&amp;", BU-"&amp;I352</f>
        <v>GU, SS21,  #H111B, (TBA) Qty: 8000, FAB: TBA, DEL: 6-Feb, Peak Tgt: TBA, BU-TBA</v>
      </c>
    </row>
    <row r="353" spans="1:10" x14ac:dyDescent="0.3">
      <c r="A353" s="233" t="s">
        <v>31</v>
      </c>
      <c r="B353" s="473" t="s">
        <v>1651</v>
      </c>
      <c r="C353" s="473" t="s">
        <v>1652</v>
      </c>
      <c r="D353" s="473" t="s">
        <v>296</v>
      </c>
      <c r="E353" s="232">
        <v>80000</v>
      </c>
      <c r="F353" s="471" t="s">
        <v>1653</v>
      </c>
      <c r="G353" s="473" t="s">
        <v>1654</v>
      </c>
      <c r="H353" s="232">
        <v>270</v>
      </c>
      <c r="I353" s="232">
        <v>3</v>
      </c>
      <c r="J353" s="232" t="str">
        <f>A353&amp;", "&amp;B353&amp;",  #"&amp;C353&amp;", ("&amp;D353&amp;") Qty: "&amp;E353&amp;", FAB: "&amp;G353&amp;", DEL: "&amp;F353&amp;", Peak Tgt: "&amp;H353&amp;", BU-"&amp;I353</f>
        <v>GU, FW21,  #F050A, (TBA) Qty: 80000, FAB: 40K-1/23, 40K-3/27, DEL: 1-Jul, Peak Tgt: 270, BU-3</v>
      </c>
    </row>
    <row r="354" spans="1:10" x14ac:dyDescent="0.3">
      <c r="A354" s="233" t="s">
        <v>31</v>
      </c>
      <c r="B354" s="473" t="s">
        <v>1651</v>
      </c>
      <c r="C354" s="473" t="s">
        <v>1655</v>
      </c>
      <c r="D354" s="473" t="s">
        <v>296</v>
      </c>
      <c r="E354" s="232">
        <v>70000</v>
      </c>
      <c r="F354" s="471" t="s">
        <v>1653</v>
      </c>
      <c r="G354" s="473" t="s">
        <v>1656</v>
      </c>
      <c r="H354" s="232">
        <v>230</v>
      </c>
      <c r="I354" s="232">
        <v>3</v>
      </c>
      <c r="J354" s="232" t="str">
        <f>A354&amp;", "&amp;B354&amp;",  #"&amp;C354&amp;", ("&amp;D354&amp;") Qty: "&amp;E354&amp;", FAB: "&amp;G354&amp;", DEL: "&amp;F354&amp;", Peak Tgt: "&amp;H354&amp;", BU-"&amp;I354</f>
        <v>GU, FW21,  #F001A, (TBA) Qty: 70000, FAB: 40K-1/23, 30K-3/27, DEL: 1-Jul, Peak Tgt: 230, BU-3</v>
      </c>
    </row>
    <row r="355" spans="1:10" x14ac:dyDescent="0.3">
      <c r="A355" s="233" t="s">
        <v>31</v>
      </c>
      <c r="B355" s="473" t="s">
        <v>1651</v>
      </c>
      <c r="C355" s="473" t="s">
        <v>1657</v>
      </c>
      <c r="D355" s="473" t="s">
        <v>296</v>
      </c>
      <c r="E355" s="232">
        <v>40000</v>
      </c>
      <c r="F355" s="471" t="s">
        <v>1653</v>
      </c>
      <c r="G355" s="473" t="s">
        <v>1658</v>
      </c>
      <c r="H355" s="232">
        <v>200</v>
      </c>
      <c r="I355" s="232">
        <v>4</v>
      </c>
      <c r="J355" s="232" t="str">
        <f>A355&amp;", "&amp;B355&amp;",  #"&amp;C355&amp;", ("&amp;D355&amp;") Qty: "&amp;E355&amp;", FAB: "&amp;G355&amp;", DEL: "&amp;F355&amp;", Peak Tgt: "&amp;H355&amp;", BU-"&amp;I355</f>
        <v>GU, FW21,  #F054A, (TBA) Qty: 40000, FAB: 20K-1/23, 20K-3/27, DEL: 1-Jul, Peak Tgt: 200, BU-4</v>
      </c>
    </row>
    <row r="356" spans="1:10" x14ac:dyDescent="0.3">
      <c r="A356" s="233" t="s">
        <v>583</v>
      </c>
      <c r="B356" s="428" t="s">
        <v>1258</v>
      </c>
      <c r="C356" s="232">
        <v>2015042</v>
      </c>
      <c r="D356" s="232" t="s">
        <v>294</v>
      </c>
      <c r="E356" s="232">
        <v>14000</v>
      </c>
      <c r="F356" s="474" t="s">
        <v>1379</v>
      </c>
      <c r="G356" s="475" t="s">
        <v>296</v>
      </c>
      <c r="H356" s="232">
        <v>160</v>
      </c>
      <c r="I356" s="232">
        <v>4</v>
      </c>
      <c r="J356" s="232" t="str">
        <f t="shared" ref="J356:J397" si="9">A356&amp;", "&amp;B356&amp;",  #"&amp;C356&amp;", ("&amp;D356&amp;") Qty: "&amp;E356&amp;", FAB: "&amp;G356&amp;", DEL: "&amp;F356&amp;", Peak Tgt: "&amp;H356&amp;", BU-"&amp;I356</f>
        <v>KONTOOR, Fall21,  #2015042, (Maddox) Qty: 14000, FAB: TBA, DEL: 6-Mar, Peak Tgt: 160, BU-4</v>
      </c>
    </row>
    <row r="357" spans="1:10" x14ac:dyDescent="0.3">
      <c r="A357" s="233" t="s">
        <v>583</v>
      </c>
      <c r="B357" s="428" t="s">
        <v>1258</v>
      </c>
      <c r="C357" s="232">
        <v>2018312</v>
      </c>
      <c r="D357" s="232" t="s">
        <v>675</v>
      </c>
      <c r="E357" s="232">
        <v>3000</v>
      </c>
      <c r="F357" s="474" t="s">
        <v>1379</v>
      </c>
      <c r="G357" s="475" t="s">
        <v>296</v>
      </c>
      <c r="H357" s="232">
        <v>160</v>
      </c>
      <c r="I357" s="232">
        <v>4</v>
      </c>
      <c r="J357" s="232" t="str">
        <f t="shared" si="9"/>
        <v>KONTOOR, Fall21,  #2018312, (Majestic) Qty: 3000, FAB: TBA, DEL: 6-Mar, Peak Tgt: 160, BU-4</v>
      </c>
    </row>
    <row r="358" spans="1:10" x14ac:dyDescent="0.3">
      <c r="A358" s="233" t="s">
        <v>583</v>
      </c>
      <c r="B358" s="428" t="s">
        <v>1258</v>
      </c>
      <c r="C358" s="232">
        <v>2018324</v>
      </c>
      <c r="D358" s="232" t="s">
        <v>665</v>
      </c>
      <c r="E358" s="232">
        <v>3000</v>
      </c>
      <c r="F358" s="474" t="s">
        <v>595</v>
      </c>
      <c r="G358" s="475" t="s">
        <v>296</v>
      </c>
      <c r="H358" s="232">
        <v>160</v>
      </c>
      <c r="I358" s="232">
        <v>4</v>
      </c>
      <c r="J358" s="232" t="str">
        <f t="shared" si="9"/>
        <v>KONTOOR, Fall21,  #2018324, (Executive) Qty: 3000, FAB: TBA, DEL: 13-Mar, Peak Tgt: 160, BU-4</v>
      </c>
    </row>
    <row r="359" spans="1:10" x14ac:dyDescent="0.3">
      <c r="A359" s="233" t="s">
        <v>435</v>
      </c>
      <c r="B359" s="393" t="s">
        <v>1194</v>
      </c>
      <c r="C359" s="232">
        <v>197624</v>
      </c>
      <c r="D359" s="475" t="s">
        <v>1659</v>
      </c>
      <c r="E359" s="232">
        <v>3800</v>
      </c>
      <c r="F359" s="474" t="s">
        <v>1660</v>
      </c>
      <c r="G359" s="475" t="s">
        <v>296</v>
      </c>
      <c r="H359" s="475" t="s">
        <v>296</v>
      </c>
      <c r="I359" s="475" t="s">
        <v>296</v>
      </c>
      <c r="J359" s="232" t="str">
        <f t="shared" si="9"/>
        <v>T-AUS, Win21,  #197624, (L Blue) Qty: 3800, FAB: TBA, DEL: 7-Mar, Peak Tgt: TBA, BU-TBA</v>
      </c>
    </row>
    <row r="360" spans="1:10" x14ac:dyDescent="0.3">
      <c r="A360" s="233" t="s">
        <v>139</v>
      </c>
      <c r="B360" s="476" t="s">
        <v>1698</v>
      </c>
      <c r="C360" s="476" t="s">
        <v>1706</v>
      </c>
      <c r="D360" s="476" t="s">
        <v>24</v>
      </c>
      <c r="E360" s="232">
        <v>100000</v>
      </c>
      <c r="F360" s="477" t="s">
        <v>1699</v>
      </c>
      <c r="G360" s="476" t="s">
        <v>296</v>
      </c>
      <c r="H360" s="232">
        <v>210</v>
      </c>
      <c r="I360" s="232">
        <v>3</v>
      </c>
      <c r="J360" s="478" t="str">
        <f t="shared" si="9"/>
        <v>T-USA, C3'21,  #EP559 (BB-PRO), (Molton) Qty: 100000, FAB: TBA, DEL: 14-Apr/35000, Peak Tgt: 210, BU-3</v>
      </c>
    </row>
    <row r="361" spans="1:10" x14ac:dyDescent="0.3">
      <c r="A361" s="233" t="s">
        <v>139</v>
      </c>
      <c r="B361" s="476" t="s">
        <v>1698</v>
      </c>
      <c r="C361" s="476" t="s">
        <v>1706</v>
      </c>
      <c r="D361" s="476" t="s">
        <v>485</v>
      </c>
      <c r="E361" s="232">
        <v>108000</v>
      </c>
      <c r="F361" s="477" t="s">
        <v>1700</v>
      </c>
      <c r="G361" s="476" t="s">
        <v>296</v>
      </c>
      <c r="H361" s="232">
        <v>210</v>
      </c>
      <c r="I361" s="232">
        <v>3</v>
      </c>
      <c r="J361" s="478" t="str">
        <f t="shared" si="9"/>
        <v>T-USA, C3'21,  #EP559 (BB-PRO), (Shane) Qty: 108000, FAB: TBA, DEL: 14-Apr/38000, Peak Tgt: 210, BU-3</v>
      </c>
    </row>
    <row r="362" spans="1:10" x14ac:dyDescent="0.3">
      <c r="A362" s="233" t="s">
        <v>139</v>
      </c>
      <c r="B362" s="476" t="s">
        <v>1698</v>
      </c>
      <c r="C362" s="476" t="s">
        <v>1707</v>
      </c>
      <c r="D362" s="476" t="s">
        <v>486</v>
      </c>
      <c r="E362" s="232">
        <v>134000</v>
      </c>
      <c r="F362" s="477" t="s">
        <v>1701</v>
      </c>
      <c r="G362" s="476" t="s">
        <v>296</v>
      </c>
      <c r="H362" s="232">
        <v>210</v>
      </c>
      <c r="I362" s="232">
        <v>3</v>
      </c>
      <c r="J362" s="478" t="str">
        <f t="shared" si="9"/>
        <v>T-USA, C3'21,  #4WPWK (BB-PRO), (Ranch) Qty: 134000, FAB: TBA, DEL: 14-Apr/47000, Peak Tgt: 210, BU-3</v>
      </c>
    </row>
    <row r="363" spans="1:10" x14ac:dyDescent="0.3">
      <c r="A363" s="233" t="s">
        <v>139</v>
      </c>
      <c r="B363" s="476" t="s">
        <v>1698</v>
      </c>
      <c r="C363" s="476" t="s">
        <v>1708</v>
      </c>
      <c r="D363" s="476" t="s">
        <v>1702</v>
      </c>
      <c r="E363" s="232">
        <v>77500</v>
      </c>
      <c r="F363" s="477" t="s">
        <v>1703</v>
      </c>
      <c r="G363" s="476" t="s">
        <v>296</v>
      </c>
      <c r="H363" s="232">
        <v>180</v>
      </c>
      <c r="I363" s="232">
        <v>3</v>
      </c>
      <c r="J363" s="478" t="str">
        <f t="shared" si="9"/>
        <v>T-USA, C3'21,  #569348 (BB-PRO), (MH PFD#2) Qty: 77500, FAB: TBA, DEL: 14-Apr/54000, Peak Tgt: 180, BU-3</v>
      </c>
    </row>
    <row r="364" spans="1:10" x14ac:dyDescent="0.3">
      <c r="A364" s="233" t="s">
        <v>139</v>
      </c>
      <c r="B364" s="476" t="s">
        <v>1698</v>
      </c>
      <c r="C364" s="476" t="s">
        <v>1708</v>
      </c>
      <c r="D364" s="476" t="s">
        <v>1704</v>
      </c>
      <c r="E364" s="232">
        <v>63000</v>
      </c>
      <c r="F364" s="477" t="s">
        <v>1705</v>
      </c>
      <c r="G364" s="476" t="s">
        <v>296</v>
      </c>
      <c r="H364" s="232">
        <v>180</v>
      </c>
      <c r="I364" s="232">
        <v>3</v>
      </c>
      <c r="J364" s="478" t="str">
        <f t="shared" si="9"/>
        <v>T-USA, C3'21,  #569348 (BB-PRO), (CJ#21) Qty: 63000, FAB: TBA, DEL: 14-Apr/44000, Peak Tgt: 180, BU-3</v>
      </c>
    </row>
    <row r="365" spans="1:10" x14ac:dyDescent="0.3">
      <c r="A365" s="233" t="s">
        <v>139</v>
      </c>
      <c r="B365" s="476" t="s">
        <v>1698</v>
      </c>
      <c r="C365" s="476" t="s">
        <v>1709</v>
      </c>
      <c r="D365" s="476" t="s">
        <v>1710</v>
      </c>
      <c r="E365" s="232">
        <v>49600</v>
      </c>
      <c r="F365" s="477" t="s">
        <v>1711</v>
      </c>
      <c r="G365" s="476" t="s">
        <v>296</v>
      </c>
      <c r="H365" s="476" t="s">
        <v>1722</v>
      </c>
      <c r="I365" s="232">
        <v>3</v>
      </c>
      <c r="J365" s="478" t="str">
        <f t="shared" si="9"/>
        <v>T-USA, C3'21,  #ACE (MN-PRO), (ACE) Qty: 49600, FAB: TBA, DEL: 19-Apr/35000, Peak Tgt: 200 (?), BU-3</v>
      </c>
    </row>
    <row r="366" spans="1:10" x14ac:dyDescent="0.3">
      <c r="A366" s="233" t="s">
        <v>139</v>
      </c>
      <c r="B366" s="476" t="s">
        <v>1698</v>
      </c>
      <c r="C366" s="476" t="s">
        <v>1716</v>
      </c>
      <c r="D366" s="232" t="s">
        <v>1712</v>
      </c>
      <c r="E366" s="232">
        <v>49600</v>
      </c>
      <c r="F366" s="477" t="s">
        <v>1711</v>
      </c>
      <c r="G366" s="476" t="s">
        <v>296</v>
      </c>
      <c r="H366" s="476" t="s">
        <v>1722</v>
      </c>
      <c r="I366" s="232">
        <v>3</v>
      </c>
      <c r="J366" s="478" t="str">
        <f t="shared" si="9"/>
        <v>T-USA, C3'21,  #ZINGER (MN-PRO), (ZINGER) Qty: 49600, FAB: TBA, DEL: 19-Apr/35000, Peak Tgt: 200 (?), BU-3</v>
      </c>
    </row>
    <row r="367" spans="1:10" x14ac:dyDescent="0.3">
      <c r="A367" s="233" t="s">
        <v>139</v>
      </c>
      <c r="B367" s="476" t="s">
        <v>1698</v>
      </c>
      <c r="C367" s="476" t="s">
        <v>1717</v>
      </c>
      <c r="D367" s="232" t="s">
        <v>1713</v>
      </c>
      <c r="E367" s="232">
        <v>49600</v>
      </c>
      <c r="F367" s="477" t="s">
        <v>1711</v>
      </c>
      <c r="G367" s="476" t="s">
        <v>296</v>
      </c>
      <c r="H367" s="476" t="s">
        <v>1722</v>
      </c>
      <c r="I367" s="232">
        <v>3</v>
      </c>
      <c r="J367" s="478" t="str">
        <f t="shared" si="9"/>
        <v>T-USA, C3'21,  #SAZON (MN-PRO), (SAZON) Qty: 49600, FAB: TBA, DEL: 19-Apr/35000, Peak Tgt: 200 (?), BU-3</v>
      </c>
    </row>
    <row r="368" spans="1:10" x14ac:dyDescent="0.3">
      <c r="A368" s="233" t="s">
        <v>139</v>
      </c>
      <c r="B368" s="476" t="s">
        <v>1698</v>
      </c>
      <c r="C368" s="476" t="s">
        <v>1718</v>
      </c>
      <c r="D368" s="232" t="s">
        <v>1714</v>
      </c>
      <c r="E368" s="232">
        <v>33440</v>
      </c>
      <c r="F368" s="477" t="s">
        <v>1720</v>
      </c>
      <c r="G368" s="476" t="s">
        <v>296</v>
      </c>
      <c r="H368" s="476" t="s">
        <v>1722</v>
      </c>
      <c r="I368" s="232">
        <v>3</v>
      </c>
      <c r="J368" s="478" t="str">
        <f t="shared" si="9"/>
        <v>T-USA, C3'21,  #PLASMA (OU-PRO), (PLASMA) Qty: 33440, FAB: TBA, DEL: 19-Apr/23000, Peak Tgt: 200 (?), BU-3</v>
      </c>
    </row>
    <row r="369" spans="1:10" x14ac:dyDescent="0.3">
      <c r="A369" s="233" t="s">
        <v>139</v>
      </c>
      <c r="B369" s="476" t="s">
        <v>1698</v>
      </c>
      <c r="C369" s="476" t="s">
        <v>1719</v>
      </c>
      <c r="D369" s="232" t="s">
        <v>1715</v>
      </c>
      <c r="E369" s="232">
        <v>56800</v>
      </c>
      <c r="F369" s="477" t="s">
        <v>1721</v>
      </c>
      <c r="G369" s="476" t="s">
        <v>296</v>
      </c>
      <c r="H369" s="476" t="s">
        <v>1722</v>
      </c>
      <c r="I369" s="232">
        <v>3</v>
      </c>
      <c r="J369" s="478" t="str">
        <f t="shared" si="9"/>
        <v>T-USA, C3'21,  #KLEBER (OU-PRO), (KLEBER) Qty: 56800, FAB: TBA, DEL: 19-Apr/40000, Peak Tgt: 200 (?), BU-3</v>
      </c>
    </row>
    <row r="370" spans="1:10" x14ac:dyDescent="0.3">
      <c r="A370" s="233" t="s">
        <v>139</v>
      </c>
      <c r="B370" s="476" t="s">
        <v>1698</v>
      </c>
      <c r="C370" s="476" t="s">
        <v>1723</v>
      </c>
      <c r="D370" s="476" t="s">
        <v>1725</v>
      </c>
      <c r="E370" s="232">
        <v>52000</v>
      </c>
      <c r="F370" s="477" t="s">
        <v>1726</v>
      </c>
      <c r="H370" s="476" t="s">
        <v>1727</v>
      </c>
      <c r="I370" s="232">
        <v>3</v>
      </c>
      <c r="J370" s="478" t="str">
        <f t="shared" si="9"/>
        <v>T-USA, C3'21,  #DAVIES-Skinny (MN-PRO), (DAVIES) Qty: 52000, FAB: , DEL: 19-Apr/21000, Peak Tgt: 195 (?), BU-3</v>
      </c>
    </row>
    <row r="371" spans="1:10" x14ac:dyDescent="0.3">
      <c r="A371" s="233" t="s">
        <v>139</v>
      </c>
      <c r="B371" s="476" t="s">
        <v>1698</v>
      </c>
      <c r="C371" s="476" t="s">
        <v>1724</v>
      </c>
      <c r="D371" s="476" t="s">
        <v>1725</v>
      </c>
      <c r="E371" s="232">
        <v>52650</v>
      </c>
      <c r="F371" s="477" t="s">
        <v>1726</v>
      </c>
      <c r="H371" s="476" t="s">
        <v>1727</v>
      </c>
      <c r="I371" s="232">
        <v>3</v>
      </c>
      <c r="J371" s="232" t="str">
        <f t="shared" si="9"/>
        <v>T-USA, C3'21,  #DAVIES-Straight (MN-PRO), (DAVIES) Qty: 52650, FAB: , DEL: 19-Apr/21000, Peak Tgt: 195 (?), BU-3</v>
      </c>
    </row>
    <row r="372" spans="1:10" x14ac:dyDescent="0.3">
      <c r="A372" s="233" t="s">
        <v>139</v>
      </c>
      <c r="B372" s="476" t="s">
        <v>1698</v>
      </c>
      <c r="C372" s="479" t="s">
        <v>1728</v>
      </c>
      <c r="D372" s="479" t="s">
        <v>1729</v>
      </c>
      <c r="E372" s="232">
        <v>57000</v>
      </c>
      <c r="F372" s="480" t="s">
        <v>1731</v>
      </c>
      <c r="H372" s="479" t="s">
        <v>1733</v>
      </c>
      <c r="I372" s="232">
        <v>3</v>
      </c>
      <c r="J372" s="232" t="str">
        <f t="shared" si="9"/>
        <v>T-USA, C3'21,  #2WE34 (BB-PRO), (WASH#28) Qty: 57000, FAB: , DEL: 14-Apr/40000, Peak Tgt: 210 (?), BU-3</v>
      </c>
    </row>
    <row r="373" spans="1:10" x14ac:dyDescent="0.3">
      <c r="A373" s="233" t="s">
        <v>139</v>
      </c>
      <c r="B373" s="476" t="s">
        <v>1698</v>
      </c>
      <c r="C373" s="479" t="s">
        <v>1728</v>
      </c>
      <c r="D373" s="479" t="s">
        <v>1730</v>
      </c>
      <c r="E373" s="232">
        <v>75000</v>
      </c>
      <c r="F373" s="480" t="s">
        <v>1732</v>
      </c>
      <c r="H373" s="479" t="s">
        <v>1733</v>
      </c>
      <c r="I373" s="232">
        <v>3</v>
      </c>
      <c r="J373" s="232" t="str">
        <f t="shared" si="9"/>
        <v>T-USA, C3'21,  #2WE34 (BB-PRO), (ALMOND) Qty: 75000, FAB: , DEL: 14-Apr/26000, Peak Tgt: 210 (?), BU-3</v>
      </c>
    </row>
    <row r="374" spans="1:10" x14ac:dyDescent="0.3">
      <c r="A374" s="233" t="s">
        <v>583</v>
      </c>
      <c r="B374" s="428" t="s">
        <v>1258</v>
      </c>
      <c r="C374" s="232">
        <v>2018312</v>
      </c>
      <c r="D374" s="232" t="s">
        <v>675</v>
      </c>
      <c r="E374" s="232">
        <v>3700</v>
      </c>
      <c r="F374" s="482" t="s">
        <v>1744</v>
      </c>
      <c r="G374" s="483" t="s">
        <v>296</v>
      </c>
      <c r="H374" s="232">
        <v>160</v>
      </c>
      <c r="I374" s="232">
        <v>4</v>
      </c>
      <c r="J374" s="232" t="str">
        <f t="shared" si="9"/>
        <v>KONTOOR, Fall21,  #2018312, (Majestic) Qty: 3700, FAB: TBA, DEL: 20-Mar, Peak Tgt: 160, BU-4</v>
      </c>
    </row>
    <row r="375" spans="1:10" x14ac:dyDescent="0.3">
      <c r="A375" s="233" t="s">
        <v>583</v>
      </c>
      <c r="B375" s="428" t="s">
        <v>1258</v>
      </c>
      <c r="C375" s="232">
        <v>2018324</v>
      </c>
      <c r="D375" s="232" t="s">
        <v>665</v>
      </c>
      <c r="E375" s="232">
        <v>3000</v>
      </c>
      <c r="F375" s="482" t="s">
        <v>1744</v>
      </c>
      <c r="G375" s="483" t="s">
        <v>296</v>
      </c>
      <c r="H375" s="232">
        <v>160</v>
      </c>
      <c r="I375" s="232">
        <v>4</v>
      </c>
      <c r="J375" s="232" t="str">
        <f t="shared" si="9"/>
        <v>KONTOOR, Fall21,  #2018324, (Executive) Qty: 3000, FAB: TBA, DEL: 20-Mar, Peak Tgt: 160, BU-4</v>
      </c>
    </row>
    <row r="376" spans="1:10" x14ac:dyDescent="0.3">
      <c r="A376" s="233" t="s">
        <v>583</v>
      </c>
      <c r="B376" s="428" t="s">
        <v>1258</v>
      </c>
      <c r="C376" s="232">
        <v>2108524</v>
      </c>
      <c r="D376" s="232" t="s">
        <v>665</v>
      </c>
      <c r="E376" s="232">
        <v>3000</v>
      </c>
      <c r="F376" s="482" t="s">
        <v>1744</v>
      </c>
      <c r="G376" s="483" t="s">
        <v>296</v>
      </c>
      <c r="H376" s="232">
        <v>160</v>
      </c>
      <c r="I376" s="232">
        <v>4</v>
      </c>
      <c r="J376" s="232" t="str">
        <f t="shared" si="9"/>
        <v>KONTOOR, Fall21,  #2108524, (Executive) Qty: 3000, FAB: TBA, DEL: 20-Mar, Peak Tgt: 160, BU-4</v>
      </c>
    </row>
    <row r="377" spans="1:10" x14ac:dyDescent="0.3">
      <c r="A377" s="233" t="s">
        <v>583</v>
      </c>
      <c r="B377" s="428" t="s">
        <v>1258</v>
      </c>
      <c r="C377" s="232">
        <v>3522001</v>
      </c>
      <c r="D377" s="232" t="s">
        <v>731</v>
      </c>
      <c r="E377" s="232">
        <v>4000</v>
      </c>
      <c r="F377" s="482" t="s">
        <v>1745</v>
      </c>
      <c r="G377" s="483" t="s">
        <v>296</v>
      </c>
      <c r="H377" s="232">
        <v>200</v>
      </c>
      <c r="I377" s="232">
        <v>3</v>
      </c>
      <c r="J377" s="232" t="str">
        <f t="shared" si="9"/>
        <v>KONTOOR, Fall21,  #3522001, (BLACK) Qty: 4000, FAB: TBA, DEL: 24-Apr, Peak Tgt: 200, BU-3</v>
      </c>
    </row>
    <row r="378" spans="1:10" x14ac:dyDescent="0.3">
      <c r="A378" s="233" t="s">
        <v>583</v>
      </c>
      <c r="B378" s="428" t="s">
        <v>1258</v>
      </c>
      <c r="C378" s="232" t="s">
        <v>1005</v>
      </c>
      <c r="D378" s="232" t="s">
        <v>1007</v>
      </c>
      <c r="E378" s="232">
        <v>3000</v>
      </c>
      <c r="F378" s="482" t="s">
        <v>1744</v>
      </c>
      <c r="G378" s="483" t="s">
        <v>296</v>
      </c>
      <c r="H378" s="232">
        <v>180</v>
      </c>
      <c r="I378" s="232">
        <v>3</v>
      </c>
      <c r="J378" s="232" t="str">
        <f t="shared" si="9"/>
        <v>KONTOOR, Fall21,  #ZFC9BI2, (Dark) Qty: 3000, FAB: TBA, DEL: 20-Mar, Peak Tgt: 180, BU-3</v>
      </c>
    </row>
    <row r="379" spans="1:10" x14ac:dyDescent="0.3">
      <c r="A379" s="233" t="s">
        <v>583</v>
      </c>
      <c r="B379" s="428" t="s">
        <v>1258</v>
      </c>
      <c r="C379" s="232" t="s">
        <v>1006</v>
      </c>
      <c r="D379" s="232" t="s">
        <v>1008</v>
      </c>
      <c r="E379" s="232">
        <v>8000</v>
      </c>
      <c r="F379" s="482" t="s">
        <v>1744</v>
      </c>
      <c r="G379" s="483" t="s">
        <v>296</v>
      </c>
      <c r="H379" s="232">
        <v>180</v>
      </c>
      <c r="I379" s="232">
        <v>3</v>
      </c>
      <c r="J379" s="232" t="str">
        <f t="shared" si="9"/>
        <v>KONTOOR, Fall21,  #ZFC9BI4, (Mid) Qty: 8000, FAB: TBA, DEL: 20-Mar, Peak Tgt: 180, BU-3</v>
      </c>
    </row>
    <row r="380" spans="1:10" x14ac:dyDescent="0.3">
      <c r="A380" s="233" t="s">
        <v>583</v>
      </c>
      <c r="B380" s="428" t="s">
        <v>1258</v>
      </c>
      <c r="C380" s="232">
        <v>3381910</v>
      </c>
      <c r="D380" s="484" t="s">
        <v>651</v>
      </c>
      <c r="E380" s="232">
        <v>1501</v>
      </c>
      <c r="F380" s="485" t="s">
        <v>1647</v>
      </c>
      <c r="G380" s="483" t="s">
        <v>296</v>
      </c>
      <c r="H380" s="232">
        <v>180</v>
      </c>
      <c r="I380" s="232">
        <v>3</v>
      </c>
      <c r="J380" s="232" t="str">
        <f t="shared" si="9"/>
        <v>KONTOOR, Fall21,  #3381910, (White) Qty: 1501, FAB: TBA, DEL: 27-Mar, Peak Tgt: 180, BU-3</v>
      </c>
    </row>
    <row r="381" spans="1:10" x14ac:dyDescent="0.3">
      <c r="A381" s="233" t="s">
        <v>583</v>
      </c>
      <c r="B381" s="428" t="s">
        <v>1258</v>
      </c>
      <c r="C381" s="232">
        <v>3196017</v>
      </c>
      <c r="D381" s="484" t="s">
        <v>1578</v>
      </c>
      <c r="E381" s="232">
        <v>2056</v>
      </c>
      <c r="F381" s="485" t="s">
        <v>1647</v>
      </c>
      <c r="G381" s="483" t="s">
        <v>296</v>
      </c>
      <c r="H381" s="232">
        <v>180</v>
      </c>
      <c r="I381" s="232">
        <v>3</v>
      </c>
      <c r="J381" s="232" t="str">
        <f t="shared" si="9"/>
        <v>KONTOOR, Fall21,  #3196017, (CAMDEN) Qty: 2056, FAB: TBA, DEL: 27-Mar, Peak Tgt: 180, BU-3</v>
      </c>
    </row>
    <row r="382" spans="1:10" x14ac:dyDescent="0.3">
      <c r="A382" s="233" t="s">
        <v>583</v>
      </c>
      <c r="B382" s="428" t="s">
        <v>1258</v>
      </c>
      <c r="C382" s="232">
        <v>3778476</v>
      </c>
      <c r="D382" s="232" t="s">
        <v>1094</v>
      </c>
      <c r="E382" s="232">
        <v>3000</v>
      </c>
      <c r="F382" s="485" t="s">
        <v>1757</v>
      </c>
      <c r="G382" s="483" t="s">
        <v>296</v>
      </c>
      <c r="H382" s="232">
        <v>180</v>
      </c>
      <c r="I382" s="232">
        <v>3</v>
      </c>
      <c r="J382" s="232" t="str">
        <f t="shared" si="9"/>
        <v>KONTOOR, Fall21,  #3778476, (EXPEDITION) Qty: 3000, FAB: TBA, DEL: 3-Apr, Peak Tgt: 180, BU-3</v>
      </c>
    </row>
    <row r="383" spans="1:10" x14ac:dyDescent="0.3">
      <c r="A383" s="233" t="s">
        <v>583</v>
      </c>
      <c r="B383" s="428" t="s">
        <v>1258</v>
      </c>
      <c r="C383" s="232" t="s">
        <v>1005</v>
      </c>
      <c r="D383" s="232" t="s">
        <v>1007</v>
      </c>
      <c r="E383" s="232">
        <v>9000</v>
      </c>
      <c r="F383" s="485" t="s">
        <v>1647</v>
      </c>
      <c r="G383" s="483" t="s">
        <v>296</v>
      </c>
      <c r="H383" s="232">
        <v>180</v>
      </c>
      <c r="I383" s="232">
        <v>3</v>
      </c>
      <c r="J383" s="232" t="str">
        <f t="shared" si="9"/>
        <v>KONTOOR, Fall21,  #ZFC9BI2, (Dark) Qty: 9000, FAB: TBA, DEL: 27-Mar, Peak Tgt: 180, BU-3</v>
      </c>
    </row>
    <row r="384" spans="1:10" x14ac:dyDescent="0.3">
      <c r="A384" s="233" t="s">
        <v>583</v>
      </c>
      <c r="B384" s="428" t="s">
        <v>1258</v>
      </c>
      <c r="C384" s="232" t="s">
        <v>1006</v>
      </c>
      <c r="D384" s="232" t="s">
        <v>1008</v>
      </c>
      <c r="E384" s="232">
        <v>12000</v>
      </c>
      <c r="F384" s="485" t="s">
        <v>1647</v>
      </c>
      <c r="G384" s="483" t="s">
        <v>296</v>
      </c>
      <c r="H384" s="232">
        <v>180</v>
      </c>
      <c r="I384" s="232">
        <v>3</v>
      </c>
      <c r="J384" s="232" t="str">
        <f t="shared" si="9"/>
        <v>KONTOOR, Fall21,  #ZFC9BI4, (Mid) Qty: 12000, FAB: TBA, DEL: 27-Mar, Peak Tgt: 180, BU-3</v>
      </c>
    </row>
    <row r="385" spans="1:10" x14ac:dyDescent="0.3">
      <c r="A385" s="233" t="s">
        <v>583</v>
      </c>
      <c r="B385" s="428" t="s">
        <v>1258</v>
      </c>
      <c r="C385" s="232" t="s">
        <v>792</v>
      </c>
      <c r="D385" s="232" t="s">
        <v>578</v>
      </c>
      <c r="E385" s="232">
        <v>3000</v>
      </c>
      <c r="F385" s="486" t="s">
        <v>1759</v>
      </c>
      <c r="G385" s="483" t="s">
        <v>296</v>
      </c>
      <c r="H385" s="232">
        <v>180</v>
      </c>
      <c r="I385" s="232">
        <v>3</v>
      </c>
      <c r="J385" s="232" t="str">
        <f t="shared" si="9"/>
        <v>KONTOOR, Fall21,  #G96RTWL, (Wilson) Qty: 3000, FAB: TBA, DEL: 4-Apr, Peak Tgt: 180, BU-3</v>
      </c>
    </row>
    <row r="386" spans="1:10" x14ac:dyDescent="0.3">
      <c r="A386" s="233" t="s">
        <v>583</v>
      </c>
      <c r="B386" s="428" t="s">
        <v>1258</v>
      </c>
      <c r="C386" s="232">
        <v>2015042</v>
      </c>
      <c r="D386" s="487" t="s">
        <v>294</v>
      </c>
      <c r="E386" s="232">
        <v>4500</v>
      </c>
      <c r="F386" s="486" t="s">
        <v>1744</v>
      </c>
      <c r="G386" s="483" t="s">
        <v>296</v>
      </c>
      <c r="H386" s="232">
        <v>160</v>
      </c>
      <c r="I386" s="232">
        <v>4</v>
      </c>
      <c r="J386" s="232" t="str">
        <f t="shared" si="9"/>
        <v>KONTOOR, Fall21,  #2015042, (Maddox) Qty: 4500, FAB: TBA, DEL: 20-Mar, Peak Tgt: 160, BU-4</v>
      </c>
    </row>
    <row r="387" spans="1:10" x14ac:dyDescent="0.3">
      <c r="A387" s="233" t="s">
        <v>583</v>
      </c>
      <c r="B387" s="428" t="s">
        <v>1258</v>
      </c>
      <c r="C387" s="232">
        <v>2105042</v>
      </c>
      <c r="D387" s="487" t="s">
        <v>294</v>
      </c>
      <c r="E387" s="232">
        <v>3000</v>
      </c>
      <c r="F387" s="486" t="s">
        <v>1757</v>
      </c>
      <c r="G387" s="483" t="s">
        <v>296</v>
      </c>
      <c r="H387" s="232">
        <v>160</v>
      </c>
      <c r="I387" s="232">
        <v>4</v>
      </c>
      <c r="J387" s="232" t="str">
        <f t="shared" si="9"/>
        <v>KONTOOR, Fall21,  #2105042, (Maddox) Qty: 3000, FAB: TBA, DEL: 3-Apr, Peak Tgt: 160, BU-4</v>
      </c>
    </row>
    <row r="388" spans="1:10" x14ac:dyDescent="0.3">
      <c r="A388" s="233" t="s">
        <v>583</v>
      </c>
      <c r="B388" s="428" t="s">
        <v>1258</v>
      </c>
      <c r="C388" s="232">
        <v>2015042</v>
      </c>
      <c r="D388" s="487" t="s">
        <v>294</v>
      </c>
      <c r="E388" s="232">
        <v>3000</v>
      </c>
      <c r="F388" s="486" t="s">
        <v>1760</v>
      </c>
      <c r="G388" s="483" t="s">
        <v>296</v>
      </c>
      <c r="H388" s="232">
        <v>160</v>
      </c>
      <c r="I388" s="232">
        <v>4</v>
      </c>
      <c r="J388" s="232" t="str">
        <f t="shared" si="9"/>
        <v>KONTOOR, Fall21,  #2015042, (Maddox) Qty: 3000, FAB: TBA, DEL: 10-Apr, Peak Tgt: 160, BU-4</v>
      </c>
    </row>
    <row r="389" spans="1:10" x14ac:dyDescent="0.3">
      <c r="A389" s="233" t="s">
        <v>435</v>
      </c>
      <c r="B389" s="393" t="s">
        <v>1194</v>
      </c>
      <c r="C389" s="232">
        <v>208488</v>
      </c>
      <c r="D389" s="488" t="s">
        <v>1762</v>
      </c>
      <c r="E389" s="232">
        <v>3064</v>
      </c>
      <c r="F389" s="489" t="s">
        <v>595</v>
      </c>
      <c r="G389" s="322" t="s">
        <v>296</v>
      </c>
      <c r="H389" s="232">
        <v>180</v>
      </c>
      <c r="I389" s="232">
        <v>3</v>
      </c>
      <c r="J389" s="232" t="str">
        <f t="shared" si="9"/>
        <v>T-AUS, Win21,  #208488, (MID STONE) Qty: 3064, FAB: TBA, DEL: 13-Mar, Peak Tgt: 180, BU-3</v>
      </c>
    </row>
    <row r="390" spans="1:10" x14ac:dyDescent="0.3">
      <c r="A390" s="233" t="s">
        <v>139</v>
      </c>
      <c r="B390" s="476" t="s">
        <v>1698</v>
      </c>
      <c r="C390" s="232" t="s">
        <v>1773</v>
      </c>
      <c r="D390" s="232" t="s">
        <v>1774</v>
      </c>
      <c r="E390" s="232">
        <v>76748</v>
      </c>
      <c r="F390" s="489" t="s">
        <v>1775</v>
      </c>
      <c r="G390" s="489" t="s">
        <v>1577</v>
      </c>
      <c r="H390" s="479" t="s">
        <v>1733</v>
      </c>
      <c r="I390" s="232">
        <v>3</v>
      </c>
      <c r="J390" s="232" t="str">
        <f t="shared" si="9"/>
        <v>T-USA, C3'21,  #2WE34, (MH TABLE#1) Qty: 76748, FAB: 20-Feb, DEL: 15-Apr/18525, Peak Tgt: 210 (?), BU-3</v>
      </c>
    </row>
    <row r="391" spans="1:10" x14ac:dyDescent="0.3">
      <c r="A391" s="233" t="s">
        <v>139</v>
      </c>
      <c r="B391" s="476" t="s">
        <v>1698</v>
      </c>
      <c r="C391" s="232" t="s">
        <v>1773</v>
      </c>
      <c r="D391" s="488" t="s">
        <v>1776</v>
      </c>
      <c r="E391" s="232">
        <v>66685</v>
      </c>
      <c r="F391" s="489" t="s">
        <v>1777</v>
      </c>
      <c r="G391" s="489" t="s">
        <v>1778</v>
      </c>
      <c r="H391" s="479" t="s">
        <v>1733</v>
      </c>
      <c r="I391" s="232">
        <v>3</v>
      </c>
      <c r="J391" s="232" t="str">
        <f t="shared" si="9"/>
        <v>T-USA, C3'21,  #2WE34, (MH TABLE#2) Qty: 66685, FAB: 15-Feb, DEL: 15-Apr/16096, Peak Tgt: 210 (?), BU-3</v>
      </c>
    </row>
    <row r="392" spans="1:10" x14ac:dyDescent="0.3">
      <c r="A392" s="233" t="s">
        <v>139</v>
      </c>
      <c r="B392" s="476" t="s">
        <v>1698</v>
      </c>
      <c r="C392" s="488" t="s">
        <v>1779</v>
      </c>
      <c r="D392" s="232" t="s">
        <v>1714</v>
      </c>
      <c r="E392" s="232">
        <v>29244</v>
      </c>
      <c r="F392" s="489" t="s">
        <v>1780</v>
      </c>
      <c r="G392" s="489" t="s">
        <v>1781</v>
      </c>
      <c r="H392" s="488" t="s">
        <v>1722</v>
      </c>
      <c r="I392" s="478">
        <v>3</v>
      </c>
      <c r="J392" s="232" t="str">
        <f t="shared" si="9"/>
        <v>T-USA, C3'21,  #W584X (Mens), (PLASMA) Qty: 29244, FAB: 18-Feb, DEL: 12-Apr/15474, Peak Tgt: 200 (?), BU-3</v>
      </c>
    </row>
    <row r="393" spans="1:10" x14ac:dyDescent="0.3">
      <c r="A393" s="233" t="s">
        <v>139</v>
      </c>
      <c r="B393" s="476" t="s">
        <v>1698</v>
      </c>
      <c r="C393" s="488" t="s">
        <v>1782</v>
      </c>
      <c r="D393" s="232" t="s">
        <v>1715</v>
      </c>
      <c r="E393" s="232">
        <v>49669</v>
      </c>
      <c r="F393" s="489" t="s">
        <v>1783</v>
      </c>
      <c r="G393" s="489" t="s">
        <v>1784</v>
      </c>
      <c r="H393" s="488" t="s">
        <v>1722</v>
      </c>
      <c r="I393" s="232">
        <v>3</v>
      </c>
      <c r="J393" s="232" t="str">
        <f t="shared" si="9"/>
        <v>T-USA, C3'21,  #PW8Z7 (Mens), (KLEBER) Qty: 49669, FAB: 2-Mar, DEL: 12-Apr/25474, Peak Tgt: 200 (?), BU-3</v>
      </c>
    </row>
    <row r="394" spans="1:10" x14ac:dyDescent="0.3">
      <c r="A394" s="233" t="s">
        <v>139</v>
      </c>
      <c r="B394" s="476" t="s">
        <v>1698</v>
      </c>
      <c r="C394" s="488" t="s">
        <v>1785</v>
      </c>
      <c r="D394" s="232" t="s">
        <v>1710</v>
      </c>
      <c r="E394" s="232">
        <v>71300</v>
      </c>
      <c r="F394" s="489" t="s">
        <v>1786</v>
      </c>
      <c r="G394" s="489" t="s">
        <v>1787</v>
      </c>
      <c r="H394" s="488" t="s">
        <v>1722</v>
      </c>
      <c r="I394" s="232">
        <v>3</v>
      </c>
      <c r="J394" s="232" t="str">
        <f t="shared" si="9"/>
        <v>T-USA, C3'21,  #9ME51 (Mens), (ACE) Qty: 71300, FAB: 23-Feb, DEL: 12-Apr/46132, Peak Tgt: 200 (?), BU-3</v>
      </c>
    </row>
    <row r="395" spans="1:10" x14ac:dyDescent="0.3">
      <c r="A395" s="233" t="s">
        <v>139</v>
      </c>
      <c r="B395" s="476" t="s">
        <v>1698</v>
      </c>
      <c r="C395" s="488" t="s">
        <v>1788</v>
      </c>
      <c r="D395" s="232" t="s">
        <v>1712</v>
      </c>
      <c r="E395" s="232">
        <v>67150</v>
      </c>
      <c r="F395" s="489" t="s">
        <v>1789</v>
      </c>
      <c r="G395" s="489" t="s">
        <v>1781</v>
      </c>
      <c r="H395" s="488" t="s">
        <v>1722</v>
      </c>
      <c r="I395" s="232">
        <v>3</v>
      </c>
      <c r="J395" s="232" t="str">
        <f t="shared" si="9"/>
        <v>T-USA, C3'21,  #YM8WR (Mens), (ZINGER) Qty: 67150, FAB: 18-Feb, DEL: 12-Apr/45757, Peak Tgt: 200 (?), BU-3</v>
      </c>
    </row>
    <row r="396" spans="1:10" x14ac:dyDescent="0.3">
      <c r="A396" s="233" t="s">
        <v>139</v>
      </c>
      <c r="B396" s="476" t="s">
        <v>1698</v>
      </c>
      <c r="C396" s="488" t="s">
        <v>1790</v>
      </c>
      <c r="D396" s="232" t="s">
        <v>1713</v>
      </c>
      <c r="E396" s="232">
        <v>75451</v>
      </c>
      <c r="F396" s="489" t="s">
        <v>1791</v>
      </c>
      <c r="G396" s="489" t="s">
        <v>1792</v>
      </c>
      <c r="H396" s="488" t="s">
        <v>1722</v>
      </c>
      <c r="I396" s="232">
        <v>3</v>
      </c>
      <c r="J396" s="232" t="str">
        <f t="shared" si="9"/>
        <v>T-USA, C3'21,  #ZP8XG (Mens), (SAZON) Qty: 75451, FAB: 4-Mar, DEL: 12-Apr/46507, Peak Tgt: 200 (?), BU-3</v>
      </c>
    </row>
    <row r="397" spans="1:10" x14ac:dyDescent="0.3">
      <c r="A397" s="233" t="s">
        <v>139</v>
      </c>
      <c r="B397" s="476" t="s">
        <v>1698</v>
      </c>
      <c r="C397" s="488" t="s">
        <v>1797</v>
      </c>
      <c r="D397" s="232" t="s">
        <v>1730</v>
      </c>
      <c r="E397" s="232">
        <v>81156</v>
      </c>
      <c r="F397" s="489" t="s">
        <v>1793</v>
      </c>
      <c r="G397" s="488" t="s">
        <v>296</v>
      </c>
      <c r="H397" s="488" t="s">
        <v>1733</v>
      </c>
      <c r="I397" s="232">
        <v>3</v>
      </c>
      <c r="J397" s="232" t="str">
        <f t="shared" si="9"/>
        <v>T-USA, C3'21,  #81EE6 (BB), (ALMOND) Qty: 81156, FAB: TBA, DEL: 15-Apr/19589, Peak Tgt: 210 (?), BU-3</v>
      </c>
    </row>
    <row r="398" spans="1:10" x14ac:dyDescent="0.3">
      <c r="A398" s="233" t="s">
        <v>139</v>
      </c>
      <c r="B398" s="476" t="s">
        <v>1698</v>
      </c>
      <c r="C398" s="488" t="s">
        <v>1798</v>
      </c>
      <c r="D398" s="488" t="s">
        <v>1794</v>
      </c>
      <c r="E398" s="232">
        <v>3757</v>
      </c>
      <c r="F398" s="489" t="s">
        <v>1795</v>
      </c>
      <c r="G398" s="489" t="s">
        <v>1796</v>
      </c>
      <c r="H398" s="488" t="s">
        <v>1733</v>
      </c>
      <c r="I398" s="232">
        <v>3</v>
      </c>
      <c r="J398" s="232" t="str">
        <f t="shared" ref="J398:J461" si="10">A398&amp;", "&amp;B398&amp;",  #"&amp;C398&amp;", ("&amp;D398&amp;") Qty: "&amp;E398&amp;", FAB: "&amp;G398&amp;", DEL: "&amp;F398&amp;", Peak Tgt: "&amp;H398&amp;", BU-"&amp;I398</f>
        <v>T-USA, C3'21,  #M6GE1 (BB), (Wash#21) Qty: 3757, FAB: 8-Mar, DEL: 15-Apr/908, Peak Tgt: 210 (?), BU-3</v>
      </c>
    </row>
    <row r="399" spans="1:10" x14ac:dyDescent="0.3">
      <c r="A399" s="233" t="s">
        <v>32</v>
      </c>
      <c r="B399" s="490" t="s">
        <v>1804</v>
      </c>
      <c r="C399" s="232" t="s">
        <v>1803</v>
      </c>
      <c r="D399" s="490" t="s">
        <v>296</v>
      </c>
      <c r="E399" s="232">
        <v>20000</v>
      </c>
      <c r="F399" s="491" t="s">
        <v>1360</v>
      </c>
      <c r="G399" s="490" t="s">
        <v>687</v>
      </c>
      <c r="H399" s="232">
        <v>190</v>
      </c>
      <c r="I399" s="232">
        <v>4</v>
      </c>
      <c r="J399" s="232" t="str">
        <f t="shared" si="10"/>
        <v>ZARA, XX,  #9794 -414 427, (TBA) Qty: 20000, FAB: OK, DEL: 23-Jan, Peak Tgt: 190, BU-4</v>
      </c>
    </row>
    <row r="400" spans="1:10" x14ac:dyDescent="0.3">
      <c r="A400" s="233" t="s">
        <v>583</v>
      </c>
      <c r="B400" s="428" t="s">
        <v>1258</v>
      </c>
      <c r="C400" s="232">
        <v>2015042</v>
      </c>
      <c r="D400" s="232" t="s">
        <v>294</v>
      </c>
      <c r="E400" s="232">
        <v>14500</v>
      </c>
      <c r="F400" s="492" t="s">
        <v>592</v>
      </c>
      <c r="G400" s="493" t="s">
        <v>296</v>
      </c>
      <c r="H400" s="232">
        <v>160</v>
      </c>
      <c r="I400" s="232">
        <v>4</v>
      </c>
      <c r="J400" s="478" t="str">
        <f t="shared" si="10"/>
        <v>KONTOOR, Fall21,  #2015042, (Maddox) Qty: 14500, FAB: TBA, DEL: 1-May, Peak Tgt: 160, BU-4</v>
      </c>
    </row>
    <row r="401" spans="1:10" x14ac:dyDescent="0.3">
      <c r="A401" s="233" t="s">
        <v>583</v>
      </c>
      <c r="B401" s="428" t="s">
        <v>1258</v>
      </c>
      <c r="C401" s="232">
        <v>2105042</v>
      </c>
      <c r="D401" s="232" t="s">
        <v>294</v>
      </c>
      <c r="E401" s="232">
        <v>1600</v>
      </c>
      <c r="F401" s="492" t="s">
        <v>592</v>
      </c>
      <c r="G401" s="493" t="s">
        <v>296</v>
      </c>
      <c r="H401" s="232">
        <v>160</v>
      </c>
      <c r="I401" s="232">
        <v>4</v>
      </c>
      <c r="J401" s="478" t="str">
        <f t="shared" si="10"/>
        <v>KONTOOR, Fall21,  #2105042, (Maddox) Qty: 1600, FAB: TBA, DEL: 1-May, Peak Tgt: 160, BU-4</v>
      </c>
    </row>
    <row r="402" spans="1:10" x14ac:dyDescent="0.3">
      <c r="A402" s="233" t="s">
        <v>583</v>
      </c>
      <c r="B402" s="428" t="s">
        <v>1258</v>
      </c>
      <c r="C402" s="232">
        <v>2018312</v>
      </c>
      <c r="D402" s="232" t="s">
        <v>675</v>
      </c>
      <c r="E402" s="232">
        <v>3000</v>
      </c>
      <c r="F402" s="492" t="s">
        <v>592</v>
      </c>
      <c r="G402" s="493" t="s">
        <v>296</v>
      </c>
      <c r="H402" s="232">
        <v>160</v>
      </c>
      <c r="I402" s="232">
        <v>4</v>
      </c>
      <c r="J402" s="478" t="str">
        <f t="shared" si="10"/>
        <v>KONTOOR, Fall21,  #2018312, (Majestic) Qty: 3000, FAB: TBA, DEL: 1-May, Peak Tgt: 160, BU-4</v>
      </c>
    </row>
    <row r="403" spans="1:10" x14ac:dyDescent="0.3">
      <c r="A403" s="233" t="s">
        <v>583</v>
      </c>
      <c r="B403" s="428" t="s">
        <v>1258</v>
      </c>
      <c r="C403" s="232" t="s">
        <v>1819</v>
      </c>
      <c r="D403" s="232" t="s">
        <v>459</v>
      </c>
      <c r="E403" s="232">
        <v>2000</v>
      </c>
      <c r="F403" s="492" t="s">
        <v>1821</v>
      </c>
      <c r="G403" s="493" t="s">
        <v>296</v>
      </c>
      <c r="H403" s="232">
        <v>200</v>
      </c>
      <c r="I403" s="232">
        <v>3</v>
      </c>
      <c r="J403" s="478" t="str">
        <f t="shared" si="10"/>
        <v>KONTOOR, Fall21,  #3522077 / L34BTEFE, (Nightshade) Qty: 2000, FAB: TBA, DEL: 17-Apr, Peak Tgt: 200, BU-3</v>
      </c>
    </row>
    <row r="404" spans="1:10" x14ac:dyDescent="0.3">
      <c r="A404" s="233" t="s">
        <v>583</v>
      </c>
      <c r="B404" s="428" t="s">
        <v>1258</v>
      </c>
      <c r="C404" s="232" t="s">
        <v>1820</v>
      </c>
      <c r="D404" s="232" t="s">
        <v>460</v>
      </c>
      <c r="E404" s="232">
        <v>3000</v>
      </c>
      <c r="F404" s="492" t="s">
        <v>1821</v>
      </c>
      <c r="G404" s="493" t="s">
        <v>296</v>
      </c>
      <c r="H404" s="232">
        <v>200</v>
      </c>
      <c r="I404" s="232">
        <v>3</v>
      </c>
      <c r="J404" s="478" t="str">
        <f t="shared" si="10"/>
        <v>KONTOOR, Fall21,  #3522095 / L34BTEFG, (Seattle) Qty: 3000, FAB: TBA, DEL: 17-Apr, Peak Tgt: 200, BU-3</v>
      </c>
    </row>
    <row r="405" spans="1:10" x14ac:dyDescent="0.3">
      <c r="A405" s="233"/>
      <c r="B405" s="428"/>
      <c r="F405" s="492"/>
      <c r="G405" s="493"/>
    </row>
    <row r="406" spans="1:10" x14ac:dyDescent="0.3">
      <c r="A406" s="233" t="s">
        <v>583</v>
      </c>
      <c r="B406" s="428" t="s">
        <v>1258</v>
      </c>
      <c r="C406" s="232">
        <v>2161543</v>
      </c>
      <c r="D406" s="494" t="s">
        <v>1833</v>
      </c>
      <c r="E406" s="232">
        <v>7000</v>
      </c>
      <c r="F406" s="495" t="s">
        <v>1757</v>
      </c>
      <c r="G406" s="493" t="s">
        <v>296</v>
      </c>
      <c r="H406" s="232">
        <v>160</v>
      </c>
      <c r="I406" s="232">
        <v>4</v>
      </c>
      <c r="J406" s="478" t="str">
        <f t="shared" si="10"/>
        <v>KONTOOR, Fall21,  #2161543, (GREY) Qty: 7000, FAB: TBA, DEL: 3-Apr, Peak Tgt: 160, BU-4</v>
      </c>
    </row>
    <row r="407" spans="1:10" x14ac:dyDescent="0.3">
      <c r="A407" s="233" t="s">
        <v>583</v>
      </c>
      <c r="B407" s="428" t="s">
        <v>1258</v>
      </c>
      <c r="C407" s="232">
        <v>2161543</v>
      </c>
      <c r="D407" s="494" t="s">
        <v>1833</v>
      </c>
      <c r="E407" s="232">
        <v>37750</v>
      </c>
      <c r="F407" s="495" t="s">
        <v>1760</v>
      </c>
      <c r="G407" s="493" t="s">
        <v>296</v>
      </c>
      <c r="H407" s="232">
        <v>160</v>
      </c>
      <c r="I407" s="232">
        <v>4</v>
      </c>
      <c r="J407" s="478" t="str">
        <f t="shared" si="10"/>
        <v>KONTOOR, Fall21,  #2161543, (GREY) Qty: 37750, FAB: TBA, DEL: 10-Apr, Peak Tgt: 160, BU-4</v>
      </c>
    </row>
    <row r="408" spans="1:10" x14ac:dyDescent="0.3">
      <c r="A408" s="233" t="s">
        <v>583</v>
      </c>
      <c r="B408" s="428" t="s">
        <v>1258</v>
      </c>
      <c r="C408" s="232">
        <v>2161543</v>
      </c>
      <c r="D408" s="494" t="s">
        <v>1833</v>
      </c>
      <c r="E408" s="232">
        <v>37750</v>
      </c>
      <c r="F408" s="492" t="s">
        <v>1821</v>
      </c>
      <c r="G408" s="493" t="s">
        <v>296</v>
      </c>
      <c r="H408" s="232">
        <v>160</v>
      </c>
      <c r="I408" s="232">
        <v>4</v>
      </c>
      <c r="J408" s="478" t="str">
        <f t="shared" si="10"/>
        <v>KONTOOR, Fall21,  #2161543, (GREY) Qty: 37750, FAB: TBA, DEL: 17-Apr, Peak Tgt: 160, BU-4</v>
      </c>
    </row>
    <row r="409" spans="1:10" x14ac:dyDescent="0.3">
      <c r="A409" s="233" t="s">
        <v>583</v>
      </c>
      <c r="B409" s="428" t="s">
        <v>1258</v>
      </c>
      <c r="C409" s="232">
        <v>2161543</v>
      </c>
      <c r="D409" s="494" t="s">
        <v>1833</v>
      </c>
      <c r="E409" s="232">
        <v>15200</v>
      </c>
      <c r="F409" s="495" t="s">
        <v>1745</v>
      </c>
      <c r="G409" s="493" t="s">
        <v>296</v>
      </c>
      <c r="H409" s="232">
        <v>160</v>
      </c>
      <c r="I409" s="232">
        <v>4</v>
      </c>
      <c r="J409" s="478" t="str">
        <f t="shared" si="10"/>
        <v>KONTOOR, Fall21,  #2161543, (GREY) Qty: 15200, FAB: TBA, DEL: 24-Apr, Peak Tgt: 160, BU-4</v>
      </c>
    </row>
    <row r="410" spans="1:10" x14ac:dyDescent="0.3">
      <c r="A410" s="233" t="s">
        <v>583</v>
      </c>
      <c r="B410" s="428" t="s">
        <v>1258</v>
      </c>
      <c r="C410" s="232">
        <v>2161543</v>
      </c>
      <c r="D410" s="494" t="s">
        <v>1833</v>
      </c>
      <c r="E410" s="232">
        <v>15000</v>
      </c>
      <c r="F410" s="495" t="s">
        <v>1834</v>
      </c>
      <c r="G410" s="493" t="s">
        <v>296</v>
      </c>
      <c r="H410" s="232">
        <v>160</v>
      </c>
      <c r="I410" s="232">
        <v>4</v>
      </c>
      <c r="J410" s="478" t="str">
        <f t="shared" si="10"/>
        <v>KONTOOR, Fall21,  #2161543, (GREY) Qty: 15000, FAB: TBA, DEL: 8-May, Peak Tgt: 160, BU-4</v>
      </c>
    </row>
    <row r="411" spans="1:10" x14ac:dyDescent="0.3">
      <c r="A411" s="233" t="s">
        <v>583</v>
      </c>
      <c r="B411" s="428" t="s">
        <v>1258</v>
      </c>
      <c r="C411" s="232">
        <v>2161543</v>
      </c>
      <c r="D411" s="494" t="s">
        <v>1833</v>
      </c>
      <c r="E411" s="232">
        <v>300</v>
      </c>
      <c r="F411" s="495" t="s">
        <v>1835</v>
      </c>
      <c r="G411" s="493" t="s">
        <v>296</v>
      </c>
      <c r="H411" s="232">
        <v>160</v>
      </c>
      <c r="I411" s="232">
        <v>4</v>
      </c>
      <c r="J411" s="478" t="str">
        <f t="shared" si="10"/>
        <v>KONTOOR, Fall21,  #2161543, (GREY) Qty: 300, FAB: TBA, DEL: 3-Mar, Peak Tgt: 160, BU-4</v>
      </c>
    </row>
    <row r="412" spans="1:10" x14ac:dyDescent="0.3">
      <c r="A412" s="233"/>
      <c r="E412" s="232">
        <f>113000*1.04</f>
        <v>117520</v>
      </c>
      <c r="J412" s="508" t="s">
        <v>1901</v>
      </c>
    </row>
    <row r="413" spans="1:10" x14ac:dyDescent="0.3">
      <c r="A413" s="233" t="s">
        <v>435</v>
      </c>
      <c r="B413" s="494" t="s">
        <v>1836</v>
      </c>
      <c r="C413" s="232" t="s">
        <v>1177</v>
      </c>
      <c r="D413" s="232" t="s">
        <v>1547</v>
      </c>
      <c r="E413" s="232">
        <v>1000</v>
      </c>
      <c r="F413" s="232" t="s">
        <v>296</v>
      </c>
      <c r="G413" s="493" t="s">
        <v>296</v>
      </c>
      <c r="H413" s="496">
        <v>180</v>
      </c>
      <c r="I413" s="496">
        <v>3</v>
      </c>
      <c r="J413" s="232" t="str">
        <f t="shared" si="10"/>
        <v>T-AUS, SUM22-Q1,  #186058P, (BLU/BLK) Qty: 1000, FAB: TBA, DEL: TBA, Peak Tgt: 180, BU-3</v>
      </c>
    </row>
    <row r="414" spans="1:10" x14ac:dyDescent="0.3">
      <c r="A414" s="233" t="s">
        <v>435</v>
      </c>
      <c r="B414" s="494" t="s">
        <v>1836</v>
      </c>
      <c r="C414" s="232">
        <v>224534</v>
      </c>
      <c r="D414" s="232" t="s">
        <v>655</v>
      </c>
      <c r="E414" s="232">
        <v>5000</v>
      </c>
      <c r="F414" s="232" t="s">
        <v>1841</v>
      </c>
      <c r="G414" s="493" t="s">
        <v>296</v>
      </c>
      <c r="H414" s="497" t="s">
        <v>296</v>
      </c>
      <c r="I414" s="496"/>
      <c r="J414" s="232" t="str">
        <f t="shared" si="10"/>
        <v>T-AUS, SUM22-Q1,  #224534, (Blue) Qty: 5000, FAB: TBA, DEL: 2-May/2600, 27-Jun/1200, Peak Tgt: TBA, BU-</v>
      </c>
    </row>
    <row r="415" spans="1:10" x14ac:dyDescent="0.3">
      <c r="A415" s="233" t="s">
        <v>435</v>
      </c>
      <c r="B415" s="494" t="s">
        <v>1836</v>
      </c>
      <c r="C415" s="232" t="s">
        <v>1837</v>
      </c>
      <c r="D415" s="232" t="s">
        <v>296</v>
      </c>
      <c r="E415" s="232">
        <v>2600</v>
      </c>
      <c r="F415" s="232" t="s">
        <v>1842</v>
      </c>
      <c r="G415" s="493" t="s">
        <v>296</v>
      </c>
      <c r="H415" s="497" t="s">
        <v>296</v>
      </c>
      <c r="I415" s="497"/>
      <c r="J415" s="232" t="str">
        <f t="shared" si="10"/>
        <v>T-AUS, SUM22-Q1,  #224552A, (TBA) Qty: 2600, FAB: TBA, DEL: 2-May, Peak Tgt: TBA, BU-</v>
      </c>
    </row>
    <row r="416" spans="1:10" x14ac:dyDescent="0.3">
      <c r="A416" s="233" t="s">
        <v>435</v>
      </c>
      <c r="B416" s="494" t="s">
        <v>1836</v>
      </c>
      <c r="C416" s="232">
        <v>193485</v>
      </c>
      <c r="D416" s="232" t="s">
        <v>1839</v>
      </c>
      <c r="E416" s="232">
        <v>4900</v>
      </c>
      <c r="F416" s="232" t="s">
        <v>1843</v>
      </c>
      <c r="G416" s="493" t="s">
        <v>296</v>
      </c>
      <c r="H416" s="497" t="s">
        <v>296</v>
      </c>
      <c r="I416" s="496"/>
      <c r="J416" s="232" t="str">
        <f t="shared" si="10"/>
        <v>T-AUS, SUM22-Q1,  #193485, (Light Blue) Qty: 4900, FAB: TBA, DEL: 2-May/3200, 20-Jun/900, Peak Tgt: TBA, BU-</v>
      </c>
    </row>
    <row r="417" spans="1:10" x14ac:dyDescent="0.3">
      <c r="A417" s="233" t="s">
        <v>435</v>
      </c>
      <c r="B417" s="494" t="s">
        <v>1836</v>
      </c>
      <c r="C417" s="232">
        <v>189205</v>
      </c>
      <c r="D417" s="232" t="s">
        <v>1547</v>
      </c>
      <c r="E417" s="232">
        <v>2303</v>
      </c>
      <c r="F417" s="232" t="s">
        <v>1844</v>
      </c>
      <c r="G417" s="493" t="s">
        <v>296</v>
      </c>
      <c r="H417" s="496">
        <v>180</v>
      </c>
      <c r="I417" s="496">
        <v>3</v>
      </c>
      <c r="J417" s="232" t="str">
        <f t="shared" si="10"/>
        <v>T-AUS, SUM22-Q1,  #189205, (BLU/BLK) Qty: 2303, FAB: TBA, DEL: 4-May/500, 15-Jun/1000, Peak Tgt: 180, BU-3</v>
      </c>
    </row>
    <row r="418" spans="1:10" x14ac:dyDescent="0.3">
      <c r="A418" s="233" t="s">
        <v>435</v>
      </c>
      <c r="B418" s="494" t="s">
        <v>1836</v>
      </c>
      <c r="C418" s="232">
        <v>189204</v>
      </c>
      <c r="D418" s="232" t="s">
        <v>1176</v>
      </c>
      <c r="E418" s="232">
        <v>2507</v>
      </c>
      <c r="F418" s="232" t="s">
        <v>1845</v>
      </c>
      <c r="G418" s="493" t="s">
        <v>296</v>
      </c>
      <c r="H418" s="496">
        <v>180</v>
      </c>
      <c r="I418" s="496">
        <v>3</v>
      </c>
      <c r="J418" s="232" t="str">
        <f t="shared" si="10"/>
        <v>T-AUS, SUM22-Q1,  #189204, (Dark Blue) Qty: 2507, FAB: TBA, DEL: 4-May/506, 15-Jun/1006, Peak Tgt: 180, BU-3</v>
      </c>
    </row>
    <row r="419" spans="1:10" x14ac:dyDescent="0.3">
      <c r="A419" s="233" t="s">
        <v>435</v>
      </c>
      <c r="B419" s="494" t="s">
        <v>1836</v>
      </c>
      <c r="C419" s="232">
        <v>189211</v>
      </c>
      <c r="D419" s="232" t="s">
        <v>1547</v>
      </c>
      <c r="E419" s="232">
        <v>2999</v>
      </c>
      <c r="F419" s="232" t="s">
        <v>1846</v>
      </c>
      <c r="G419" s="493" t="s">
        <v>296</v>
      </c>
      <c r="H419" s="496">
        <v>180</v>
      </c>
      <c r="I419" s="496">
        <v>3</v>
      </c>
      <c r="J419" s="232" t="str">
        <f t="shared" si="10"/>
        <v>T-AUS, SUM22-Q1,  #189211, (BLU/BLK) Qty: 2999, FAB: TBA, DEL: 4-May/1001, 15-Jun/999, Peak Tgt: 180, BU-3</v>
      </c>
    </row>
    <row r="420" spans="1:10" x14ac:dyDescent="0.3">
      <c r="A420" s="233" t="s">
        <v>435</v>
      </c>
      <c r="B420" s="494" t="s">
        <v>1836</v>
      </c>
      <c r="C420" s="232">
        <v>193238</v>
      </c>
      <c r="D420" s="232" t="s">
        <v>1840</v>
      </c>
      <c r="E420" s="232">
        <v>3895</v>
      </c>
      <c r="F420" s="232" t="s">
        <v>1847</v>
      </c>
      <c r="G420" s="493" t="s">
        <v>296</v>
      </c>
      <c r="H420" s="497">
        <v>180</v>
      </c>
      <c r="I420" s="497">
        <v>3</v>
      </c>
      <c r="J420" s="232" t="str">
        <f t="shared" si="10"/>
        <v>T-AUS, SUM22-Q1,  #193238, (W. BLUE) Qty: 3895, FAB: TBA, DEL: 4-May/1496, 15-Jun/1199, Peak Tgt: 180, BU-3</v>
      </c>
    </row>
    <row r="421" spans="1:10" x14ac:dyDescent="0.3">
      <c r="A421" s="233" t="s">
        <v>435</v>
      </c>
      <c r="B421" s="494" t="s">
        <v>1836</v>
      </c>
      <c r="C421" s="232">
        <v>211252</v>
      </c>
      <c r="D421" s="232" t="s">
        <v>1564</v>
      </c>
      <c r="E421" s="232">
        <v>7596</v>
      </c>
      <c r="F421" s="232" t="s">
        <v>1848</v>
      </c>
      <c r="G421" s="493" t="s">
        <v>296</v>
      </c>
      <c r="H421" s="496">
        <v>190</v>
      </c>
      <c r="I421" s="496">
        <v>3</v>
      </c>
      <c r="J421" s="478" t="str">
        <f t="shared" si="10"/>
        <v>T-AUS, SUM22-Q1,  #211252, (MID BLUE) Qty: 7596, FAB: TBA, DEL: 4-May/3000, 8-Jun/996, 20-Jun/1000, Peak Tgt: 190, BU-3</v>
      </c>
    </row>
    <row r="422" spans="1:10" x14ac:dyDescent="0.3">
      <c r="A422" s="233" t="s">
        <v>435</v>
      </c>
      <c r="B422" s="494" t="s">
        <v>1836</v>
      </c>
      <c r="C422" s="232">
        <v>211253</v>
      </c>
      <c r="D422" s="232" t="s">
        <v>830</v>
      </c>
      <c r="E422" s="232">
        <v>7996</v>
      </c>
      <c r="F422" s="232" t="s">
        <v>1848</v>
      </c>
      <c r="G422" s="493" t="s">
        <v>296</v>
      </c>
      <c r="H422" s="496">
        <v>190</v>
      </c>
      <c r="I422" s="496">
        <v>3</v>
      </c>
      <c r="J422" s="478" t="str">
        <f t="shared" si="10"/>
        <v>T-AUS, SUM22-Q1,  #211253, (Indigo) Qty: 7996, FAB: TBA, DEL: 4-May/3000, 8-Jun/996, 20-Jun/1000, Peak Tgt: 190, BU-3</v>
      </c>
    </row>
    <row r="423" spans="1:10" x14ac:dyDescent="0.3">
      <c r="A423" s="233" t="s">
        <v>435</v>
      </c>
      <c r="B423" s="494" t="s">
        <v>1836</v>
      </c>
      <c r="C423" s="232">
        <v>213268</v>
      </c>
      <c r="D423" s="232" t="s">
        <v>1551</v>
      </c>
      <c r="E423" s="232">
        <v>11104</v>
      </c>
      <c r="F423" s="232" t="s">
        <v>1849</v>
      </c>
      <c r="G423" s="493" t="s">
        <v>296</v>
      </c>
      <c r="H423" s="496">
        <v>190</v>
      </c>
      <c r="I423" s="496">
        <v>3</v>
      </c>
      <c r="J423" s="478" t="str">
        <f t="shared" si="10"/>
        <v>T-AUS, SUM22-Q1,  #213268, (STAY BLACK) Qty: 11104, FAB: TBA, DEL: 4-May/4500, 8-Jun/1404, 20-Jun/1400, Peak Tgt: 190, BU-3</v>
      </c>
    </row>
    <row r="424" spans="1:10" x14ac:dyDescent="0.3">
      <c r="A424" s="233" t="s">
        <v>435</v>
      </c>
      <c r="B424" s="494" t="s">
        <v>1836</v>
      </c>
      <c r="C424" s="232">
        <v>191578</v>
      </c>
      <c r="D424" s="232" t="s">
        <v>1559</v>
      </c>
      <c r="E424" s="232">
        <v>2400</v>
      </c>
      <c r="F424" s="232" t="s">
        <v>1850</v>
      </c>
      <c r="G424" s="493" t="s">
        <v>296</v>
      </c>
      <c r="H424" s="496">
        <v>180</v>
      </c>
      <c r="I424" s="496">
        <v>3</v>
      </c>
      <c r="J424" s="478" t="str">
        <f t="shared" si="10"/>
        <v>T-AUS, SUM22-Q1,  #191578, (MID WASh) Qty: 2400, FAB: TBA, DEL: 16-May/600, 20-Jun/600, Peak Tgt: 180, BU-3</v>
      </c>
    </row>
    <row r="425" spans="1:10" x14ac:dyDescent="0.3">
      <c r="A425" s="233" t="s">
        <v>435</v>
      </c>
      <c r="B425" s="494" t="s">
        <v>1836</v>
      </c>
      <c r="C425" s="232">
        <v>191550</v>
      </c>
      <c r="D425" s="232" t="s">
        <v>1557</v>
      </c>
      <c r="E425" s="232">
        <v>2420</v>
      </c>
      <c r="F425" s="232" t="s">
        <v>1851</v>
      </c>
      <c r="G425" s="493" t="s">
        <v>296</v>
      </c>
      <c r="H425" s="496">
        <v>190</v>
      </c>
      <c r="I425" s="496">
        <v>3</v>
      </c>
      <c r="J425" s="478" t="str">
        <f t="shared" si="10"/>
        <v>T-AUS, SUM22-Q1,  #191550, (LIGHT WASH) Qty: 2420, FAB: TBA, DEL: 18-May/610, 22-Jun/600, Peak Tgt: 190, BU-3</v>
      </c>
    </row>
    <row r="426" spans="1:10" x14ac:dyDescent="0.3">
      <c r="A426" s="233" t="s">
        <v>435</v>
      </c>
      <c r="B426" s="494" t="s">
        <v>1836</v>
      </c>
      <c r="C426" s="232">
        <v>184731</v>
      </c>
      <c r="D426" s="232" t="s">
        <v>1555</v>
      </c>
      <c r="E426" s="232">
        <v>3160</v>
      </c>
      <c r="F426" s="232" t="s">
        <v>1852</v>
      </c>
      <c r="G426" s="493" t="s">
        <v>296</v>
      </c>
      <c r="H426" s="496">
        <v>180</v>
      </c>
      <c r="I426" s="496">
        <v>3</v>
      </c>
      <c r="J426" s="478" t="str">
        <f t="shared" si="10"/>
        <v>T-AUS, SUM22-Q1,  #184731, (DARK WASH) Qty: 3160, FAB: TBA, DEL: 18-May/780, 22-Jun/800, Peak Tgt: 180, BU-3</v>
      </c>
    </row>
    <row r="427" spans="1:10" x14ac:dyDescent="0.3">
      <c r="A427" s="233" t="s">
        <v>435</v>
      </c>
      <c r="B427" s="494" t="s">
        <v>1836</v>
      </c>
      <c r="C427" s="232" t="s">
        <v>1615</v>
      </c>
      <c r="D427" s="232" t="s">
        <v>731</v>
      </c>
      <c r="E427" s="232">
        <v>3600</v>
      </c>
      <c r="F427" s="232" t="s">
        <v>1853</v>
      </c>
      <c r="G427" s="493" t="s">
        <v>296</v>
      </c>
      <c r="H427" s="496">
        <v>180</v>
      </c>
      <c r="I427" s="496">
        <v>3</v>
      </c>
      <c r="J427" s="478" t="str">
        <f t="shared" si="10"/>
        <v>T-AUS, SUM22-Q1,  #201340A, (BLACK) Qty: 3600, FAB: TBA, DEL: 18-May/1200, 29-Jun/1200, Peak Tgt: 180, BU-3</v>
      </c>
    </row>
    <row r="428" spans="1:10" x14ac:dyDescent="0.3">
      <c r="A428" s="233" t="s">
        <v>435</v>
      </c>
      <c r="B428" s="494" t="s">
        <v>1836</v>
      </c>
      <c r="C428" s="232" t="s">
        <v>1238</v>
      </c>
      <c r="D428" s="232" t="s">
        <v>1547</v>
      </c>
      <c r="E428" s="232">
        <v>5462</v>
      </c>
      <c r="F428" s="232" t="s">
        <v>1854</v>
      </c>
      <c r="G428" s="493" t="s">
        <v>296</v>
      </c>
      <c r="H428" s="496">
        <v>180</v>
      </c>
      <c r="I428" s="496">
        <v>3</v>
      </c>
      <c r="J428" s="478" t="str">
        <f t="shared" si="10"/>
        <v>T-AUS, SUM22-Q1,  #209026A, (BLU/BLK) Qty: 5462, FAB: TBA, DEL: 18-May/1766, 1-Jun/460, 22-Jun/960, 29-Jun/260, Peak Tgt: 180, BU-3</v>
      </c>
    </row>
    <row r="429" spans="1:10" x14ac:dyDescent="0.3">
      <c r="A429" s="233" t="s">
        <v>435</v>
      </c>
      <c r="B429" s="494" t="s">
        <v>1836</v>
      </c>
      <c r="C429" s="232" t="s">
        <v>1570</v>
      </c>
      <c r="D429" s="232" t="s">
        <v>830</v>
      </c>
      <c r="E429" s="232">
        <v>5038</v>
      </c>
      <c r="F429" s="232" t="s">
        <v>1854</v>
      </c>
      <c r="G429" s="493" t="s">
        <v>296</v>
      </c>
      <c r="H429" s="496">
        <v>180</v>
      </c>
      <c r="I429" s="496">
        <v>3</v>
      </c>
      <c r="J429" s="478" t="str">
        <f t="shared" si="10"/>
        <v>T-AUS, SUM22-Q1,  #209026B, (Indigo) Qty: 5038, FAB: TBA, DEL: 18-May/1766, 1-Jun/460, 22-Jun/960, 29-Jun/260, Peak Tgt: 180, BU-3</v>
      </c>
    </row>
    <row r="430" spans="1:10" x14ac:dyDescent="0.3">
      <c r="A430" s="233" t="s">
        <v>435</v>
      </c>
      <c r="B430" s="494" t="s">
        <v>1836</v>
      </c>
      <c r="C430" s="232" t="s">
        <v>1179</v>
      </c>
      <c r="D430" s="232" t="s">
        <v>1551</v>
      </c>
      <c r="E430" s="232">
        <v>9308</v>
      </c>
      <c r="F430" s="232" t="s">
        <v>1855</v>
      </c>
      <c r="G430" s="493" t="s">
        <v>296</v>
      </c>
      <c r="H430" s="496">
        <v>180</v>
      </c>
      <c r="I430" s="496">
        <v>3</v>
      </c>
      <c r="J430" s="478" t="str">
        <f t="shared" si="10"/>
        <v>T-AUS, SUM22-Q1,  #197594A, (STAY BLACK) Qty: 9308, FAB: TBA, DEL: 18-May/1996, 1-Jun/520, 22-Jun/1276, 29-Jun/320, Peak Tgt: 180, BU-3</v>
      </c>
    </row>
    <row r="431" spans="1:10" x14ac:dyDescent="0.3">
      <c r="A431" s="233" t="s">
        <v>435</v>
      </c>
      <c r="B431" s="494" t="s">
        <v>1836</v>
      </c>
      <c r="C431" s="232" t="s">
        <v>1186</v>
      </c>
      <c r="D431" s="232" t="s">
        <v>1551</v>
      </c>
      <c r="E431" s="232">
        <v>7182</v>
      </c>
      <c r="F431" s="232" t="s">
        <v>1856</v>
      </c>
      <c r="G431" s="493" t="s">
        <v>296</v>
      </c>
      <c r="H431" s="496">
        <v>190</v>
      </c>
      <c r="I431" s="496">
        <v>3</v>
      </c>
      <c r="J431" s="478" t="str">
        <f t="shared" si="10"/>
        <v>T-AUS, SUM22-Q1,  #197594B, (STAY BLACK) Qty: 7182, FAB: TBA, DEL: 18-May/1996, 1-Jun/520, 22-Jun/1766, 29-Jun/460, Peak Tgt: 190, BU-3</v>
      </c>
    </row>
    <row r="432" spans="1:10" x14ac:dyDescent="0.3">
      <c r="A432" s="233" t="s">
        <v>435</v>
      </c>
      <c r="B432" s="494" t="s">
        <v>1836</v>
      </c>
      <c r="C432" s="232" t="s">
        <v>654</v>
      </c>
      <c r="D432" s="232" t="s">
        <v>1839</v>
      </c>
      <c r="E432" s="232">
        <v>6600</v>
      </c>
      <c r="F432" s="232" t="s">
        <v>1857</v>
      </c>
      <c r="G432" s="493" t="s">
        <v>296</v>
      </c>
      <c r="H432" s="497">
        <v>190</v>
      </c>
      <c r="I432" s="496">
        <v>3</v>
      </c>
      <c r="J432" s="478" t="str">
        <f t="shared" si="10"/>
        <v>T-AUS, SUM22-Q1,  #201146B, (Light Blue) Qty: 6600, FAB: TBA, DEL: 18-May/3000, 20-Jun/800, Peak Tgt: 190, BU-3</v>
      </c>
    </row>
    <row r="433" spans="1:10" x14ac:dyDescent="0.3">
      <c r="A433" s="233" t="s">
        <v>435</v>
      </c>
      <c r="B433" s="494" t="s">
        <v>1836</v>
      </c>
      <c r="C433" s="232">
        <v>213527</v>
      </c>
      <c r="D433" s="232" t="s">
        <v>296</v>
      </c>
      <c r="E433" s="232">
        <v>2600</v>
      </c>
      <c r="F433" s="232" t="s">
        <v>1858</v>
      </c>
      <c r="G433" s="493" t="s">
        <v>296</v>
      </c>
      <c r="H433" s="497" t="s">
        <v>296</v>
      </c>
      <c r="I433" s="497"/>
      <c r="J433" s="478" t="str">
        <f t="shared" si="10"/>
        <v>T-AUS, SUM22-Q1,  #213527, (TBA) Qty: 2600, FAB: TBA, DEL: 6-Jun/2600, Peak Tgt: TBA, BU-</v>
      </c>
    </row>
    <row r="434" spans="1:10" x14ac:dyDescent="0.3">
      <c r="A434" s="233" t="s">
        <v>435</v>
      </c>
      <c r="B434" s="494" t="s">
        <v>1836</v>
      </c>
      <c r="C434" s="232" t="s">
        <v>1838</v>
      </c>
      <c r="D434" s="232" t="s">
        <v>296</v>
      </c>
      <c r="E434" s="232">
        <v>2600</v>
      </c>
      <c r="F434" s="232" t="s">
        <v>1858</v>
      </c>
      <c r="G434" s="493" t="s">
        <v>296</v>
      </c>
      <c r="H434" s="497">
        <v>180</v>
      </c>
      <c r="I434" s="497">
        <v>3</v>
      </c>
      <c r="J434" s="478" t="str">
        <f t="shared" si="10"/>
        <v>T-AUS, SUM22-Q1,  #224545B, (TBA) Qty: 2600, FAB: TBA, DEL: 6-Jun/2600, Peak Tgt: 180, BU-3</v>
      </c>
    </row>
    <row r="435" spans="1:10" x14ac:dyDescent="0.3">
      <c r="A435" s="233" t="s">
        <v>435</v>
      </c>
      <c r="B435" s="494" t="s">
        <v>1836</v>
      </c>
      <c r="C435" s="232">
        <v>224533</v>
      </c>
      <c r="D435" s="232" t="s">
        <v>841</v>
      </c>
      <c r="E435" s="232">
        <v>7700</v>
      </c>
      <c r="F435" s="232" t="s">
        <v>1859</v>
      </c>
      <c r="G435" s="493" t="s">
        <v>296</v>
      </c>
      <c r="H435" s="497">
        <v>180</v>
      </c>
      <c r="I435" s="496">
        <v>3</v>
      </c>
      <c r="J435" s="478" t="str">
        <f t="shared" si="10"/>
        <v>T-AUS, SUM22-Q1,  #224533, (Midwash) Qty: 7700, FAB: TBA, DEL: 6-Jun/3200, 18-Jul/1500, Peak Tgt: 180, BU-3</v>
      </c>
    </row>
    <row r="436" spans="1:10" x14ac:dyDescent="0.3">
      <c r="A436" s="233" t="s">
        <v>435</v>
      </c>
      <c r="B436" s="494" t="s">
        <v>1836</v>
      </c>
      <c r="C436" s="232">
        <v>224535</v>
      </c>
      <c r="D436" s="232" t="s">
        <v>841</v>
      </c>
      <c r="E436" s="232">
        <v>6800</v>
      </c>
      <c r="F436" s="232" t="s">
        <v>1860</v>
      </c>
      <c r="G436" s="493" t="s">
        <v>296</v>
      </c>
      <c r="H436" s="497">
        <v>180</v>
      </c>
      <c r="I436" s="496">
        <v>3</v>
      </c>
      <c r="J436" s="478" t="str">
        <f t="shared" si="10"/>
        <v>T-AUS, SUM22-Q1,  #224535, (Midwash) Qty: 6800, FAB: TBA, DEL: 6-Jun/3200, 25-Jul/1200, Peak Tgt: 180, BU-3</v>
      </c>
    </row>
    <row r="437" spans="1:10" x14ac:dyDescent="0.3">
      <c r="A437" s="233" t="s">
        <v>435</v>
      </c>
      <c r="B437" s="494" t="s">
        <v>1836</v>
      </c>
      <c r="C437" s="232">
        <v>193242</v>
      </c>
      <c r="D437" s="232" t="s">
        <v>1840</v>
      </c>
      <c r="E437" s="232">
        <v>504</v>
      </c>
      <c r="F437" s="232" t="s">
        <v>1861</v>
      </c>
      <c r="G437" s="493" t="s">
        <v>296</v>
      </c>
      <c r="H437" s="497">
        <v>180</v>
      </c>
      <c r="I437" s="496">
        <v>3</v>
      </c>
      <c r="J437" s="478" t="str">
        <f t="shared" si="10"/>
        <v>T-AUS, SUM22-Q1,  #193242, (W. BLUE) Qty: 504, FAB: TBA, DEL: 8-Jun/504, Peak Tgt: 180, BU-3</v>
      </c>
    </row>
    <row r="438" spans="1:10" x14ac:dyDescent="0.3">
      <c r="A438" s="233" t="s">
        <v>435</v>
      </c>
      <c r="B438" s="494" t="s">
        <v>1836</v>
      </c>
      <c r="C438" s="232">
        <v>217354</v>
      </c>
      <c r="D438" s="232" t="s">
        <v>834</v>
      </c>
      <c r="E438" s="232">
        <v>3300</v>
      </c>
      <c r="F438" s="232" t="s">
        <v>1862</v>
      </c>
      <c r="G438" s="493" t="s">
        <v>296</v>
      </c>
      <c r="H438" s="498">
        <v>200</v>
      </c>
      <c r="I438" s="498">
        <v>3</v>
      </c>
      <c r="J438" s="478" t="str">
        <f t="shared" si="10"/>
        <v>T-AUS, SUM22-Q1,  #217354, (Khaki) Qty: 3300, FAB: TBA, DEL: 13-Jun/2500, 18-Jul/800, Peak Tgt: 200, BU-3</v>
      </c>
    </row>
    <row r="440" spans="1:10" x14ac:dyDescent="0.3">
      <c r="A440" s="233" t="s">
        <v>583</v>
      </c>
      <c r="B440" s="428" t="s">
        <v>1258</v>
      </c>
      <c r="C440" s="232">
        <v>3087101</v>
      </c>
      <c r="D440" s="232" t="s">
        <v>428</v>
      </c>
      <c r="E440" s="232">
        <v>4300</v>
      </c>
      <c r="F440" s="500" t="s">
        <v>1821</v>
      </c>
      <c r="G440" s="499" t="s">
        <v>296</v>
      </c>
      <c r="H440" s="232">
        <v>200</v>
      </c>
      <c r="I440" s="499" t="s">
        <v>1866</v>
      </c>
      <c r="J440" s="232" t="str">
        <f t="shared" si="10"/>
        <v>KONTOOR, Fall21,  #3087101, (Black) Qty: 4300, FAB: TBA, DEL: 17-Apr, Peak Tgt: 200, BU-3 (LFDW0003)</v>
      </c>
    </row>
    <row r="441" spans="1:10" x14ac:dyDescent="0.3">
      <c r="A441" s="233" t="s">
        <v>583</v>
      </c>
      <c r="B441" s="428" t="s">
        <v>1258</v>
      </c>
      <c r="C441" s="232">
        <v>3087126</v>
      </c>
      <c r="D441" s="232" t="s">
        <v>1646</v>
      </c>
      <c r="E441" s="232">
        <v>4100</v>
      </c>
      <c r="F441" s="500" t="s">
        <v>1867</v>
      </c>
      <c r="G441" s="499" t="s">
        <v>296</v>
      </c>
      <c r="H441" s="232">
        <v>200</v>
      </c>
      <c r="I441" s="499" t="s">
        <v>1866</v>
      </c>
      <c r="J441" s="232" t="str">
        <f t="shared" si="10"/>
        <v>KONTOOR, Fall21,  #3087126, (Anchor) Qty: 4100, FAB: TBA, DEL: 22-May, Peak Tgt: 200, BU-3 (LFDW0003)</v>
      </c>
    </row>
    <row r="442" spans="1:10" x14ac:dyDescent="0.3">
      <c r="A442" s="233" t="s">
        <v>583</v>
      </c>
      <c r="B442" s="428" t="s">
        <v>1258</v>
      </c>
      <c r="C442" s="232">
        <v>3087135</v>
      </c>
      <c r="D442" s="232" t="s">
        <v>460</v>
      </c>
      <c r="E442" s="232">
        <v>3500</v>
      </c>
      <c r="F442" s="500" t="s">
        <v>1867</v>
      </c>
      <c r="G442" s="499" t="s">
        <v>296</v>
      </c>
      <c r="H442" s="232">
        <v>200</v>
      </c>
      <c r="I442" s="499" t="s">
        <v>1866</v>
      </c>
      <c r="J442" s="232" t="str">
        <f t="shared" si="10"/>
        <v>KONTOOR, Fall21,  #3087135, (Seattle) Qty: 3500, FAB: TBA, DEL: 22-May, Peak Tgt: 200, BU-3 (LFDW0003)</v>
      </c>
    </row>
    <row r="443" spans="1:10" x14ac:dyDescent="0.3">
      <c r="A443" s="233" t="s">
        <v>583</v>
      </c>
      <c r="B443" s="428" t="s">
        <v>1258</v>
      </c>
      <c r="C443" s="232">
        <v>3087177</v>
      </c>
      <c r="D443" s="232" t="s">
        <v>459</v>
      </c>
      <c r="E443" s="232">
        <v>3500</v>
      </c>
      <c r="F443" s="500" t="s">
        <v>1867</v>
      </c>
      <c r="G443" s="499" t="s">
        <v>296</v>
      </c>
      <c r="H443" s="232">
        <v>200</v>
      </c>
      <c r="I443" s="499" t="s">
        <v>1866</v>
      </c>
      <c r="J443" s="232" t="str">
        <f t="shared" si="10"/>
        <v>KONTOOR, Fall21,  #3087177, (Nightshade) Qty: 3500, FAB: TBA, DEL: 22-May, Peak Tgt: 200, BU-3 (LFDW0003)</v>
      </c>
    </row>
    <row r="444" spans="1:10" x14ac:dyDescent="0.3">
      <c r="A444" s="233" t="s">
        <v>583</v>
      </c>
      <c r="B444" s="428" t="s">
        <v>1258</v>
      </c>
      <c r="C444" s="232">
        <v>3522001</v>
      </c>
      <c r="D444" s="232" t="s">
        <v>428</v>
      </c>
      <c r="E444" s="232">
        <v>9300</v>
      </c>
      <c r="F444" s="500" t="s">
        <v>1821</v>
      </c>
      <c r="G444" s="499" t="s">
        <v>296</v>
      </c>
      <c r="H444" s="232">
        <v>200</v>
      </c>
      <c r="I444" s="499" t="s">
        <v>1866</v>
      </c>
      <c r="J444" s="232" t="str">
        <f t="shared" si="10"/>
        <v>KONTOOR, Fall21,  #3522001, (Black) Qty: 9300, FAB: TBA, DEL: 17-Apr, Peak Tgt: 200, BU-3 (LFDW0003)</v>
      </c>
    </row>
    <row r="445" spans="1:10" x14ac:dyDescent="0.3">
      <c r="A445" s="233" t="s">
        <v>583</v>
      </c>
      <c r="B445" s="428" t="s">
        <v>1258</v>
      </c>
      <c r="C445" s="232">
        <v>3522001</v>
      </c>
      <c r="D445" s="232" t="s">
        <v>428</v>
      </c>
      <c r="E445" s="232">
        <v>3500</v>
      </c>
      <c r="F445" s="500" t="s">
        <v>1867</v>
      </c>
      <c r="G445" s="499" t="s">
        <v>296</v>
      </c>
      <c r="H445" s="232">
        <v>200</v>
      </c>
      <c r="I445" s="499" t="s">
        <v>1866</v>
      </c>
      <c r="J445" s="232" t="str">
        <f t="shared" si="10"/>
        <v>KONTOOR, Fall21,  #3522001, (Black) Qty: 3500, FAB: TBA, DEL: 22-May, Peak Tgt: 200, BU-3 (LFDW0003)</v>
      </c>
    </row>
    <row r="446" spans="1:10" x14ac:dyDescent="0.3">
      <c r="A446" s="502" t="s">
        <v>583</v>
      </c>
      <c r="B446" s="503" t="s">
        <v>1258</v>
      </c>
      <c r="C446" s="504">
        <v>3522006</v>
      </c>
      <c r="D446" s="504" t="s">
        <v>879</v>
      </c>
      <c r="E446" s="504">
        <v>2001</v>
      </c>
      <c r="F446" s="505" t="s">
        <v>1867</v>
      </c>
      <c r="G446" s="506" t="s">
        <v>296</v>
      </c>
      <c r="H446" s="504">
        <v>200</v>
      </c>
      <c r="I446" s="506" t="s">
        <v>1866</v>
      </c>
      <c r="J446" s="504" t="str">
        <f t="shared" si="10"/>
        <v>KONTOOR, Fall21,  #3522006, (Gray Denim) Qty: 2001, FAB: TBA, DEL: 22-May, Peak Tgt: 200, BU-3 (LFDW0003)</v>
      </c>
    </row>
    <row r="447" spans="1:10" x14ac:dyDescent="0.3">
      <c r="A447" s="233" t="s">
        <v>583</v>
      </c>
      <c r="B447" s="428" t="s">
        <v>1258</v>
      </c>
      <c r="C447" s="232">
        <v>3522026</v>
      </c>
      <c r="D447" s="232" t="s">
        <v>1646</v>
      </c>
      <c r="E447" s="232">
        <v>3000</v>
      </c>
      <c r="F447" s="500" t="s">
        <v>1867</v>
      </c>
      <c r="G447" s="499" t="s">
        <v>296</v>
      </c>
      <c r="H447" s="232">
        <v>200</v>
      </c>
      <c r="I447" s="499" t="s">
        <v>1866</v>
      </c>
      <c r="J447" s="232" t="str">
        <f t="shared" si="10"/>
        <v>KONTOOR, Fall21,  #3522026, (Anchor) Qty: 3000, FAB: TBA, DEL: 22-May, Peak Tgt: 200, BU-3 (LFDW0003)</v>
      </c>
    </row>
    <row r="448" spans="1:10" x14ac:dyDescent="0.3">
      <c r="A448" s="233" t="s">
        <v>583</v>
      </c>
      <c r="B448" s="428" t="s">
        <v>1258</v>
      </c>
      <c r="C448" s="232">
        <v>3522033</v>
      </c>
      <c r="D448" s="232" t="s">
        <v>1864</v>
      </c>
      <c r="E448" s="232">
        <v>1501</v>
      </c>
      <c r="F448" s="500" t="s">
        <v>1821</v>
      </c>
      <c r="G448" s="499" t="s">
        <v>296</v>
      </c>
      <c r="H448" s="232">
        <v>200</v>
      </c>
      <c r="I448" s="499" t="s">
        <v>1866</v>
      </c>
      <c r="J448" s="232" t="str">
        <f t="shared" si="10"/>
        <v>KONTOOR, Fall21,  #3522033, (Olive Night) Qty: 1501, FAB: TBA, DEL: 17-Apr, Peak Tgt: 200, BU-3 (LFDW0003)</v>
      </c>
    </row>
    <row r="449" spans="1:10" x14ac:dyDescent="0.3">
      <c r="A449" s="233" t="s">
        <v>583</v>
      </c>
      <c r="B449" s="428" t="s">
        <v>1258</v>
      </c>
      <c r="C449" s="232">
        <v>3522054</v>
      </c>
      <c r="D449" s="232" t="s">
        <v>1865</v>
      </c>
      <c r="E449" s="232">
        <v>26000</v>
      </c>
      <c r="F449" s="500" t="s">
        <v>1821</v>
      </c>
      <c r="G449" s="499" t="s">
        <v>296</v>
      </c>
      <c r="H449" s="232">
        <v>200</v>
      </c>
      <c r="I449" s="499" t="s">
        <v>1866</v>
      </c>
      <c r="J449" s="232" t="str">
        <f t="shared" si="10"/>
        <v>KONTOOR, Fall21,  #3522054, (TIGERS EYE) Qty: 26000, FAB: TBA, DEL: 17-Apr, Peak Tgt: 200, BU-3 (LFDW0003)</v>
      </c>
    </row>
    <row r="450" spans="1:10" x14ac:dyDescent="0.3">
      <c r="A450" s="233" t="s">
        <v>583</v>
      </c>
      <c r="B450" s="428" t="s">
        <v>1258</v>
      </c>
      <c r="C450" s="232">
        <v>3522054</v>
      </c>
      <c r="D450" s="232" t="s">
        <v>1865</v>
      </c>
      <c r="E450" s="232">
        <v>3000</v>
      </c>
      <c r="F450" s="500" t="s">
        <v>1867</v>
      </c>
      <c r="G450" s="499" t="s">
        <v>296</v>
      </c>
      <c r="H450" s="232">
        <v>200</v>
      </c>
      <c r="I450" s="499" t="s">
        <v>1866</v>
      </c>
      <c r="J450" s="232" t="str">
        <f t="shared" si="10"/>
        <v>KONTOOR, Fall21,  #3522054, (TIGERS EYE) Qty: 3000, FAB: TBA, DEL: 22-May, Peak Tgt: 200, BU-3 (LFDW0003)</v>
      </c>
    </row>
    <row r="451" spans="1:10" x14ac:dyDescent="0.3">
      <c r="A451" s="233" t="s">
        <v>583</v>
      </c>
      <c r="B451" s="428" t="s">
        <v>1258</v>
      </c>
      <c r="C451" s="232">
        <v>3522077</v>
      </c>
      <c r="D451" s="232" t="s">
        <v>459</v>
      </c>
      <c r="E451" s="232">
        <v>3000</v>
      </c>
      <c r="F451" s="500" t="s">
        <v>1867</v>
      </c>
      <c r="G451" s="499" t="s">
        <v>296</v>
      </c>
      <c r="H451" s="232">
        <v>200</v>
      </c>
      <c r="I451" s="499" t="s">
        <v>1866</v>
      </c>
      <c r="J451" s="232" t="str">
        <f t="shared" si="10"/>
        <v>KONTOOR, Fall21,  #3522077, (Nightshade) Qty: 3000, FAB: TBA, DEL: 22-May, Peak Tgt: 200, BU-3 (LFDW0003)</v>
      </c>
    </row>
    <row r="452" spans="1:10" x14ac:dyDescent="0.3">
      <c r="A452" s="233" t="s">
        <v>583</v>
      </c>
      <c r="B452" s="428" t="s">
        <v>1258</v>
      </c>
      <c r="C452" s="232">
        <v>3522095</v>
      </c>
      <c r="D452" s="232" t="s">
        <v>460</v>
      </c>
      <c r="E452" s="232">
        <v>3000</v>
      </c>
      <c r="F452" s="500" t="s">
        <v>1867</v>
      </c>
      <c r="G452" s="499" t="s">
        <v>296</v>
      </c>
      <c r="H452" s="232">
        <v>200</v>
      </c>
      <c r="I452" s="499" t="s">
        <v>1866</v>
      </c>
      <c r="J452" s="232" t="str">
        <f t="shared" si="10"/>
        <v>KONTOOR, Fall21,  #3522095, (Seattle) Qty: 3000, FAB: TBA, DEL: 22-May, Peak Tgt: 200, BU-3 (LFDW0003)</v>
      </c>
    </row>
    <row r="453" spans="1:10" x14ac:dyDescent="0.3">
      <c r="A453" s="233" t="s">
        <v>583</v>
      </c>
      <c r="B453" s="428" t="s">
        <v>1258</v>
      </c>
      <c r="C453" s="232">
        <v>3087501</v>
      </c>
      <c r="D453" s="232" t="s">
        <v>731</v>
      </c>
      <c r="E453" s="232">
        <v>4400</v>
      </c>
      <c r="F453" s="500" t="s">
        <v>1821</v>
      </c>
      <c r="G453" s="499" t="s">
        <v>296</v>
      </c>
      <c r="H453" s="232">
        <v>180</v>
      </c>
      <c r="I453" s="499" t="s">
        <v>1871</v>
      </c>
      <c r="J453" s="232" t="str">
        <f t="shared" si="10"/>
        <v>KONTOOR, Fall21,  #3087501, (BLACK) Qty: 4400, FAB: TBA, DEL: 17-Apr, Peak Tgt: 180, BU-3 (7743WM)</v>
      </c>
    </row>
    <row r="454" spans="1:10" x14ac:dyDescent="0.3">
      <c r="A454" s="233" t="s">
        <v>583</v>
      </c>
      <c r="B454" s="428" t="s">
        <v>1258</v>
      </c>
      <c r="C454" s="232">
        <v>3087568</v>
      </c>
      <c r="D454" s="232" t="s">
        <v>874</v>
      </c>
      <c r="E454" s="232">
        <v>4900</v>
      </c>
      <c r="F454" s="500" t="s">
        <v>1867</v>
      </c>
      <c r="G454" s="499" t="s">
        <v>296</v>
      </c>
      <c r="H454" s="232">
        <v>180</v>
      </c>
      <c r="I454" s="499" t="s">
        <v>1871</v>
      </c>
      <c r="J454" s="232" t="str">
        <f t="shared" si="10"/>
        <v>KONTOOR, Fall21,  #3087568, (RAYNE) Qty: 4900, FAB: TBA, DEL: 22-May, Peak Tgt: 180, BU-3 (7743WM)</v>
      </c>
    </row>
    <row r="455" spans="1:10" x14ac:dyDescent="0.3">
      <c r="A455" s="233" t="s">
        <v>583</v>
      </c>
      <c r="B455" s="428" t="s">
        <v>1258</v>
      </c>
      <c r="C455" s="232">
        <v>3408928</v>
      </c>
      <c r="D455" s="232" t="s">
        <v>873</v>
      </c>
      <c r="E455" s="232">
        <v>3000</v>
      </c>
      <c r="F455" s="500" t="s">
        <v>1821</v>
      </c>
      <c r="G455" s="499" t="s">
        <v>296</v>
      </c>
      <c r="H455" s="232">
        <v>180</v>
      </c>
      <c r="I455" s="499" t="s">
        <v>1872</v>
      </c>
      <c r="J455" s="232" t="str">
        <f t="shared" si="10"/>
        <v>KONTOOR, Fall21,  #3408928, (RENEGADE) Qty: 3000, FAB: TBA, DEL: 17-Apr, Peak Tgt: 180, BU-3 (7743MS)</v>
      </c>
    </row>
    <row r="456" spans="1:10" x14ac:dyDescent="0.3">
      <c r="A456" s="233" t="s">
        <v>583</v>
      </c>
      <c r="B456" s="428" t="s">
        <v>1258</v>
      </c>
      <c r="C456" s="232">
        <v>3408929</v>
      </c>
      <c r="D456" s="232" t="s">
        <v>1868</v>
      </c>
      <c r="E456" s="232">
        <v>2001</v>
      </c>
      <c r="F456" s="500" t="s">
        <v>1867</v>
      </c>
      <c r="G456" s="499" t="s">
        <v>296</v>
      </c>
      <c r="H456" s="232">
        <v>180</v>
      </c>
      <c r="I456" s="499" t="s">
        <v>1872</v>
      </c>
      <c r="J456" s="232" t="str">
        <f t="shared" si="10"/>
        <v>KONTOOR, Fall21,  #3408929, (CASCADE) Qty: 2001, FAB: TBA, DEL: 22-May, Peak Tgt: 180, BU-3 (7743MS)</v>
      </c>
    </row>
    <row r="457" spans="1:10" x14ac:dyDescent="0.3">
      <c r="A457" s="233" t="s">
        <v>583</v>
      </c>
      <c r="B457" s="428" t="s">
        <v>1258</v>
      </c>
      <c r="C457" s="232">
        <v>3055213</v>
      </c>
      <c r="D457" s="232" t="s">
        <v>1869</v>
      </c>
      <c r="E457" s="232">
        <v>3800</v>
      </c>
      <c r="F457" s="500" t="s">
        <v>1821</v>
      </c>
      <c r="G457" s="499" t="s">
        <v>296</v>
      </c>
      <c r="H457" s="232">
        <v>180</v>
      </c>
      <c r="I457" s="499" t="s">
        <v>1873</v>
      </c>
      <c r="J457" s="232" t="str">
        <f t="shared" si="10"/>
        <v>KONTOOR, Fall21,  #3055213, (FRONTIER) Qty: 3800, FAB: TBA, DEL: 17-Apr, Peak Tgt: 180, BU-3 (LFDW0157)</v>
      </c>
    </row>
    <row r="458" spans="1:10" x14ac:dyDescent="0.3">
      <c r="A458" s="233" t="s">
        <v>583</v>
      </c>
      <c r="B458" s="428" t="s">
        <v>1258</v>
      </c>
      <c r="C458" s="232">
        <v>3055257</v>
      </c>
      <c r="D458" s="232" t="s">
        <v>1870</v>
      </c>
      <c r="E458" s="232">
        <v>4000</v>
      </c>
      <c r="F458" s="500" t="s">
        <v>1821</v>
      </c>
      <c r="G458" s="499" t="s">
        <v>296</v>
      </c>
      <c r="H458" s="232">
        <v>180</v>
      </c>
      <c r="I458" s="499" t="s">
        <v>1873</v>
      </c>
      <c r="J458" s="232" t="str">
        <f t="shared" si="10"/>
        <v>KONTOOR, Fall21,  #3055257, (STORMS END) Qty: 4000, FAB: TBA, DEL: 17-Apr, Peak Tgt: 180, BU-3 (LFDW0157)</v>
      </c>
    </row>
    <row r="459" spans="1:10" x14ac:dyDescent="0.3">
      <c r="A459" s="233" t="s">
        <v>583</v>
      </c>
      <c r="B459" s="428" t="s">
        <v>1258</v>
      </c>
      <c r="C459" s="232">
        <v>3185613</v>
      </c>
      <c r="D459" s="232" t="s">
        <v>1869</v>
      </c>
      <c r="E459" s="232">
        <v>3600</v>
      </c>
      <c r="F459" s="500" t="s">
        <v>1821</v>
      </c>
      <c r="G459" s="499" t="s">
        <v>296</v>
      </c>
      <c r="H459" s="232">
        <v>180</v>
      </c>
      <c r="I459" s="499" t="s">
        <v>1874</v>
      </c>
      <c r="J459" s="232" t="str">
        <f t="shared" si="10"/>
        <v>KONTOOR, Fall21,  #3185613, (FRONTIER) Qty: 3600, FAB: TBA, DEL: 17-Apr, Peak Tgt: 180, BU-3 (7742MS)</v>
      </c>
    </row>
    <row r="460" spans="1:10" x14ac:dyDescent="0.3">
      <c r="A460" s="233" t="s">
        <v>583</v>
      </c>
      <c r="B460" s="428" t="s">
        <v>1258</v>
      </c>
      <c r="C460" s="232">
        <v>3185657</v>
      </c>
      <c r="D460" s="232" t="s">
        <v>1870</v>
      </c>
      <c r="E460" s="232">
        <v>3500</v>
      </c>
      <c r="F460" s="500" t="s">
        <v>1821</v>
      </c>
      <c r="G460" s="499" t="s">
        <v>296</v>
      </c>
      <c r="H460" s="232">
        <v>180</v>
      </c>
      <c r="I460" s="499" t="s">
        <v>1874</v>
      </c>
      <c r="J460" s="232" t="str">
        <f t="shared" si="10"/>
        <v>KONTOOR, Fall21,  #3185657, (STORMS END) Qty: 3500, FAB: TBA, DEL: 17-Apr, Peak Tgt: 180, BU-3 (7742MS)</v>
      </c>
    </row>
    <row r="461" spans="1:10" x14ac:dyDescent="0.3">
      <c r="A461" s="233" t="s">
        <v>583</v>
      </c>
      <c r="B461" s="428" t="s">
        <v>1258</v>
      </c>
      <c r="C461" s="232">
        <v>3517901</v>
      </c>
      <c r="D461" s="232" t="s">
        <v>731</v>
      </c>
      <c r="E461" s="232">
        <v>3000</v>
      </c>
      <c r="F461" s="500" t="s">
        <v>1821</v>
      </c>
      <c r="G461" s="499" t="s">
        <v>296</v>
      </c>
      <c r="H461" s="232">
        <v>180</v>
      </c>
      <c r="I461" s="499" t="s">
        <v>1874</v>
      </c>
      <c r="J461" s="232" t="str">
        <f t="shared" si="10"/>
        <v>KONTOOR, Fall21,  #3517901, (BLACK) Qty: 3000, FAB: TBA, DEL: 17-Apr, Peak Tgt: 180, BU-3 (7742MS)</v>
      </c>
    </row>
    <row r="462" spans="1:10" x14ac:dyDescent="0.3">
      <c r="A462" s="233" t="s">
        <v>583</v>
      </c>
      <c r="B462" s="428" t="s">
        <v>1258</v>
      </c>
      <c r="C462" s="232">
        <v>3517933</v>
      </c>
      <c r="D462" s="232" t="s">
        <v>878</v>
      </c>
      <c r="E462" s="232">
        <v>3000</v>
      </c>
      <c r="F462" s="500" t="s">
        <v>1821</v>
      </c>
      <c r="G462" s="499" t="s">
        <v>296</v>
      </c>
      <c r="H462" s="232">
        <v>180</v>
      </c>
      <c r="I462" s="499" t="s">
        <v>1874</v>
      </c>
      <c r="J462" s="232" t="str">
        <f t="shared" ref="J462:J528" si="11">A462&amp;", "&amp;B462&amp;",  #"&amp;C462&amp;", ("&amp;D462&amp;") Qty: "&amp;E462&amp;", FAB: "&amp;G462&amp;", DEL: "&amp;F462&amp;", Peak Tgt: "&amp;H462&amp;", BU-"&amp;I462</f>
        <v>KONTOOR, Fall21,  #3517933, (INFINITY) Qty: 3000, FAB: TBA, DEL: 17-Apr, Peak Tgt: 180, BU-3 (7742MS)</v>
      </c>
    </row>
    <row r="463" spans="1:10" x14ac:dyDescent="0.3">
      <c r="A463" s="233" t="s">
        <v>583</v>
      </c>
      <c r="B463" s="428" t="s">
        <v>1258</v>
      </c>
      <c r="C463" s="232">
        <v>3517933</v>
      </c>
      <c r="D463" s="232" t="s">
        <v>878</v>
      </c>
      <c r="E463" s="232">
        <v>3500</v>
      </c>
      <c r="F463" s="500" t="s">
        <v>1867</v>
      </c>
      <c r="G463" s="499" t="s">
        <v>296</v>
      </c>
      <c r="H463" s="232">
        <v>180</v>
      </c>
      <c r="I463" s="499" t="s">
        <v>1874</v>
      </c>
      <c r="J463" s="232" t="str">
        <f t="shared" si="11"/>
        <v>KONTOOR, Fall21,  #3517933, (INFINITY) Qty: 3500, FAB: TBA, DEL: 22-May, Peak Tgt: 180, BU-3 (7742MS)</v>
      </c>
    </row>
    <row r="464" spans="1:10" x14ac:dyDescent="0.3">
      <c r="A464" s="233" t="s">
        <v>583</v>
      </c>
      <c r="B464" s="428" t="s">
        <v>1258</v>
      </c>
      <c r="C464" s="232">
        <v>3517976</v>
      </c>
      <c r="D464" s="232" t="s">
        <v>1094</v>
      </c>
      <c r="E464" s="232">
        <v>4700</v>
      </c>
      <c r="F464" s="500" t="s">
        <v>1821</v>
      </c>
      <c r="G464" s="499" t="s">
        <v>296</v>
      </c>
      <c r="H464" s="232">
        <v>180</v>
      </c>
      <c r="I464" s="499" t="s">
        <v>1874</v>
      </c>
      <c r="J464" s="232" t="str">
        <f t="shared" si="11"/>
        <v>KONTOOR, Fall21,  #3517976, (EXPEDITION) Qty: 4700, FAB: TBA, DEL: 17-Apr, Peak Tgt: 180, BU-3 (7742MS)</v>
      </c>
    </row>
    <row r="465" spans="1:10" x14ac:dyDescent="0.3">
      <c r="A465" s="233" t="s">
        <v>583</v>
      </c>
      <c r="B465" s="428" t="s">
        <v>1258</v>
      </c>
      <c r="C465" s="232">
        <v>2015042</v>
      </c>
      <c r="D465" s="232" t="s">
        <v>294</v>
      </c>
      <c r="E465" s="232">
        <v>15500</v>
      </c>
      <c r="F465" s="501" t="s">
        <v>1875</v>
      </c>
      <c r="G465" s="499" t="s">
        <v>296</v>
      </c>
      <c r="H465" s="232">
        <v>160</v>
      </c>
      <c r="I465" s="232">
        <v>3</v>
      </c>
      <c r="J465" s="478" t="str">
        <f t="shared" si="11"/>
        <v>KONTOOR, Fall21,  #2015042, (Maddox) Qty: 15500, FAB: TBA, DEL: 5-Jun, Peak Tgt: 160, BU-3</v>
      </c>
    </row>
    <row r="466" spans="1:10" x14ac:dyDescent="0.3">
      <c r="A466" s="233" t="s">
        <v>583</v>
      </c>
      <c r="B466" s="428" t="s">
        <v>1258</v>
      </c>
      <c r="C466" s="232">
        <v>2105042</v>
      </c>
      <c r="D466" s="232" t="s">
        <v>294</v>
      </c>
      <c r="E466" s="232">
        <v>1300</v>
      </c>
      <c r="F466" s="501" t="s">
        <v>1875</v>
      </c>
      <c r="G466" s="499" t="s">
        <v>296</v>
      </c>
      <c r="H466" s="232">
        <v>160</v>
      </c>
      <c r="I466" s="232">
        <v>3</v>
      </c>
      <c r="J466" s="478" t="str">
        <f t="shared" si="11"/>
        <v>KONTOOR, Fall21,  #2105042, (Maddox) Qty: 1300, FAB: TBA, DEL: 5-Jun, Peak Tgt: 160, BU-3</v>
      </c>
    </row>
    <row r="467" spans="1:10" x14ac:dyDescent="0.3">
      <c r="A467" s="233" t="s">
        <v>583</v>
      </c>
      <c r="B467" s="428" t="s">
        <v>1258</v>
      </c>
      <c r="C467" s="232">
        <v>2018312</v>
      </c>
      <c r="D467" s="232" t="s">
        <v>675</v>
      </c>
      <c r="E467" s="232">
        <v>3000</v>
      </c>
      <c r="F467" s="501" t="s">
        <v>1875</v>
      </c>
      <c r="G467" s="499" t="s">
        <v>296</v>
      </c>
      <c r="H467" s="232">
        <v>160</v>
      </c>
      <c r="I467" s="232">
        <v>3</v>
      </c>
      <c r="J467" s="478" t="str">
        <f t="shared" si="11"/>
        <v>KONTOOR, Fall21,  #2018312, (Majestic) Qty: 3000, FAB: TBA, DEL: 5-Jun, Peak Tgt: 160, BU-3</v>
      </c>
    </row>
    <row r="468" spans="1:10" x14ac:dyDescent="0.3">
      <c r="A468" s="233" t="s">
        <v>583</v>
      </c>
      <c r="B468" s="428" t="s">
        <v>1258</v>
      </c>
      <c r="C468" s="232">
        <v>2018224</v>
      </c>
      <c r="D468" s="232" t="s">
        <v>665</v>
      </c>
      <c r="E468" s="232">
        <v>5000</v>
      </c>
      <c r="F468" s="501" t="s">
        <v>1875</v>
      </c>
      <c r="G468" s="499" t="s">
        <v>296</v>
      </c>
      <c r="H468" s="232">
        <v>160</v>
      </c>
      <c r="I468" s="232">
        <v>3</v>
      </c>
      <c r="J468" s="478" t="str">
        <f t="shared" si="11"/>
        <v>KONTOOR, Fall21,  #2018224, (Executive) Qty: 5000, FAB: TBA, DEL: 5-Jun, Peak Tgt: 160, BU-3</v>
      </c>
    </row>
    <row r="469" spans="1:10" x14ac:dyDescent="0.3">
      <c r="A469" s="233" t="s">
        <v>583</v>
      </c>
      <c r="B469" s="428" t="s">
        <v>1258</v>
      </c>
      <c r="C469" s="232">
        <v>2018324</v>
      </c>
      <c r="D469" s="232" t="s">
        <v>665</v>
      </c>
      <c r="E469" s="232">
        <v>3000</v>
      </c>
      <c r="F469" s="501" t="s">
        <v>1875</v>
      </c>
      <c r="G469" s="499" t="s">
        <v>296</v>
      </c>
      <c r="H469" s="232">
        <v>160</v>
      </c>
      <c r="I469" s="232">
        <v>3</v>
      </c>
      <c r="J469" s="478" t="str">
        <f t="shared" si="11"/>
        <v>KONTOOR, Fall21,  #2018324, (Executive) Qty: 3000, FAB: TBA, DEL: 5-Jun, Peak Tgt: 160, BU-3</v>
      </c>
    </row>
    <row r="470" spans="1:10" x14ac:dyDescent="0.3">
      <c r="A470" s="233" t="s">
        <v>583</v>
      </c>
      <c r="B470" s="428" t="s">
        <v>1258</v>
      </c>
      <c r="C470" s="232">
        <v>2108524</v>
      </c>
      <c r="D470" s="232" t="s">
        <v>665</v>
      </c>
      <c r="E470" s="232">
        <v>5000</v>
      </c>
      <c r="F470" s="501" t="s">
        <v>1875</v>
      </c>
      <c r="G470" s="499" t="s">
        <v>296</v>
      </c>
      <c r="H470" s="232">
        <v>160</v>
      </c>
      <c r="I470" s="232">
        <v>3</v>
      </c>
      <c r="J470" s="478" t="str">
        <f t="shared" si="11"/>
        <v>KONTOOR, Fall21,  #2108524, (Executive) Qty: 5000, FAB: TBA, DEL: 5-Jun, Peak Tgt: 160, BU-3</v>
      </c>
    </row>
    <row r="471" spans="1:10" x14ac:dyDescent="0.3">
      <c r="A471" s="233" t="s">
        <v>583</v>
      </c>
      <c r="B471" s="428" t="s">
        <v>1258</v>
      </c>
      <c r="C471" s="232">
        <v>2162030</v>
      </c>
      <c r="D471" s="232" t="s">
        <v>967</v>
      </c>
      <c r="E471" s="232">
        <v>3000</v>
      </c>
      <c r="F471" s="507" t="s">
        <v>1821</v>
      </c>
      <c r="G471" s="499" t="s">
        <v>296</v>
      </c>
      <c r="H471" s="232">
        <v>160</v>
      </c>
      <c r="I471" s="232">
        <v>3</v>
      </c>
      <c r="J471" s="478" t="str">
        <f t="shared" si="11"/>
        <v>KONTOOR, Fall21,  #2162030, (Distance) Qty: 3000, FAB: TBA, DEL: 17-Apr, Peak Tgt: 160, BU-3</v>
      </c>
    </row>
    <row r="472" spans="1:10" x14ac:dyDescent="0.3">
      <c r="A472" s="233" t="s">
        <v>583</v>
      </c>
      <c r="B472" s="428" t="s">
        <v>1258</v>
      </c>
      <c r="C472" s="232">
        <v>2018324</v>
      </c>
      <c r="D472" s="232" t="s">
        <v>665</v>
      </c>
      <c r="E472" s="232">
        <v>3000</v>
      </c>
      <c r="F472" s="507" t="s">
        <v>592</v>
      </c>
      <c r="G472" s="499" t="s">
        <v>296</v>
      </c>
      <c r="H472" s="232">
        <v>160</v>
      </c>
      <c r="I472" s="232">
        <v>3</v>
      </c>
      <c r="J472" s="478" t="str">
        <f t="shared" si="11"/>
        <v>KONTOOR, Fall21,  #2018324, (Executive) Qty: 3000, FAB: TBA, DEL: 1-May, Peak Tgt: 160, BU-3</v>
      </c>
    </row>
    <row r="473" spans="1:10" x14ac:dyDescent="0.3">
      <c r="A473" s="233" t="s">
        <v>583</v>
      </c>
      <c r="B473" s="428" t="s">
        <v>1258</v>
      </c>
      <c r="C473" s="232">
        <v>2108524</v>
      </c>
      <c r="D473" s="232" t="s">
        <v>665</v>
      </c>
      <c r="E473" s="232">
        <v>4000</v>
      </c>
      <c r="F473" s="507" t="s">
        <v>592</v>
      </c>
      <c r="G473" s="499" t="s">
        <v>296</v>
      </c>
      <c r="H473" s="232">
        <v>160</v>
      </c>
      <c r="I473" s="232">
        <v>3</v>
      </c>
      <c r="J473" s="478" t="str">
        <f t="shared" si="11"/>
        <v>KONTOOR, Fall21,  #2108524, (Executive) Qty: 4000, FAB: TBA, DEL: 1-May, Peak Tgt: 160, BU-3</v>
      </c>
    </row>
    <row r="475" spans="1:10" x14ac:dyDescent="0.3">
      <c r="A475" s="233" t="s">
        <v>583</v>
      </c>
      <c r="B475" s="428" t="s">
        <v>1258</v>
      </c>
      <c r="C475" s="232">
        <v>3525135</v>
      </c>
      <c r="D475" s="232" t="s">
        <v>1344</v>
      </c>
      <c r="E475" s="232">
        <v>834</v>
      </c>
      <c r="F475" s="509" t="s">
        <v>1821</v>
      </c>
      <c r="G475" s="510" t="s">
        <v>296</v>
      </c>
      <c r="H475" s="510" t="s">
        <v>296</v>
      </c>
      <c r="I475" s="510" t="s">
        <v>296</v>
      </c>
      <c r="J475" s="511" t="str">
        <f t="shared" si="11"/>
        <v>KONTOOR, Fall21,  #3525135, (SEATTLE) Qty: 834, FAB: TBA, DEL: 17-Apr, Peak Tgt: TBA, BU-TBA</v>
      </c>
    </row>
    <row r="476" spans="1:10" x14ac:dyDescent="0.3">
      <c r="A476" s="233" t="s">
        <v>583</v>
      </c>
      <c r="B476" s="428" t="s">
        <v>1258</v>
      </c>
      <c r="C476" s="232">
        <v>3525101</v>
      </c>
      <c r="D476" s="232" t="s">
        <v>1914</v>
      </c>
      <c r="E476" s="232">
        <v>884</v>
      </c>
      <c r="F476" s="509" t="s">
        <v>1821</v>
      </c>
      <c r="G476" s="510" t="s">
        <v>296</v>
      </c>
      <c r="H476" s="510" t="s">
        <v>296</v>
      </c>
      <c r="I476" s="510" t="s">
        <v>296</v>
      </c>
      <c r="J476" s="511" t="str">
        <f t="shared" si="11"/>
        <v>KONTOOR, Fall21,  #3525101, (BLACK ) Qty: 884, FAB: TBA, DEL: 17-Apr, Peak Tgt: TBA, BU-TBA</v>
      </c>
    </row>
    <row r="477" spans="1:10" x14ac:dyDescent="0.3">
      <c r="A477" s="233" t="s">
        <v>583</v>
      </c>
      <c r="B477" s="428" t="s">
        <v>1258</v>
      </c>
      <c r="C477" s="232">
        <v>3527728</v>
      </c>
      <c r="D477" s="232" t="s">
        <v>1915</v>
      </c>
      <c r="E477" s="232">
        <v>1000</v>
      </c>
      <c r="F477" s="509" t="s">
        <v>1821</v>
      </c>
      <c r="G477" s="510" t="s">
        <v>296</v>
      </c>
      <c r="H477" s="510" t="s">
        <v>296</v>
      </c>
      <c r="I477" s="510" t="s">
        <v>296</v>
      </c>
      <c r="J477" s="511" t="str">
        <f t="shared" si="11"/>
        <v>KONTOOR, Fall21,  #3527728, (LIGHT OF DAY) Qty: 1000, FAB: TBA, DEL: 17-Apr, Peak Tgt: TBA, BU-TBA</v>
      </c>
    </row>
    <row r="478" spans="1:10" x14ac:dyDescent="0.3">
      <c r="A478" s="233" t="s">
        <v>583</v>
      </c>
      <c r="B478" s="428" t="s">
        <v>1258</v>
      </c>
      <c r="C478" s="232">
        <v>3527764</v>
      </c>
      <c r="D478" s="232" t="s">
        <v>1916</v>
      </c>
      <c r="E478" s="232">
        <v>795</v>
      </c>
      <c r="F478" s="509" t="s">
        <v>1821</v>
      </c>
      <c r="G478" s="510" t="s">
        <v>296</v>
      </c>
      <c r="H478" s="510" t="s">
        <v>296</v>
      </c>
      <c r="I478" s="510" t="s">
        <v>296</v>
      </c>
      <c r="J478" s="511" t="str">
        <f t="shared" si="11"/>
        <v>KONTOOR, Fall21,  #3527764, (LATE NIGHT) Qty: 795, FAB: TBA, DEL: 17-Apr, Peak Tgt: TBA, BU-TBA</v>
      </c>
    </row>
    <row r="479" spans="1:10" x14ac:dyDescent="0.3">
      <c r="A479" s="233" t="s">
        <v>583</v>
      </c>
      <c r="B479" s="428" t="s">
        <v>1258</v>
      </c>
      <c r="C479" s="232">
        <v>3527702</v>
      </c>
      <c r="D479" s="232" t="s">
        <v>1917</v>
      </c>
      <c r="E479" s="232">
        <v>1060</v>
      </c>
      <c r="F479" s="509" t="s">
        <v>1821</v>
      </c>
      <c r="G479" s="510" t="s">
        <v>296</v>
      </c>
      <c r="H479" s="510" t="s">
        <v>296</v>
      </c>
      <c r="I479" s="510" t="s">
        <v>296</v>
      </c>
      <c r="J479" s="511" t="str">
        <f t="shared" si="11"/>
        <v>KONTOOR, Fall21,  #3527702, (WASHED BLACK) Qty: 1060, FAB: TBA, DEL: 17-Apr, Peak Tgt: TBA, BU-TBA</v>
      </c>
    </row>
    <row r="480" spans="1:10" x14ac:dyDescent="0.3">
      <c r="A480" s="233" t="s">
        <v>583</v>
      </c>
      <c r="B480" s="428" t="s">
        <v>1258</v>
      </c>
      <c r="C480" s="232">
        <v>3527730</v>
      </c>
      <c r="D480" s="232" t="s">
        <v>1918</v>
      </c>
      <c r="E480" s="232">
        <v>1575</v>
      </c>
      <c r="F480" s="509" t="s">
        <v>1821</v>
      </c>
      <c r="G480" s="510" t="s">
        <v>296</v>
      </c>
      <c r="H480" s="510" t="s">
        <v>296</v>
      </c>
      <c r="I480" s="510" t="s">
        <v>296</v>
      </c>
      <c r="J480" s="511" t="str">
        <f t="shared" si="11"/>
        <v>KONTOOR, Fall21,  #3527730, (AFTERNOON) Qty: 1575, FAB: TBA, DEL: 17-Apr, Peak Tgt: TBA, BU-TBA</v>
      </c>
    </row>
    <row r="481" spans="1:10" x14ac:dyDescent="0.3">
      <c r="A481" s="233" t="s">
        <v>583</v>
      </c>
      <c r="B481" s="428" t="s">
        <v>1258</v>
      </c>
      <c r="C481" s="232">
        <v>3525746</v>
      </c>
      <c r="D481" s="232" t="s">
        <v>1919</v>
      </c>
      <c r="E481" s="232">
        <v>690</v>
      </c>
      <c r="F481" s="509" t="s">
        <v>1821</v>
      </c>
      <c r="G481" s="510" t="s">
        <v>296</v>
      </c>
      <c r="H481" s="510" t="s">
        <v>296</v>
      </c>
      <c r="I481" s="510" t="s">
        <v>296</v>
      </c>
      <c r="J481" s="511" t="str">
        <f t="shared" si="11"/>
        <v>KONTOOR, Fall21,  #3525746, (GRADIENT) Qty: 690, FAB: TBA, DEL: 17-Apr, Peak Tgt: TBA, BU-TBA</v>
      </c>
    </row>
    <row r="482" spans="1:10" x14ac:dyDescent="0.3">
      <c r="A482" s="233" t="s">
        <v>583</v>
      </c>
      <c r="B482" s="428" t="s">
        <v>1258</v>
      </c>
      <c r="C482" s="232">
        <v>3525775</v>
      </c>
      <c r="D482" s="232" t="s">
        <v>1560</v>
      </c>
      <c r="E482" s="232">
        <v>670</v>
      </c>
      <c r="F482" s="509" t="s">
        <v>1821</v>
      </c>
      <c r="G482" s="510" t="s">
        <v>296</v>
      </c>
      <c r="H482" s="510" t="s">
        <v>296</v>
      </c>
      <c r="I482" s="510" t="s">
        <v>296</v>
      </c>
      <c r="J482" s="511" t="str">
        <f t="shared" si="11"/>
        <v>KONTOOR, Fall21,  #3525775, (RINSE) Qty: 670, FAB: TBA, DEL: 17-Apr, Peak Tgt: TBA, BU-TBA</v>
      </c>
    </row>
    <row r="483" spans="1:10" x14ac:dyDescent="0.3">
      <c r="A483" s="233" t="s">
        <v>583</v>
      </c>
      <c r="B483" s="428" t="s">
        <v>1258</v>
      </c>
      <c r="C483" s="232">
        <v>3543641</v>
      </c>
      <c r="D483" s="232" t="s">
        <v>1920</v>
      </c>
      <c r="E483" s="232">
        <v>600</v>
      </c>
      <c r="F483" s="509" t="s">
        <v>1821</v>
      </c>
      <c r="G483" s="510" t="s">
        <v>296</v>
      </c>
      <c r="H483" s="510" t="s">
        <v>296</v>
      </c>
      <c r="I483" s="510" t="s">
        <v>296</v>
      </c>
      <c r="J483" s="511" t="str">
        <f t="shared" si="11"/>
        <v>KONTOOR, Fall21,  #3543641, (TRU BLU MID) Qty: 600, FAB: TBA, DEL: 17-Apr, Peak Tgt: TBA, BU-TBA</v>
      </c>
    </row>
    <row r="484" spans="1:10" x14ac:dyDescent="0.3">
      <c r="A484" s="233" t="s">
        <v>583</v>
      </c>
      <c r="B484" s="428" t="s">
        <v>1258</v>
      </c>
      <c r="C484" s="232">
        <v>3543691</v>
      </c>
      <c r="D484" s="232" t="s">
        <v>1921</v>
      </c>
      <c r="E484" s="232">
        <v>580</v>
      </c>
      <c r="F484" s="509" t="s">
        <v>1821</v>
      </c>
      <c r="G484" s="510" t="s">
        <v>296</v>
      </c>
      <c r="H484" s="510" t="s">
        <v>296</v>
      </c>
      <c r="I484" s="510" t="s">
        <v>296</v>
      </c>
      <c r="J484" s="511" t="str">
        <f t="shared" si="11"/>
        <v>KONTOOR, Fall21,  #3543691, (INDIGO FROSTED) Qty: 580, FAB: TBA, DEL: 17-Apr, Peak Tgt: TBA, BU-TBA</v>
      </c>
    </row>
    <row r="486" spans="1:10" ht="15" thickBot="1" x14ac:dyDescent="0.35">
      <c r="A486" s="233" t="s">
        <v>583</v>
      </c>
      <c r="B486" s="428" t="s">
        <v>1258</v>
      </c>
      <c r="C486" s="512" t="s">
        <v>1925</v>
      </c>
      <c r="D486" s="512" t="s">
        <v>1931</v>
      </c>
      <c r="E486" s="515">
        <v>9084</v>
      </c>
      <c r="F486" s="513" t="s">
        <v>1939</v>
      </c>
      <c r="G486" s="512" t="s">
        <v>296</v>
      </c>
      <c r="H486" s="512" t="s">
        <v>296</v>
      </c>
      <c r="I486" s="512" t="s">
        <v>296</v>
      </c>
      <c r="J486" s="511" t="str">
        <f t="shared" si="11"/>
        <v>KONTOOR, Fall21,  #LMB100723, (MB90) Qty: 9084, FAB: TBA, DEL: 30-May, Peak Tgt: TBA, BU-TBA</v>
      </c>
    </row>
    <row r="487" spans="1:10" ht="15" thickBot="1" x14ac:dyDescent="0.35">
      <c r="A487" s="233" t="s">
        <v>583</v>
      </c>
      <c r="B487" s="428" t="s">
        <v>1258</v>
      </c>
      <c r="C487" s="512" t="s">
        <v>1926</v>
      </c>
      <c r="D487" s="512" t="s">
        <v>1932</v>
      </c>
      <c r="E487" s="515">
        <v>4542</v>
      </c>
      <c r="F487" s="513" t="s">
        <v>661</v>
      </c>
      <c r="G487" s="512" t="s">
        <v>296</v>
      </c>
      <c r="H487" s="512" t="s">
        <v>296</v>
      </c>
      <c r="I487" s="512" t="s">
        <v>296</v>
      </c>
      <c r="J487" s="511" t="str">
        <f t="shared" si="11"/>
        <v>KONTOOR, Fall21,  #LMB100743, (MB94) Qty: 4542, FAB: TBA, DEL: 6-Jun, Peak Tgt: TBA, BU-TBA</v>
      </c>
    </row>
    <row r="488" spans="1:10" ht="15" thickBot="1" x14ac:dyDescent="0.35">
      <c r="A488" s="233" t="s">
        <v>583</v>
      </c>
      <c r="B488" s="428" t="s">
        <v>1258</v>
      </c>
      <c r="C488" s="512" t="s">
        <v>1927</v>
      </c>
      <c r="D488" s="512" t="s">
        <v>1933</v>
      </c>
      <c r="E488" s="515">
        <v>2839</v>
      </c>
      <c r="F488" s="513" t="s">
        <v>1939</v>
      </c>
      <c r="G488" s="512" t="s">
        <v>296</v>
      </c>
      <c r="H488" s="512" t="s">
        <v>296</v>
      </c>
      <c r="I488" s="512" t="s">
        <v>296</v>
      </c>
      <c r="J488" s="511" t="str">
        <f t="shared" si="11"/>
        <v>KONTOOR, Fall21,  #LMB100706, (MB96) Qty: 2839, FAB: TBA, DEL: 30-May, Peak Tgt: TBA, BU-TBA</v>
      </c>
    </row>
    <row r="489" spans="1:10" ht="15" thickBot="1" x14ac:dyDescent="0.35">
      <c r="A489" s="233" t="s">
        <v>583</v>
      </c>
      <c r="B489" s="428" t="s">
        <v>1258</v>
      </c>
      <c r="C489" s="512" t="s">
        <v>1928</v>
      </c>
      <c r="D489" s="512" t="s">
        <v>1934</v>
      </c>
      <c r="E489" s="515">
        <v>2939</v>
      </c>
      <c r="F489" s="514" t="s">
        <v>584</v>
      </c>
      <c r="G489" s="512" t="s">
        <v>296</v>
      </c>
      <c r="H489" s="512" t="s">
        <v>296</v>
      </c>
      <c r="I489" s="512" t="s">
        <v>296</v>
      </c>
      <c r="J489" s="511" t="str">
        <f t="shared" si="11"/>
        <v>KONTOOR, Fall21,  #LMB100726, (MB110) Qty: 2939, FAB: TBA, DEL: 4-Jul, Peak Tgt: TBA, BU-TBA</v>
      </c>
    </row>
    <row r="490" spans="1:10" ht="15" thickBot="1" x14ac:dyDescent="0.35">
      <c r="A490" s="233" t="s">
        <v>583</v>
      </c>
      <c r="B490" s="428" t="s">
        <v>1258</v>
      </c>
      <c r="C490" s="512" t="s">
        <v>1929</v>
      </c>
      <c r="D490" s="512" t="s">
        <v>1935</v>
      </c>
      <c r="E490" s="515">
        <v>5677</v>
      </c>
      <c r="F490" s="513" t="s">
        <v>1940</v>
      </c>
      <c r="G490" s="512" t="s">
        <v>296</v>
      </c>
      <c r="H490" s="512" t="s">
        <v>296</v>
      </c>
      <c r="I490" s="512" t="s">
        <v>296</v>
      </c>
      <c r="J490" s="511" t="str">
        <f t="shared" si="11"/>
        <v>KONTOOR, Fall21,  #LMB100705, (MB48) Qty: 5677, FAB: TBA, DEL: 1-Aug, Peak Tgt: TBA, BU-TBA</v>
      </c>
    </row>
    <row r="491" spans="1:10" ht="15" thickBot="1" x14ac:dyDescent="0.35">
      <c r="A491" s="233" t="s">
        <v>583</v>
      </c>
      <c r="B491" s="428" t="s">
        <v>1258</v>
      </c>
      <c r="C491" s="512" t="s">
        <v>1930</v>
      </c>
      <c r="D491" s="512" t="s">
        <v>1936</v>
      </c>
      <c r="E491" s="515">
        <v>4542</v>
      </c>
      <c r="F491" s="513" t="s">
        <v>1941</v>
      </c>
      <c r="G491" s="512" t="s">
        <v>296</v>
      </c>
      <c r="H491" s="512" t="s">
        <v>296</v>
      </c>
      <c r="I491" s="512" t="s">
        <v>296</v>
      </c>
      <c r="J491" s="511" t="str">
        <f t="shared" si="11"/>
        <v>KONTOOR, Fall21,  #LMB100741, (MB93) Qty: 4542, FAB: TBA, DEL: 29-Aug, Peak Tgt: TBA, BU-TBA</v>
      </c>
    </row>
    <row r="492" spans="1:10" ht="15" thickBot="1" x14ac:dyDescent="0.35">
      <c r="A492" s="233" t="s">
        <v>583</v>
      </c>
      <c r="B492" s="428" t="s">
        <v>1258</v>
      </c>
      <c r="C492" s="512" t="s">
        <v>1928</v>
      </c>
      <c r="D492" s="512" t="s">
        <v>1937</v>
      </c>
      <c r="E492" s="515">
        <v>13726</v>
      </c>
      <c r="F492" s="513" t="s">
        <v>1941</v>
      </c>
      <c r="G492" s="512" t="s">
        <v>296</v>
      </c>
      <c r="H492" s="512" t="s">
        <v>296</v>
      </c>
      <c r="I492" s="512" t="s">
        <v>296</v>
      </c>
      <c r="J492" s="511" t="str">
        <f t="shared" si="11"/>
        <v>KONTOOR, Fall21,  #LMB100726, (MB99) Qty: 13726, FAB: TBA, DEL: 29-Aug, Peak Tgt: TBA, BU-TBA</v>
      </c>
    </row>
    <row r="493" spans="1:10" ht="15" thickBot="1" x14ac:dyDescent="0.35">
      <c r="A493" s="233" t="s">
        <v>583</v>
      </c>
      <c r="B493" s="428" t="s">
        <v>1258</v>
      </c>
      <c r="C493" s="512" t="s">
        <v>1929</v>
      </c>
      <c r="D493" s="512" t="s">
        <v>1938</v>
      </c>
      <c r="E493" s="515">
        <v>3974</v>
      </c>
      <c r="F493" s="513" t="s">
        <v>1941</v>
      </c>
      <c r="G493" s="512" t="s">
        <v>296</v>
      </c>
      <c r="H493" s="512" t="s">
        <v>296</v>
      </c>
      <c r="I493" s="512" t="s">
        <v>296</v>
      </c>
      <c r="J493" s="511" t="str">
        <f t="shared" si="11"/>
        <v>KONTOOR, Fall21,  #LMB100705, (MB109) Qty: 3974, FAB: TBA, DEL: 29-Aug, Peak Tgt: TBA, BU-TBA</v>
      </c>
    </row>
    <row r="494" spans="1:10" x14ac:dyDescent="0.3">
      <c r="A494" s="233" t="s">
        <v>583</v>
      </c>
      <c r="B494" s="428" t="s">
        <v>1258</v>
      </c>
      <c r="C494" s="516" t="s">
        <v>1942</v>
      </c>
      <c r="D494" s="232" t="s">
        <v>294</v>
      </c>
      <c r="E494" s="232">
        <v>3000</v>
      </c>
      <c r="F494" s="517" t="s">
        <v>1943</v>
      </c>
      <c r="G494" s="512" t="s">
        <v>296</v>
      </c>
      <c r="H494" s="232">
        <v>160</v>
      </c>
      <c r="I494" s="232">
        <v>4</v>
      </c>
      <c r="J494" s="511" t="str">
        <f t="shared" si="11"/>
        <v>KONTOOR, Fall21,  #2015042 / L71WTHPU, (Maddox) Qty: 3000, FAB: TBA, DEL: 12-Jun, Peak Tgt: 160, BU-4</v>
      </c>
    </row>
    <row r="496" spans="1:10" x14ac:dyDescent="0.3">
      <c r="A496" s="233" t="s">
        <v>583</v>
      </c>
      <c r="B496" s="428" t="s">
        <v>1258</v>
      </c>
      <c r="C496" s="232">
        <v>3522001</v>
      </c>
      <c r="D496" s="232" t="s">
        <v>428</v>
      </c>
      <c r="E496" s="232">
        <v>4200</v>
      </c>
      <c r="F496" s="560" t="s">
        <v>1982</v>
      </c>
      <c r="G496" s="561" t="s">
        <v>296</v>
      </c>
      <c r="H496" s="232">
        <v>200</v>
      </c>
      <c r="I496" s="561" t="s">
        <v>1983</v>
      </c>
      <c r="J496" s="511" t="str">
        <f t="shared" si="11"/>
        <v>KONTOOR, Fall21,  #3522001, (Black) Qty: 4200, FAB: TBA, DEL: 19-Jun, Peak Tgt: 200, BU-3 (LFDM0003)</v>
      </c>
    </row>
    <row r="497" spans="1:10" x14ac:dyDescent="0.3">
      <c r="A497" s="233" t="s">
        <v>583</v>
      </c>
      <c r="B497" s="428" t="s">
        <v>1258</v>
      </c>
      <c r="C497" s="232">
        <v>3087528</v>
      </c>
      <c r="D497" s="232" t="s">
        <v>873</v>
      </c>
      <c r="E497" s="232">
        <v>4000</v>
      </c>
      <c r="F497" s="560" t="s">
        <v>1982</v>
      </c>
      <c r="G497" s="561" t="s">
        <v>296</v>
      </c>
      <c r="H497" s="232">
        <v>180</v>
      </c>
      <c r="I497" s="561" t="s">
        <v>1871</v>
      </c>
      <c r="J497" s="511" t="str">
        <f t="shared" si="11"/>
        <v>KONTOOR, Fall21,  #3087528, (RENEGADE) Qty: 4000, FAB: TBA, DEL: 19-Jun, Peak Tgt: 180, BU-3 (7743WM)</v>
      </c>
    </row>
    <row r="498" spans="1:10" x14ac:dyDescent="0.3">
      <c r="A498" s="233" t="s">
        <v>583</v>
      </c>
      <c r="B498" s="428" t="s">
        <v>1258</v>
      </c>
      <c r="C498" s="232">
        <v>3408928</v>
      </c>
      <c r="D498" s="232" t="s">
        <v>873</v>
      </c>
      <c r="E498" s="232">
        <v>3000</v>
      </c>
      <c r="F498" s="560" t="s">
        <v>1982</v>
      </c>
      <c r="G498" s="561" t="s">
        <v>296</v>
      </c>
      <c r="H498" s="232">
        <v>180</v>
      </c>
      <c r="I498" s="561" t="s">
        <v>1872</v>
      </c>
      <c r="J498" s="511" t="str">
        <f t="shared" si="11"/>
        <v>KONTOOR, Fall21,  #3408928, (RENEGADE) Qty: 3000, FAB: TBA, DEL: 19-Jun, Peak Tgt: 180, BU-3 (7743MS)</v>
      </c>
    </row>
    <row r="499" spans="1:10" x14ac:dyDescent="0.3">
      <c r="A499" s="233" t="s">
        <v>583</v>
      </c>
      <c r="B499" s="428" t="s">
        <v>1258</v>
      </c>
      <c r="C499" s="232">
        <v>3408946</v>
      </c>
      <c r="D499" s="232" t="s">
        <v>875</v>
      </c>
      <c r="E499" s="232">
        <v>6500</v>
      </c>
      <c r="F499" s="560" t="s">
        <v>1982</v>
      </c>
      <c r="G499" s="561" t="s">
        <v>296</v>
      </c>
      <c r="H499" s="232">
        <v>180</v>
      </c>
      <c r="I499" s="561" t="s">
        <v>1872</v>
      </c>
      <c r="J499" s="511" t="str">
        <f t="shared" si="11"/>
        <v>KONTOOR, Fall21,  #3408946, (MAJESTIC) Qty: 6500, FAB: TBA, DEL: 19-Jun, Peak Tgt: 180, BU-3 (7743MS)</v>
      </c>
    </row>
    <row r="500" spans="1:10" x14ac:dyDescent="0.3">
      <c r="A500" s="233" t="s">
        <v>583</v>
      </c>
      <c r="B500" s="428" t="s">
        <v>1258</v>
      </c>
      <c r="C500" s="232">
        <v>3408964</v>
      </c>
      <c r="D500" s="232" t="s">
        <v>876</v>
      </c>
      <c r="E500" s="232">
        <v>5000</v>
      </c>
      <c r="F500" s="560" t="s">
        <v>1982</v>
      </c>
      <c r="G500" s="561" t="s">
        <v>296</v>
      </c>
      <c r="H500" s="232">
        <v>180</v>
      </c>
      <c r="I500" s="561" t="s">
        <v>1872</v>
      </c>
      <c r="J500" s="511" t="str">
        <f t="shared" si="11"/>
        <v>KONTOOR, Fall21,  #3408964, (ROYALCHAKR) Qty: 5000, FAB: TBA, DEL: 19-Jun, Peak Tgt: 180, BU-3 (7743MS)</v>
      </c>
    </row>
    <row r="501" spans="1:10" x14ac:dyDescent="0.3">
      <c r="A501" s="233" t="s">
        <v>583</v>
      </c>
      <c r="B501" s="428" t="s">
        <v>1258</v>
      </c>
      <c r="C501" s="232">
        <v>3087126</v>
      </c>
      <c r="D501" s="232" t="s">
        <v>1646</v>
      </c>
      <c r="E501" s="232">
        <v>3000</v>
      </c>
      <c r="F501" s="560" t="s">
        <v>1984</v>
      </c>
      <c r="G501" s="561" t="s">
        <v>296</v>
      </c>
      <c r="H501" s="232">
        <v>200</v>
      </c>
      <c r="I501" s="561" t="s">
        <v>1866</v>
      </c>
      <c r="J501" s="511" t="str">
        <f t="shared" si="11"/>
        <v>KONTOOR, Fall21,  #3087126, (Anchor) Qty: 3000, FAB: TBA, DEL: 26-Jun, Peak Tgt: 200, BU-3 (LFDW0003)</v>
      </c>
    </row>
    <row r="502" spans="1:10" x14ac:dyDescent="0.3">
      <c r="A502" s="233" t="s">
        <v>583</v>
      </c>
      <c r="B502" s="428" t="s">
        <v>1258</v>
      </c>
      <c r="C502" s="232">
        <v>3087135</v>
      </c>
      <c r="D502" s="232" t="s">
        <v>460</v>
      </c>
      <c r="E502" s="232">
        <v>4000</v>
      </c>
      <c r="F502" s="560" t="s">
        <v>1984</v>
      </c>
      <c r="G502" s="561" t="s">
        <v>296</v>
      </c>
      <c r="H502" s="232">
        <v>200</v>
      </c>
      <c r="I502" s="561" t="s">
        <v>1866</v>
      </c>
      <c r="J502" s="511" t="str">
        <f t="shared" si="11"/>
        <v>KONTOOR, Fall21,  #3087135, (Seattle) Qty: 4000, FAB: TBA, DEL: 26-Jun, Peak Tgt: 200, BU-3 (LFDW0003)</v>
      </c>
    </row>
    <row r="503" spans="1:10" x14ac:dyDescent="0.3">
      <c r="A503" s="233" t="s">
        <v>583</v>
      </c>
      <c r="B503" s="428" t="s">
        <v>1258</v>
      </c>
      <c r="C503" s="232">
        <v>3522026</v>
      </c>
      <c r="D503" s="232" t="s">
        <v>1646</v>
      </c>
      <c r="E503" s="232">
        <v>9000</v>
      </c>
      <c r="F503" s="560" t="s">
        <v>1984</v>
      </c>
      <c r="G503" s="561" t="s">
        <v>296</v>
      </c>
      <c r="H503" s="232">
        <v>200</v>
      </c>
      <c r="I503" s="561" t="s">
        <v>1983</v>
      </c>
      <c r="J503" s="511" t="str">
        <f t="shared" si="11"/>
        <v>KONTOOR, Fall21,  #3522026, (Anchor) Qty: 9000, FAB: TBA, DEL: 26-Jun, Peak Tgt: 200, BU-3 (LFDM0003)</v>
      </c>
    </row>
    <row r="504" spans="1:10" x14ac:dyDescent="0.3">
      <c r="A504" s="233" t="s">
        <v>583</v>
      </c>
      <c r="B504" s="428" t="s">
        <v>1258</v>
      </c>
      <c r="C504" s="232">
        <v>3522077</v>
      </c>
      <c r="D504" s="232" t="s">
        <v>459</v>
      </c>
      <c r="E504" s="232">
        <v>12000</v>
      </c>
      <c r="F504" s="560" t="s">
        <v>1984</v>
      </c>
      <c r="G504" s="561" t="s">
        <v>296</v>
      </c>
      <c r="H504" s="232">
        <v>200</v>
      </c>
      <c r="I504" s="561" t="s">
        <v>1983</v>
      </c>
      <c r="J504" s="511" t="str">
        <f t="shared" si="11"/>
        <v>KONTOOR, Fall21,  #3522077, (Nightshade) Qty: 12000, FAB: TBA, DEL: 26-Jun, Peak Tgt: 200, BU-3 (LFDM0003)</v>
      </c>
    </row>
    <row r="505" spans="1:10" x14ac:dyDescent="0.3">
      <c r="A505" s="233" t="s">
        <v>583</v>
      </c>
      <c r="B505" s="428" t="s">
        <v>1258</v>
      </c>
      <c r="C505" s="232">
        <v>3522095</v>
      </c>
      <c r="D505" s="232" t="s">
        <v>460</v>
      </c>
      <c r="E505" s="232">
        <v>16000</v>
      </c>
      <c r="F505" s="560" t="s">
        <v>1984</v>
      </c>
      <c r="G505" s="561" t="s">
        <v>296</v>
      </c>
      <c r="H505" s="232">
        <v>200</v>
      </c>
      <c r="I505" s="561" t="s">
        <v>1983</v>
      </c>
      <c r="J505" s="511" t="str">
        <f t="shared" si="11"/>
        <v>KONTOOR, Fall21,  #3522095, (Seattle) Qty: 16000, FAB: TBA, DEL: 26-Jun, Peak Tgt: 200, BU-3 (LFDM0003)</v>
      </c>
    </row>
    <row r="506" spans="1:10" x14ac:dyDescent="0.3">
      <c r="A506" s="233" t="s">
        <v>583</v>
      </c>
      <c r="B506" s="428" t="s">
        <v>1258</v>
      </c>
      <c r="C506" s="232">
        <v>3408901</v>
      </c>
      <c r="D506" s="232" t="s">
        <v>731</v>
      </c>
      <c r="E506" s="232">
        <v>3000</v>
      </c>
      <c r="F506" s="560" t="s">
        <v>1982</v>
      </c>
      <c r="G506" s="561" t="s">
        <v>296</v>
      </c>
      <c r="H506" s="232">
        <v>180</v>
      </c>
      <c r="I506" s="561" t="s">
        <v>1872</v>
      </c>
      <c r="J506" s="511" t="str">
        <f t="shared" si="11"/>
        <v>KONTOOR, Fall21,  #3408901, (BLACK) Qty: 3000, FAB: TBA, DEL: 19-Jun, Peak Tgt: 180, BU-3 (7743MS)</v>
      </c>
    </row>
    <row r="507" spans="1:10" x14ac:dyDescent="0.3">
      <c r="A507" s="233" t="s">
        <v>435</v>
      </c>
      <c r="B507" s="494" t="s">
        <v>1836</v>
      </c>
      <c r="C507" s="232">
        <v>227089</v>
      </c>
      <c r="D507" s="561" t="s">
        <v>1566</v>
      </c>
      <c r="E507" s="232">
        <v>2500</v>
      </c>
      <c r="F507" s="560" t="s">
        <v>1993</v>
      </c>
      <c r="G507" s="561" t="s">
        <v>296</v>
      </c>
      <c r="H507" s="232">
        <v>180</v>
      </c>
      <c r="I507" s="232">
        <v>3</v>
      </c>
      <c r="J507" s="511" t="str">
        <f t="shared" si="11"/>
        <v>T-AUS, SUM22-Q1,  #227089, (INDIGO) Qty: 2500, FAB: TBA, DEL: 6-Jul(?), Peak Tgt: 180, BU-3</v>
      </c>
    </row>
    <row r="508" spans="1:10" x14ac:dyDescent="0.3">
      <c r="A508" s="233" t="s">
        <v>435</v>
      </c>
      <c r="B508" s="494" t="s">
        <v>1836</v>
      </c>
      <c r="C508" s="232">
        <v>189207</v>
      </c>
      <c r="D508" s="561" t="s">
        <v>1994</v>
      </c>
      <c r="E508" s="232">
        <v>3400</v>
      </c>
      <c r="F508" s="560" t="s">
        <v>1993</v>
      </c>
      <c r="G508" s="561" t="s">
        <v>296</v>
      </c>
      <c r="H508" s="232">
        <v>180</v>
      </c>
      <c r="I508" s="232">
        <v>3</v>
      </c>
      <c r="J508" s="511" t="str">
        <f t="shared" si="11"/>
        <v>T-AUS, SUM22-Q1,  #189207, (BLUE) Qty: 3400, FAB: TBA, DEL: 6-Jul(?), Peak Tgt: 180, BU-3</v>
      </c>
    </row>
    <row r="509" spans="1:10" x14ac:dyDescent="0.3">
      <c r="A509" s="233" t="s">
        <v>435</v>
      </c>
      <c r="B509" s="494" t="s">
        <v>1836</v>
      </c>
      <c r="C509" s="232">
        <v>227074</v>
      </c>
      <c r="D509" s="561" t="s">
        <v>1566</v>
      </c>
      <c r="E509" s="232">
        <v>1700</v>
      </c>
      <c r="F509" s="560" t="s">
        <v>1993</v>
      </c>
      <c r="G509" s="561" t="s">
        <v>296</v>
      </c>
      <c r="H509" s="232">
        <v>180</v>
      </c>
      <c r="I509" s="232">
        <v>3</v>
      </c>
      <c r="J509" s="511" t="str">
        <f t="shared" si="11"/>
        <v>T-AUS, SUM22-Q1,  #227074, (INDIGO) Qty: 1700, FAB: TBA, DEL: 6-Jul(?), Peak Tgt: 180, BU-3</v>
      </c>
    </row>
    <row r="510" spans="1:10" x14ac:dyDescent="0.3">
      <c r="A510" s="233" t="s">
        <v>435</v>
      </c>
      <c r="B510" s="494" t="s">
        <v>1836</v>
      </c>
      <c r="C510" s="232">
        <v>227082</v>
      </c>
      <c r="D510" s="561" t="s">
        <v>1566</v>
      </c>
      <c r="E510" s="232">
        <v>2300</v>
      </c>
      <c r="F510" s="560" t="s">
        <v>1993</v>
      </c>
      <c r="G510" s="561" t="s">
        <v>296</v>
      </c>
      <c r="H510" s="232">
        <v>180</v>
      </c>
      <c r="I510" s="232">
        <v>3</v>
      </c>
      <c r="J510" s="511" t="str">
        <f t="shared" si="11"/>
        <v>T-AUS, SUM22-Q1,  #227082, (INDIGO) Qty: 2300, FAB: TBA, DEL: 6-Jul(?), Peak Tgt: 180, BU-3</v>
      </c>
    </row>
    <row r="511" spans="1:10" x14ac:dyDescent="0.3">
      <c r="A511" s="233" t="s">
        <v>435</v>
      </c>
      <c r="B511" s="494" t="s">
        <v>1836</v>
      </c>
      <c r="C511" s="232">
        <v>208700</v>
      </c>
      <c r="D511" s="561" t="s">
        <v>1566</v>
      </c>
      <c r="E511" s="232">
        <v>3704</v>
      </c>
      <c r="F511" s="560" t="s">
        <v>1993</v>
      </c>
      <c r="G511" s="561" t="s">
        <v>296</v>
      </c>
      <c r="H511" s="232">
        <v>180</v>
      </c>
      <c r="I511" s="232">
        <v>3</v>
      </c>
      <c r="J511" s="511" t="str">
        <f t="shared" si="11"/>
        <v>T-AUS, SUM22-Q1,  #208700, (INDIGO) Qty: 3704, FAB: TBA, DEL: 6-Jul(?), Peak Tgt: 180, BU-3</v>
      </c>
    </row>
    <row r="512" spans="1:10" x14ac:dyDescent="0.3">
      <c r="A512" s="233" t="s">
        <v>435</v>
      </c>
      <c r="B512" s="494" t="s">
        <v>1836</v>
      </c>
      <c r="C512" s="232">
        <v>208711</v>
      </c>
      <c r="D512" s="561" t="s">
        <v>1566</v>
      </c>
      <c r="E512" s="232">
        <v>1800</v>
      </c>
      <c r="F512" s="560" t="s">
        <v>1993</v>
      </c>
      <c r="G512" s="561" t="s">
        <v>296</v>
      </c>
      <c r="H512" s="232">
        <v>180</v>
      </c>
      <c r="I512" s="232">
        <v>3</v>
      </c>
      <c r="J512" s="511" t="str">
        <f t="shared" si="11"/>
        <v>T-AUS, SUM22-Q1,  #208711, (INDIGO) Qty: 1800, FAB: TBA, DEL: 6-Jul(?), Peak Tgt: 180, BU-3</v>
      </c>
    </row>
    <row r="513" spans="1:10" x14ac:dyDescent="0.3">
      <c r="A513" s="233" t="s">
        <v>435</v>
      </c>
      <c r="B513" s="494" t="s">
        <v>1836</v>
      </c>
      <c r="C513" s="232">
        <v>229004</v>
      </c>
      <c r="D513" s="561" t="s">
        <v>1566</v>
      </c>
      <c r="E513" s="232">
        <v>1800</v>
      </c>
      <c r="F513" s="560" t="s">
        <v>1993</v>
      </c>
      <c r="G513" s="561" t="s">
        <v>296</v>
      </c>
      <c r="H513" s="232">
        <v>180</v>
      </c>
      <c r="I513" s="232">
        <v>3</v>
      </c>
      <c r="J513" s="511" t="str">
        <f t="shared" si="11"/>
        <v>T-AUS, SUM22-Q1,  #229004, (INDIGO) Qty: 1800, FAB: TBA, DEL: 6-Jul(?), Peak Tgt: 180, BU-3</v>
      </c>
    </row>
    <row r="514" spans="1:10" x14ac:dyDescent="0.3">
      <c r="A514" s="233" t="s">
        <v>435</v>
      </c>
      <c r="B514" s="494" t="s">
        <v>1836</v>
      </c>
      <c r="C514" s="232">
        <v>224544</v>
      </c>
      <c r="D514" s="561" t="s">
        <v>428</v>
      </c>
      <c r="E514" s="232">
        <v>7400</v>
      </c>
      <c r="F514" s="560" t="s">
        <v>1996</v>
      </c>
      <c r="G514" s="561" t="s">
        <v>296</v>
      </c>
      <c r="H514" s="232">
        <v>180</v>
      </c>
      <c r="I514" s="232">
        <v>3</v>
      </c>
      <c r="J514" s="511" t="str">
        <f t="shared" si="11"/>
        <v>T-AUS, SUM22-Q1,  #224544, (Black) Qty: 7400, FAB: TBA, DEL: 2-May/5000, 24-Jun/800, Peak Tgt: 180, BU-3</v>
      </c>
    </row>
    <row r="515" spans="1:10" x14ac:dyDescent="0.3">
      <c r="A515" s="233" t="s">
        <v>435</v>
      </c>
      <c r="B515" s="494" t="s">
        <v>1836</v>
      </c>
      <c r="C515" s="232">
        <v>224549</v>
      </c>
      <c r="D515" s="561" t="s">
        <v>296</v>
      </c>
      <c r="E515" s="232">
        <v>4200</v>
      </c>
      <c r="F515" s="562" t="s">
        <v>1995</v>
      </c>
      <c r="G515" s="561" t="s">
        <v>296</v>
      </c>
      <c r="H515" s="232">
        <v>180</v>
      </c>
      <c r="I515" s="232">
        <v>3</v>
      </c>
      <c r="J515" s="511" t="str">
        <f t="shared" si="11"/>
        <v>T-AUS, SUM22-Q1,  #224549, (TBA) Qty: 4200, FAB: TBA, DEL: 4-Jul/2600, 19-Aug/800, Peak Tgt: 180, BU-3</v>
      </c>
    </row>
    <row r="516" spans="1:10" x14ac:dyDescent="0.3">
      <c r="A516" s="233" t="s">
        <v>435</v>
      </c>
      <c r="B516" s="494" t="s">
        <v>1836</v>
      </c>
      <c r="C516" s="232">
        <v>224550</v>
      </c>
      <c r="D516" s="561" t="s">
        <v>296</v>
      </c>
      <c r="E516" s="232">
        <v>4200</v>
      </c>
      <c r="F516" s="562" t="s">
        <v>1995</v>
      </c>
      <c r="G516" s="561" t="s">
        <v>296</v>
      </c>
      <c r="H516" s="232">
        <v>180</v>
      </c>
      <c r="I516" s="232">
        <v>3</v>
      </c>
      <c r="J516" s="511" t="str">
        <f t="shared" si="11"/>
        <v>T-AUS, SUM22-Q1,  #224550, (TBA) Qty: 4200, FAB: TBA, DEL: 4-Jul/2600, 19-Aug/800, Peak Tgt: 180, BU-3</v>
      </c>
    </row>
    <row r="517" spans="1:10" x14ac:dyDescent="0.3">
      <c r="A517" s="233" t="s">
        <v>435</v>
      </c>
      <c r="B517" s="494" t="s">
        <v>1836</v>
      </c>
      <c r="C517" s="232">
        <v>224572</v>
      </c>
      <c r="D517" s="561" t="s">
        <v>731</v>
      </c>
      <c r="E517" s="232">
        <v>4600</v>
      </c>
      <c r="F517" s="562" t="s">
        <v>1997</v>
      </c>
      <c r="G517" s="561" t="s">
        <v>296</v>
      </c>
      <c r="H517" s="232">
        <v>180</v>
      </c>
      <c r="I517" s="232">
        <v>3</v>
      </c>
      <c r="J517" s="511" t="str">
        <f t="shared" si="11"/>
        <v>T-AUS, SUM22-Q1,  #224572, (BLACK) Qty: 4600, FAB: TBA, DEL: 4-Jul/2600, 1-Aug/500, Peak Tgt: 180, BU-3</v>
      </c>
    </row>
    <row r="518" spans="1:10" x14ac:dyDescent="0.3">
      <c r="A518" s="233" t="s">
        <v>435</v>
      </c>
      <c r="B518" s="494" t="s">
        <v>1836</v>
      </c>
      <c r="C518" s="232">
        <v>224652</v>
      </c>
      <c r="D518" s="561" t="s">
        <v>1998</v>
      </c>
      <c r="E518" s="232">
        <v>4200</v>
      </c>
      <c r="F518" s="562" t="s">
        <v>1999</v>
      </c>
      <c r="G518" s="561" t="s">
        <v>296</v>
      </c>
      <c r="H518" s="232">
        <v>180</v>
      </c>
      <c r="I518" s="232">
        <v>3</v>
      </c>
      <c r="J518" s="511" t="str">
        <f t="shared" si="11"/>
        <v>T-AUS, SUM22-Q1,  #224652, (L BLUE) Qty: 4200, FAB: TBA, DEL: 4-Jul/2600, 1-Aug/400, Peak Tgt: 180, BU-3</v>
      </c>
    </row>
    <row r="520" spans="1:10" x14ac:dyDescent="0.3">
      <c r="A520" s="233" t="s">
        <v>583</v>
      </c>
      <c r="B520" s="428" t="s">
        <v>1258</v>
      </c>
      <c r="C520" s="232">
        <v>3162030</v>
      </c>
      <c r="D520" s="232" t="s">
        <v>967</v>
      </c>
      <c r="E520" s="515">
        <v>8600</v>
      </c>
      <c r="F520" s="563" t="s">
        <v>1875</v>
      </c>
      <c r="G520" s="564" t="s">
        <v>296</v>
      </c>
      <c r="H520" s="232">
        <v>160</v>
      </c>
      <c r="I520" s="232">
        <v>4</v>
      </c>
      <c r="J520" s="511" t="str">
        <f t="shared" si="11"/>
        <v>KONTOOR, Fall21,  #3162030, (Distance) Qty: 8600, FAB: TBA, DEL: 5-Jun, Peak Tgt: 160, BU-4</v>
      </c>
    </row>
    <row r="521" spans="1:10" x14ac:dyDescent="0.3">
      <c r="A521" s="233" t="s">
        <v>583</v>
      </c>
      <c r="B521" s="428" t="s">
        <v>1258</v>
      </c>
      <c r="C521" s="232">
        <v>3162043</v>
      </c>
      <c r="D521" s="232" t="s">
        <v>2002</v>
      </c>
      <c r="E521" s="515">
        <v>9280</v>
      </c>
      <c r="F521" s="563" t="s">
        <v>1875</v>
      </c>
      <c r="G521" s="564" t="s">
        <v>296</v>
      </c>
      <c r="H521" s="232">
        <v>160</v>
      </c>
      <c r="I521" s="232">
        <v>4</v>
      </c>
      <c r="J521" s="511" t="str">
        <f t="shared" si="11"/>
        <v>KONTOOR, Fall21,  #3162043, (Lead Grey) Qty: 9280, FAB: TBA, DEL: 5-Jun, Peak Tgt: 160, BU-4</v>
      </c>
    </row>
    <row r="522" spans="1:10" x14ac:dyDescent="0.3">
      <c r="A522" s="233" t="s">
        <v>583</v>
      </c>
      <c r="B522" s="428" t="s">
        <v>1258</v>
      </c>
      <c r="C522" s="232">
        <v>2162030</v>
      </c>
      <c r="D522" s="232" t="s">
        <v>967</v>
      </c>
      <c r="E522" s="515">
        <v>3000</v>
      </c>
      <c r="F522" s="563" t="s">
        <v>1984</v>
      </c>
      <c r="G522" s="564" t="s">
        <v>296</v>
      </c>
      <c r="H522" s="232">
        <v>160</v>
      </c>
      <c r="I522" s="232">
        <v>4</v>
      </c>
      <c r="J522" s="511" t="str">
        <f t="shared" si="11"/>
        <v>KONTOOR, Fall21,  #2162030, (Distance) Qty: 3000, FAB: TBA, DEL: 26-Jun, Peak Tgt: 160, BU-4</v>
      </c>
    </row>
    <row r="523" spans="1:10" x14ac:dyDescent="0.3">
      <c r="A523" s="233" t="s">
        <v>583</v>
      </c>
      <c r="B523" s="428" t="s">
        <v>1258</v>
      </c>
      <c r="C523" s="232">
        <v>2161543</v>
      </c>
      <c r="D523" s="232" t="s">
        <v>2003</v>
      </c>
      <c r="E523" s="515">
        <v>5600</v>
      </c>
      <c r="F523" s="563" t="s">
        <v>1984</v>
      </c>
      <c r="G523" s="564" t="s">
        <v>296</v>
      </c>
      <c r="H523" s="232">
        <v>160</v>
      </c>
      <c r="I523" s="232">
        <v>4</v>
      </c>
      <c r="J523" s="511" t="str">
        <f t="shared" si="11"/>
        <v>KONTOOR, Fall21,  #2161543, (Grey) Qty: 5600, FAB: TBA, DEL: 26-Jun, Peak Tgt: 160, BU-4</v>
      </c>
    </row>
    <row r="524" spans="1:10" x14ac:dyDescent="0.3">
      <c r="A524" s="233" t="s">
        <v>583</v>
      </c>
      <c r="B524" s="428" t="s">
        <v>1258</v>
      </c>
      <c r="C524" s="232">
        <v>3162030</v>
      </c>
      <c r="D524" s="232" t="s">
        <v>967</v>
      </c>
      <c r="E524" s="515">
        <v>3000</v>
      </c>
      <c r="F524" s="563" t="s">
        <v>1984</v>
      </c>
      <c r="G524" s="564" t="s">
        <v>296</v>
      </c>
      <c r="H524" s="232">
        <v>160</v>
      </c>
      <c r="I524" s="232">
        <v>4</v>
      </c>
      <c r="J524" s="511" t="str">
        <f t="shared" si="11"/>
        <v>KONTOOR, Fall21,  #3162030, (Distance) Qty: 3000, FAB: TBA, DEL: 26-Jun, Peak Tgt: 160, BU-4</v>
      </c>
    </row>
    <row r="525" spans="1:10" x14ac:dyDescent="0.3">
      <c r="A525" s="233" t="s">
        <v>583</v>
      </c>
      <c r="B525" s="428" t="s">
        <v>1258</v>
      </c>
      <c r="C525" s="232">
        <v>3162043</v>
      </c>
      <c r="D525" s="232" t="s">
        <v>2002</v>
      </c>
      <c r="E525" s="515">
        <v>3000</v>
      </c>
      <c r="F525" s="563" t="s">
        <v>1984</v>
      </c>
      <c r="G525" s="564" t="s">
        <v>296</v>
      </c>
      <c r="H525" s="232">
        <v>160</v>
      </c>
      <c r="I525" s="232">
        <v>4</v>
      </c>
      <c r="J525" s="511" t="str">
        <f t="shared" si="11"/>
        <v>KONTOOR, Fall21,  #3162043, (Lead Grey) Qty: 3000, FAB: TBA, DEL: 26-Jun, Peak Tgt: 160, BU-4</v>
      </c>
    </row>
    <row r="527" spans="1:10" x14ac:dyDescent="0.3">
      <c r="A527" s="233" t="s">
        <v>583</v>
      </c>
      <c r="B527" s="428" t="s">
        <v>1258</v>
      </c>
      <c r="C527" s="232">
        <v>2018224</v>
      </c>
      <c r="D527" s="232" t="s">
        <v>665</v>
      </c>
      <c r="E527" s="232">
        <v>3000</v>
      </c>
      <c r="F527" s="566" t="s">
        <v>1875</v>
      </c>
      <c r="G527" s="564" t="s">
        <v>296</v>
      </c>
      <c r="H527" s="232">
        <v>160</v>
      </c>
      <c r="I527" s="232">
        <v>4</v>
      </c>
      <c r="J527" s="511" t="str">
        <f t="shared" si="11"/>
        <v>KONTOOR, Fall21,  #2018224, (Executive) Qty: 3000, FAB: TBA, DEL: 5-Jun, Peak Tgt: 160, BU-4</v>
      </c>
    </row>
    <row r="528" spans="1:10" x14ac:dyDescent="0.3">
      <c r="A528" s="233" t="s">
        <v>583</v>
      </c>
      <c r="B528" s="428" t="s">
        <v>1258</v>
      </c>
      <c r="C528" s="232">
        <v>2161543</v>
      </c>
      <c r="D528" s="232" t="s">
        <v>2003</v>
      </c>
      <c r="E528" s="232">
        <v>3000</v>
      </c>
      <c r="F528" s="566" t="s">
        <v>1867</v>
      </c>
      <c r="G528" s="564" t="s">
        <v>296</v>
      </c>
      <c r="H528" s="232">
        <v>160</v>
      </c>
      <c r="I528" s="232">
        <v>4</v>
      </c>
      <c r="J528" s="511" t="str">
        <f t="shared" si="11"/>
        <v>KONTOOR, Fall21,  #2161543, (Grey) Qty: 3000, FAB: TBA, DEL: 22-May, Peak Tgt: 160, BU-4</v>
      </c>
    </row>
  </sheetData>
  <dataValidations count="1">
    <dataValidation type="list" allowBlank="1" showInputMessage="1" showErrorMessage="1" sqref="A2:A24 A33:A41 A43:A438 A440:A473 A475:A484 A486:A494 A496:A518 A520:A525 A527:A528">
      <formula1>"KONTOOR, T-AUS, T-USA, GU, ZARA"</formula1>
    </dataValidation>
  </dataValidations>
  <pageMargins left="0.45" right="0.2" top="0.75" bottom="0.75" header="0.3" footer="0.3"/>
  <pageSetup scale="90" orientation="landscape" r:id="rId1"/>
  <headerFooter>
    <oddHeader>&amp;CT-Aus (Summer'21)&amp;R12-Jan-20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Columbia</vt:lpstr>
      <vt:lpstr>C2_22</vt:lpstr>
      <vt:lpstr>C321input</vt:lpstr>
      <vt:lpstr>OG</vt:lpstr>
      <vt:lpstr>Columbia!Print_Area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Rasel Mahbub</dc:creator>
  <cp:lastModifiedBy>Mominul</cp:lastModifiedBy>
  <cp:lastPrinted>2020-01-28T09:02:03Z</cp:lastPrinted>
  <dcterms:created xsi:type="dcterms:W3CDTF">2008-01-17T18:26:06Z</dcterms:created>
  <dcterms:modified xsi:type="dcterms:W3CDTF">2021-11-19T02:55:03Z</dcterms:modified>
</cp:coreProperties>
</file>