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Strip Info" sheetId="1" r:id="rId1"/>
    <sheet name="Planning Range" sheetId="2" r:id="rId2"/>
    <sheet name="Line Properties" sheetId="3" r:id="rId3"/>
    <sheet name="Style Propert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9" i="3" l="1"/>
  <c r="Y8" i="3"/>
  <c r="Y10" i="3" s="1"/>
  <c r="Y7" i="3"/>
  <c r="Z7" i="3"/>
  <c r="X8" i="3"/>
  <c r="Z8" i="3" s="1"/>
  <c r="X9" i="3"/>
  <c r="Z9" i="3" s="1"/>
  <c r="X7" i="3"/>
  <c r="V10" i="3"/>
  <c r="W10" i="3"/>
  <c r="U10" i="3"/>
  <c r="R10" i="3"/>
  <c r="C10" i="3"/>
  <c r="C11" i="3" s="1"/>
  <c r="C9" i="3"/>
  <c r="N8" i="3"/>
  <c r="I9" i="3"/>
  <c r="I10" i="3" s="1"/>
  <c r="I8" i="3"/>
  <c r="X5" i="4"/>
  <c r="X6" i="4"/>
  <c r="X7" i="4"/>
  <c r="X4" i="4"/>
  <c r="W5" i="4"/>
  <c r="W6" i="4"/>
  <c r="W7" i="4"/>
  <c r="W4" i="4"/>
  <c r="U4" i="4"/>
  <c r="U5" i="4"/>
  <c r="T6" i="4"/>
  <c r="T4" i="4"/>
  <c r="T5" i="4"/>
  <c r="O5" i="4"/>
  <c r="P5" i="4"/>
  <c r="Q5" i="4"/>
  <c r="R5" i="4"/>
  <c r="S5" i="4"/>
  <c r="O6" i="4"/>
  <c r="P6" i="4"/>
  <c r="Q6" i="4"/>
  <c r="R6" i="4"/>
  <c r="S6" i="4"/>
  <c r="O7" i="4"/>
  <c r="P7" i="4"/>
  <c r="Q7" i="4"/>
  <c r="R7" i="4"/>
  <c r="S7" i="4"/>
  <c r="P4" i="4"/>
  <c r="Q4" i="4"/>
  <c r="R4" i="4"/>
  <c r="S4" i="4"/>
  <c r="O4" i="4"/>
  <c r="F15" i="2"/>
  <c r="F16" i="2" s="1"/>
  <c r="F17" i="2" s="1"/>
  <c r="F6" i="2"/>
  <c r="F14" i="2"/>
  <c r="X10" i="3" l="1"/>
  <c r="Z10" i="3" s="1"/>
  <c r="F3" i="2" l="1"/>
  <c r="E3" i="2"/>
  <c r="J9" i="1"/>
  <c r="J7" i="1"/>
  <c r="J5" i="1" l="1"/>
  <c r="J3" i="1" l="1"/>
</calcChain>
</file>

<file path=xl/sharedStrings.xml><?xml version="1.0" encoding="utf-8"?>
<sst xmlns="http://schemas.openxmlformats.org/spreadsheetml/2006/main" count="179" uniqueCount="121">
  <si>
    <t>Buyer</t>
  </si>
  <si>
    <t>Season</t>
  </si>
  <si>
    <t>Wash Name/Color</t>
  </si>
  <si>
    <t>Ex Factory Date</t>
  </si>
  <si>
    <t>Style no/PID</t>
  </si>
  <si>
    <t>Quantity</t>
  </si>
  <si>
    <t>Dept</t>
  </si>
  <si>
    <t>W22/S22</t>
  </si>
  <si>
    <t>Target Aystralia</t>
  </si>
  <si>
    <t>Ladies/Mens</t>
  </si>
  <si>
    <t>DARK BLUE</t>
  </si>
  <si>
    <t>T-Aus</t>
  </si>
  <si>
    <t>LD/MN</t>
  </si>
  <si>
    <t>Target USA</t>
  </si>
  <si>
    <t>BB/ITB/MN</t>
  </si>
  <si>
    <t>9WEY8</t>
  </si>
  <si>
    <t>HILTOP</t>
  </si>
  <si>
    <t>C122</t>
  </si>
  <si>
    <t>T-USA</t>
  </si>
  <si>
    <t>Big Boyes /ITB /Mens</t>
  </si>
  <si>
    <t>Winter/Summer</t>
  </si>
  <si>
    <t>C1/C2/C3/C4</t>
  </si>
  <si>
    <t>Summer Spring/ Fall Winter</t>
  </si>
  <si>
    <t>SS22/FW22</t>
  </si>
  <si>
    <t>Kontoor</t>
  </si>
  <si>
    <t>KB</t>
  </si>
  <si>
    <t>TBA</t>
  </si>
  <si>
    <t>103408928</t>
  </si>
  <si>
    <t>RENEGADE</t>
  </si>
  <si>
    <t>450025755000100</t>
  </si>
  <si>
    <t>GU</t>
  </si>
  <si>
    <t>Kids/Mens</t>
  </si>
  <si>
    <t>KD/MN</t>
  </si>
  <si>
    <t>60121H001A</t>
  </si>
  <si>
    <t>P6021-329799-001</t>
  </si>
  <si>
    <t>#60</t>
  </si>
  <si>
    <t>Fabric In-house</t>
  </si>
  <si>
    <t>Order Sewing Start date depends on</t>
  </si>
  <si>
    <t>Sewing Accessories In-house</t>
  </si>
  <si>
    <t>Sample Approval</t>
  </si>
  <si>
    <t>Ivents</t>
  </si>
  <si>
    <t>Data Type</t>
  </si>
  <si>
    <t>Criteria</t>
  </si>
  <si>
    <t>Date</t>
  </si>
  <si>
    <t>Last date among these 3 events</t>
  </si>
  <si>
    <t>Pre-production</t>
  </si>
  <si>
    <t>Add with previous event</t>
  </si>
  <si>
    <t>Result</t>
  </si>
  <si>
    <t>no of working days</t>
  </si>
  <si>
    <t>Ex factory Date</t>
  </si>
  <si>
    <t xml:space="preserve">Sewing Close to Wash Close </t>
  </si>
  <si>
    <t>Inspection to Ex factory</t>
  </si>
  <si>
    <t>Wash close to Inspection</t>
  </si>
  <si>
    <t>From Order Recap</t>
  </si>
  <si>
    <t>Subtract from previous event</t>
  </si>
  <si>
    <t>List of holidays</t>
  </si>
  <si>
    <t>No of Manpower</t>
  </si>
  <si>
    <t>Line efficiency</t>
  </si>
  <si>
    <t>Product Type</t>
  </si>
  <si>
    <t>Basic</t>
  </si>
  <si>
    <t>Build up day</t>
  </si>
  <si>
    <t>Medium</t>
  </si>
  <si>
    <t>Critical</t>
  </si>
  <si>
    <t>Very Critical</t>
  </si>
  <si>
    <t>No Changeover/SMED</t>
  </si>
  <si>
    <t>Very Basic</t>
  </si>
  <si>
    <t>Selected option for planning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</si>
  <si>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</si>
  <si>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</si>
  <si>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</si>
  <si>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</si>
  <si>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</si>
  <si>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</si>
  <si>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</si>
  <si>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</si>
  <si>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 xml:space="preserve">55 Hr Production </t>
  </si>
  <si>
    <t>Average/Hr</t>
  </si>
  <si>
    <t>Why in Hr based build up instead of day  based?</t>
  </si>
  <si>
    <t>Day 1
0-10Hr</t>
  </si>
  <si>
    <t>Day 2
11-20Hr</t>
  </si>
  <si>
    <t>Day 3
21-30Hr</t>
  </si>
  <si>
    <t>Day 4
31-40Hr</t>
  </si>
  <si>
    <t>Day 5
41-50Hr</t>
  </si>
  <si>
    <t>Day 6
51-60Hr</t>
  </si>
  <si>
    <t>Day 7
61-70Hr</t>
  </si>
  <si>
    <t>Day 8
71-80Hr</t>
  </si>
  <si>
    <t>Input</t>
  </si>
  <si>
    <t>Output</t>
  </si>
  <si>
    <t>SMV</t>
  </si>
  <si>
    <t>Fomula</t>
  </si>
  <si>
    <t>Available Mins per Hour</t>
  </si>
  <si>
    <t>Productivity per hour</t>
  </si>
  <si>
    <t>Produced Mins per Hour</t>
  </si>
  <si>
    <t>Efficiency</t>
  </si>
  <si>
    <t>Formula</t>
  </si>
  <si>
    <t>I3*60</t>
  </si>
  <si>
    <t>I3*60*I4</t>
  </si>
  <si>
    <t>ROUND(I7/I2,0)</t>
  </si>
  <si>
    <t>ROUND(C8/C2,0)</t>
  </si>
  <si>
    <t>Line</t>
  </si>
  <si>
    <t>Style</t>
  </si>
  <si>
    <t>Efficiency Back Calculation</t>
  </si>
  <si>
    <t>Monthly Efficiency</t>
  </si>
  <si>
    <t>Available Minutes per Day</t>
  </si>
  <si>
    <t>Produced Minutes per Day</t>
  </si>
  <si>
    <t>Productivity per Day</t>
  </si>
  <si>
    <t>Working hours Per day</t>
  </si>
  <si>
    <t>C2*C3*60</t>
  </si>
  <si>
    <t>C2*C3*C4*60</t>
  </si>
  <si>
    <t>Day</t>
  </si>
  <si>
    <t>Working Hr</t>
  </si>
  <si>
    <t>Line No</t>
  </si>
  <si>
    <t>Style-1</t>
  </si>
  <si>
    <t>Style-2</t>
  </si>
  <si>
    <t>Style-3</t>
  </si>
  <si>
    <t>Man Poewr</t>
  </si>
  <si>
    <t>Sum (Style wise SMV * quantity)/Total available Minute</t>
  </si>
  <si>
    <t>Produced Minutes</t>
  </si>
  <si>
    <t>Available Minutes</t>
  </si>
  <si>
    <t>Plan Total</t>
  </si>
  <si>
    <t>PO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</si>
</sst>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&quot; Hr&quot;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quotePrefix="1"/>
    <xf numFmtId="0" fontId="0" fillId="0" borderId="2" xfId="0" applyBorder="1"/>
    <xf numFmtId="9" fontId="0" fillId="0" borderId="2" xfId="0" applyNumberFormat="1" applyBorder="1"/>
    <xf numFmtId="9" fontId="0" fillId="0" borderId="2" xfId="0" applyNumberFormat="1" applyFill="1" applyBorder="1"/>
    <xf numFmtId="9" fontId="0" fillId="3" borderId="2" xfId="0" applyNumberFormat="1" applyFill="1" applyBorder="1"/>
    <xf numFmtId="0" fontId="2" fillId="3" borderId="2" xfId="0" applyFont="1" applyFill="1" applyBorder="1"/>
    <xf numFmtId="165" fontId="0" fillId="0" borderId="2" xfId="0" applyNumberFormat="1" applyBorder="1"/>
    <xf numFmtId="0" fontId="0" fillId="0" borderId="2" xfId="0" applyNumberFormat="1" applyBorder="1"/>
    <xf numFmtId="164" fontId="0" fillId="0" borderId="2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9" fontId="0" fillId="0" borderId="3" xfId="0" applyNumberFormat="1" applyBorder="1"/>
    <xf numFmtId="0" fontId="0" fillId="0" borderId="2" xfId="0" quotePrefix="1" applyBorder="1"/>
    <xf numFmtId="0" fontId="0" fillId="0" borderId="1" xfId="0" applyBorder="1"/>
    <xf numFmtId="166" fontId="0" fillId="0" borderId="2" xfId="0" applyNumberFormat="1" applyBorder="1"/>
    <xf numFmtId="166" fontId="0" fillId="0" borderId="2" xfId="1" applyNumberFormat="1" applyFont="1" applyBorder="1"/>
    <xf numFmtId="0" fontId="2" fillId="0" borderId="2" xfId="0" applyFont="1" applyBorder="1"/>
    <xf numFmtId="16" fontId="0" fillId="0" borderId="2" xfId="0" applyNumberFormat="1" applyBorder="1"/>
    <xf numFmtId="0" fontId="0" fillId="0" borderId="2" xfId="0" applyBorder="1" applyAlignment="1">
      <alignment horizontal="center"/>
    </xf>
    <xf numFmtId="16" fontId="0" fillId="2" borderId="2" xfId="0" applyNumberFormat="1" applyFill="1" applyBorder="1"/>
    <xf numFmtId="14" fontId="0" fillId="0" borderId="2" xfId="0" applyNumberFormat="1" applyBorder="1"/>
    <xf numFmtId="0" fontId="0" fillId="0" borderId="2" xfId="0" applyBorder="1" applyAlignment="1">
      <alignment horizontal="center" wrapText="1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701040</xdr:colOff>
      <xdr:row>5</xdr:row>
      <xdr:rowOff>106680</xdr:rowOff>
    </xdr:from>
    <xdr:to>
      <xdr:col>19</xdr:col>
      <xdr:colOff>822960</xdr:colOff>
      <xdr:row>5</xdr:row>
      <xdr:rowOff>106680</xdr:rowOff>
    </xdr:to>
    <xdr:cxnSp macro="">
      <xdr:nvCxnSpPr>
        <xdr:cNvPr id="4" name="Straight Arrow Connector 3"/>
        <xdr:cNvCxnSpPr/>
      </xdr:nvCxnSpPr>
      <xdr:spPr>
        <a:xfrm>
          <a:off x="13525500" y="1021080"/>
          <a:ext cx="1219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297180</xdr:colOff>
      <xdr:row>4</xdr:row>
      <xdr:rowOff>106680</xdr:rowOff>
    </xdr:from>
    <xdr:to>
      <xdr:col>19</xdr:col>
      <xdr:colOff>419100</xdr:colOff>
      <xdr:row>4</xdr:row>
      <xdr:rowOff>106680</xdr:rowOff>
    </xdr:to>
    <xdr:cxnSp macro="">
      <xdr:nvCxnSpPr>
        <xdr:cNvPr id="7" name="Straight Arrow Connector 6"/>
        <xdr:cNvCxnSpPr/>
      </xdr:nvCxnSpPr>
      <xdr:spPr>
        <a:xfrm>
          <a:off x="13121640" y="838200"/>
          <a:ext cx="1219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9" sqref="J9"/>
    </sheetView>
  </sheetViews>
  <sheetFormatPr defaultRowHeight="14.4" x14ac:dyDescent="0.3"/>
  <cols>
    <col min="1" max="1" width="11.5546875" style="28" customWidth="1"/>
    <col min="2" max="2" width="23.33203125" bestFit="1" customWidth="1"/>
    <col min="3" max="3" width="13.77734375" bestFit="1" customWidth="1"/>
    <col min="4" max="4" width="18.5546875" bestFit="1" customWidth="1"/>
    <col min="5" max="5" width="11.33203125" bestFit="1" customWidth="1"/>
    <col min="6" max="6" width="16.21875" bestFit="1" customWidth="1"/>
    <col min="7" max="7" width="17.109375" customWidth="1"/>
    <col min="8" max="8" width="13.88671875" bestFit="1" customWidth="1"/>
    <col min="9" max="9" width="8" bestFit="1" customWidth="1"/>
  </cols>
  <sheetData>
    <row r="1" spans="1:10" s="1" customFormat="1" x14ac:dyDescent="0.3">
      <c r="A1" s="29"/>
      <c r="B1" s="22" t="s">
        <v>1</v>
      </c>
      <c r="C1" s="22" t="s">
        <v>0</v>
      </c>
      <c r="D1" s="22" t="s">
        <v>6</v>
      </c>
      <c r="E1" s="22" t="s">
        <v>4</v>
      </c>
      <c r="F1" s="22" t="s">
        <v>2</v>
      </c>
      <c r="G1" s="22" t="s">
        <v>120</v>
      </c>
      <c r="H1" s="22" t="s">
        <v>3</v>
      </c>
      <c r="I1" s="22" t="s">
        <v>5</v>
      </c>
    </row>
    <row r="2" spans="1:10" x14ac:dyDescent="0.3">
      <c r="A2" s="30" t="s">
        <v>8</v>
      </c>
      <c r="B2" s="4" t="s">
        <v>20</v>
      </c>
      <c r="C2" s="4" t="s">
        <v>8</v>
      </c>
      <c r="D2" s="4" t="s">
        <v>9</v>
      </c>
      <c r="E2" s="4">
        <v>4150189204</v>
      </c>
      <c r="F2" s="4" t="s">
        <v>10</v>
      </c>
      <c r="G2" s="4">
        <v>2148209</v>
      </c>
      <c r="H2" s="24">
        <v>44560</v>
      </c>
      <c r="I2" s="4">
        <v>1001</v>
      </c>
    </row>
    <row r="3" spans="1:10" x14ac:dyDescent="0.3">
      <c r="A3" s="30"/>
      <c r="B3" s="4" t="s">
        <v>7</v>
      </c>
      <c r="C3" s="4" t="s">
        <v>11</v>
      </c>
      <c r="D3" s="4" t="s">
        <v>12</v>
      </c>
      <c r="E3" s="4">
        <v>4150189204</v>
      </c>
      <c r="F3" s="4" t="s">
        <v>10</v>
      </c>
      <c r="G3" s="4">
        <v>2148209</v>
      </c>
      <c r="H3" s="4">
        <v>123021</v>
      </c>
      <c r="I3" s="4">
        <v>1001</v>
      </c>
      <c r="J3" t="str">
        <f>B3&amp;"::"&amp;C3&amp;"::"&amp;D3&amp;"::"&amp;E3&amp;"::"&amp;F3&amp;"::"&amp;G3&amp;"::"&amp;H3&amp;"::"&amp;I3</f>
        <v>W22/S22::T-Aus::LD/MN::4150189204::DARK BLUE::2148209::123021::1001</v>
      </c>
    </row>
    <row r="4" spans="1:10" x14ac:dyDescent="0.3">
      <c r="A4" s="30" t="s">
        <v>13</v>
      </c>
      <c r="B4" s="4" t="s">
        <v>21</v>
      </c>
      <c r="C4" s="4" t="s">
        <v>13</v>
      </c>
      <c r="D4" s="4" t="s">
        <v>19</v>
      </c>
      <c r="E4" s="4" t="s">
        <v>15</v>
      </c>
      <c r="F4" s="4" t="s">
        <v>16</v>
      </c>
      <c r="G4" s="4">
        <v>8905067</v>
      </c>
      <c r="H4" s="24">
        <v>44558</v>
      </c>
      <c r="I4" s="4">
        <v>16875</v>
      </c>
    </row>
    <row r="5" spans="1:10" x14ac:dyDescent="0.3">
      <c r="A5" s="30"/>
      <c r="B5" s="4" t="s">
        <v>17</v>
      </c>
      <c r="C5" s="4" t="s">
        <v>18</v>
      </c>
      <c r="D5" s="4" t="s">
        <v>14</v>
      </c>
      <c r="E5" s="4" t="s">
        <v>15</v>
      </c>
      <c r="F5" s="4" t="s">
        <v>16</v>
      </c>
      <c r="G5" s="4">
        <v>8905067</v>
      </c>
      <c r="H5" s="4">
        <v>122821</v>
      </c>
      <c r="I5" s="4">
        <v>16875</v>
      </c>
      <c r="J5" t="str">
        <f>B5&amp;"::"&amp;C5&amp;"::"&amp;D5&amp;"::"&amp;E5&amp;"::"&amp;F5&amp;"::"&amp;G5&amp;"::"&amp;H5&amp;"::"&amp;I5</f>
        <v>C122::T-USA::BB/ITB/MN::9WEY8::HILTOP::8905067::122821::16875</v>
      </c>
    </row>
    <row r="6" spans="1:10" x14ac:dyDescent="0.3">
      <c r="A6" s="30" t="s">
        <v>24</v>
      </c>
      <c r="B6" s="4" t="s">
        <v>22</v>
      </c>
      <c r="C6" s="4" t="s">
        <v>24</v>
      </c>
      <c r="D6" s="4" t="s">
        <v>26</v>
      </c>
      <c r="E6" s="4" t="s">
        <v>27</v>
      </c>
      <c r="F6" s="4" t="s">
        <v>28</v>
      </c>
      <c r="G6" s="16" t="s">
        <v>29</v>
      </c>
      <c r="H6" s="24">
        <v>44613</v>
      </c>
      <c r="I6" s="4">
        <v>3000</v>
      </c>
    </row>
    <row r="7" spans="1:10" x14ac:dyDescent="0.3">
      <c r="A7" s="30"/>
      <c r="B7" s="4" t="s">
        <v>23</v>
      </c>
      <c r="C7" s="4" t="s">
        <v>25</v>
      </c>
      <c r="D7" s="4" t="s">
        <v>26</v>
      </c>
      <c r="E7" s="4" t="s">
        <v>27</v>
      </c>
      <c r="F7" s="4" t="s">
        <v>28</v>
      </c>
      <c r="G7" s="16" t="s">
        <v>29</v>
      </c>
      <c r="H7" s="4">
        <v>22122</v>
      </c>
      <c r="I7" s="4">
        <v>3000</v>
      </c>
      <c r="J7" t="str">
        <f>B7&amp;"::"&amp;C7&amp;"::"&amp;D7&amp;"::"&amp;E7&amp;"::"&amp;F7&amp;"::"&amp;G7&amp;"::"&amp;H7&amp;"::"&amp;I7</f>
        <v>SS22/FW22::KB::TBA::103408928::RENEGADE::450025755000100::22122::3000</v>
      </c>
    </row>
    <row r="8" spans="1:10" x14ac:dyDescent="0.3">
      <c r="A8" s="30" t="s">
        <v>30</v>
      </c>
      <c r="B8" s="4" t="s">
        <v>22</v>
      </c>
      <c r="C8" s="4" t="s">
        <v>30</v>
      </c>
      <c r="D8" s="4" t="s">
        <v>31</v>
      </c>
      <c r="E8" s="4" t="s">
        <v>33</v>
      </c>
      <c r="F8" s="4" t="s">
        <v>35</v>
      </c>
      <c r="G8" s="4" t="s">
        <v>34</v>
      </c>
      <c r="H8" s="24">
        <v>44846</v>
      </c>
      <c r="I8" s="4">
        <v>5000</v>
      </c>
    </row>
    <row r="9" spans="1:10" x14ac:dyDescent="0.3">
      <c r="A9" s="30"/>
      <c r="B9" s="4" t="s">
        <v>23</v>
      </c>
      <c r="C9" s="4" t="s">
        <v>30</v>
      </c>
      <c r="D9" s="4" t="s">
        <v>32</v>
      </c>
      <c r="E9" s="4" t="s">
        <v>33</v>
      </c>
      <c r="F9" s="4" t="s">
        <v>35</v>
      </c>
      <c r="G9" s="4" t="s">
        <v>34</v>
      </c>
      <c r="H9" s="4">
        <v>101222</v>
      </c>
      <c r="I9" s="4">
        <v>5000</v>
      </c>
      <c r="J9" t="str">
        <f>B9&amp;"::"&amp;C9&amp;"::"&amp;D9&amp;"::"&amp;E9&amp;"::"&amp;F9&amp;"::"&amp;G9&amp;"::"&amp;H9&amp;"::"&amp;I9</f>
        <v>SS22/FW22::GU::KD/MN::60121H001A::#60::P6021-329799-001::101222::5000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C22" sqref="C22"/>
    </sheetView>
  </sheetViews>
  <sheetFormatPr defaultRowHeight="14.4" x14ac:dyDescent="0.3"/>
  <cols>
    <col min="1" max="1" width="31.77734375" bestFit="1" customWidth="1"/>
    <col min="2" max="2" width="16.44140625" bestFit="1" customWidth="1"/>
    <col min="3" max="3" width="27" bestFit="1" customWidth="1"/>
    <col min="4" max="4" width="11.77734375" customWidth="1"/>
    <col min="12" max="12" width="13.21875" bestFit="1" customWidth="1"/>
  </cols>
  <sheetData>
    <row r="1" spans="1:12" x14ac:dyDescent="0.3">
      <c r="A1" s="20" t="s">
        <v>37</v>
      </c>
      <c r="B1" s="20"/>
      <c r="C1" s="20"/>
      <c r="D1" s="20"/>
      <c r="E1" s="20"/>
      <c r="F1" s="20"/>
    </row>
    <row r="2" spans="1:12" x14ac:dyDescent="0.3">
      <c r="A2" s="4" t="s">
        <v>40</v>
      </c>
      <c r="B2" s="4" t="s">
        <v>41</v>
      </c>
      <c r="C2" s="4" t="s">
        <v>42</v>
      </c>
      <c r="D2" s="4" t="s">
        <v>41</v>
      </c>
      <c r="E2" s="4" t="s">
        <v>42</v>
      </c>
      <c r="F2" s="4" t="s">
        <v>47</v>
      </c>
    </row>
    <row r="3" spans="1:12" x14ac:dyDescent="0.3">
      <c r="A3" s="4" t="s">
        <v>36</v>
      </c>
      <c r="B3" s="4" t="s">
        <v>43</v>
      </c>
      <c r="C3" s="25" t="s">
        <v>44</v>
      </c>
      <c r="D3" s="21">
        <v>44510</v>
      </c>
      <c r="E3" s="26">
        <f>MAX(D3:D5)</f>
        <v>44515</v>
      </c>
      <c r="F3" s="26">
        <f>E3</f>
        <v>44515</v>
      </c>
    </row>
    <row r="4" spans="1:12" x14ac:dyDescent="0.3">
      <c r="A4" s="4" t="s">
        <v>38</v>
      </c>
      <c r="B4" s="4" t="s">
        <v>43</v>
      </c>
      <c r="C4" s="25"/>
      <c r="D4" s="21">
        <v>44515</v>
      </c>
      <c r="E4" s="27"/>
      <c r="F4" s="27"/>
      <c r="L4" s="4" t="s">
        <v>55</v>
      </c>
    </row>
    <row r="5" spans="1:12" x14ac:dyDescent="0.3">
      <c r="A5" s="4" t="s">
        <v>39</v>
      </c>
      <c r="B5" s="4" t="s">
        <v>43</v>
      </c>
      <c r="C5" s="25"/>
      <c r="D5" s="21">
        <v>44513</v>
      </c>
      <c r="E5" s="27"/>
      <c r="F5" s="27"/>
      <c r="L5" s="24">
        <v>44546</v>
      </c>
    </row>
    <row r="6" spans="1:12" x14ac:dyDescent="0.3">
      <c r="A6" s="4" t="s">
        <v>45</v>
      </c>
      <c r="B6" s="4" t="s">
        <v>48</v>
      </c>
      <c r="C6" s="4" t="s">
        <v>46</v>
      </c>
      <c r="D6" s="10">
        <v>7</v>
      </c>
      <c r="E6" s="4"/>
      <c r="F6" s="23">
        <f>WORKDAY.INTL(F3,D6,16,L5:L17)</f>
        <v>44523</v>
      </c>
      <c r="L6" s="24">
        <v>44613</v>
      </c>
    </row>
    <row r="7" spans="1:12" x14ac:dyDescent="0.3">
      <c r="L7" s="24">
        <v>44646</v>
      </c>
    </row>
    <row r="8" spans="1:12" x14ac:dyDescent="0.3">
      <c r="L8" s="24">
        <v>44665</v>
      </c>
    </row>
    <row r="9" spans="1:12" x14ac:dyDescent="0.3">
      <c r="L9" s="24">
        <v>44682</v>
      </c>
    </row>
    <row r="10" spans="1:12" x14ac:dyDescent="0.3">
      <c r="L10" s="24">
        <v>44683</v>
      </c>
    </row>
    <row r="11" spans="1:12" x14ac:dyDescent="0.3">
      <c r="L11" s="24">
        <v>44684</v>
      </c>
    </row>
    <row r="12" spans="1:12" x14ac:dyDescent="0.3">
      <c r="A12" s="20" t="s">
        <v>37</v>
      </c>
      <c r="B12" s="4"/>
      <c r="C12" s="4"/>
      <c r="D12" s="4"/>
      <c r="E12" s="4"/>
      <c r="F12" s="4"/>
      <c r="L12" s="24">
        <v>44685</v>
      </c>
    </row>
    <row r="13" spans="1:12" x14ac:dyDescent="0.3">
      <c r="A13" s="4" t="s">
        <v>40</v>
      </c>
      <c r="B13" s="4" t="s">
        <v>41</v>
      </c>
      <c r="C13" s="4" t="s">
        <v>42</v>
      </c>
      <c r="D13" s="4" t="s">
        <v>41</v>
      </c>
      <c r="E13" s="4" t="s">
        <v>42</v>
      </c>
      <c r="F13" s="4" t="s">
        <v>47</v>
      </c>
      <c r="L13" s="24">
        <v>44686</v>
      </c>
    </row>
    <row r="14" spans="1:12" x14ac:dyDescent="0.3">
      <c r="A14" s="4" t="s">
        <v>49</v>
      </c>
      <c r="B14" s="4" t="s">
        <v>43</v>
      </c>
      <c r="C14" s="4" t="s">
        <v>53</v>
      </c>
      <c r="D14" s="21">
        <v>44550</v>
      </c>
      <c r="E14" s="4"/>
      <c r="F14" s="21">
        <f>D14</f>
        <v>44550</v>
      </c>
      <c r="L14" s="24">
        <v>44687</v>
      </c>
    </row>
    <row r="15" spans="1:12" x14ac:dyDescent="0.3">
      <c r="A15" s="4" t="s">
        <v>51</v>
      </c>
      <c r="B15" s="4" t="s">
        <v>48</v>
      </c>
      <c r="C15" s="4" t="s">
        <v>54</v>
      </c>
      <c r="D15" s="4">
        <v>-2</v>
      </c>
      <c r="E15" s="4"/>
      <c r="F15" s="21">
        <f>WORKDAY.INTL(F14,D15,16,$L$5:$L$27)</f>
        <v>44548</v>
      </c>
      <c r="L15" s="24">
        <v>44688</v>
      </c>
    </row>
    <row r="16" spans="1:12" x14ac:dyDescent="0.3">
      <c r="A16" s="4" t="s">
        <v>52</v>
      </c>
      <c r="B16" s="4" t="s">
        <v>48</v>
      </c>
      <c r="C16" s="4" t="s">
        <v>54</v>
      </c>
      <c r="D16" s="4">
        <v>-2</v>
      </c>
      <c r="E16" s="4"/>
      <c r="F16" s="21">
        <f t="shared" ref="F16:F17" si="0">WORKDAY.INTL(F15,D16,16,$L$5:$L$27)</f>
        <v>44544</v>
      </c>
      <c r="L16" s="24">
        <v>44689</v>
      </c>
    </row>
    <row r="17" spans="1:12" x14ac:dyDescent="0.3">
      <c r="A17" s="4" t="s">
        <v>50</v>
      </c>
      <c r="B17" s="4" t="s">
        <v>48</v>
      </c>
      <c r="C17" s="4" t="s">
        <v>54</v>
      </c>
      <c r="D17" s="4">
        <v>-4</v>
      </c>
      <c r="E17" s="4"/>
      <c r="F17" s="23">
        <f t="shared" si="0"/>
        <v>44539</v>
      </c>
      <c r="L17" s="24">
        <v>44690</v>
      </c>
    </row>
    <row r="18" spans="1:12" x14ac:dyDescent="0.3">
      <c r="L18" s="24">
        <v>44788</v>
      </c>
    </row>
    <row r="19" spans="1:12" x14ac:dyDescent="0.3">
      <c r="L19" s="2"/>
    </row>
  </sheetData>
  <mergeCells count="3">
    <mergeCell ref="C3:C5"/>
    <mergeCell ref="E3:E5"/>
    <mergeCell ref="F3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N8" sqref="N8"/>
    </sheetView>
  </sheetViews>
  <sheetFormatPr defaultRowHeight="14.4" x14ac:dyDescent="0.3"/>
  <cols>
    <col min="1" max="1" width="6.6640625" bestFit="1" customWidth="1"/>
    <col min="2" max="2" width="22" customWidth="1"/>
    <col min="3" max="3" width="7.21875" customWidth="1"/>
    <col min="4" max="4" width="15" bestFit="1" customWidth="1"/>
    <col min="5" max="6" width="1.77734375" customWidth="1"/>
    <col min="7" max="7" width="6.6640625" bestFit="1" customWidth="1"/>
    <col min="8" max="8" width="20.77734375" bestFit="1" customWidth="1"/>
    <col min="9" max="9" width="5" bestFit="1" customWidth="1"/>
    <col min="10" max="10" width="13.88671875" bestFit="1" customWidth="1"/>
    <col min="13" max="13" width="22.77734375" customWidth="1"/>
    <col min="17" max="17" width="10.109375" bestFit="1" customWidth="1"/>
    <col min="18" max="18" width="10.33203125" bestFit="1" customWidth="1"/>
    <col min="19" max="19" width="6.88671875" customWidth="1"/>
    <col min="20" max="20" width="14.6640625" customWidth="1"/>
    <col min="24" max="24" width="15.77734375" bestFit="1" customWidth="1"/>
    <col min="25" max="25" width="15.44140625" bestFit="1" customWidth="1"/>
  </cols>
  <sheetData>
    <row r="1" spans="1:26" x14ac:dyDescent="0.3">
      <c r="A1" t="s">
        <v>99</v>
      </c>
      <c r="G1" t="s">
        <v>100</v>
      </c>
      <c r="L1" t="s">
        <v>101</v>
      </c>
      <c r="P1" t="s">
        <v>102</v>
      </c>
    </row>
    <row r="3" spans="1:26" x14ac:dyDescent="0.3">
      <c r="A3" s="4"/>
      <c r="B3" s="4"/>
      <c r="C3" s="4"/>
      <c r="D3" s="4" t="s">
        <v>89</v>
      </c>
      <c r="G3" s="4"/>
      <c r="H3" s="4"/>
      <c r="I3" s="4"/>
      <c r="J3" s="4" t="s">
        <v>94</v>
      </c>
      <c r="L3" s="4" t="s">
        <v>86</v>
      </c>
      <c r="M3" s="4" t="s">
        <v>91</v>
      </c>
      <c r="N3" s="4">
        <v>152</v>
      </c>
      <c r="P3" t="s">
        <v>116</v>
      </c>
    </row>
    <row r="4" spans="1:26" x14ac:dyDescent="0.3">
      <c r="A4" s="17" t="s">
        <v>86</v>
      </c>
      <c r="B4" s="17" t="s">
        <v>88</v>
      </c>
      <c r="C4" s="17">
        <v>18.3</v>
      </c>
      <c r="D4" s="4"/>
      <c r="G4" s="17" t="s">
        <v>86</v>
      </c>
      <c r="H4" s="17" t="s">
        <v>88</v>
      </c>
      <c r="I4" s="17">
        <v>18.3</v>
      </c>
      <c r="J4" s="4"/>
      <c r="L4" s="4" t="s">
        <v>86</v>
      </c>
      <c r="M4" s="4" t="s">
        <v>88</v>
      </c>
      <c r="N4" s="4">
        <v>18.3</v>
      </c>
    </row>
    <row r="5" spans="1:26" x14ac:dyDescent="0.3">
      <c r="A5" s="4" t="s">
        <v>86</v>
      </c>
      <c r="B5" s="4" t="s">
        <v>56</v>
      </c>
      <c r="C5" s="14">
        <v>80</v>
      </c>
      <c r="D5" s="4"/>
      <c r="G5" s="4" t="s">
        <v>86</v>
      </c>
      <c r="H5" s="4" t="s">
        <v>56</v>
      </c>
      <c r="I5" s="4">
        <v>80</v>
      </c>
      <c r="J5" s="4"/>
      <c r="L5" s="4" t="s">
        <v>86</v>
      </c>
      <c r="M5" s="4" t="s">
        <v>56</v>
      </c>
      <c r="N5" s="4">
        <v>80</v>
      </c>
      <c r="P5" s="4" t="s">
        <v>111</v>
      </c>
      <c r="Q5" s="4" t="s">
        <v>100</v>
      </c>
      <c r="R5" s="4"/>
      <c r="S5" s="4"/>
      <c r="T5" s="4" t="s">
        <v>109</v>
      </c>
      <c r="U5" s="4">
        <v>1</v>
      </c>
      <c r="V5" s="4">
        <v>2</v>
      </c>
      <c r="W5" s="4">
        <v>3</v>
      </c>
      <c r="X5" s="4" t="s">
        <v>117</v>
      </c>
      <c r="Y5" s="4" t="s">
        <v>118</v>
      </c>
      <c r="Z5" s="4" t="s">
        <v>93</v>
      </c>
    </row>
    <row r="6" spans="1:26" x14ac:dyDescent="0.3">
      <c r="A6" s="4" t="s">
        <v>86</v>
      </c>
      <c r="B6" s="4" t="s">
        <v>106</v>
      </c>
      <c r="C6" s="14">
        <v>10</v>
      </c>
      <c r="D6" s="4"/>
      <c r="G6" s="4" t="s">
        <v>86</v>
      </c>
      <c r="H6" s="4" t="s">
        <v>93</v>
      </c>
      <c r="I6" s="5">
        <v>0.57999999999999996</v>
      </c>
      <c r="J6" s="4"/>
      <c r="P6" s="4"/>
      <c r="Q6" s="4"/>
      <c r="R6" s="4" t="s">
        <v>115</v>
      </c>
      <c r="S6" s="4" t="s">
        <v>88</v>
      </c>
      <c r="T6" s="4" t="s">
        <v>110</v>
      </c>
      <c r="U6" s="4">
        <v>10</v>
      </c>
      <c r="V6" s="4">
        <v>10</v>
      </c>
      <c r="W6" s="4">
        <v>11</v>
      </c>
      <c r="X6" s="4"/>
      <c r="Y6" s="4"/>
      <c r="Z6" s="4"/>
    </row>
    <row r="7" spans="1:26" x14ac:dyDescent="0.3">
      <c r="A7" s="4" t="s">
        <v>86</v>
      </c>
      <c r="B7" s="4" t="s">
        <v>57</v>
      </c>
      <c r="C7" s="15">
        <v>0.66</v>
      </c>
      <c r="D7" s="4"/>
      <c r="G7" s="4"/>
      <c r="H7" s="4"/>
      <c r="I7" s="4"/>
      <c r="J7" s="4"/>
      <c r="P7" s="4">
        <v>1</v>
      </c>
      <c r="Q7" s="4" t="s">
        <v>112</v>
      </c>
      <c r="R7" s="4">
        <v>80</v>
      </c>
      <c r="S7" s="4">
        <v>19.5</v>
      </c>
      <c r="T7" s="4"/>
      <c r="U7" s="4">
        <v>2000</v>
      </c>
      <c r="V7" s="4">
        <v>2000</v>
      </c>
      <c r="W7" s="4">
        <v>0</v>
      </c>
      <c r="X7" s="4">
        <f>SUM(U7:W7)*S7</f>
        <v>78000</v>
      </c>
      <c r="Y7" s="4">
        <f>(R7*U6+R7*V6)*60</f>
        <v>96000</v>
      </c>
      <c r="Z7" s="19">
        <f>X7/Y7</f>
        <v>0.8125</v>
      </c>
    </row>
    <row r="8" spans="1:26" x14ac:dyDescent="0.3">
      <c r="A8" s="4"/>
      <c r="B8" s="4"/>
      <c r="C8" s="14"/>
      <c r="D8" s="4"/>
      <c r="E8" s="3"/>
      <c r="F8" s="3"/>
      <c r="G8" s="4" t="s">
        <v>87</v>
      </c>
      <c r="H8" s="4" t="s">
        <v>90</v>
      </c>
      <c r="I8" s="4">
        <f>I5*60</f>
        <v>4800</v>
      </c>
      <c r="J8" s="16" t="s">
        <v>95</v>
      </c>
      <c r="L8" s="4" t="s">
        <v>86</v>
      </c>
      <c r="M8" s="4" t="s">
        <v>93</v>
      </c>
      <c r="N8" s="18">
        <f>(N3*N4)/(N5*60)</f>
        <v>0.57950000000000002</v>
      </c>
      <c r="P8" s="4"/>
      <c r="Q8" s="4" t="s">
        <v>113</v>
      </c>
      <c r="R8" s="4">
        <v>80</v>
      </c>
      <c r="S8" s="4">
        <v>18</v>
      </c>
      <c r="T8" s="4"/>
      <c r="U8" s="4">
        <v>0</v>
      </c>
      <c r="V8" s="4">
        <v>0</v>
      </c>
      <c r="W8" s="4">
        <v>600</v>
      </c>
      <c r="X8" s="4">
        <f t="shared" ref="X8:X9" si="0">SUM(U8:W8)*S8</f>
        <v>10800</v>
      </c>
      <c r="Y8" s="4">
        <f>R8*W6*60</f>
        <v>52800</v>
      </c>
      <c r="Z8" s="19">
        <f t="shared" ref="Z8:Z10" si="1">X8/Y8</f>
        <v>0.20454545454545456</v>
      </c>
    </row>
    <row r="9" spans="1:26" x14ac:dyDescent="0.3">
      <c r="A9" s="4" t="s">
        <v>87</v>
      </c>
      <c r="B9" s="4" t="s">
        <v>103</v>
      </c>
      <c r="C9" s="14">
        <f>C5*C6*60</f>
        <v>48000</v>
      </c>
      <c r="D9" s="16" t="s">
        <v>107</v>
      </c>
      <c r="E9" s="3"/>
      <c r="F9" s="3"/>
      <c r="G9" s="4" t="s">
        <v>87</v>
      </c>
      <c r="H9" s="4" t="s">
        <v>92</v>
      </c>
      <c r="I9" s="4">
        <f>I5*60*I6</f>
        <v>2784</v>
      </c>
      <c r="J9" s="16" t="s">
        <v>96</v>
      </c>
      <c r="P9" s="4">
        <v>2</v>
      </c>
      <c r="Q9" s="4" t="s">
        <v>114</v>
      </c>
      <c r="R9" s="4">
        <v>78</v>
      </c>
      <c r="S9" s="4">
        <v>21</v>
      </c>
      <c r="T9" s="4"/>
      <c r="U9" s="4">
        <v>1600</v>
      </c>
      <c r="V9" s="4">
        <v>1600</v>
      </c>
      <c r="W9" s="4">
        <v>1600</v>
      </c>
      <c r="X9" s="4">
        <f t="shared" si="0"/>
        <v>100800</v>
      </c>
      <c r="Y9" s="4">
        <f>(R9*U6+R9*V6+R9*W6)*60</f>
        <v>145080</v>
      </c>
      <c r="Z9" s="19">
        <f t="shared" si="1"/>
        <v>0.69478908188585609</v>
      </c>
    </row>
    <row r="10" spans="1:26" x14ac:dyDescent="0.3">
      <c r="A10" s="4" t="s">
        <v>87</v>
      </c>
      <c r="B10" s="4" t="s">
        <v>104</v>
      </c>
      <c r="C10" s="14">
        <f>C5*C6*C7*60</f>
        <v>31680</v>
      </c>
      <c r="D10" s="16" t="s">
        <v>108</v>
      </c>
      <c r="G10" s="4" t="s">
        <v>87</v>
      </c>
      <c r="H10" s="4" t="s">
        <v>91</v>
      </c>
      <c r="I10" s="4">
        <f>ROUND(I9/I4,0)</f>
        <v>152</v>
      </c>
      <c r="J10" s="16" t="s">
        <v>97</v>
      </c>
      <c r="P10" s="4" t="s">
        <v>119</v>
      </c>
      <c r="Q10" s="4"/>
      <c r="R10" s="4">
        <f>SUM(R7:R9)</f>
        <v>238</v>
      </c>
      <c r="S10" s="4"/>
      <c r="T10" s="4"/>
      <c r="U10" s="4">
        <f>SUM(U7:U9)</f>
        <v>3600</v>
      </c>
      <c r="V10" s="4">
        <f t="shared" ref="V10:Y10" si="2">SUM(V7:V9)</f>
        <v>3600</v>
      </c>
      <c r="W10" s="4">
        <f t="shared" si="2"/>
        <v>2200</v>
      </c>
      <c r="X10" s="4">
        <f t="shared" si="2"/>
        <v>189600</v>
      </c>
      <c r="Y10" s="4">
        <f t="shared" si="2"/>
        <v>293880</v>
      </c>
      <c r="Z10" s="19">
        <f t="shared" si="1"/>
        <v>0.64516129032258063</v>
      </c>
    </row>
    <row r="11" spans="1:26" x14ac:dyDescent="0.3">
      <c r="A11" s="4" t="s">
        <v>87</v>
      </c>
      <c r="B11" s="4" t="s">
        <v>105</v>
      </c>
      <c r="C11" s="4">
        <f>ROUND(C10/C4,0)</f>
        <v>1731</v>
      </c>
      <c r="D11" s="16" t="s">
        <v>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U18" sqref="U18"/>
    </sheetView>
  </sheetViews>
  <sheetFormatPr defaultRowHeight="14.4" x14ac:dyDescent="0.3"/>
  <cols>
    <col min="1" max="1" width="11.6640625" bestFit="1" customWidth="1"/>
    <col min="2" max="2" width="10.77734375" bestFit="1" customWidth="1"/>
    <col min="3" max="3" width="6.5546875" bestFit="1" customWidth="1"/>
    <col min="4" max="10" width="7.5546875" bestFit="1" customWidth="1"/>
    <col min="11" max="13" width="3.77734375" customWidth="1"/>
    <col min="15" max="22" width="5.77734375" bestFit="1" customWidth="1"/>
    <col min="23" max="23" width="15.21875" bestFit="1" customWidth="1"/>
    <col min="24" max="24" width="10.21875" bestFit="1" customWidth="1"/>
  </cols>
  <sheetData>
    <row r="1" spans="1:24" ht="28.8" x14ac:dyDescent="0.3">
      <c r="A1" s="12" t="s">
        <v>58</v>
      </c>
      <c r="B1" s="12" t="s">
        <v>60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N1" t="s">
        <v>77</v>
      </c>
    </row>
    <row r="2" spans="1:24" x14ac:dyDescent="0.3">
      <c r="A2" s="4" t="s">
        <v>65</v>
      </c>
      <c r="B2" s="4">
        <v>2</v>
      </c>
      <c r="C2" s="7">
        <v>0.5</v>
      </c>
      <c r="D2" s="7">
        <v>0.75</v>
      </c>
      <c r="E2" s="7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</row>
    <row r="3" spans="1:24" x14ac:dyDescent="0.3">
      <c r="A3" s="4" t="s">
        <v>59</v>
      </c>
      <c r="B3" s="4">
        <v>3</v>
      </c>
      <c r="C3" s="7">
        <v>0.35</v>
      </c>
      <c r="D3" s="7">
        <v>0.6</v>
      </c>
      <c r="E3" s="7">
        <v>0.8</v>
      </c>
      <c r="F3" s="7">
        <v>1</v>
      </c>
      <c r="G3" s="5">
        <v>1</v>
      </c>
      <c r="H3" s="5">
        <v>1</v>
      </c>
      <c r="I3" s="5">
        <v>1</v>
      </c>
      <c r="J3" s="5">
        <v>1</v>
      </c>
      <c r="N3" s="8">
        <v>200</v>
      </c>
      <c r="O3" s="4" t="s">
        <v>67</v>
      </c>
      <c r="P3" s="4" t="s">
        <v>68</v>
      </c>
      <c r="Q3" s="4" t="s">
        <v>69</v>
      </c>
      <c r="R3" s="4" t="s">
        <v>70</v>
      </c>
      <c r="S3" s="4" t="s">
        <v>71</v>
      </c>
      <c r="T3" s="4" t="s">
        <v>72</v>
      </c>
      <c r="U3" s="4" t="s">
        <v>73</v>
      </c>
      <c r="V3" s="4" t="s">
        <v>74</v>
      </c>
      <c r="W3" s="4" t="s">
        <v>75</v>
      </c>
      <c r="X3" s="4" t="s">
        <v>76</v>
      </c>
    </row>
    <row r="4" spans="1:24" x14ac:dyDescent="0.3">
      <c r="A4" s="4" t="s">
        <v>61</v>
      </c>
      <c r="B4" s="4">
        <v>4</v>
      </c>
      <c r="C4" s="7">
        <v>0.25</v>
      </c>
      <c r="D4" s="7">
        <v>0.4</v>
      </c>
      <c r="E4" s="7">
        <v>0.6</v>
      </c>
      <c r="F4" s="7">
        <v>0.8</v>
      </c>
      <c r="G4" s="7">
        <v>1</v>
      </c>
      <c r="H4" s="6">
        <v>1</v>
      </c>
      <c r="I4" s="6">
        <v>1</v>
      </c>
      <c r="J4" s="6">
        <v>1</v>
      </c>
      <c r="N4" s="9">
        <v>8</v>
      </c>
      <c r="O4" s="10">
        <f>$N$3*$N4*C$4</f>
        <v>400</v>
      </c>
      <c r="P4" s="10">
        <f t="shared" ref="P4:S4" si="0">$N$3*$N4*D$4</f>
        <v>640</v>
      </c>
      <c r="Q4" s="10">
        <f t="shared" si="0"/>
        <v>960</v>
      </c>
      <c r="R4" s="10">
        <f t="shared" si="0"/>
        <v>1280</v>
      </c>
      <c r="S4" s="10">
        <f t="shared" si="0"/>
        <v>1600</v>
      </c>
      <c r="T4" s="10">
        <f t="shared" ref="T4:T5" si="1">$N$3*$N4*H$4</f>
        <v>1600</v>
      </c>
      <c r="U4" s="10">
        <f>$N$3*7*I$4</f>
        <v>1400</v>
      </c>
      <c r="V4" s="10"/>
      <c r="W4" s="4">
        <f>SUM(O4:V4)</f>
        <v>7880</v>
      </c>
      <c r="X4" s="11">
        <f>W4/55</f>
        <v>143.27272727272728</v>
      </c>
    </row>
    <row r="5" spans="1:24" x14ac:dyDescent="0.3">
      <c r="A5" s="4" t="s">
        <v>62</v>
      </c>
      <c r="B5" s="4">
        <v>5</v>
      </c>
      <c r="C5" s="7">
        <v>0.15</v>
      </c>
      <c r="D5" s="7">
        <v>0.3</v>
      </c>
      <c r="E5" s="7">
        <v>0.5</v>
      </c>
      <c r="F5" s="7">
        <v>0.7</v>
      </c>
      <c r="G5" s="7">
        <v>0.9</v>
      </c>
      <c r="H5" s="7">
        <v>1</v>
      </c>
      <c r="I5" s="5">
        <v>1</v>
      </c>
      <c r="J5" s="5">
        <v>1</v>
      </c>
      <c r="N5" s="9">
        <v>9</v>
      </c>
      <c r="O5" s="10">
        <f t="shared" ref="O5:O7" si="2">$N$3*$N5*C$4</f>
        <v>450</v>
      </c>
      <c r="P5" s="10">
        <f t="shared" ref="P5:P7" si="3">$N$3*$N5*D$4</f>
        <v>720</v>
      </c>
      <c r="Q5" s="10">
        <f t="shared" ref="Q5:Q7" si="4">$N$3*$N5*E$4</f>
        <v>1080</v>
      </c>
      <c r="R5" s="10">
        <f t="shared" ref="R5:R7" si="5">$N$3*$N5*F$4</f>
        <v>1440</v>
      </c>
      <c r="S5" s="10">
        <f t="shared" ref="S5:S7" si="6">$N$3*$N5*G$4</f>
        <v>1800</v>
      </c>
      <c r="T5" s="10">
        <f t="shared" si="1"/>
        <v>1800</v>
      </c>
      <c r="U5" s="10">
        <f>$N$3*1*I$4</f>
        <v>200</v>
      </c>
      <c r="V5" s="10"/>
      <c r="W5" s="4">
        <f t="shared" ref="W5:W7" si="7">SUM(O5:V5)</f>
        <v>7490</v>
      </c>
      <c r="X5" s="11">
        <f t="shared" ref="X5:X7" si="8">W5/55</f>
        <v>136.18181818181819</v>
      </c>
    </row>
    <row r="6" spans="1:24" x14ac:dyDescent="0.3">
      <c r="A6" s="4" t="s">
        <v>63</v>
      </c>
      <c r="B6" s="4">
        <v>7</v>
      </c>
      <c r="C6" s="7">
        <v>0</v>
      </c>
      <c r="D6" s="7">
        <v>0.2</v>
      </c>
      <c r="E6" s="7">
        <v>0.3</v>
      </c>
      <c r="F6" s="7">
        <v>0.45</v>
      </c>
      <c r="G6" s="7">
        <v>0.65</v>
      </c>
      <c r="H6" s="7">
        <v>0.8</v>
      </c>
      <c r="I6" s="7">
        <v>0.9</v>
      </c>
      <c r="J6" s="7">
        <v>1</v>
      </c>
      <c r="N6" s="9">
        <v>10</v>
      </c>
      <c r="O6" s="10">
        <f t="shared" si="2"/>
        <v>500</v>
      </c>
      <c r="P6" s="10">
        <f t="shared" si="3"/>
        <v>800</v>
      </c>
      <c r="Q6" s="10">
        <f t="shared" si="4"/>
        <v>1200</v>
      </c>
      <c r="R6" s="10">
        <f t="shared" si="5"/>
        <v>1600</v>
      </c>
      <c r="S6" s="10">
        <f t="shared" si="6"/>
        <v>2000</v>
      </c>
      <c r="T6" s="10">
        <f>$N$3*5*H$4</f>
        <v>1000</v>
      </c>
      <c r="U6" s="10"/>
      <c r="V6" s="10"/>
      <c r="W6" s="4">
        <f t="shared" si="7"/>
        <v>7100</v>
      </c>
      <c r="X6" s="11">
        <f t="shared" si="8"/>
        <v>129.09090909090909</v>
      </c>
    </row>
    <row r="7" spans="1:24" x14ac:dyDescent="0.3">
      <c r="N7" s="9">
        <v>11</v>
      </c>
      <c r="O7" s="10">
        <f t="shared" si="2"/>
        <v>550</v>
      </c>
      <c r="P7" s="10">
        <f t="shared" si="3"/>
        <v>880</v>
      </c>
      <c r="Q7" s="10">
        <f t="shared" si="4"/>
        <v>1320</v>
      </c>
      <c r="R7" s="10">
        <f t="shared" si="5"/>
        <v>1760</v>
      </c>
      <c r="S7" s="10">
        <f t="shared" si="6"/>
        <v>2200</v>
      </c>
      <c r="T7" s="10"/>
      <c r="U7" s="10"/>
      <c r="V7" s="10"/>
      <c r="W7" s="4">
        <f t="shared" si="7"/>
        <v>6710</v>
      </c>
      <c r="X7" s="11">
        <f t="shared" si="8"/>
        <v>122</v>
      </c>
    </row>
    <row r="8" spans="1:24" x14ac:dyDescent="0.3">
      <c r="A8" t="s">
        <v>66</v>
      </c>
    </row>
    <row r="9" spans="1:24" x14ac:dyDescent="0.3">
      <c r="A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Strip Info</vt:lpstr>
      <vt:lpstr>Planning Range</vt:lpstr>
      <vt:lpstr>Line Properties</vt:lpstr>
      <vt:lpstr>Style 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2021-11-17T08:32:56Z</dcterms:modified>
</cp:coreProperties>
</file>