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codeName="ThisWorkbook" defaultThemeVersion="124226"/>
  <xr:revisionPtr revIDLastSave="0" documentId="13_ncr:1_{017A4B94-2CC8-49F4-BB77-C444B6A64350}" xr6:coauthVersionLast="36" xr6:coauthVersionMax="36" xr10:uidLastSave="{00000000-0000-0000-0000-000000000000}"/>
  <bookViews>
    <workbookView xWindow="240" yWindow="108" windowWidth="14808" windowHeight="8016" tabRatio="714" activeTab="12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طول آرماتورها" sheetId="14" r:id="rId13"/>
  </sheets>
  <calcPr calcId="191029"/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A3" i="14"/>
  <c r="F2" i="14"/>
  <c r="E2" i="14"/>
  <c r="D2" i="14"/>
  <c r="C2" i="14"/>
  <c r="B2" i="14"/>
  <c r="A2" i="14"/>
  <c r="P13" i="17" l="1"/>
  <c r="O13" i="17"/>
  <c r="N13" i="17"/>
  <c r="M13" i="17"/>
  <c r="L13" i="17"/>
  <c r="K13" i="17"/>
  <c r="J13" i="17"/>
  <c r="I13" i="17"/>
  <c r="H13" i="17"/>
  <c r="G13" i="17"/>
  <c r="F13" i="17"/>
  <c r="A13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N12" i="17" s="1"/>
  <c r="N14" i="17" s="1"/>
  <c r="M4" i="17"/>
  <c r="M12" i="17" s="1"/>
  <c r="L4" i="17"/>
  <c r="L12" i="17" s="1"/>
  <c r="L14" i="17" s="1"/>
  <c r="K4" i="17"/>
  <c r="K12" i="17" s="1"/>
  <c r="J4" i="17"/>
  <c r="J12" i="17" s="1"/>
  <c r="J14" i="17" s="1"/>
  <c r="I4" i="17"/>
  <c r="I12" i="17" s="1"/>
  <c r="H4" i="17"/>
  <c r="H12" i="17" s="1"/>
  <c r="H14" i="17" s="1"/>
  <c r="G4" i="17"/>
  <c r="G12" i="17" s="1"/>
  <c r="F12" i="17"/>
  <c r="F14" i="17" s="1"/>
  <c r="A4" i="17"/>
  <c r="D3" i="17"/>
  <c r="P12" i="17" l="1"/>
  <c r="P14" i="17" s="1"/>
  <c r="G14" i="17"/>
  <c r="I14" i="17"/>
  <c r="K14" i="17"/>
  <c r="M14" i="17"/>
  <c r="O14" i="17"/>
  <c r="P13" i="16"/>
  <c r="O13" i="16"/>
  <c r="N13" i="16"/>
  <c r="M13" i="16"/>
  <c r="L13" i="16"/>
  <c r="K13" i="16"/>
  <c r="J13" i="16"/>
  <c r="I13" i="16"/>
  <c r="H13" i="16"/>
  <c r="G13" i="16"/>
  <c r="F13" i="16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P13" i="11" l="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<sst xmlns="http://schemas.openxmlformats.org/spreadsheetml/2006/main" count="313" uniqueCount="54">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</sst>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7091" y="938805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8624" y="1650501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0157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2656" y="3374883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0.465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8" sqref="F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9" t="s">
        <v>21</v>
      </c>
    </row>
    <row r="2" spans="1:18">
      <c r="A2" s="36" t="s">
        <v>0</v>
      </c>
      <c r="B2" s="40" t="s">
        <v>1</v>
      </c>
      <c r="C2" s="36" t="s">
        <v>2</v>
      </c>
      <c r="D2" s="3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31" t="str">
        <f>IF(R2="m","متر","سانتی‌متر")</f>
        <v>سانتی‌متر</v>
      </c>
      <c r="E3" s="36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0">
        <f>IF($R$2="m",0.395,0.00395)</f>
        <v>3.9500000000000004E-3</v>
      </c>
      <c r="G13" s="30">
        <f>IF($R$2="m",0.617,0.00617)</f>
        <v>6.1700000000000001E-3</v>
      </c>
      <c r="H13" s="30">
        <f>IF($R$2="m",0.888,0.00888)</f>
        <v>8.8800000000000007E-3</v>
      </c>
      <c r="I13" s="30">
        <f>IF($R$2="m",1.21,0.0121)</f>
        <v>1.21E-2</v>
      </c>
      <c r="J13" s="30">
        <f>IF($R$2="m",1.58,0.0158)</f>
        <v>1.5800000000000002E-2</v>
      </c>
      <c r="K13" s="30">
        <f>IF($R$2="m",2,0.02)</f>
        <v>0.02</v>
      </c>
      <c r="L13" s="30">
        <f>IF($R$2="m",2.47,0.0247)</f>
        <v>2.47E-2</v>
      </c>
      <c r="M13" s="30">
        <f>IF($R$2="m",2.98,0.0298)</f>
        <v>2.98E-2</v>
      </c>
      <c r="N13" s="30">
        <f>IF($R$2="m",3.85,0.0385)</f>
        <v>3.85E-2</v>
      </c>
      <c r="O13" s="30">
        <f>IF($R$2="m",4.83,0.0483)</f>
        <v>4.8300000000000003E-2</v>
      </c>
      <c r="P13" s="30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0.417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3" t="s">
        <v>21</v>
      </c>
    </row>
    <row r="2" spans="1:18">
      <c r="A2" s="36" t="s">
        <v>0</v>
      </c>
      <c r="B2" s="40" t="s">
        <v>1</v>
      </c>
      <c r="C2" s="36" t="s">
        <v>2</v>
      </c>
      <c r="D2" s="34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34" t="str">
        <f>IF(R2="m","متر","سانتی‌متر")</f>
        <v>سانتی‌متر</v>
      </c>
      <c r="E3" s="36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38"/>
    </row>
    <row r="4" spans="1:18" ht="60.75" customHeight="1">
      <c r="A4" s="11">
        <f>ROW()-3</f>
        <v>1</v>
      </c>
      <c r="B4" s="2"/>
      <c r="C4" s="14">
        <v>12</v>
      </c>
      <c r="D4" s="14">
        <v>290</v>
      </c>
      <c r="E4" s="14">
        <v>12</v>
      </c>
      <c r="F4" s="11"/>
      <c r="G4" s="11" t="str">
        <f>IF($C4=10,($D4*$E4),"")</f>
        <v/>
      </c>
      <c r="H4" s="11">
        <f>IF($C4=12,($D4*$E4),"")</f>
        <v>3480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12</v>
      </c>
      <c r="D5" s="14">
        <v>185</v>
      </c>
      <c r="E5" s="14">
        <v>158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29230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12</v>
      </c>
      <c r="D6" s="14">
        <v>100</v>
      </c>
      <c r="E6" s="14">
        <v>280</v>
      </c>
      <c r="F6" s="11" t="str">
        <f>IF($C6=8,($D6*$E6),"")</f>
        <v/>
      </c>
      <c r="G6" s="11" t="str">
        <f t="shared" si="4"/>
        <v/>
      </c>
      <c r="H6" s="11">
        <f t="shared" si="5"/>
        <v>28000</v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12</v>
      </c>
      <c r="D7" s="14">
        <v>870</v>
      </c>
      <c r="E7" s="14">
        <v>76</v>
      </c>
      <c r="F7" s="11" t="str">
        <f t="shared" ref="F7:F11" si="12">IF($C7=8,($D7*$E7),"")</f>
        <v/>
      </c>
      <c r="G7" s="11" t="str">
        <f t="shared" si="4"/>
        <v/>
      </c>
      <c r="H7" s="11">
        <f t="shared" si="5"/>
        <v>66120</v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1020</v>
      </c>
      <c r="E8" s="14">
        <v>64</v>
      </c>
      <c r="F8" s="11" t="str">
        <f t="shared" si="12"/>
        <v/>
      </c>
      <c r="G8" s="11" t="str">
        <f t="shared" si="4"/>
        <v/>
      </c>
      <c r="H8" s="11">
        <f t="shared" si="5"/>
        <v>65280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12</v>
      </c>
      <c r="D9" s="14">
        <v>140</v>
      </c>
      <c r="E9" s="14">
        <v>20</v>
      </c>
      <c r="F9" s="11" t="str">
        <f t="shared" si="12"/>
        <v/>
      </c>
      <c r="G9" s="11" t="str">
        <f t="shared" si="4"/>
        <v/>
      </c>
      <c r="H9" s="11">
        <f t="shared" si="5"/>
        <v>2800</v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2">
        <f t="shared" ref="F12:P12" si="13">SUM(F4:F11)</f>
        <v>0</v>
      </c>
      <c r="G12" s="32">
        <f t="shared" si="13"/>
        <v>0</v>
      </c>
      <c r="H12" s="32">
        <f t="shared" si="13"/>
        <v>194910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2">
        <f>IF($R$2="m",0.395,0.00395)</f>
        <v>3.9500000000000004E-3</v>
      </c>
      <c r="G13" s="32">
        <f>IF($R$2="m",0.617,0.00617)</f>
        <v>6.1700000000000001E-3</v>
      </c>
      <c r="H13" s="32">
        <f>IF($R$2="m",0.888,0.00888)</f>
        <v>8.8800000000000007E-3</v>
      </c>
      <c r="I13" s="32">
        <f>IF($R$2="m",1.21,0.0121)</f>
        <v>1.21E-2</v>
      </c>
      <c r="J13" s="32">
        <f>IF($R$2="m",1.58,0.0158)</f>
        <v>1.5800000000000002E-2</v>
      </c>
      <c r="K13" s="32">
        <f>IF($R$2="m",2,0.02)</f>
        <v>0.02</v>
      </c>
      <c r="L13" s="32">
        <f>IF($R$2="m",2.47,0.0247)</f>
        <v>2.47E-2</v>
      </c>
      <c r="M13" s="32">
        <f>IF($R$2="m",2.98,0.0298)</f>
        <v>2.98E-2</v>
      </c>
      <c r="N13" s="32">
        <f>IF($R$2="m",3.85,0.0385)</f>
        <v>3.85E-2</v>
      </c>
      <c r="O13" s="32">
        <f>IF($R$2="m",4.83,0.0483)</f>
        <v>4.8300000000000003E-2</v>
      </c>
      <c r="P13" s="32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2">
        <f>F12*F13</f>
        <v>0</v>
      </c>
      <c r="G14" s="32">
        <f t="shared" ref="G14:P14" si="14">G12*G13</f>
        <v>0</v>
      </c>
      <c r="H14" s="32">
        <f t="shared" si="14"/>
        <v>1730.8008000000002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1.731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3"/>
  <sheetViews>
    <sheetView tabSelected="1" workbookViewId="0">
      <selection activeCell="G12" sqref="G12"/>
    </sheetView>
  </sheetViews>
  <sheetFormatPr defaultRowHeight="14.4"/>
  <cols>
    <col min="12" max="12" width="11.3320312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144480</v>
      </c>
      <c r="B2">
        <f>fondation!G12+'C1'!G12+'C2'!G12+'B1&amp;B2'!G12+'B3'!G12+'B4&amp;B5&amp;B6'!G11+'B7'!G12+'B8'!G12+'راه پله'!G12+سقف!G12</f>
        <v>91860</v>
      </c>
      <c r="C2">
        <f>fondation!H12+'C1'!H12+'C2'!H12+'B1&amp;B2'!H12+'B3'!H12+'B4&amp;B5&amp;B6'!H11+'B7'!H12+'B8'!H12+'راه پله'!H12+سقف!H12</f>
        <v>217470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44">
        <f>A2/1200</f>
        <v>120.4</v>
      </c>
      <c r="B3" s="44">
        <f t="shared" ref="B3:F3" si="0">B2/1200</f>
        <v>76.55</v>
      </c>
      <c r="C3" s="44">
        <f t="shared" si="0"/>
        <v>181.22499999999999</v>
      </c>
      <c r="D3" s="44">
        <f t="shared" si="0"/>
        <v>36.333333333333336</v>
      </c>
      <c r="E3" s="44">
        <f t="shared" si="0"/>
        <v>183.10833333333332</v>
      </c>
      <c r="F3" s="44">
        <f t="shared" si="0"/>
        <v>75.083333333333329</v>
      </c>
      <c r="L3" s="43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5" t="s">
        <v>21</v>
      </c>
    </row>
    <row r="2" spans="1:18">
      <c r="A2" s="36" t="s">
        <v>0</v>
      </c>
      <c r="B2" s="40" t="s">
        <v>1</v>
      </c>
      <c r="C2" s="36" t="s">
        <v>2</v>
      </c>
      <c r="D2" s="10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10" t="str">
        <f>IF(R2="m","متر","سانتی‌متر")</f>
        <v>سانتی‌متر</v>
      </c>
      <c r="E3" s="36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8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0.04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:Q1"/>
    <mergeCell ref="A2:A3"/>
    <mergeCell ref="B2:B3"/>
    <mergeCell ref="C2:C3"/>
    <mergeCell ref="E2:E3"/>
    <mergeCell ref="F2:Q2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5" zoomScaleNormal="85" workbookViewId="0">
      <pane ySplit="3" topLeftCell="A10" activePane="bottomLeft" state="frozen"/>
      <selection pane="bottomLeft" activeCell="I12" sqref="I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7" t="s">
        <v>21</v>
      </c>
    </row>
    <row r="2" spans="1:18">
      <c r="A2" s="36" t="s">
        <v>0</v>
      </c>
      <c r="B2" s="40" t="s">
        <v>1</v>
      </c>
      <c r="C2" s="36" t="s">
        <v>2</v>
      </c>
      <c r="D2" s="1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18" t="str">
        <f>IF(R2="m","متر","سانتی‌متر")</f>
        <v>سانتی‌متر</v>
      </c>
      <c r="E3" s="36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1.521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1" sqref="F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1.089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2" sqref="G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1.265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0.689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J12" sqref="J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0.359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J11" sqref="J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6" t="str">
        <f>IF(R2="m","جمع طول آرماتورها (متر)","جمع طول آرماتورها (سانتی‌متر)")</f>
        <v>جمع طول آرماتورها (سانتی‌متر)</v>
      </c>
      <c r="B11" s="36"/>
      <c r="C11" s="36"/>
      <c r="D11" s="36"/>
      <c r="E11" s="36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6" t="str">
        <f>IF(R2="m","وزن هر متر (kg/m)","وزن هر سانتی‌متر (kg/cm)")</f>
        <v>وزن هر سانتی‌متر (kg/cm)</v>
      </c>
      <c r="B12" s="36"/>
      <c r="C12" s="36"/>
      <c r="D12" s="36"/>
      <c r="E12" s="36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36" t="s">
        <v>17</v>
      </c>
      <c r="B13" s="36"/>
      <c r="C13" s="36"/>
      <c r="D13" s="36"/>
      <c r="E13" s="36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6" t="s">
        <v>18</v>
      </c>
      <c r="B14" s="36"/>
      <c r="C14" s="36"/>
      <c r="D14" s="36"/>
      <c r="E14" s="36"/>
      <c r="F14" s="37" t="str">
        <f>ROUND(SUM(F13:P13)/1000,3)&amp;" تن"</f>
        <v>1.188 تن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1:E11"/>
    <mergeCell ref="A12:E12"/>
    <mergeCell ref="A13:E13"/>
    <mergeCell ref="A14:E14"/>
    <mergeCell ref="F14:P14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0.145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طول آرماتورها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2023-07-17T05:18:20Z</dcterms:modified>
</cp:coreProperties>
</file>