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ience Project\Desktop\AA_Bar\Elementary partiles\"/>
    </mc:Choice>
  </mc:AlternateContent>
  <xr:revisionPtr revIDLastSave="0" documentId="13_ncr:1_{33D4C137-C672-402D-8DF0-C5FDBA67C566}" xr6:coauthVersionLast="40" xr6:coauthVersionMax="40" xr10:uidLastSave="{00000000-0000-0000-0000-000000000000}"/>
  <bookViews>
    <workbookView xWindow="0" yWindow="0" windowWidth="28800" windowHeight="12225" firstSheet="3" activeTab="12" xr2:uid="{741131E4-0459-4EB8-BC27-44FE17A2A34E}"/>
  </bookViews>
  <sheets>
    <sheet name="Arkusz4 (2)" sheetId="13" r:id="rId1"/>
    <sheet name="Arkusz1" sheetId="1" r:id="rId2"/>
    <sheet name="Arkusz2" sheetId="2" r:id="rId3"/>
    <sheet name="Arkusz3" sheetId="3" r:id="rId4"/>
    <sheet name="Electron" sheetId="4" r:id="rId5"/>
    <sheet name="Proton" sheetId="5" r:id="rId6"/>
    <sheet name="Table" sheetId="6" r:id="rId7"/>
    <sheet name="Electron STR" sheetId="7" r:id="rId8"/>
    <sheet name="Proton STR" sheetId="9" r:id="rId9"/>
    <sheet name="Neutron STR" sheetId="10" r:id="rId10"/>
    <sheet name="Arkusz4" sheetId="12" r:id="rId11"/>
    <sheet name="Electron STR (2)" sheetId="11" r:id="rId12"/>
    <sheet name="Beta Model" sheetId="14" r:id="rId13"/>
  </sheets>
  <definedNames>
    <definedName name="solver_adj" localSheetId="2" hidden="1">Arkusz2!$M$2</definedName>
    <definedName name="solver_adj" localSheetId="3" hidden="1">Arkusz3!$E$2</definedName>
    <definedName name="solver_adj" localSheetId="12" hidden="1">'Beta Model'!$K$54:$K$55</definedName>
    <definedName name="solver_adj" localSheetId="7" hidden="1">'Electron STR'!$L$67</definedName>
    <definedName name="solver_adj" localSheetId="9" hidden="1">'Neutron STR'!$M$19</definedName>
    <definedName name="solver_cvg" localSheetId="2" hidden="1">0.0001</definedName>
    <definedName name="solver_cvg" localSheetId="3" hidden="1">0.0000001</definedName>
    <definedName name="solver_cvg" localSheetId="12" hidden="1">0.0001</definedName>
    <definedName name="solver_cvg" localSheetId="7" hidden="1">0.0001</definedName>
    <definedName name="solver_cvg" localSheetId="9" hidden="1">0.00001</definedName>
    <definedName name="solver_drv" localSheetId="2" hidden="1">1</definedName>
    <definedName name="solver_drv" localSheetId="3" hidden="1">2</definedName>
    <definedName name="solver_drv" localSheetId="12" hidden="1">2</definedName>
    <definedName name="solver_drv" localSheetId="7" hidden="1">1</definedName>
    <definedName name="solver_drv" localSheetId="9" hidden="1">1</definedName>
    <definedName name="solver_eng" localSheetId="2" hidden="1">1</definedName>
    <definedName name="solver_eng" localSheetId="3" hidden="1">3</definedName>
    <definedName name="solver_eng" localSheetId="12" hidden="1">1</definedName>
    <definedName name="solver_eng" localSheetId="7" hidden="1">1</definedName>
    <definedName name="solver_eng" localSheetId="9" hidden="1">3</definedName>
    <definedName name="solver_est" localSheetId="2" hidden="1">1</definedName>
    <definedName name="solver_est" localSheetId="3" hidden="1">1</definedName>
    <definedName name="solver_est" localSheetId="12" hidden="1">1</definedName>
    <definedName name="solver_est" localSheetId="7" hidden="1">1</definedName>
    <definedName name="solver_est" localSheetId="9" hidden="1">1</definedName>
    <definedName name="solver_itr" localSheetId="2" hidden="1">2147483647</definedName>
    <definedName name="solver_itr" localSheetId="3" hidden="1">2147483647</definedName>
    <definedName name="solver_itr" localSheetId="12" hidden="1">2147483647</definedName>
    <definedName name="solver_itr" localSheetId="7" hidden="1">2147483647</definedName>
    <definedName name="solver_itr" localSheetId="9" hidden="1">2147483647</definedName>
    <definedName name="solver_lhs1" localSheetId="3" hidden="1">Arkusz3!$E$2</definedName>
    <definedName name="solver_lhs1" localSheetId="12" hidden="1">'Beta Model'!$L$50</definedName>
    <definedName name="solver_lhs1" localSheetId="9" hidden="1">'Neutron STR'!$M$19</definedName>
    <definedName name="solver_lhs2" localSheetId="3" hidden="1">Arkusz3!$E$2</definedName>
    <definedName name="solver_lhs2" localSheetId="9" hidden="1">'Neutron STR'!$M$18</definedName>
    <definedName name="solver_lhs3" localSheetId="3" hidden="1">Arkusz3!$AB$2</definedName>
    <definedName name="solver_lhs3" localSheetId="9" hidden="1">'Neutron STR'!$M$19</definedName>
    <definedName name="solver_mip" localSheetId="2" hidden="1">2147483647</definedName>
    <definedName name="solver_mip" localSheetId="3" hidden="1">2147483647</definedName>
    <definedName name="solver_mip" localSheetId="12" hidden="1">2147483647</definedName>
    <definedName name="solver_mip" localSheetId="7" hidden="1">2147483647</definedName>
    <definedName name="solver_mip" localSheetId="9" hidden="1">2147483647</definedName>
    <definedName name="solver_mni" localSheetId="2" hidden="1">30</definedName>
    <definedName name="solver_mni" localSheetId="3" hidden="1">10</definedName>
    <definedName name="solver_mni" localSheetId="12" hidden="1">30</definedName>
    <definedName name="solver_mni" localSheetId="7" hidden="1">30</definedName>
    <definedName name="solver_mni" localSheetId="9" hidden="1">30</definedName>
    <definedName name="solver_mrt" localSheetId="2" hidden="1">0.075</definedName>
    <definedName name="solver_mrt" localSheetId="3" hidden="1">0.0075</definedName>
    <definedName name="solver_mrt" localSheetId="12" hidden="1">0.075</definedName>
    <definedName name="solver_mrt" localSheetId="7" hidden="1">0.075</definedName>
    <definedName name="solver_mrt" localSheetId="9" hidden="1">0.075</definedName>
    <definedName name="solver_msl" localSheetId="2" hidden="1">2</definedName>
    <definedName name="solver_msl" localSheetId="3" hidden="1">1</definedName>
    <definedName name="solver_msl" localSheetId="12" hidden="1">2</definedName>
    <definedName name="solver_msl" localSheetId="7" hidden="1">2</definedName>
    <definedName name="solver_msl" localSheetId="9" hidden="1">2</definedName>
    <definedName name="solver_neg" localSheetId="2" hidden="1">1</definedName>
    <definedName name="solver_neg" localSheetId="3" hidden="1">1</definedName>
    <definedName name="solver_neg" localSheetId="12" hidden="1">1</definedName>
    <definedName name="solver_neg" localSheetId="7" hidden="1">1</definedName>
    <definedName name="solver_neg" localSheetId="9" hidden="1">1</definedName>
    <definedName name="solver_nod" localSheetId="2" hidden="1">2147483647</definedName>
    <definedName name="solver_nod" localSheetId="3" hidden="1">2147483647</definedName>
    <definedName name="solver_nod" localSheetId="12" hidden="1">2147483647</definedName>
    <definedName name="solver_nod" localSheetId="7" hidden="1">2147483647</definedName>
    <definedName name="solver_nod" localSheetId="9" hidden="1">2147483647</definedName>
    <definedName name="solver_num" localSheetId="2" hidden="1">0</definedName>
    <definedName name="solver_num" localSheetId="3" hidden="1">2</definedName>
    <definedName name="solver_num" localSheetId="12" hidden="1">1</definedName>
    <definedName name="solver_num" localSheetId="7" hidden="1">0</definedName>
    <definedName name="solver_num" localSheetId="9" hidden="1">1</definedName>
    <definedName name="solver_nwt" localSheetId="2" hidden="1">1</definedName>
    <definedName name="solver_nwt" localSheetId="3" hidden="1">1</definedName>
    <definedName name="solver_nwt" localSheetId="12" hidden="1">1</definedName>
    <definedName name="solver_nwt" localSheetId="7" hidden="1">1</definedName>
    <definedName name="solver_nwt" localSheetId="9" hidden="1">1</definedName>
    <definedName name="solver_opt" localSheetId="2" hidden="1">Arkusz2!$V$2</definedName>
    <definedName name="solver_opt" localSheetId="3" hidden="1">Arkusz3!$AB$2</definedName>
    <definedName name="solver_opt" localSheetId="12" hidden="1">'Beta Model'!$L$49</definedName>
    <definedName name="solver_opt" localSheetId="7" hidden="1">'Electron STR'!$N$67</definedName>
    <definedName name="solver_opt" localSheetId="9" hidden="1">'Neutron STR'!$M$21</definedName>
    <definedName name="solver_pre" localSheetId="2" hidden="1">0.000001</definedName>
    <definedName name="solver_pre" localSheetId="3" hidden="1">0.00000000000001</definedName>
    <definedName name="solver_pre" localSheetId="12" hidden="1">0.000001</definedName>
    <definedName name="solver_pre" localSheetId="7" hidden="1">0.000001</definedName>
    <definedName name="solver_pre" localSheetId="9" hidden="1">0.000001</definedName>
    <definedName name="solver_rbv" localSheetId="2" hidden="1">1</definedName>
    <definedName name="solver_rbv" localSheetId="3" hidden="1">2</definedName>
    <definedName name="solver_rbv" localSheetId="12" hidden="1">2</definedName>
    <definedName name="solver_rbv" localSheetId="7" hidden="1">1</definedName>
    <definedName name="solver_rbv" localSheetId="9" hidden="1">1</definedName>
    <definedName name="solver_rel1" localSheetId="3" hidden="1">1</definedName>
    <definedName name="solver_rel1" localSheetId="12" hidden="1">2</definedName>
    <definedName name="solver_rel1" localSheetId="9" hidden="1">1</definedName>
    <definedName name="solver_rel2" localSheetId="3" hidden="1">1</definedName>
    <definedName name="solver_rel2" localSheetId="9" hidden="1">3</definedName>
    <definedName name="solver_rel3" localSheetId="3" hidden="1">3</definedName>
    <definedName name="solver_rel3" localSheetId="9" hidden="1">1</definedName>
    <definedName name="solver_rhs1" localSheetId="3" hidden="1">0.999999999999999</definedName>
    <definedName name="solver_rhs1" localSheetId="12" hidden="1">'Beta Model'!$I$50</definedName>
    <definedName name="solver_rhs1" localSheetId="9" hidden="1">5</definedName>
    <definedName name="solver_rhs2" localSheetId="3" hidden="1">1</definedName>
    <definedName name="solver_rhs2" localSheetId="9" hidden="1">0</definedName>
    <definedName name="solver_rhs3" localSheetId="3" hidden="1">0</definedName>
    <definedName name="solver_rhs3" localSheetId="9" hidden="1">0.8</definedName>
    <definedName name="solver_rlx" localSheetId="2" hidden="1">2</definedName>
    <definedName name="solver_rlx" localSheetId="3" hidden="1">2</definedName>
    <definedName name="solver_rlx" localSheetId="12" hidden="1">2</definedName>
    <definedName name="solver_rlx" localSheetId="7" hidden="1">2</definedName>
    <definedName name="solver_rlx" localSheetId="9" hidden="1">2</definedName>
    <definedName name="solver_rsd" localSheetId="2" hidden="1">0</definedName>
    <definedName name="solver_rsd" localSheetId="3" hidden="1">0</definedName>
    <definedName name="solver_rsd" localSheetId="12" hidden="1">0</definedName>
    <definedName name="solver_rsd" localSheetId="7" hidden="1">0</definedName>
    <definedName name="solver_rsd" localSheetId="9" hidden="1">0</definedName>
    <definedName name="solver_scl" localSheetId="2" hidden="1">1</definedName>
    <definedName name="solver_scl" localSheetId="3" hidden="1">2</definedName>
    <definedName name="solver_scl" localSheetId="12" hidden="1">2</definedName>
    <definedName name="solver_scl" localSheetId="7" hidden="1">1</definedName>
    <definedName name="solver_scl" localSheetId="9" hidden="1">1</definedName>
    <definedName name="solver_sho" localSheetId="2" hidden="1">2</definedName>
    <definedName name="solver_sho" localSheetId="3" hidden="1">2</definedName>
    <definedName name="solver_sho" localSheetId="12" hidden="1">2</definedName>
    <definedName name="solver_sho" localSheetId="7" hidden="1">2</definedName>
    <definedName name="solver_sho" localSheetId="9" hidden="1">2</definedName>
    <definedName name="solver_ssz" localSheetId="2" hidden="1">100</definedName>
    <definedName name="solver_ssz" localSheetId="3" hidden="1">100</definedName>
    <definedName name="solver_ssz" localSheetId="12" hidden="1">100</definedName>
    <definedName name="solver_ssz" localSheetId="7" hidden="1">100</definedName>
    <definedName name="solver_ssz" localSheetId="9" hidden="1">100</definedName>
    <definedName name="solver_tim" localSheetId="2" hidden="1">2147483647</definedName>
    <definedName name="solver_tim" localSheetId="3" hidden="1">2147483647</definedName>
    <definedName name="solver_tim" localSheetId="12" hidden="1">2147483647</definedName>
    <definedName name="solver_tim" localSheetId="7" hidden="1">2147483647</definedName>
    <definedName name="solver_tim" localSheetId="9" hidden="1">2147483647</definedName>
    <definedName name="solver_tol" localSheetId="2" hidden="1">0.01</definedName>
    <definedName name="solver_tol" localSheetId="3" hidden="1">0.01</definedName>
    <definedName name="solver_tol" localSheetId="12" hidden="1">0.01</definedName>
    <definedName name="solver_tol" localSheetId="7" hidden="1">0.01</definedName>
    <definedName name="solver_tol" localSheetId="9" hidden="1">0.01</definedName>
    <definedName name="solver_typ" localSheetId="2" hidden="1">2</definedName>
    <definedName name="solver_typ" localSheetId="3" hidden="1">2</definedName>
    <definedName name="solver_typ" localSheetId="12" hidden="1">3</definedName>
    <definedName name="solver_typ" localSheetId="7" hidden="1">3</definedName>
    <definedName name="solver_typ" localSheetId="9" hidden="1">2</definedName>
    <definedName name="solver_val" localSheetId="2" hidden="1">0.3</definedName>
    <definedName name="solver_val" localSheetId="3" hidden="1">0</definedName>
    <definedName name="solver_val" localSheetId="12" hidden="1">-0.000520347879497665</definedName>
    <definedName name="solver_val" localSheetId="7" hidden="1">510.9</definedName>
    <definedName name="solver_val" localSheetId="9" hidden="1">0</definedName>
    <definedName name="solver_ver" localSheetId="2" hidden="1">3</definedName>
    <definedName name="solver_ver" localSheetId="3" hidden="1">3</definedName>
    <definedName name="solver_ver" localSheetId="12" hidden="1">3</definedName>
    <definedName name="solver_ver" localSheetId="7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4" l="1"/>
  <c r="D23" i="14"/>
  <c r="T13" i="7"/>
  <c r="T12" i="7"/>
  <c r="H47" i="14"/>
  <c r="H41" i="14"/>
  <c r="I15" i="14" l="1"/>
  <c r="K51" i="14" s="1"/>
  <c r="I13" i="14"/>
  <c r="G24" i="14"/>
  <c r="G25" i="14"/>
  <c r="F25" i="14"/>
  <c r="F24" i="14" s="1"/>
  <c r="L49" i="14"/>
  <c r="L50" i="14"/>
  <c r="H13" i="14"/>
  <c r="E50" i="14" s="1"/>
  <c r="H14" i="14"/>
  <c r="K14" i="14" s="1"/>
  <c r="H15" i="14"/>
  <c r="D24" i="14"/>
  <c r="E24" i="14" s="1"/>
  <c r="H25" i="14"/>
  <c r="C25" i="14"/>
  <c r="C24" i="14"/>
  <c r="C23" i="14"/>
  <c r="M21" i="10"/>
  <c r="M18" i="10"/>
  <c r="J13" i="14" l="1"/>
  <c r="J12" i="14" s="1"/>
  <c r="I25" i="14"/>
  <c r="Q49" i="14" s="1"/>
  <c r="K15" i="14"/>
  <c r="B20" i="14"/>
  <c r="H10" i="14" s="1"/>
  <c r="Q48" i="14"/>
  <c r="I24" i="14"/>
  <c r="I23" i="14"/>
  <c r="K13" i="14"/>
  <c r="B21" i="14"/>
  <c r="B22" i="14"/>
  <c r="J15" i="14"/>
  <c r="J14" i="14"/>
  <c r="J7" i="10"/>
  <c r="J14" i="10"/>
  <c r="P12" i="7"/>
  <c r="H10" i="7"/>
  <c r="H8" i="7"/>
  <c r="J11" i="14" l="1"/>
  <c r="J10" i="14"/>
  <c r="I10" i="14" s="1"/>
  <c r="C20" i="14"/>
  <c r="H11" i="14"/>
  <c r="C21" i="14"/>
  <c r="C22" i="14"/>
  <c r="H12" i="14"/>
  <c r="I12" i="14" s="1"/>
  <c r="I37" i="13"/>
  <c r="J37" i="13"/>
  <c r="N37" i="13" s="1"/>
  <c r="L37" i="13"/>
  <c r="M37" i="13" s="1"/>
  <c r="H37" i="13"/>
  <c r="I36" i="13"/>
  <c r="J36" i="13"/>
  <c r="N36" i="13" s="1"/>
  <c r="L36" i="13"/>
  <c r="M36" i="13" s="1"/>
  <c r="H36" i="13"/>
  <c r="H28" i="13"/>
  <c r="H29" i="13" s="1"/>
  <c r="H24" i="13"/>
  <c r="I24" i="13" s="1"/>
  <c r="H23" i="13"/>
  <c r="I23" i="13" s="1"/>
  <c r="H22" i="13"/>
  <c r="I22" i="13" s="1"/>
  <c r="H15" i="13"/>
  <c r="H16" i="13" s="1"/>
  <c r="J15" i="13"/>
  <c r="N15" i="13" s="1"/>
  <c r="L15" i="13"/>
  <c r="M15" i="13" s="1"/>
  <c r="I15" i="13"/>
  <c r="I14" i="13"/>
  <c r="J14" i="13"/>
  <c r="N14" i="13" s="1"/>
  <c r="L14" i="13"/>
  <c r="M14" i="13" s="1"/>
  <c r="H7" i="13"/>
  <c r="I7" i="13" s="1"/>
  <c r="L6" i="13"/>
  <c r="M6" i="13" s="1"/>
  <c r="J6" i="13"/>
  <c r="N6" i="13" s="1"/>
  <c r="I6" i="13"/>
  <c r="I7" i="12"/>
  <c r="J7" i="12"/>
  <c r="N7" i="12" s="1"/>
  <c r="L7" i="12"/>
  <c r="M7" i="12" s="1"/>
  <c r="I8" i="12"/>
  <c r="J8" i="12"/>
  <c r="L8" i="12"/>
  <c r="M8" i="12" s="1"/>
  <c r="N8" i="12"/>
  <c r="I9" i="12"/>
  <c r="J9" i="12"/>
  <c r="L9" i="12"/>
  <c r="M9" i="12" s="1"/>
  <c r="N9" i="12"/>
  <c r="I10" i="12"/>
  <c r="J10" i="12"/>
  <c r="N10" i="12" s="1"/>
  <c r="L10" i="12"/>
  <c r="M10" i="12"/>
  <c r="I11" i="12"/>
  <c r="J11" i="12"/>
  <c r="L11" i="12"/>
  <c r="M11" i="12"/>
  <c r="N11" i="12"/>
  <c r="I12" i="12"/>
  <c r="J12" i="12"/>
  <c r="N12" i="12" s="1"/>
  <c r="L12" i="12"/>
  <c r="M12" i="12"/>
  <c r="I13" i="12"/>
  <c r="J13" i="12"/>
  <c r="L13" i="12"/>
  <c r="M13" i="12"/>
  <c r="N13" i="12"/>
  <c r="N6" i="12"/>
  <c r="M6" i="12"/>
  <c r="L6" i="12"/>
  <c r="I6" i="12"/>
  <c r="J6" i="12"/>
  <c r="H13" i="12"/>
  <c r="H8" i="12"/>
  <c r="H9" i="12" s="1"/>
  <c r="H10" i="12" s="1"/>
  <c r="H11" i="12" s="1"/>
  <c r="H12" i="12" s="1"/>
  <c r="H7" i="12"/>
  <c r="J3" i="9"/>
  <c r="J3" i="10"/>
  <c r="J6" i="10" s="1"/>
  <c r="K67" i="7"/>
  <c r="L21" i="7"/>
  <c r="L22" i="7" s="1"/>
  <c r="L23" i="7" s="1"/>
  <c r="L24" i="7" s="1"/>
  <c r="K24" i="7" s="1"/>
  <c r="I11" i="14" l="1"/>
  <c r="Q50" i="14" s="1"/>
  <c r="L24" i="13"/>
  <c r="M24" i="13" s="1"/>
  <c r="J24" i="13"/>
  <c r="N24" i="13" s="1"/>
  <c r="H25" i="13"/>
  <c r="L23" i="13"/>
  <c r="M23" i="13" s="1"/>
  <c r="J23" i="13"/>
  <c r="N23" i="13" s="1"/>
  <c r="J22" i="13"/>
  <c r="N22" i="13" s="1"/>
  <c r="L22" i="13"/>
  <c r="M22" i="13" s="1"/>
  <c r="J16" i="13"/>
  <c r="N16" i="13" s="1"/>
  <c r="H17" i="13"/>
  <c r="L16" i="13"/>
  <c r="M16" i="13" s="1"/>
  <c r="I16" i="13"/>
  <c r="J7" i="13"/>
  <c r="N7" i="13" s="1"/>
  <c r="L7" i="13"/>
  <c r="M7" i="13" s="1"/>
  <c r="H8" i="13"/>
  <c r="K22" i="7"/>
  <c r="K21" i="7"/>
  <c r="M21" i="7" s="1"/>
  <c r="N21" i="7" s="1"/>
  <c r="K23" i="7"/>
  <c r="M24" i="7"/>
  <c r="N24" i="7" s="1"/>
  <c r="L25" i="7"/>
  <c r="K25" i="7" s="1"/>
  <c r="M23" i="7"/>
  <c r="N23" i="7" s="1"/>
  <c r="J2" i="10"/>
  <c r="R3" i="10"/>
  <c r="M14" i="10" s="1"/>
  <c r="J25" i="13" l="1"/>
  <c r="N25" i="13" s="1"/>
  <c r="I25" i="13"/>
  <c r="H26" i="13"/>
  <c r="L25" i="13"/>
  <c r="M25" i="13" s="1"/>
  <c r="L17" i="13"/>
  <c r="M17" i="13" s="1"/>
  <c r="J17" i="13"/>
  <c r="N17" i="13" s="1"/>
  <c r="H18" i="13"/>
  <c r="I17" i="13"/>
  <c r="I8" i="13"/>
  <c r="J8" i="13"/>
  <c r="N8" i="13" s="1"/>
  <c r="H9" i="13"/>
  <c r="L8" i="13"/>
  <c r="M8" i="13" s="1"/>
  <c r="L26" i="7"/>
  <c r="K26" i="7" s="1"/>
  <c r="M25" i="7"/>
  <c r="N25" i="7" s="1"/>
  <c r="M22" i="7"/>
  <c r="N22" i="7" s="1"/>
  <c r="G2" i="10"/>
  <c r="G5" i="10" s="1"/>
  <c r="H27" i="13" l="1"/>
  <c r="I26" i="13"/>
  <c r="L26" i="13"/>
  <c r="M26" i="13" s="1"/>
  <c r="J26" i="13"/>
  <c r="N26" i="13" s="1"/>
  <c r="L18" i="13"/>
  <c r="M18" i="13" s="1"/>
  <c r="J18" i="13"/>
  <c r="N18" i="13" s="1"/>
  <c r="I18" i="13"/>
  <c r="H19" i="13"/>
  <c r="L9" i="13"/>
  <c r="M9" i="13" s="1"/>
  <c r="I9" i="13"/>
  <c r="J9" i="13"/>
  <c r="N9" i="13" s="1"/>
  <c r="H10" i="13"/>
  <c r="M26" i="7"/>
  <c r="N26" i="7" s="1"/>
  <c r="L27" i="7"/>
  <c r="K27" i="7" s="1"/>
  <c r="M8" i="10"/>
  <c r="M10" i="10"/>
  <c r="M12" i="10" s="1"/>
  <c r="M10" i="11"/>
  <c r="M9" i="11"/>
  <c r="P11" i="11"/>
  <c r="P10" i="11"/>
  <c r="B1" i="11" s="1"/>
  <c r="M7" i="11"/>
  <c r="S3" i="11" s="1"/>
  <c r="J5" i="11"/>
  <c r="M4" i="11"/>
  <c r="J4" i="11"/>
  <c r="M3" i="11"/>
  <c r="B3" i="11"/>
  <c r="J2" i="11"/>
  <c r="G2" i="11" s="1"/>
  <c r="E2" i="11" s="1"/>
  <c r="B2" i="11"/>
  <c r="B4" i="11" s="1"/>
  <c r="J1" i="11"/>
  <c r="P3" i="11" s="1"/>
  <c r="I27" i="13" l="1"/>
  <c r="L27" i="13"/>
  <c r="M27" i="13" s="1"/>
  <c r="J27" i="13"/>
  <c r="N27" i="13" s="1"/>
  <c r="L19" i="13"/>
  <c r="M19" i="13" s="1"/>
  <c r="I19" i="13"/>
  <c r="J19" i="13"/>
  <c r="N19" i="13" s="1"/>
  <c r="H20" i="13"/>
  <c r="L10" i="13"/>
  <c r="M10" i="13" s="1"/>
  <c r="J10" i="13"/>
  <c r="N10" i="13" s="1"/>
  <c r="H11" i="13"/>
  <c r="I10" i="13"/>
  <c r="L28" i="7"/>
  <c r="K28" i="7" s="1"/>
  <c r="M27" i="7"/>
  <c r="N27" i="7" s="1"/>
  <c r="P9" i="11"/>
  <c r="H2" i="11"/>
  <c r="C2" i="11"/>
  <c r="H5" i="11" s="1"/>
  <c r="J3" i="11"/>
  <c r="B6" i="11"/>
  <c r="A7" i="11" s="1"/>
  <c r="J4" i="10"/>
  <c r="J1" i="10"/>
  <c r="P15" i="9"/>
  <c r="P12" i="9"/>
  <c r="P14" i="9"/>
  <c r="P14" i="10"/>
  <c r="P12" i="10" s="1"/>
  <c r="P13" i="10"/>
  <c r="P10" i="10"/>
  <c r="M4" i="10"/>
  <c r="B2" i="10" s="1"/>
  <c r="B3" i="10"/>
  <c r="B1" i="10"/>
  <c r="P13" i="9"/>
  <c r="L28" i="13" l="1"/>
  <c r="M28" i="13" s="1"/>
  <c r="I28" i="13"/>
  <c r="J28" i="13"/>
  <c r="N28" i="13" s="1"/>
  <c r="I20" i="13"/>
  <c r="L20" i="13"/>
  <c r="M20" i="13" s="1"/>
  <c r="J20" i="13"/>
  <c r="N20" i="13" s="1"/>
  <c r="H21" i="13"/>
  <c r="H12" i="13"/>
  <c r="L11" i="13"/>
  <c r="M11" i="13" s="1"/>
  <c r="J11" i="13"/>
  <c r="N11" i="13" s="1"/>
  <c r="I11" i="13"/>
  <c r="M28" i="7"/>
  <c r="N28" i="7" s="1"/>
  <c r="L29" i="7"/>
  <c r="K29" i="7" s="1"/>
  <c r="B4" i="10"/>
  <c r="B6" i="10" s="1"/>
  <c r="A7" i="10" s="1"/>
  <c r="M3" i="10"/>
  <c r="P3" i="10"/>
  <c r="P11" i="7"/>
  <c r="H2" i="9"/>
  <c r="H4" i="9" s="1"/>
  <c r="J2" i="9"/>
  <c r="G2" i="9" s="1"/>
  <c r="P9" i="9" s="1"/>
  <c r="J2" i="7"/>
  <c r="I29" i="13" l="1"/>
  <c r="L29" i="13"/>
  <c r="M29" i="13" s="1"/>
  <c r="J29" i="13"/>
  <c r="N29" i="13" s="1"/>
  <c r="I21" i="13"/>
  <c r="L21" i="13"/>
  <c r="M21" i="13" s="1"/>
  <c r="J21" i="13"/>
  <c r="N21" i="13" s="1"/>
  <c r="I12" i="13"/>
  <c r="L12" i="13"/>
  <c r="M12" i="13" s="1"/>
  <c r="H13" i="13"/>
  <c r="J12" i="13"/>
  <c r="N12" i="13" s="1"/>
  <c r="L30" i="7"/>
  <c r="K30" i="7" s="1"/>
  <c r="M29" i="7"/>
  <c r="N29" i="7" s="1"/>
  <c r="C2" i="10"/>
  <c r="E2" i="10"/>
  <c r="H2" i="10"/>
  <c r="H4" i="10" s="1"/>
  <c r="M1" i="9"/>
  <c r="J1" i="9" s="1"/>
  <c r="P3" i="9" s="1"/>
  <c r="M3" i="9"/>
  <c r="M7" i="7"/>
  <c r="P10" i="9"/>
  <c r="B1" i="9" s="1"/>
  <c r="M4" i="9"/>
  <c r="B2" i="9" s="1"/>
  <c r="B3" i="9"/>
  <c r="B3" i="7"/>
  <c r="M4" i="7"/>
  <c r="B2" i="7" s="1"/>
  <c r="M3" i="7"/>
  <c r="P10" i="7"/>
  <c r="J1" i="7"/>
  <c r="P3" i="7" s="1"/>
  <c r="N5" i="6"/>
  <c r="O5" i="6"/>
  <c r="P5" i="6"/>
  <c r="Q5" i="6"/>
  <c r="R5" i="6"/>
  <c r="S5" i="6"/>
  <c r="T5" i="6"/>
  <c r="U5" i="6"/>
  <c r="V5" i="6"/>
  <c r="N6" i="6"/>
  <c r="O6" i="6"/>
  <c r="P6" i="6"/>
  <c r="Q6" i="6"/>
  <c r="R6" i="6"/>
  <c r="S6" i="6"/>
  <c r="T6" i="6"/>
  <c r="U6" i="6"/>
  <c r="V6" i="6"/>
  <c r="N7" i="6"/>
  <c r="O7" i="6"/>
  <c r="P7" i="6"/>
  <c r="Q7" i="6"/>
  <c r="R7" i="6"/>
  <c r="S7" i="6"/>
  <c r="T7" i="6"/>
  <c r="U7" i="6"/>
  <c r="V7" i="6"/>
  <c r="M7" i="6"/>
  <c r="M6" i="6"/>
  <c r="V2" i="6"/>
  <c r="V4" i="6" s="1"/>
  <c r="N2" i="6"/>
  <c r="N3" i="6" s="1"/>
  <c r="O2" i="6"/>
  <c r="O4" i="6" s="1"/>
  <c r="P2" i="6"/>
  <c r="P3" i="6" s="1"/>
  <c r="Q2" i="6"/>
  <c r="Q4" i="6" s="1"/>
  <c r="R2" i="6"/>
  <c r="R3" i="6" s="1"/>
  <c r="S2" i="6"/>
  <c r="S3" i="6" s="1"/>
  <c r="T2" i="6"/>
  <c r="T3" i="6" s="1"/>
  <c r="U2" i="6"/>
  <c r="U3" i="6" s="1"/>
  <c r="M2" i="6"/>
  <c r="M3" i="6" s="1"/>
  <c r="K4" i="4"/>
  <c r="K8" i="4" s="1"/>
  <c r="L30" i="13" l="1"/>
  <c r="M30" i="13" s="1"/>
  <c r="H31" i="13"/>
  <c r="J30" i="13"/>
  <c r="N30" i="13" s="1"/>
  <c r="I30" i="13"/>
  <c r="L13" i="13"/>
  <c r="M13" i="13" s="1"/>
  <c r="J13" i="13"/>
  <c r="N13" i="13" s="1"/>
  <c r="I13" i="13"/>
  <c r="M30" i="7"/>
  <c r="N30" i="7" s="1"/>
  <c r="L31" i="7"/>
  <c r="K31" i="7" s="1"/>
  <c r="J4" i="7"/>
  <c r="J3" i="7"/>
  <c r="S3" i="7"/>
  <c r="J5" i="7"/>
  <c r="B1" i="7"/>
  <c r="B4" i="7" s="1"/>
  <c r="B6" i="7" s="1"/>
  <c r="A7" i="7" s="1"/>
  <c r="G2" i="7"/>
  <c r="P9" i="7" s="1"/>
  <c r="H2" i="7"/>
  <c r="P9" i="10"/>
  <c r="C2" i="9"/>
  <c r="E2" i="9"/>
  <c r="B4" i="9"/>
  <c r="B6" i="9" s="1"/>
  <c r="A7" i="9" s="1"/>
  <c r="C2" i="7"/>
  <c r="H5" i="7" s="1"/>
  <c r="Q3" i="6"/>
  <c r="O3" i="6"/>
  <c r="S4" i="6"/>
  <c r="R4" i="6"/>
  <c r="V3" i="6"/>
  <c r="P4" i="6"/>
  <c r="M4" i="6"/>
  <c r="T4" i="6"/>
  <c r="N4" i="6"/>
  <c r="U4" i="6"/>
  <c r="M5" i="6"/>
  <c r="P7" i="4"/>
  <c r="P9" i="5"/>
  <c r="P7" i="5" s="1"/>
  <c r="H2" i="5"/>
  <c r="H2" i="4"/>
  <c r="H32" i="13" l="1"/>
  <c r="L31" i="13"/>
  <c r="M31" i="13" s="1"/>
  <c r="I31" i="13"/>
  <c r="J31" i="13"/>
  <c r="N31" i="13" s="1"/>
  <c r="L32" i="7"/>
  <c r="K32" i="7" s="1"/>
  <c r="M31" i="7"/>
  <c r="N31" i="7" s="1"/>
  <c r="H1" i="4"/>
  <c r="K1" i="4" s="1"/>
  <c r="E2" i="7"/>
  <c r="H1" i="5"/>
  <c r="K1" i="5" s="1"/>
  <c r="K3" i="5" s="1"/>
  <c r="R3" i="3"/>
  <c r="R2" i="3"/>
  <c r="C2" i="3" s="1"/>
  <c r="I32" i="13" l="1"/>
  <c r="H33" i="13"/>
  <c r="L32" i="13"/>
  <c r="M32" i="13" s="1"/>
  <c r="J32" i="13"/>
  <c r="N32" i="13" s="1"/>
  <c r="L33" i="7"/>
  <c r="K33" i="7" s="1"/>
  <c r="M32" i="7"/>
  <c r="N32" i="7" s="1"/>
  <c r="K3" i="4"/>
  <c r="K2" i="4" s="1"/>
  <c r="E2" i="4" s="1"/>
  <c r="E3" i="4"/>
  <c r="K5" i="4" s="1"/>
  <c r="E3" i="5"/>
  <c r="K7" i="5"/>
  <c r="K6" i="5"/>
  <c r="K2" i="5"/>
  <c r="K9" i="5" s="1"/>
  <c r="S2" i="3"/>
  <c r="R1" i="3" s="1"/>
  <c r="I33" i="13" l="1"/>
  <c r="J33" i="13"/>
  <c r="N33" i="13" s="1"/>
  <c r="H34" i="13"/>
  <c r="L33" i="13"/>
  <c r="M33" i="13" s="1"/>
  <c r="L34" i="7"/>
  <c r="K34" i="7" s="1"/>
  <c r="M33" i="7"/>
  <c r="N33" i="7" s="1"/>
  <c r="K7" i="4"/>
  <c r="K6" i="4"/>
  <c r="B2" i="3"/>
  <c r="A2" i="3"/>
  <c r="E2" i="5"/>
  <c r="K5" i="5" s="1"/>
  <c r="K9" i="4"/>
  <c r="T2" i="2"/>
  <c r="K2" i="2" s="1"/>
  <c r="R2" i="2"/>
  <c r="Q2" i="2"/>
  <c r="H2" i="1"/>
  <c r="J34" i="13" l="1"/>
  <c r="N34" i="13" s="1"/>
  <c r="L34" i="13"/>
  <c r="M34" i="13" s="1"/>
  <c r="I34" i="13"/>
  <c r="H35" i="13"/>
  <c r="M34" i="7"/>
  <c r="N34" i="7" s="1"/>
  <c r="L35" i="7"/>
  <c r="K35" i="7" s="1"/>
  <c r="D2" i="3"/>
  <c r="O2" i="1"/>
  <c r="A2" i="1" s="1"/>
  <c r="V2" i="1"/>
  <c r="U2" i="1"/>
  <c r="C2" i="1"/>
  <c r="I35" i="13" l="1"/>
  <c r="J35" i="13"/>
  <c r="N35" i="13" s="1"/>
  <c r="L35" i="13"/>
  <c r="M35" i="13" s="1"/>
  <c r="L36" i="7"/>
  <c r="K36" i="7" s="1"/>
  <c r="M35" i="7"/>
  <c r="N35" i="7" s="1"/>
  <c r="E2" i="3"/>
  <c r="AA2" i="3" s="1"/>
  <c r="Z2" i="3" s="1"/>
  <c r="F2" i="3"/>
  <c r="B2" i="1"/>
  <c r="M36" i="7" l="1"/>
  <c r="N36" i="7" s="1"/>
  <c r="L37" i="7"/>
  <c r="K37" i="7" s="1"/>
  <c r="W2" i="3"/>
  <c r="Y2" i="3"/>
  <c r="X2" i="3"/>
  <c r="D2" i="1"/>
  <c r="E2" i="1" s="1"/>
  <c r="L38" i="7" l="1"/>
  <c r="K38" i="7" s="1"/>
  <c r="M37" i="7"/>
  <c r="N37" i="7" s="1"/>
  <c r="AB2" i="3"/>
  <c r="U2" i="3"/>
  <c r="T2" i="3"/>
  <c r="V2" i="3"/>
  <c r="T2" i="1"/>
  <c r="S3" i="1"/>
  <c r="L39" i="7" l="1"/>
  <c r="K39" i="7" s="1"/>
  <c r="M38" i="7"/>
  <c r="N38" i="7" s="1"/>
  <c r="F2" i="1"/>
  <c r="R2" i="1"/>
  <c r="S2" i="1" s="1"/>
  <c r="Y2" i="1" s="1"/>
  <c r="W2" i="1"/>
  <c r="M39" i="7" l="1"/>
  <c r="N39" i="7" s="1"/>
  <c r="L40" i="7"/>
  <c r="K40" i="7" s="1"/>
  <c r="X2" i="1"/>
  <c r="Z2" i="1"/>
  <c r="P2" i="2"/>
  <c r="N2" i="2" s="1"/>
  <c r="M40" i="7" l="1"/>
  <c r="N40" i="7" s="1"/>
  <c r="L41" i="7"/>
  <c r="K41" i="7" s="1"/>
  <c r="L2" i="2"/>
  <c r="V2" i="2"/>
  <c r="L42" i="7" l="1"/>
  <c r="K42" i="7" s="1"/>
  <c r="M41" i="7"/>
  <c r="N41" i="7" s="1"/>
  <c r="M42" i="7" l="1"/>
  <c r="N42" i="7" s="1"/>
  <c r="L43" i="7"/>
  <c r="K43" i="7" s="1"/>
  <c r="L44" i="7" l="1"/>
  <c r="K44" i="7" s="1"/>
  <c r="M43" i="7"/>
  <c r="N43" i="7" s="1"/>
  <c r="M44" i="7" l="1"/>
  <c r="N44" i="7" s="1"/>
  <c r="L45" i="7"/>
  <c r="K45" i="7" s="1"/>
  <c r="L46" i="7" l="1"/>
  <c r="K46" i="7" s="1"/>
  <c r="M45" i="7"/>
  <c r="N45" i="7" s="1"/>
  <c r="L47" i="7" l="1"/>
  <c r="K47" i="7" s="1"/>
  <c r="M46" i="7"/>
  <c r="N46" i="7" s="1"/>
  <c r="L48" i="7" l="1"/>
  <c r="K48" i="7" s="1"/>
  <c r="M47" i="7"/>
  <c r="N47" i="7" s="1"/>
  <c r="M48" i="7" l="1"/>
  <c r="N48" i="7" s="1"/>
  <c r="L49" i="7"/>
  <c r="K49" i="7" s="1"/>
  <c r="M49" i="7" l="1"/>
  <c r="N49" i="7" s="1"/>
  <c r="L50" i="7"/>
  <c r="K50" i="7" s="1"/>
  <c r="M50" i="7" l="1"/>
  <c r="N50" i="7" s="1"/>
  <c r="L51" i="7"/>
  <c r="K51" i="7" s="1"/>
  <c r="L52" i="7" l="1"/>
  <c r="K52" i="7" s="1"/>
  <c r="M51" i="7"/>
  <c r="N51" i="7" s="1"/>
  <c r="M52" i="7" l="1"/>
  <c r="N52" i="7" s="1"/>
  <c r="L53" i="7"/>
  <c r="K53" i="7" s="1"/>
  <c r="L54" i="7" l="1"/>
  <c r="K54" i="7" s="1"/>
  <c r="M53" i="7"/>
  <c r="N53" i="7" s="1"/>
  <c r="M54" i="7" l="1"/>
  <c r="N54" i="7" s="1"/>
  <c r="L55" i="7"/>
  <c r="K55" i="7" s="1"/>
  <c r="M55" i="7" l="1"/>
  <c r="N55" i="7" s="1"/>
  <c r="L56" i="7"/>
  <c r="K56" i="7" s="1"/>
  <c r="M56" i="7" l="1"/>
  <c r="N56" i="7" s="1"/>
  <c r="L57" i="7"/>
  <c r="K57" i="7" s="1"/>
  <c r="L58" i="7" l="1"/>
  <c r="K58" i="7" s="1"/>
  <c r="M57" i="7"/>
  <c r="N57" i="7" s="1"/>
  <c r="L59" i="7" l="1"/>
  <c r="K59" i="7" s="1"/>
  <c r="M58" i="7"/>
  <c r="N58" i="7" s="1"/>
  <c r="M59" i="7" l="1"/>
  <c r="N59" i="7" s="1"/>
  <c r="L60" i="7"/>
  <c r="K60" i="7" s="1"/>
  <c r="M60" i="7" l="1"/>
  <c r="N60" i="7" s="1"/>
  <c r="L61" i="7"/>
  <c r="K61" i="7" s="1"/>
  <c r="L62" i="7" l="1"/>
  <c r="K62" i="7" s="1"/>
  <c r="M61" i="7"/>
  <c r="N61" i="7" s="1"/>
  <c r="L63" i="7" l="1"/>
  <c r="K63" i="7" s="1"/>
  <c r="M62" i="7"/>
  <c r="N62" i="7" s="1"/>
  <c r="M63" i="7" l="1"/>
  <c r="N63" i="7" s="1"/>
  <c r="L64" i="7"/>
  <c r="K64" i="7" s="1"/>
  <c r="M64" i="7" l="1"/>
  <c r="N64" i="7" s="1"/>
  <c r="L65" i="7"/>
  <c r="K65" i="7" s="1"/>
  <c r="L66" i="7" l="1"/>
  <c r="M65" i="7"/>
  <c r="N65" i="7" s="1"/>
  <c r="M67" i="7" l="1"/>
  <c r="N67" i="7" s="1"/>
  <c r="K66" i="7"/>
  <c r="M66" i="7"/>
  <c r="N66" i="7" s="1"/>
  <c r="D25" i="14"/>
  <c r="E25" i="14" s="1"/>
  <c r="K52" i="14" s="1"/>
</calcChain>
</file>

<file path=xl/sharedStrings.xml><?xml version="1.0" encoding="utf-8"?>
<sst xmlns="http://schemas.openxmlformats.org/spreadsheetml/2006/main" count="488" uniqueCount="212">
  <si>
    <t>ea</t>
  </si>
  <si>
    <t>eb</t>
  </si>
  <si>
    <t>ec</t>
  </si>
  <si>
    <t>delta</t>
  </si>
  <si>
    <t>Bv</t>
  </si>
  <si>
    <t>a</t>
  </si>
  <si>
    <t>b</t>
  </si>
  <si>
    <t>c</t>
  </si>
  <si>
    <t>d</t>
  </si>
  <si>
    <t>e^2</t>
  </si>
  <si>
    <t>mm</t>
  </si>
  <si>
    <t>h</t>
  </si>
  <si>
    <t>P</t>
  </si>
  <si>
    <t>BV</t>
  </si>
  <si>
    <t>me</t>
  </si>
  <si>
    <t>n</t>
  </si>
  <si>
    <t>Difference=1-(v/c)</t>
  </si>
  <si>
    <t>B</t>
  </si>
  <si>
    <t>r</t>
  </si>
  <si>
    <t>ms</t>
  </si>
  <si>
    <t>mc</t>
  </si>
  <si>
    <t>mv</t>
  </si>
  <si>
    <t>difmas</t>
  </si>
  <si>
    <t>check mass rule</t>
  </si>
  <si>
    <t>check r rule</t>
  </si>
  <si>
    <t>check ah rule</t>
  </si>
  <si>
    <t>x</t>
  </si>
  <si>
    <t>W</t>
  </si>
  <si>
    <t>Wr</t>
  </si>
  <si>
    <t>DELTA</t>
  </si>
  <si>
    <t>ed</t>
  </si>
  <si>
    <t>k</t>
  </si>
  <si>
    <t>m</t>
  </si>
  <si>
    <t>M</t>
  </si>
  <si>
    <t>Q</t>
  </si>
  <si>
    <t>Check nr 1</t>
  </si>
  <si>
    <t>Check nr 2</t>
  </si>
  <si>
    <t>Rel</t>
  </si>
  <si>
    <t>kms</t>
  </si>
  <si>
    <t>W(h)</t>
  </si>
  <si>
    <t>W(En)</t>
  </si>
  <si>
    <t>Bv-</t>
  </si>
  <si>
    <t>Delta W</t>
  </si>
  <si>
    <t>f1</t>
  </si>
  <si>
    <t>f2</t>
  </si>
  <si>
    <t>f3</t>
  </si>
  <si>
    <t>D</t>
  </si>
  <si>
    <t>L</t>
  </si>
  <si>
    <t>A</t>
  </si>
  <si>
    <t>C</t>
  </si>
  <si>
    <t>Delta</t>
  </si>
  <si>
    <t>Beta</t>
  </si>
  <si>
    <t>e</t>
  </si>
  <si>
    <t>mi</t>
  </si>
  <si>
    <t>Relative</t>
  </si>
  <si>
    <t>MC</t>
  </si>
  <si>
    <t>MS</t>
  </si>
  <si>
    <t>kMS</t>
  </si>
  <si>
    <t>mab</t>
  </si>
  <si>
    <t>Particle</t>
  </si>
  <si>
    <t>e [cm*√dyn]</t>
  </si>
  <si>
    <t>e² [cm*MeV]</t>
  </si>
  <si>
    <t>m₀ [MeV/c²]</t>
  </si>
  <si>
    <t>mₛ [MeV/c²]</t>
  </si>
  <si>
    <t>mc [MeV/c²]</t>
  </si>
  <si>
    <t>β</t>
  </si>
  <si>
    <t>Electron</t>
  </si>
  <si>
    <t>Proton</t>
  </si>
  <si>
    <t>−1.001159652</t>
  </si>
  <si>
    <t>½</t>
  </si>
  <si>
    <t>r [cm]</t>
  </si>
  <si>
    <t>W [MeV]</t>
  </si>
  <si>
    <t>Constant</t>
  </si>
  <si>
    <t>Value</t>
  </si>
  <si>
    <t>c [cm/s]</t>
  </si>
  <si>
    <t>ħ [MeV*s]</t>
  </si>
  <si>
    <t>Mₛ [MeV/c²]</t>
  </si>
  <si>
    <t> μ [μᵦ]</t>
  </si>
  <si>
    <t>μᵦ [cm²*√dyn]</t>
  </si>
  <si>
    <t>mₘ [MeV/c²]</t>
  </si>
  <si>
    <t>B [v/c]</t>
  </si>
  <si>
    <t>M0</t>
  </si>
  <si>
    <t xml:space="preserve"> Relative B</t>
  </si>
  <si>
    <t>γ</t>
  </si>
  <si>
    <t>m₀ₑ [MeV/c²]</t>
  </si>
  <si>
    <t>m₀ₚ [MeV/c²]</t>
  </si>
  <si>
    <t>Mₛₑ [MeV/c²]</t>
  </si>
  <si>
    <t>mcₑ [MeV/c²]</t>
  </si>
  <si>
    <t>Wₑ [MeV]</t>
  </si>
  <si>
    <t>Gamma</t>
  </si>
  <si>
    <t>Mi testowe</t>
  </si>
  <si>
    <t>r counted</t>
  </si>
  <si>
    <t>mie</t>
  </si>
  <si>
    <t>M(erg)</t>
  </si>
  <si>
    <t>e^2(erg)</t>
  </si>
  <si>
    <t>erg</t>
  </si>
  <si>
    <t>m(erg)</t>
  </si>
  <si>
    <t>h(erg)</t>
  </si>
  <si>
    <t>DT</t>
  </si>
  <si>
    <t>rp</t>
  </si>
  <si>
    <t>N</t>
  </si>
  <si>
    <t>Ms</t>
  </si>
  <si>
    <t>g</t>
  </si>
  <si>
    <t>mip</t>
  </si>
  <si>
    <t>mib</t>
  </si>
  <si>
    <t>z</t>
  </si>
  <si>
    <t>min</t>
  </si>
  <si>
    <t>zd</t>
  </si>
  <si>
    <t>rx</t>
  </si>
  <si>
    <t>DE</t>
  </si>
  <si>
    <t>beta_neu</t>
  </si>
  <si>
    <t>r (cm)</t>
  </si>
  <si>
    <t>me(rel)</t>
  </si>
  <si>
    <t>mp</t>
  </si>
  <si>
    <t>mp(rel)</t>
  </si>
  <si>
    <t>test</t>
  </si>
  <si>
    <t>e2</t>
  </si>
  <si>
    <t>The spin of a shell atomic electron:</t>
  </si>
  <si>
    <t>Sₑ=mₑγβcr, where  Sₑ=½ħ  ;  γ=1/√(1-β²)  ;  β=v/c</t>
  </si>
  <si>
    <t>Sₑ=mₑγβcr</t>
  </si>
  <si>
    <t>where: Sₑ=½ħ  ;  γ=1/√(1-β²)  ;  β=v/c</t>
  </si>
  <si>
    <t>W [keV]</t>
  </si>
  <si>
    <r>
      <t>v [10</t>
    </r>
    <r>
      <rPr>
        <vertAlign val="superscript"/>
        <sz val="11"/>
        <color theme="1"/>
        <rFont val="Calibri"/>
        <family val="2"/>
        <scheme val="minor"/>
      </rPr>
      <t xml:space="preserve">10 </t>
    </r>
    <r>
      <rPr>
        <sz val="11"/>
        <color theme="1"/>
        <rFont val="Calibri"/>
        <family val="2"/>
        <scheme val="minor"/>
      </rPr>
      <t>cm/s]</t>
    </r>
  </si>
  <si>
    <t>Velocity-radius dependence in free electron and its binding energy [08.12.2018]</t>
  </si>
  <si>
    <r>
      <t>r [10</t>
    </r>
    <r>
      <rPr>
        <vertAlign val="superscript"/>
        <sz val="11"/>
        <color theme="1"/>
        <rFont val="Calibri"/>
        <family val="2"/>
        <scheme val="minor"/>
      </rPr>
      <t xml:space="preserve">-12 </t>
    </r>
    <r>
      <rPr>
        <sz val="11"/>
        <color theme="1"/>
        <rFont val="Calibri"/>
        <family val="2"/>
        <scheme val="minor"/>
      </rPr>
      <t>cm]</t>
    </r>
  </si>
  <si>
    <t>rn</t>
  </si>
  <si>
    <t>Edec</t>
  </si>
  <si>
    <t>We</t>
  </si>
  <si>
    <t>Wp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</si>
  <si>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ん</t>
    </r>
  </si>
  <si>
    <r>
      <t>m [m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]</t>
    </r>
  </si>
  <si>
    <t>M [MeV]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</si>
  <si>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 [MeV]</t>
    </r>
  </si>
  <si>
    <t>g calc</t>
  </si>
  <si>
    <t>Zn</t>
  </si>
  <si>
    <t>dp</t>
  </si>
  <si>
    <t>Wpr</t>
  </si>
  <si>
    <t>ds</t>
  </si>
  <si>
    <t>dc00.</t>
  </si>
  <si>
    <t>alfa</t>
  </si>
  <si>
    <t>alfa(deg)</t>
  </si>
  <si>
    <t>+1</t>
  </si>
  <si>
    <t>0</t>
  </si>
  <si>
    <t>N  [cm]</t>
  </si>
  <si>
    <t>Permanent</t>
  </si>
  <si>
    <t>84, 84, 12</t>
  </si>
  <si>
    <t>90, 90, 90, 90</t>
  </si>
  <si>
    <t>Z</t>
  </si>
  <si>
    <t>q [ℯ]</t>
  </si>
  <si>
    <r>
      <t>μ [μ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]</t>
    </r>
  </si>
  <si>
    <t>Name</t>
  </si>
  <si>
    <t>electron</t>
  </si>
  <si>
    <t>proton</t>
  </si>
  <si>
    <t>neutron</t>
  </si>
  <si>
    <t>W [MℯV]</t>
  </si>
  <si>
    <t>erg [MℯV]</t>
  </si>
  <si>
    <t>ħ  [MℯV*s]</t>
  </si>
  <si>
    <t>ℯ [cm √dyn]</t>
  </si>
  <si>
    <t>Angles [Deg]</t>
  </si>
  <si>
    <t>reder</t>
  </si>
  <si>
    <t>blacker</t>
  </si>
  <si>
    <t>-1</t>
  </si>
  <si>
    <t>neuter</t>
  </si>
  <si>
    <t>?</t>
  </si>
  <si>
    <t>ST1</t>
  </si>
  <si>
    <t>ST2</t>
  </si>
  <si>
    <t>xr</t>
  </si>
  <si>
    <t>xb</t>
  </si>
  <si>
    <t>spr</t>
  </si>
  <si>
    <t>1-β</t>
  </si>
  <si>
    <t>MℯV [erg]</t>
  </si>
  <si>
    <t>ℳ [MℯV]</t>
  </si>
  <si>
    <r>
      <t>ℯ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[MℯV]</t>
    </r>
  </si>
  <si>
    <r>
      <t>μ</t>
    </r>
    <r>
      <rPr>
        <b/>
        <vertAlign val="subscript"/>
        <sz val="11"/>
        <color rgb="FF222222"/>
        <rFont val="Calibri"/>
        <family val="2"/>
      </rPr>
      <t>B</t>
    </r>
    <r>
      <rPr>
        <b/>
        <sz val="11"/>
        <color rgb="FF222222"/>
        <rFont val="Calibri"/>
        <family val="2"/>
      </rPr>
      <t xml:space="preserve"> [cm</t>
    </r>
    <r>
      <rPr>
        <b/>
        <vertAlign val="superscript"/>
        <sz val="11"/>
        <color rgb="FF222222"/>
        <rFont val="Calibri"/>
        <family val="2"/>
      </rPr>
      <t xml:space="preserve">2 </t>
    </r>
    <r>
      <rPr>
        <b/>
        <sz val="11"/>
        <color rgb="FF222222"/>
        <rFont val="Calibri"/>
        <family val="2"/>
      </rPr>
      <t>√dyn]</t>
    </r>
  </si>
  <si>
    <t>W Rule</t>
  </si>
  <si>
    <t>-</t>
  </si>
  <si>
    <t>+</t>
  </si>
  <si>
    <t>Tetrahedron</t>
  </si>
  <si>
    <t>S = aħ</t>
  </si>
  <si>
    <r>
      <t>γ = 1/√(1-β</t>
    </r>
    <r>
      <rPr>
        <b/>
        <vertAlign val="superscript"/>
        <sz val="20"/>
        <color theme="1"/>
        <rFont val="Calibri"/>
        <family val="2"/>
        <scheme val="minor"/>
      </rPr>
      <t>2</t>
    </r>
    <r>
      <rPr>
        <b/>
        <sz val="20"/>
        <color theme="1"/>
        <rFont val="Calibri"/>
        <family val="2"/>
        <scheme val="minor"/>
      </rPr>
      <t>)</t>
    </r>
  </si>
  <si>
    <r>
      <t>N = Sc/m</t>
    </r>
    <r>
      <rPr>
        <b/>
        <vertAlign val="subscript"/>
        <sz val="20"/>
        <color theme="1"/>
        <rFont val="Calibri"/>
        <family val="2"/>
        <scheme val="minor"/>
      </rPr>
      <t>0</t>
    </r>
  </si>
  <si>
    <t>Bar size dependency:</t>
  </si>
  <si>
    <t>N = βγr</t>
  </si>
  <si>
    <t>Magnetic momentum:</t>
  </si>
  <si>
    <t>Gamma:</t>
  </si>
  <si>
    <t>β:</t>
  </si>
  <si>
    <t>Bar size:</t>
  </si>
  <si>
    <t>Spin:</t>
  </si>
  <si>
    <t>μ = ZℯN</t>
  </si>
  <si>
    <t>Binding energy:</t>
  </si>
  <si>
    <r>
      <t>W = dℯ</t>
    </r>
    <r>
      <rPr>
        <b/>
        <vertAlign val="superscript"/>
        <sz val="20"/>
        <color theme="1"/>
        <rFont val="Calibri"/>
        <family val="2"/>
        <scheme val="minor"/>
      </rPr>
      <t>2</t>
    </r>
    <r>
      <rPr>
        <b/>
        <sz val="20"/>
        <color theme="1"/>
        <rFont val="Calibri"/>
        <family val="2"/>
        <scheme val="minor"/>
      </rPr>
      <t>/r</t>
    </r>
  </si>
  <si>
    <t>Energy equation:</t>
  </si>
  <si>
    <r>
      <t>W+m</t>
    </r>
    <r>
      <rPr>
        <b/>
        <vertAlign val="subscript"/>
        <sz val="18"/>
        <color theme="1"/>
        <rFont val="Calibri"/>
        <family val="2"/>
        <scheme val="minor"/>
      </rPr>
      <t xml:space="preserve">0 </t>
    </r>
    <r>
      <rPr>
        <b/>
        <sz val="18"/>
        <color theme="1"/>
        <rFont val="Calibri"/>
        <family val="2"/>
        <scheme val="minor"/>
      </rPr>
      <t>= W</t>
    </r>
    <r>
      <rPr>
        <b/>
        <vertAlign val="subscript"/>
        <sz val="18"/>
        <color theme="1"/>
        <rFont val="Calibri"/>
        <family val="2"/>
        <scheme val="minor"/>
      </rPr>
      <t>h</t>
    </r>
    <r>
      <rPr>
        <b/>
        <sz val="18"/>
        <color theme="1"/>
        <rFont val="Calibri"/>
        <family val="2"/>
        <scheme val="minor"/>
      </rPr>
      <t>+m</t>
    </r>
    <r>
      <rPr>
        <b/>
        <vertAlign val="subscript"/>
        <sz val="18"/>
        <color theme="1"/>
        <rFont val="Calibri"/>
        <family val="2"/>
        <scheme val="minor"/>
      </rPr>
      <t>Int</t>
    </r>
  </si>
  <si>
    <t>Internal mass:</t>
  </si>
  <si>
    <t>Central mass:</t>
  </si>
  <si>
    <r>
      <t>m</t>
    </r>
    <r>
      <rPr>
        <b/>
        <vertAlign val="subscript"/>
        <sz val="16"/>
        <color theme="1"/>
        <rFont val="Calibri"/>
        <family val="2"/>
        <scheme val="minor"/>
      </rPr>
      <t>c</t>
    </r>
    <r>
      <rPr>
        <b/>
        <sz val="16"/>
        <color theme="1"/>
        <rFont val="Calibri"/>
        <family val="2"/>
        <scheme val="minor"/>
      </rPr>
      <t xml:space="preserve"> = m</t>
    </r>
    <r>
      <rPr>
        <b/>
        <vertAlign val="subscript"/>
        <sz val="16"/>
        <color theme="1"/>
        <rFont val="Calibri"/>
        <family val="2"/>
        <scheme val="minor"/>
      </rPr>
      <t>0</t>
    </r>
    <r>
      <rPr>
        <b/>
        <sz val="16"/>
        <color theme="1"/>
        <rFont val="Calibri"/>
        <family val="2"/>
        <scheme val="minor"/>
      </rPr>
      <t>/(1+(k-1)√(1+(N/r)</t>
    </r>
    <r>
      <rPr>
        <b/>
        <vertAlign val="super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>))</t>
    </r>
  </si>
  <si>
    <r>
      <t>m</t>
    </r>
    <r>
      <rPr>
        <b/>
        <vertAlign val="subscript"/>
        <sz val="20"/>
        <color theme="1"/>
        <rFont val="Calibri"/>
        <family val="2"/>
        <scheme val="minor"/>
      </rPr>
      <t>int</t>
    </r>
    <r>
      <rPr>
        <b/>
        <sz val="20"/>
        <color theme="1"/>
        <rFont val="Calibri"/>
        <family val="2"/>
        <scheme val="minor"/>
      </rPr>
      <t xml:space="preserve"> = m</t>
    </r>
    <r>
      <rPr>
        <b/>
        <vertAlign val="subscript"/>
        <sz val="20"/>
        <color theme="1"/>
        <rFont val="Calibri"/>
        <family val="2"/>
        <scheme val="minor"/>
      </rPr>
      <t>c</t>
    </r>
    <r>
      <rPr>
        <b/>
        <sz val="20"/>
        <color theme="1"/>
        <rFont val="Calibri"/>
        <family val="2"/>
        <scheme val="minor"/>
      </rPr>
      <t>+(k-1)m</t>
    </r>
    <r>
      <rPr>
        <b/>
        <vertAlign val="subscript"/>
        <sz val="20"/>
        <color theme="1"/>
        <rFont val="Calibri"/>
        <family val="2"/>
        <scheme val="minor"/>
      </rPr>
      <t>s</t>
    </r>
  </si>
  <si>
    <t>[21.12.2018] - The basic particles data</t>
  </si>
  <si>
    <t>Spin dependency:</t>
  </si>
  <si>
    <r>
      <rPr>
        <b/>
        <sz val="20"/>
        <color theme="1"/>
        <rFont val="Calibri"/>
        <family val="2"/>
        <scheme val="minor"/>
      </rPr>
      <t>S = m</t>
    </r>
    <r>
      <rPr>
        <b/>
        <vertAlign val="subscript"/>
        <sz val="20"/>
        <color theme="1"/>
        <rFont val="Calibri"/>
        <family val="2"/>
        <scheme val="minor"/>
      </rPr>
      <t>0</t>
    </r>
    <r>
      <rPr>
        <b/>
        <sz val="20"/>
        <color theme="1"/>
        <rFont val="Calibri"/>
        <family val="2"/>
        <scheme val="minor"/>
      </rPr>
      <t>γβr/c</t>
    </r>
  </si>
  <si>
    <t>Neutron decay:</t>
  </si>
  <si>
    <r>
      <t>W</t>
    </r>
    <r>
      <rPr>
        <b/>
        <vertAlign val="subscript"/>
        <sz val="16"/>
        <color theme="1"/>
        <rFont val="Calibri"/>
        <family val="2"/>
        <scheme val="minor"/>
      </rPr>
      <t>n</t>
    </r>
    <r>
      <rPr>
        <b/>
        <sz val="16"/>
        <color theme="1"/>
        <rFont val="Calibri"/>
        <family val="2"/>
        <scheme val="minor"/>
      </rPr>
      <t>+m</t>
    </r>
    <r>
      <rPr>
        <b/>
        <vertAlign val="subscript"/>
        <sz val="16"/>
        <color theme="1"/>
        <rFont val="Calibri"/>
        <family val="2"/>
        <scheme val="minor"/>
      </rPr>
      <t>Intn</t>
    </r>
    <r>
      <rPr>
        <b/>
        <sz val="16"/>
        <color theme="1"/>
        <rFont val="Calibri"/>
        <family val="2"/>
        <scheme val="minor"/>
      </rPr>
      <t>=W</t>
    </r>
    <r>
      <rPr>
        <b/>
        <vertAlign val="subscript"/>
        <sz val="16"/>
        <color theme="1"/>
        <rFont val="Calibri"/>
        <family val="2"/>
        <scheme val="minor"/>
      </rPr>
      <t>p</t>
    </r>
    <r>
      <rPr>
        <b/>
        <sz val="16"/>
        <color theme="1"/>
        <rFont val="Calibri"/>
        <family val="2"/>
        <scheme val="minor"/>
      </rPr>
      <t>+m</t>
    </r>
    <r>
      <rPr>
        <b/>
        <vertAlign val="subscript"/>
        <sz val="16"/>
        <color theme="1"/>
        <rFont val="Calibri"/>
        <family val="2"/>
        <scheme val="minor"/>
      </rPr>
      <t>Intp</t>
    </r>
    <r>
      <rPr>
        <b/>
        <sz val="16"/>
        <color theme="1"/>
        <rFont val="Calibri"/>
        <family val="2"/>
        <scheme val="minor"/>
      </rPr>
      <t>+m</t>
    </r>
    <r>
      <rPr>
        <b/>
        <vertAlign val="subscript"/>
        <sz val="16"/>
        <color theme="1"/>
        <rFont val="Calibri"/>
        <family val="2"/>
        <scheme val="minor"/>
      </rPr>
      <t>0e</t>
    </r>
    <r>
      <rPr>
        <b/>
        <sz val="16"/>
        <color theme="1"/>
        <rFont val="Calibri"/>
        <family val="2"/>
        <scheme val="minor"/>
      </rPr>
      <t>+E</t>
    </r>
    <r>
      <rPr>
        <b/>
        <vertAlign val="subscript"/>
        <sz val="16"/>
        <color theme="1"/>
        <rFont val="Calibri"/>
        <family val="2"/>
        <scheme val="minor"/>
      </rPr>
      <t>Decay</t>
    </r>
  </si>
  <si>
    <t>Structural and magnetic data</t>
  </si>
  <si>
    <t>Mass and energy data</t>
  </si>
  <si>
    <r>
      <t>m</t>
    </r>
    <r>
      <rPr>
        <b/>
        <vertAlign val="subscript"/>
        <sz val="11"/>
        <color theme="0"/>
        <rFont val="Calibri"/>
        <family val="2"/>
        <scheme val="minor"/>
      </rPr>
      <t>0</t>
    </r>
    <r>
      <rPr>
        <b/>
        <sz val="11"/>
        <color theme="0"/>
        <rFont val="Calibri"/>
        <family val="2"/>
        <scheme val="minor"/>
      </rPr>
      <t xml:space="preserve"> [MℯV]</t>
    </r>
  </si>
  <si>
    <r>
      <t>m</t>
    </r>
    <r>
      <rPr>
        <b/>
        <vertAlign val="subscript"/>
        <sz val="11"/>
        <color theme="0"/>
        <rFont val="Calibri"/>
        <family val="2"/>
        <scheme val="minor"/>
      </rPr>
      <t>0</t>
    </r>
    <r>
      <rPr>
        <b/>
        <sz val="11"/>
        <color theme="0"/>
        <rFont val="Calibri"/>
        <family val="2"/>
        <scheme val="minor"/>
      </rPr>
      <t xml:space="preserve"> [Erg]</t>
    </r>
  </si>
  <si>
    <r>
      <t>m</t>
    </r>
    <r>
      <rPr>
        <b/>
        <vertAlign val="subscript"/>
        <sz val="11"/>
        <color theme="0"/>
        <rFont val="Calibri"/>
        <family val="2"/>
        <scheme val="minor"/>
      </rPr>
      <t>Int</t>
    </r>
    <r>
      <rPr>
        <b/>
        <sz val="11"/>
        <color theme="0"/>
        <rFont val="Calibri"/>
        <family val="2"/>
        <scheme val="minor"/>
      </rPr>
      <t xml:space="preserve"> [MℯV]</t>
    </r>
  </si>
  <si>
    <r>
      <t>m</t>
    </r>
    <r>
      <rPr>
        <b/>
        <vertAlign val="subscript"/>
        <sz val="11"/>
        <color theme="0"/>
        <rFont val="Calibri"/>
        <family val="2"/>
        <scheme val="minor"/>
      </rPr>
      <t>B</t>
    </r>
    <r>
      <rPr>
        <b/>
        <sz val="11"/>
        <color theme="0"/>
        <rFont val="Calibri"/>
        <family val="2"/>
        <scheme val="minor"/>
      </rPr>
      <t xml:space="preserve"> (m</t>
    </r>
    <r>
      <rPr>
        <b/>
        <vertAlign val="subscript"/>
        <sz val="11"/>
        <color theme="0"/>
        <rFont val="Calibri"/>
        <family val="2"/>
        <scheme val="minor"/>
      </rPr>
      <t>C</t>
    </r>
    <r>
      <rPr>
        <b/>
        <sz val="11"/>
        <color theme="0"/>
        <rFont val="Calibri"/>
        <family val="2"/>
        <scheme val="minor"/>
      </rPr>
      <t>)</t>
    </r>
    <r>
      <rPr>
        <b/>
        <vertAlign val="subscript"/>
        <sz val="11"/>
        <color theme="0"/>
        <rFont val="Calibri"/>
        <family val="2"/>
        <scheme val="minor"/>
      </rPr>
      <t xml:space="preserve"> </t>
    </r>
    <r>
      <rPr>
        <b/>
        <sz val="11"/>
        <color theme="0"/>
        <rFont val="Calibri"/>
        <family val="2"/>
        <scheme val="minor"/>
      </rPr>
      <t>[MℯV]</t>
    </r>
  </si>
  <si>
    <r>
      <t>m</t>
    </r>
    <r>
      <rPr>
        <b/>
        <vertAlign val="subscript"/>
        <sz val="11"/>
        <color theme="0"/>
        <rFont val="Calibri"/>
        <family val="2"/>
        <scheme val="minor"/>
      </rPr>
      <t xml:space="preserve">R </t>
    </r>
    <r>
      <rPr>
        <b/>
        <sz val="11"/>
        <color theme="0"/>
        <rFont val="Calibri"/>
        <family val="2"/>
        <scheme val="minor"/>
      </rPr>
      <t>(m</t>
    </r>
    <r>
      <rPr>
        <b/>
        <vertAlign val="subscript"/>
        <sz val="11"/>
        <color theme="0"/>
        <rFont val="Calibri"/>
        <family val="2"/>
        <scheme val="minor"/>
      </rPr>
      <t>S</t>
    </r>
    <r>
      <rPr>
        <b/>
        <sz val="11"/>
        <color theme="0"/>
        <rFont val="Calibri"/>
        <family val="2"/>
        <scheme val="minor"/>
      </rPr>
      <t>) [MℯV]</t>
    </r>
  </si>
  <si>
    <r>
      <t>E</t>
    </r>
    <r>
      <rPr>
        <b/>
        <vertAlign val="subscript"/>
        <sz val="11"/>
        <color theme="0"/>
        <rFont val="Calibri"/>
        <family val="2"/>
        <scheme val="minor"/>
      </rPr>
      <t>Decay</t>
    </r>
    <r>
      <rPr>
        <b/>
        <sz val="11"/>
        <color theme="0"/>
        <rFont val="Calibri"/>
        <family val="2"/>
        <scheme val="minor"/>
      </rPr>
      <t xml:space="preserve"> [MℯV]</t>
    </r>
  </si>
  <si>
    <r>
      <t>W</t>
    </r>
    <r>
      <rPr>
        <b/>
        <vertAlign val="subscript"/>
        <sz val="11"/>
        <color theme="0"/>
        <rFont val="Calibri"/>
        <family val="2"/>
        <scheme val="minor"/>
      </rPr>
      <t xml:space="preserve">h </t>
    </r>
    <r>
      <rPr>
        <b/>
        <sz val="11"/>
        <color theme="0"/>
        <rFont val="Calibri"/>
        <family val="2"/>
        <scheme val="minor"/>
      </rPr>
      <t>Rule</t>
    </r>
  </si>
  <si>
    <r>
      <t>β = √(N</t>
    </r>
    <r>
      <rPr>
        <b/>
        <vertAlign val="superscript"/>
        <sz val="18"/>
        <color theme="1"/>
        <rFont val="Calibri"/>
        <family val="2"/>
        <scheme val="minor"/>
      </rPr>
      <t>2</t>
    </r>
    <r>
      <rPr>
        <b/>
        <sz val="18"/>
        <color theme="1"/>
        <rFont val="Calibri"/>
        <family val="2"/>
        <scheme val="minor"/>
      </rPr>
      <t>/(N</t>
    </r>
    <r>
      <rPr>
        <b/>
        <vertAlign val="superscript"/>
        <sz val="18"/>
        <color theme="1"/>
        <rFont val="Calibri"/>
        <family val="2"/>
        <scheme val="minor"/>
      </rPr>
      <t>2</t>
    </r>
    <r>
      <rPr>
        <b/>
        <sz val="18"/>
        <color theme="1"/>
        <rFont val="Calibri"/>
        <family val="2"/>
        <scheme val="minor"/>
      </rPr>
      <t>+r</t>
    </r>
    <r>
      <rPr>
        <b/>
        <vertAlign val="superscript"/>
        <sz val="18"/>
        <color theme="1"/>
        <rFont val="Calibri"/>
        <family val="2"/>
        <scheme val="minor"/>
      </rPr>
      <t>2</t>
    </r>
    <r>
      <rPr>
        <b/>
        <sz val="18"/>
        <color theme="1"/>
        <rFont val="Calibri"/>
        <family val="2"/>
        <scheme val="minor"/>
      </rPr>
      <t>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</si>
</sst>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0.00000E+00"/>
    <numFmt numFmtId="165" formatCode="0.00000000000000E+00"/>
    <numFmt numFmtId="166" formatCode="0.000000E+00"/>
    <numFmt numFmtId="167" formatCode="0.0000000000000000E+00"/>
    <numFmt numFmtId="168" formatCode="0.00000000E+00"/>
    <numFmt numFmtId="169" formatCode="0.000000000E+00"/>
    <numFmt numFmtId="170" formatCode="0.0000000000E+00"/>
    <numFmt numFmtId="171" formatCode="0.00000000000E+00"/>
    <numFmt numFmtId="172" formatCode="0.000000000000000000000E+00"/>
    <numFmt numFmtId="173" formatCode="0.00000000000000"/>
    <numFmt numFmtId="174" formatCode="0.000000000000000"/>
    <numFmt numFmtId="175" formatCode="0.0000000000000000"/>
    <numFmt numFmtId="176" formatCode="0.0000000E+00"/>
    <numFmt numFmtId="177" formatCode="0.0000000000000000000"/>
    <numFmt numFmtId="178" formatCode="0.000000000000000E+00"/>
    <numFmt numFmtId="179" formatCode="0.0000000000000000000000000000E+00"/>
    <numFmt numFmtId="180" formatCode="0.0000E+00"/>
    <numFmt numFmtId="181" formatCode="0.000"/>
    <numFmt numFmtId="182" formatCode="0.0000"/>
    <numFmt numFmtId="183" formatCode="0.00000"/>
    <numFmt numFmtId="184" formatCode="0.000000"/>
    <numFmt numFmtId="185" formatCode="0.0000000000"/>
    <numFmt numFmtId="186" formatCode="0.0"/>
    <numFmt numFmtId="187" formatCode="0.000000000"/>
    <numFmt numFmtId="188" formatCode="0.00000000000"/>
    <numFmt numFmtId="189" formatCode="0.000E+00"/>
    <numFmt numFmtId="190" formatCode="0.000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sz val="11"/>
      <color rgb="FF222222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222222"/>
      <name val="Calibri"/>
      <family val="2"/>
    </font>
    <font>
      <b/>
      <vertAlign val="subscript"/>
      <sz val="11"/>
      <color rgb="FF222222"/>
      <name val="Calibri"/>
      <family val="2"/>
    </font>
    <font>
      <b/>
      <vertAlign val="superscript"/>
      <sz val="11"/>
      <color rgb="FF222222"/>
      <name val="Calibri"/>
      <family val="2"/>
    </font>
    <font>
      <b/>
      <vertAlign val="subscript"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20"/>
      <color theme="1"/>
      <name val="Calibri"/>
      <family val="2"/>
      <scheme val="minor"/>
    </font>
    <font>
      <b/>
      <vertAlign val="subscript"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vertAlign val="subscript"/>
      <sz val="18"/>
      <color theme="1"/>
      <name val="Calibri"/>
      <family val="2"/>
      <scheme val="minor"/>
    </font>
    <font>
      <b/>
      <vertAlign val="superscript"/>
      <sz val="18"/>
      <color theme="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2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0" fillId="0" borderId="0" xfId="0" applyNumberFormat="1"/>
    <xf numFmtId="172" fontId="0" fillId="0" borderId="0" xfId="0" applyNumberFormat="1"/>
    <xf numFmtId="175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164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3" fontId="1" fillId="0" borderId="0" xfId="0" applyNumberFormat="1" applyFont="1" applyAlignment="1">
      <alignment horizontal="center" vertical="center"/>
    </xf>
    <xf numFmtId="174" fontId="1" fillId="0" borderId="0" xfId="0" applyNumberFormat="1" applyFont="1" applyAlignment="1">
      <alignment horizontal="center" vertical="center"/>
    </xf>
    <xf numFmtId="1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185" fontId="0" fillId="0" borderId="0" xfId="0" applyNumberFormat="1" applyAlignment="1">
      <alignment horizontal="center" vertical="center"/>
    </xf>
    <xf numFmtId="17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8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87" fontId="0" fillId="0" borderId="0" xfId="0" applyNumberFormat="1" applyAlignment="1">
      <alignment horizontal="center" vertical="center"/>
    </xf>
    <xf numFmtId="18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89" fontId="0" fillId="0" borderId="0" xfId="0" applyNumberForma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90" fontId="0" fillId="0" borderId="0" xfId="0" applyNumberForma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87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180" fontId="6" fillId="0" borderId="0" xfId="0" applyNumberFormat="1" applyFont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3" fontId="0" fillId="3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183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89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80" fontId="0" fillId="3" borderId="2" xfId="0" applyNumberFormat="1" applyFont="1" applyFill="1" applyBorder="1" applyAlignment="1">
      <alignment horizontal="center" vertical="center"/>
    </xf>
    <xf numFmtId="190" fontId="0" fillId="0" borderId="2" xfId="0" applyNumberFormat="1" applyFont="1" applyBorder="1" applyAlignment="1">
      <alignment horizontal="center" vertical="center"/>
    </xf>
    <xf numFmtId="180" fontId="0" fillId="0" borderId="2" xfId="0" applyNumberFormat="1" applyFont="1" applyBorder="1" applyAlignment="1">
      <alignment horizontal="center" vertical="center"/>
    </xf>
    <xf numFmtId="183" fontId="18" fillId="0" borderId="2" xfId="0" applyNumberFormat="1" applyFont="1" applyBorder="1" applyAlignment="1">
      <alignment horizontal="center" vertical="center"/>
    </xf>
    <xf numFmtId="190" fontId="12" fillId="0" borderId="2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19" fillId="0" borderId="3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</cellXfs>
  <cellStyles count="1">
    <cellStyle name="Normalny" xfId="0" builtinId="0"/>
  </cellStyles>
  <dxfs count="50">
    <dxf>
      <numFmt numFmtId="164" formatCode="0.00000E+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0" formatCode="0.0000000"/>
      <alignment horizontal="center" vertical="center" textRotation="0" wrapText="0" indent="0" justifyLastLine="0" shrinkToFit="0" readingOrder="0"/>
    </dxf>
    <dxf>
      <numFmt numFmtId="166" formatCode="0.00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" formatCode="#\ ?/?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85" formatCode="0.0000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4" formatCode="0.0000000000000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81" formatCode="0.000"/>
      <alignment horizontal="center" vertical="center" textRotation="0" wrapText="0" indent="0" justifyLastLine="0" shrinkToFit="0" readingOrder="0"/>
    </dxf>
    <dxf>
      <numFmt numFmtId="164" formatCode="0.00000E+00"/>
      <alignment horizontal="center" vertical="center" textRotation="0" wrapText="0" indent="0" justifyLastLine="0" shrinkToFit="0" readingOrder="0"/>
    </dxf>
    <dxf>
      <numFmt numFmtId="184" formatCode="0.000000"/>
      <alignment horizontal="center" vertical="center" textRotation="0" wrapText="0" indent="0" justifyLastLine="0" shrinkToFit="0" readingOrder="0"/>
    </dxf>
    <dxf>
      <numFmt numFmtId="174" formatCode="0.000000000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85" formatCode="0.0000000000"/>
      <alignment horizontal="center" vertical="center" textRotation="0" wrapText="0" indent="0" justifyLastLine="0" shrinkToFit="0" readingOrder="0"/>
    </dxf>
    <dxf>
      <numFmt numFmtId="185" formatCode="0.0000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4" formatCode="0.000000000000000"/>
      <alignment horizontal="center" vertical="center" textRotation="0" wrapText="0" indent="0" justifyLastLine="0" shrinkToFit="0" readingOrder="0"/>
    </dxf>
    <dxf>
      <numFmt numFmtId="174" formatCode="0.0000000000000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95250</xdr:rowOff>
    </xdr:to>
    <xdr:sp macro="" textlink="">
      <xdr:nvSpPr>
        <xdr:cNvPr id="6145" name="AutoShape 1" descr="\hbar">
          <a:extLst>
            <a:ext uri="{FF2B5EF4-FFF2-40B4-BE49-F238E27FC236}">
              <a16:creationId xmlns:a16="http://schemas.microsoft.com/office/drawing/2014/main" id="{8FF7811F-E70F-41F3-B40A-DA4BEF777B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D3C0FF-58CF-4135-92C6-89BE1372EC64}" name="Tabela57" displayName="Tabela57" ref="H5:N38" totalsRowCount="1" headerRowDxfId="49" dataDxfId="48">
  <autoFilter ref="H5:N37" xr:uid="{E63C2763-C102-47D9-9F07-BD532AB0BD52}"/>
  <tableColumns count="7">
    <tableColumn id="1" xr3:uid="{84B845B4-84AB-4B53-8793-E2A9C303C6C5}" name="r [cm]" dataDxfId="47" totalsRowDxfId="46">
      <calculatedColumnFormula>H5/10</calculatedColumnFormula>
    </tableColumn>
    <tableColumn id="2" xr3:uid="{C28DE054-E81A-4334-8368-7AF8D95A10A8}" name="β" dataDxfId="45" totalsRowDxfId="44">
      <calculatedColumnFormula>G6/SQRT(H6^2+G6^2)</calculatedColumnFormula>
    </tableColumn>
    <tableColumn id="3" xr3:uid="{3352DED8-BC7A-4E8A-B415-040118239652}" name="W [MeV]" totalsRowDxfId="43">
      <calculatedColumnFormula>D6*E6/H6</calculatedColumnFormula>
    </tableColumn>
    <tableColumn id="4" xr3:uid="{78B7B006-8E6B-4612-B228-BC276486DED1}" name="m [me]" dataDxfId="42" totalsRowDxfId="41"/>
    <tableColumn id="5" xr3:uid="{FA56F2BD-CBDC-48E9-AADA-52886258E2A6}" name="M [MeV]" dataDxfId="40" totalsRowDxfId="39">
      <calculatedColumnFormula>K6*F6/(1+2*SQRT(1+(G6/H6)^2))</calculatedColumnFormula>
    </tableColumn>
    <tableColumn id="6" xr3:uid="{2FC46DAE-A489-4579-A0AF-1644B059DFFF}" name="ms [MeV]" dataDxfId="38" totalsRowDxfId="37">
      <calculatedColumnFormula>(K6*F6-L6)/2</calculatedColumnFormula>
    </tableColumn>
    <tableColumn id="7" xr3:uid="{233D2EA6-DBEB-413D-A510-303568D709DE}" name="Wん" dataDxfId="36" totalsRowDxfId="35">
      <calculatedColumnFormula>J6+F6-K6*F6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66E189-0EDD-4175-BF66-B3B5CEB6C9DA}" name="Tabela1" displayName="Tabela1" ref="G1:H6" totalsRowShown="0" headerRowDxfId="34" dataDxfId="33">
  <autoFilter ref="G1:H6" xr:uid="{507C10A8-F3AE-439C-99DB-8B323D644C22}"/>
  <tableColumns count="2">
    <tableColumn id="1" xr3:uid="{B3CFC353-1803-4624-B33F-B87B2D2ADCD1}" name="Constant" dataDxfId="32"/>
    <tableColumn id="2" xr3:uid="{FF9EE26C-CC73-4324-B540-CCF085A3AF06}" name="Value" dataDxfId="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D01CD2-1B9D-4709-B2F2-D343CFDD36D2}" name="Tabela2" displayName="Tabela2" ref="A1:C13" totalsRowShown="0" headerRowDxfId="30" dataDxfId="29">
  <autoFilter ref="A1:C13" xr:uid="{50C47B05-7210-43DD-BDFF-71BA4D637B65}"/>
  <tableColumns count="3">
    <tableColumn id="1" xr3:uid="{F141DAED-ACBE-47A4-9490-7409D86E63FA}" name="Particle" dataDxfId="28"/>
    <tableColumn id="2" xr3:uid="{C1DB930D-F0FC-4A57-A71F-8C1370AA78DE}" name="Electron" dataDxfId="27"/>
    <tableColumn id="3" xr3:uid="{8E353467-910A-4200-892C-9BF7995D5125}" name="Proton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AA2F7A-66DF-4EC7-9E41-9D7070AF4FC7}" name="Tabela3" displayName="Tabela3" ref="K20:N67" totalsRowShown="0" headerRowDxfId="25" dataDxfId="24">
  <autoFilter ref="K20:N67" xr:uid="{1C35903D-ABB2-420D-98B6-6F864A39779B}"/>
  <tableColumns count="4">
    <tableColumn id="1" xr3:uid="{7EA0E4E6-234B-4750-9A3F-02C1957ECC45}" name="β" dataDxfId="23">
      <calculatedColumnFormula>L21/O21*10000000000</calculatedColumnFormula>
    </tableColumn>
    <tableColumn id="2" xr3:uid="{FF9D99E1-D20D-40F3-B4D9-3A0A852107E4}" name="v [1010 cm/s]" dataDxfId="22">
      <calculatedColumnFormula>L20+(O21-L20)/2</calculatedColumnFormula>
    </tableColumn>
    <tableColumn id="3" xr3:uid="{92F3365A-29D1-4143-BDC2-BEE029C40AC0}" name="r [10-12 cm]" dataDxfId="21">
      <calculatedColumnFormula>S21*SQRT(1-K21^2)/K21*10^12</calculatedColumnFormula>
    </tableColumn>
    <tableColumn id="4" xr3:uid="{BEAEE875-FCE5-4CE3-857C-213DFF54AFD5}" name="W [keV]" dataDxfId="20">
      <calculatedColumnFormula>1000*P21*Q21/M21*10^12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D8ABEE-605D-40BA-929D-673D41AD042E}" name="Tabela5" displayName="Tabela5" ref="H5:N13" totalsRowShown="0" headerRowDxfId="19" dataDxfId="18">
  <autoFilter ref="H5:N13" xr:uid="{E63C2763-C102-47D9-9F07-BD532AB0BD52}"/>
  <tableColumns count="7">
    <tableColumn id="1" xr3:uid="{300AB514-BD38-4F64-982D-73B0936D7B8E}" name="r [cm]" dataDxfId="17">
      <calculatedColumnFormula>H5/10</calculatedColumnFormula>
    </tableColumn>
    <tableColumn id="2" xr3:uid="{C5BA1B7C-5417-4095-9EE3-C3AF2BAE1FEB}" name="β" dataDxfId="16">
      <calculatedColumnFormula>G6/SQRT(H6^2+G6^2)</calculatedColumnFormula>
    </tableColumn>
    <tableColumn id="3" xr3:uid="{40F60DE2-B61E-457F-8056-55D3D0466460}" name="W [MeV]">
      <calculatedColumnFormula>D6*E6/H6</calculatedColumnFormula>
    </tableColumn>
    <tableColumn id="4" xr3:uid="{9BDC80B5-B6C2-4B6C-BB2C-237D479BCF92}" name="m [me]" dataDxfId="15"/>
    <tableColumn id="5" xr3:uid="{BC11CA67-1E86-4376-9104-7D35D52EE83A}" name="M [MeV]" dataDxfId="14">
      <calculatedColumnFormula>K6*F6/(1+2*SQRT(1+(G6/H6)^2))</calculatedColumnFormula>
    </tableColumn>
    <tableColumn id="6" xr3:uid="{D77DB3DE-8FF6-42AF-A21C-A365786631B4}" name="ms [MeV]" dataDxfId="13">
      <calculatedColumnFormula>(K6*F6-L6)/2</calculatedColumnFormula>
    </tableColumn>
    <tableColumn id="7" xr3:uid="{1769845F-E7EB-4604-8B75-0277802B2EAC}" name="Wん" dataDxfId="12">
      <calculatedColumnFormula>J6+F6-K6*F6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529BEB-3889-4380-8F82-CBCEAA35A34B}" name="Tabela4" displayName="Tabela4" ref="A9:K15" totalsRowShown="0" headerRowDxfId="11" dataDxfId="10">
  <autoFilter ref="A9:K15" xr:uid="{464A8F3B-40D3-448A-89E3-353BDAAC28B5}"/>
  <tableColumns count="11">
    <tableColumn id="1" xr3:uid="{F0C07CCD-E1D6-4B9A-9EB6-C38197156869}" name="Name" dataDxfId="9"/>
    <tableColumn id="2" xr3:uid="{4A5D8D05-70F8-4E40-B1B8-285983FA02BC}" name="q [ℯ]" dataDxfId="8"/>
    <tableColumn id="3" xr3:uid="{1EA68D33-B229-4E37-B6C8-9ADA96ECC662}" name="a" dataDxfId="7"/>
    <tableColumn id="4" xr3:uid="{3FDD2000-A6AB-490A-9E59-72BE617ED7E6}" name="k" dataDxfId="6"/>
    <tableColumn id="5" xr3:uid="{E889B3F7-AC52-4FCF-8EC3-EE3B099209F8}" name="Angles [Deg]" dataDxfId="5"/>
    <tableColumn id="6" xr3:uid="{CF472DAA-85DC-4429-A2D4-6860F93F7174}" name="d" dataDxfId="4"/>
    <tableColumn id="7" xr3:uid="{A6FBDE2E-D7DB-43A5-BEDD-7CD262B6251C}" name="r [cm]"/>
    <tableColumn id="8" xr3:uid="{26FBE95B-3614-4901-9D0F-816AB65221FF}" name="N  [cm]" dataDxfId="3"/>
    <tableColumn id="9" xr3:uid="{DD1B0C56-B5FF-48BF-818C-C709032B1BDD}" name="μ [μB]"/>
    <tableColumn id="10" xr3:uid="{39A7C52B-4132-4F23-A647-8BD5FE734C3B}" name="Z" dataDxfId="2"/>
    <tableColumn id="11" xr3:uid="{02D8A9F2-10D9-4728-8755-8D48018C60BB}" name="1-β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C7D3E98-8EBD-471C-B6A9-D7F2B05B5887}" name="Tabela7" displayName="Tabela7" ref="G39:H47" totalsRowShown="0">
  <autoFilter ref="G39:H47" xr:uid="{4A57D917-940B-43B1-AD93-B7B6C469E530}"/>
  <tableColumns count="2">
    <tableColumn id="1" xr3:uid="{792F8503-CD1B-45E3-AABA-FA0F5AE18BE9}" name="Constant" dataDxfId="1"/>
    <tableColumn id="2" xr3:uid="{B0BA8BA7-B9AA-4A47-BFDD-597520E55DD5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DB67-FB33-4F0D-859C-61609AF82C2C}">
  <dimension ref="C5:N54"/>
  <sheetViews>
    <sheetView topLeftCell="A9" zoomScale="115" zoomScaleNormal="115" workbookViewId="0">
      <selection activeCell="H5" sqref="H5:N37"/>
    </sheetView>
  </sheetViews>
  <sheetFormatPr defaultRowHeight="15" x14ac:dyDescent="0.25"/>
  <cols>
    <col min="1" max="1" width="9.140625" style="13"/>
    <col min="2" max="2" width="11.42578125" style="13" customWidth="1"/>
    <col min="3" max="3" width="14" style="13" hidden="1" customWidth="1"/>
    <col min="4" max="4" width="7" style="13" hidden="1" customWidth="1"/>
    <col min="5" max="5" width="6.85546875" style="13" hidden="1" customWidth="1"/>
    <col min="6" max="6" width="7.7109375" style="13" hidden="1" customWidth="1"/>
    <col min="7" max="7" width="9.140625" style="13" hidden="1" customWidth="1"/>
    <col min="8" max="8" width="9.140625" style="13"/>
    <col min="9" max="9" width="19.7109375" style="13" customWidth="1"/>
    <col min="10" max="10" width="12.140625" style="13" customWidth="1"/>
    <col min="11" max="11" width="9.5703125" customWidth="1"/>
    <col min="12" max="12" width="17.85546875" style="13" customWidth="1"/>
    <col min="13" max="13" width="11.85546875" style="13" customWidth="1"/>
    <col min="14" max="14" width="13.85546875" style="13" customWidth="1"/>
    <col min="15" max="16384" width="9.140625" style="13"/>
  </cols>
  <sheetData>
    <row r="5" spans="3:14" ht="18" x14ac:dyDescent="0.25">
      <c r="C5" s="13" t="s">
        <v>7</v>
      </c>
      <c r="D5" s="13" t="s">
        <v>8</v>
      </c>
      <c r="E5" s="13" t="s">
        <v>116</v>
      </c>
      <c r="F5" s="13" t="s">
        <v>14</v>
      </c>
      <c r="G5" s="13" t="s">
        <v>100</v>
      </c>
      <c r="H5" s="39" t="s">
        <v>70</v>
      </c>
      <c r="I5" s="39" t="s">
        <v>65</v>
      </c>
      <c r="J5" s="39" t="s">
        <v>71</v>
      </c>
      <c r="K5" s="39" t="s">
        <v>130</v>
      </c>
      <c r="L5" s="39" t="s">
        <v>131</v>
      </c>
      <c r="M5" s="39" t="s">
        <v>132</v>
      </c>
      <c r="N5" s="39" t="s">
        <v>129</v>
      </c>
    </row>
    <row r="6" spans="3:14" x14ac:dyDescent="0.25">
      <c r="C6" s="13">
        <v>29979200000</v>
      </c>
      <c r="D6" s="13">
        <v>1.5</v>
      </c>
      <c r="E6" s="13">
        <v>1.4396E-13</v>
      </c>
      <c r="F6" s="13">
        <v>0.51099894609999996</v>
      </c>
      <c r="G6" s="13">
        <v>1.9307933844132052E-11</v>
      </c>
      <c r="H6" s="24">
        <v>9.9999999999999994E-12</v>
      </c>
      <c r="I6" s="38">
        <f>G6/SQRT(H6^2+G6^2)</f>
        <v>0.88797096056618186</v>
      </c>
      <c r="J6" s="35">
        <f>D6*E6/H6</f>
        <v>2.1593999999999999E-2</v>
      </c>
      <c r="K6" s="13">
        <v>0.1</v>
      </c>
      <c r="L6" s="37">
        <f>K6*F6/(1+2*SQRT(1+(G6/H6)^2))</f>
        <v>9.553567950310031E-3</v>
      </c>
      <c r="M6" s="13">
        <f>(K6*F6-L6)/2</f>
        <v>2.0773163329844985E-2</v>
      </c>
      <c r="N6" s="13">
        <f>J6+F6-K6*F6</f>
        <v>0.48149305148999999</v>
      </c>
    </row>
    <row r="7" spans="3:14" x14ac:dyDescent="0.25">
      <c r="C7" s="13">
        <v>29979200000</v>
      </c>
      <c r="D7" s="13">
        <v>1.5</v>
      </c>
      <c r="E7" s="13">
        <v>1.4396E-13</v>
      </c>
      <c r="F7" s="13">
        <v>0.51099894609999996</v>
      </c>
      <c r="G7" s="13">
        <v>1.9307933844132052E-11</v>
      </c>
      <c r="H7" s="24">
        <f>H6/10</f>
        <v>9.9999999999999998E-13</v>
      </c>
      <c r="I7" s="38">
        <f t="shared" ref="I7:I13" si="0">G7/SQRT(H7^2+G7^2)</f>
        <v>0.99866147727438936</v>
      </c>
      <c r="J7" s="35">
        <f t="shared" ref="J7:J13" si="1">D7*E7/H7</f>
        <v>0.21593999999999999</v>
      </c>
      <c r="K7" s="13">
        <v>0.1</v>
      </c>
      <c r="L7" s="37">
        <f t="shared" ref="L7:L13" si="2">K7*F7/(1+2*SQRT(1+(G7/H7)^2))</f>
        <v>1.2882015087580941E-3</v>
      </c>
      <c r="M7" s="13">
        <f t="shared" ref="M7:M13" si="3">(K7*F7-L7)/2</f>
        <v>2.4905846550620954E-2</v>
      </c>
      <c r="N7" s="13">
        <f t="shared" ref="N7:N13" si="4">J7+F7-K7*F7</f>
        <v>0.67583905149000001</v>
      </c>
    </row>
    <row r="8" spans="3:14" x14ac:dyDescent="0.25">
      <c r="C8" s="13">
        <v>29979200000</v>
      </c>
      <c r="D8" s="13">
        <v>1.5</v>
      </c>
      <c r="E8" s="13">
        <v>1.4396E-13</v>
      </c>
      <c r="F8" s="13">
        <v>0.51099894609999996</v>
      </c>
      <c r="G8" s="13">
        <v>1.9307933844132052E-11</v>
      </c>
      <c r="H8" s="24">
        <f t="shared" ref="H8:H12" si="5">H7/10</f>
        <v>1E-13</v>
      </c>
      <c r="I8" s="38">
        <f t="shared" si="0"/>
        <v>0.99998658811987684</v>
      </c>
      <c r="J8" s="35">
        <f t="shared" si="1"/>
        <v>2.1593999999999998</v>
      </c>
      <c r="K8" s="13">
        <v>0.1</v>
      </c>
      <c r="L8" s="37">
        <f t="shared" si="2"/>
        <v>1.3198518872404959E-4</v>
      </c>
      <c r="M8" s="13">
        <f t="shared" si="3"/>
        <v>2.5483954710637975E-2</v>
      </c>
      <c r="N8" s="13">
        <f t="shared" si="4"/>
        <v>2.6192990514899996</v>
      </c>
    </row>
    <row r="9" spans="3:14" x14ac:dyDescent="0.25">
      <c r="C9" s="13">
        <v>29979200000</v>
      </c>
      <c r="D9" s="13">
        <v>1.5</v>
      </c>
      <c r="E9" s="13">
        <v>1.4396E-13</v>
      </c>
      <c r="F9" s="13">
        <v>0.51099894609999996</v>
      </c>
      <c r="G9" s="13">
        <v>1.9307933844132052E-11</v>
      </c>
      <c r="H9" s="24">
        <f t="shared" si="5"/>
        <v>1E-14</v>
      </c>
      <c r="I9" s="38">
        <f t="shared" si="0"/>
        <v>0.99999986587852752</v>
      </c>
      <c r="J9" s="34">
        <f t="shared" si="1"/>
        <v>21.593999999999998</v>
      </c>
      <c r="K9" s="13">
        <v>0.1</v>
      </c>
      <c r="L9" s="37">
        <f t="shared" si="2"/>
        <v>1.3229447211539844E-5</v>
      </c>
      <c r="M9" s="13">
        <f t="shared" si="3"/>
        <v>2.554333258139423E-2</v>
      </c>
      <c r="N9" s="13">
        <f t="shared" si="4"/>
        <v>22.053899051489996</v>
      </c>
    </row>
    <row r="10" spans="3:14" x14ac:dyDescent="0.25">
      <c r="C10" s="13">
        <v>29979200000</v>
      </c>
      <c r="D10" s="13">
        <v>1.5</v>
      </c>
      <c r="E10" s="13">
        <v>1.4396E-13</v>
      </c>
      <c r="F10" s="13">
        <v>0.51099894609999996</v>
      </c>
      <c r="G10" s="13">
        <v>1.9307933844132052E-11</v>
      </c>
      <c r="H10" s="24">
        <f t="shared" si="5"/>
        <v>1.0000000000000001E-15</v>
      </c>
      <c r="I10" s="38">
        <f t="shared" si="0"/>
        <v>0.99999999865878497</v>
      </c>
      <c r="J10" s="33">
        <f t="shared" si="1"/>
        <v>215.93999999999997</v>
      </c>
      <c r="K10" s="13">
        <v>0.1</v>
      </c>
      <c r="L10" s="37">
        <f t="shared" si="2"/>
        <v>1.3232532206902787E-6</v>
      </c>
      <c r="M10" s="13">
        <f t="shared" si="3"/>
        <v>2.5549285678389655E-2</v>
      </c>
      <c r="N10" s="13">
        <f t="shared" si="4"/>
        <v>216.39989905148997</v>
      </c>
    </row>
    <row r="11" spans="3:14" x14ac:dyDescent="0.25">
      <c r="C11" s="13">
        <v>29979200000</v>
      </c>
      <c r="D11" s="13">
        <v>1.5</v>
      </c>
      <c r="E11" s="13">
        <v>1.4396E-13</v>
      </c>
      <c r="F11" s="13">
        <v>0.51099894609999996</v>
      </c>
      <c r="G11" s="13">
        <v>1.9307933844132052E-11</v>
      </c>
      <c r="H11" s="24">
        <f t="shared" si="5"/>
        <v>1.0000000000000001E-16</v>
      </c>
      <c r="I11" s="38">
        <f t="shared" si="0"/>
        <v>0.99999999998658795</v>
      </c>
      <c r="J11" s="32">
        <f t="shared" si="1"/>
        <v>2159.3999999999996</v>
      </c>
      <c r="K11" s="13">
        <v>0.1</v>
      </c>
      <c r="L11" s="37">
        <f t="shared" si="2"/>
        <v>1.3232840627439353E-7</v>
      </c>
      <c r="M11" s="13">
        <f t="shared" si="3"/>
        <v>2.5549881140796864E-2</v>
      </c>
      <c r="N11" s="13">
        <f t="shared" si="4"/>
        <v>2159.8598990514893</v>
      </c>
    </row>
    <row r="12" spans="3:14" x14ac:dyDescent="0.25">
      <c r="C12" s="13">
        <v>29979200000</v>
      </c>
      <c r="D12" s="13">
        <v>1.5</v>
      </c>
      <c r="E12" s="13">
        <v>1.4396E-13</v>
      </c>
      <c r="F12" s="13">
        <v>0.51099894609999996</v>
      </c>
      <c r="G12" s="13">
        <v>1.9307933844132052E-11</v>
      </c>
      <c r="H12" s="24">
        <f t="shared" si="5"/>
        <v>1.0000000000000001E-17</v>
      </c>
      <c r="I12" s="38">
        <f t="shared" si="0"/>
        <v>0.999999999999866</v>
      </c>
      <c r="J12" s="40">
        <f t="shared" si="1"/>
        <v>21593.999999999996</v>
      </c>
      <c r="K12" s="13">
        <v>0.1</v>
      </c>
      <c r="L12" s="37">
        <f t="shared" si="2"/>
        <v>1.3232871468702396E-8</v>
      </c>
      <c r="M12" s="13">
        <f t="shared" si="3"/>
        <v>2.5549940688564268E-2</v>
      </c>
      <c r="N12" s="35">
        <f t="shared" si="4"/>
        <v>21594.45989905149</v>
      </c>
    </row>
    <row r="13" spans="3:14" x14ac:dyDescent="0.25">
      <c r="C13" s="13">
        <v>29979200000</v>
      </c>
      <c r="D13" s="13">
        <v>1.5</v>
      </c>
      <c r="E13" s="13">
        <v>1.4396E-13</v>
      </c>
      <c r="F13" s="13">
        <v>0.51099894609999996</v>
      </c>
      <c r="G13" s="13">
        <v>1.9307933844132052E-11</v>
      </c>
      <c r="H13" s="24">
        <f>H12/10</f>
        <v>1.0000000000000001E-18</v>
      </c>
      <c r="I13" s="38">
        <f t="shared" si="0"/>
        <v>0.99999999999999867</v>
      </c>
      <c r="J13" s="41">
        <f t="shared" si="1"/>
        <v>215939.99999999997</v>
      </c>
      <c r="K13" s="13">
        <v>0.1</v>
      </c>
      <c r="L13" s="37">
        <f t="shared" si="2"/>
        <v>1.3232874552820794E-9</v>
      </c>
      <c r="M13" s="13">
        <f t="shared" si="3"/>
        <v>2.5549946643356275E-2</v>
      </c>
      <c r="N13" s="13">
        <f t="shared" si="4"/>
        <v>215940.45989905146</v>
      </c>
    </row>
    <row r="14" spans="3:14" x14ac:dyDescent="0.25">
      <c r="C14" s="13">
        <v>29979200000</v>
      </c>
      <c r="D14" s="13">
        <v>1.5</v>
      </c>
      <c r="E14" s="13">
        <v>1.4396E-13</v>
      </c>
      <c r="F14" s="13">
        <v>0.51099894609999996</v>
      </c>
      <c r="G14" s="13">
        <v>1.9307933844132052E-11</v>
      </c>
      <c r="H14" s="24">
        <v>9.9999999999999994E-12</v>
      </c>
      <c r="I14" s="38">
        <f>G14/SQRT(H14^2+G14^2)</f>
        <v>0.88797096056618186</v>
      </c>
      <c r="J14" s="24">
        <f>D14*E14/H14</f>
        <v>2.1593999999999999E-2</v>
      </c>
      <c r="K14" s="13">
        <v>0.2</v>
      </c>
      <c r="L14" s="37">
        <f>K14*F14/(1+2*SQRT(1+(G14/H14)^2))</f>
        <v>1.9107135900620062E-2</v>
      </c>
      <c r="M14" s="13">
        <f>(K14*F14-L14)/2</f>
        <v>4.1546326659689971E-2</v>
      </c>
      <c r="N14" s="13">
        <f>J14+F14-K14*F14</f>
        <v>0.43039315687999996</v>
      </c>
    </row>
    <row r="15" spans="3:14" x14ac:dyDescent="0.25">
      <c r="C15" s="13">
        <v>29979200000</v>
      </c>
      <c r="D15" s="13">
        <v>1.5</v>
      </c>
      <c r="E15" s="13">
        <v>1.4396E-13</v>
      </c>
      <c r="F15" s="13">
        <v>0.51099894609999996</v>
      </c>
      <c r="G15" s="13">
        <v>1.9307933844132052E-11</v>
      </c>
      <c r="H15" s="24">
        <f t="shared" ref="H15:H21" si="6">H14/10</f>
        <v>9.9999999999999998E-13</v>
      </c>
      <c r="I15" s="38">
        <f t="shared" ref="I15:I21" si="7">G15/SQRT(H15^2+G15^2)</f>
        <v>0.99866147727438936</v>
      </c>
      <c r="J15" s="24">
        <f t="shared" ref="J15:J21" si="8">D15*E15/H15</f>
        <v>0.21593999999999999</v>
      </c>
      <c r="K15" s="13">
        <v>0.2</v>
      </c>
      <c r="L15" s="37">
        <f t="shared" ref="L15:L21" si="9">K15*F15/(1+2*SQRT(1+(G15/H15)^2))</f>
        <v>2.5764030175161883E-3</v>
      </c>
      <c r="M15" s="13">
        <f t="shared" ref="M15:M21" si="10">(K15*F15-L15)/2</f>
        <v>4.9811693101241908E-2</v>
      </c>
      <c r="N15" s="13">
        <f t="shared" ref="N15:N21" si="11">J15+F15-K15*F15</f>
        <v>0.62473915688000003</v>
      </c>
    </row>
    <row r="16" spans="3:14" x14ac:dyDescent="0.25">
      <c r="C16" s="13">
        <v>29979200000</v>
      </c>
      <c r="D16" s="13">
        <v>1.5</v>
      </c>
      <c r="E16" s="13">
        <v>1.4396E-13</v>
      </c>
      <c r="F16" s="13">
        <v>0.51099894609999996</v>
      </c>
      <c r="G16" s="13">
        <v>1.9307933844132052E-11</v>
      </c>
      <c r="H16" s="43">
        <f t="shared" si="6"/>
        <v>1E-13</v>
      </c>
      <c r="I16" s="38">
        <f t="shared" si="7"/>
        <v>0.99998658811987684</v>
      </c>
      <c r="J16" s="24">
        <f t="shared" si="8"/>
        <v>2.1593999999999998</v>
      </c>
      <c r="K16" s="13">
        <v>0.2</v>
      </c>
      <c r="L16" s="37">
        <f t="shared" si="9"/>
        <v>2.6397037744809918E-4</v>
      </c>
      <c r="M16" s="13">
        <f t="shared" si="10"/>
        <v>5.096790942127595E-2</v>
      </c>
      <c r="N16" s="13">
        <f t="shared" si="11"/>
        <v>2.5681991568799996</v>
      </c>
    </row>
    <row r="17" spans="3:14" x14ac:dyDescent="0.25">
      <c r="C17" s="13">
        <v>29979200000</v>
      </c>
      <c r="D17" s="13">
        <v>1.5</v>
      </c>
      <c r="E17" s="13">
        <v>1.4396E-13</v>
      </c>
      <c r="F17" s="13">
        <v>0.51099894609999996</v>
      </c>
      <c r="G17" s="13">
        <v>1.9307933844132052E-11</v>
      </c>
      <c r="H17" s="43">
        <f t="shared" si="6"/>
        <v>1E-14</v>
      </c>
      <c r="I17" s="38">
        <f t="shared" si="7"/>
        <v>0.99999986587852752</v>
      </c>
      <c r="J17" s="24">
        <f t="shared" si="8"/>
        <v>21.593999999999998</v>
      </c>
      <c r="K17" s="13">
        <v>0.2</v>
      </c>
      <c r="L17" s="37">
        <f t="shared" si="9"/>
        <v>2.6458894423079688E-5</v>
      </c>
      <c r="M17" s="13">
        <f t="shared" si="10"/>
        <v>5.108666516278846E-2</v>
      </c>
      <c r="N17" s="13">
        <f t="shared" si="11"/>
        <v>22.002799156879998</v>
      </c>
    </row>
    <row r="18" spans="3:14" x14ac:dyDescent="0.25">
      <c r="C18" s="13">
        <v>29979200000</v>
      </c>
      <c r="D18" s="13">
        <v>1.5</v>
      </c>
      <c r="E18" s="13">
        <v>1.4396E-13</v>
      </c>
      <c r="F18" s="13">
        <v>0.51099894609999996</v>
      </c>
      <c r="G18" s="13">
        <v>1.9307933844132052E-11</v>
      </c>
      <c r="H18" s="43">
        <f t="shared" si="6"/>
        <v>1.0000000000000001E-15</v>
      </c>
      <c r="I18" s="38">
        <f t="shared" si="7"/>
        <v>0.99999999865878497</v>
      </c>
      <c r="J18" s="24">
        <f t="shared" si="8"/>
        <v>215.93999999999997</v>
      </c>
      <c r="K18" s="13">
        <v>0.2</v>
      </c>
      <c r="L18" s="37">
        <f t="shared" si="9"/>
        <v>2.6465064413805575E-6</v>
      </c>
      <c r="M18" s="13">
        <f t="shared" si="10"/>
        <v>5.109857135677931E-2</v>
      </c>
      <c r="N18" s="13">
        <f t="shared" si="11"/>
        <v>216.34879915687995</v>
      </c>
    </row>
    <row r="19" spans="3:14" x14ac:dyDescent="0.25">
      <c r="C19" s="13">
        <v>29979200000</v>
      </c>
      <c r="D19" s="13">
        <v>1.5</v>
      </c>
      <c r="E19" s="13">
        <v>1.4396E-13</v>
      </c>
      <c r="F19" s="13">
        <v>0.51099894609999996</v>
      </c>
      <c r="G19" s="13">
        <v>1.9307933844132052E-11</v>
      </c>
      <c r="H19" s="43">
        <f t="shared" si="6"/>
        <v>1.0000000000000001E-16</v>
      </c>
      <c r="I19" s="38">
        <f t="shared" si="7"/>
        <v>0.99999999998658795</v>
      </c>
      <c r="J19" s="24">
        <f t="shared" si="8"/>
        <v>2159.3999999999996</v>
      </c>
      <c r="K19" s="13">
        <v>0.2</v>
      </c>
      <c r="L19" s="37">
        <f t="shared" si="9"/>
        <v>2.6465681254878705E-7</v>
      </c>
      <c r="M19" s="13">
        <f t="shared" si="10"/>
        <v>5.1099762281593727E-2</v>
      </c>
      <c r="N19" s="13">
        <f t="shared" si="11"/>
        <v>2159.8087991568796</v>
      </c>
    </row>
    <row r="20" spans="3:14" x14ac:dyDescent="0.25">
      <c r="C20" s="13">
        <v>29979200000</v>
      </c>
      <c r="D20" s="13">
        <v>1.5</v>
      </c>
      <c r="E20" s="13">
        <v>1.4396E-13</v>
      </c>
      <c r="F20" s="13">
        <v>0.51099894609999996</v>
      </c>
      <c r="G20" s="13">
        <v>1.9307933844132052E-11</v>
      </c>
      <c r="H20" s="43">
        <f t="shared" si="6"/>
        <v>1.0000000000000001E-17</v>
      </c>
      <c r="I20" s="38">
        <f t="shared" si="7"/>
        <v>0.999999999999866</v>
      </c>
      <c r="J20" s="24">
        <f t="shared" si="8"/>
        <v>21593.999999999996</v>
      </c>
      <c r="K20" s="13">
        <v>0.2</v>
      </c>
      <c r="L20" s="37">
        <f t="shared" si="9"/>
        <v>2.6465742937404792E-8</v>
      </c>
      <c r="M20" s="13">
        <f t="shared" si="10"/>
        <v>5.1099881377128537E-2</v>
      </c>
      <c r="N20" s="13">
        <f t="shared" si="11"/>
        <v>21594.408799156878</v>
      </c>
    </row>
    <row r="21" spans="3:14" x14ac:dyDescent="0.25">
      <c r="C21" s="13">
        <v>29979200000</v>
      </c>
      <c r="D21" s="13">
        <v>1.5</v>
      </c>
      <c r="E21" s="13">
        <v>1.4396E-13</v>
      </c>
      <c r="F21" s="13">
        <v>0.51099894609999996</v>
      </c>
      <c r="G21" s="13">
        <v>1.9307933844132052E-11</v>
      </c>
      <c r="H21" s="43">
        <f t="shared" si="6"/>
        <v>1.0000000000000001E-18</v>
      </c>
      <c r="I21" s="38">
        <f t="shared" si="7"/>
        <v>0.99999999999999867</v>
      </c>
      <c r="J21" s="24">
        <f t="shared" si="8"/>
        <v>215939.99999999997</v>
      </c>
      <c r="K21" s="13">
        <v>0.2</v>
      </c>
      <c r="L21" s="37">
        <f t="shared" si="9"/>
        <v>2.6465749105641587E-9</v>
      </c>
      <c r="M21" s="13">
        <f t="shared" si="10"/>
        <v>5.109989328671255E-2</v>
      </c>
      <c r="N21" s="13">
        <f t="shared" si="11"/>
        <v>215940.40879915684</v>
      </c>
    </row>
    <row r="22" spans="3:14" x14ac:dyDescent="0.25">
      <c r="C22" s="13">
        <v>29979200000</v>
      </c>
      <c r="D22" s="13">
        <v>1.5</v>
      </c>
      <c r="E22" s="13">
        <v>1.4396E-13</v>
      </c>
      <c r="F22" s="13">
        <v>0.51099894609999996</v>
      </c>
      <c r="G22" s="13">
        <v>1.9307933844132101E-11</v>
      </c>
      <c r="H22" s="43">
        <f>0.00000000001</f>
        <v>9.9999999999999994E-12</v>
      </c>
      <c r="I22" s="38">
        <f t="shared" ref="I22:I35" si="12">G22/SQRT(H22^2+G22^2)</f>
        <v>0.88797096056618241</v>
      </c>
      <c r="J22" s="24">
        <f t="shared" ref="J22:J35" si="13">D22*E22/H22</f>
        <v>2.1593999999999999E-2</v>
      </c>
      <c r="K22" s="13">
        <v>0.4</v>
      </c>
      <c r="L22" s="37">
        <f t="shared" ref="L22:L35" si="14">K22*F22/(1+2*SQRT(1+(G22/H22)^2))</f>
        <v>3.8214271801240068E-2</v>
      </c>
      <c r="M22" s="13">
        <f t="shared" ref="M22:M35" si="15">(K22*F22-L22)/2</f>
        <v>8.3092653319379969E-2</v>
      </c>
      <c r="N22" s="13">
        <f t="shared" ref="N22:N35" si="16">J22+F22-K22*F22</f>
        <v>0.32819336765999996</v>
      </c>
    </row>
    <row r="23" spans="3:14" x14ac:dyDescent="0.25">
      <c r="C23" s="13">
        <v>29979200000</v>
      </c>
      <c r="D23" s="13">
        <v>1.5</v>
      </c>
      <c r="E23" s="13">
        <v>1.4396E-13</v>
      </c>
      <c r="F23" s="13">
        <v>0.51099894609999996</v>
      </c>
      <c r="G23" s="13">
        <v>1.9307933844132101E-11</v>
      </c>
      <c r="H23" s="43">
        <f>H22/10</f>
        <v>9.9999999999999998E-13</v>
      </c>
      <c r="I23" s="38">
        <f t="shared" si="12"/>
        <v>0.99866147727438936</v>
      </c>
      <c r="J23" s="24">
        <f t="shared" si="13"/>
        <v>0.21593999999999999</v>
      </c>
      <c r="K23" s="13">
        <v>0.4</v>
      </c>
      <c r="L23" s="37">
        <f t="shared" si="14"/>
        <v>5.1528060350323635E-3</v>
      </c>
      <c r="M23" s="13">
        <f t="shared" si="15"/>
        <v>9.9623386202483816E-2</v>
      </c>
      <c r="N23" s="13">
        <f t="shared" si="16"/>
        <v>0.52253936765999998</v>
      </c>
    </row>
    <row r="24" spans="3:14" x14ac:dyDescent="0.25">
      <c r="C24" s="13">
        <v>29979200000</v>
      </c>
      <c r="D24" s="13">
        <v>1.5</v>
      </c>
      <c r="E24" s="13">
        <v>1.4396E-13</v>
      </c>
      <c r="F24" s="13">
        <v>0.51099894609999996</v>
      </c>
      <c r="G24" s="13">
        <v>1.9307933844132101E-11</v>
      </c>
      <c r="H24" s="43">
        <f t="shared" ref="H24:H29" si="17">H23/10</f>
        <v>1E-13</v>
      </c>
      <c r="I24" s="38">
        <f t="shared" si="12"/>
        <v>0.99998658811987684</v>
      </c>
      <c r="J24" s="24">
        <f t="shared" si="13"/>
        <v>2.1593999999999998</v>
      </c>
      <c r="K24" s="13">
        <v>0.4</v>
      </c>
      <c r="L24" s="37">
        <f t="shared" si="14"/>
        <v>5.2794075489619706E-4</v>
      </c>
      <c r="M24" s="13">
        <f t="shared" si="15"/>
        <v>0.1019358188425519</v>
      </c>
      <c r="N24" s="13">
        <f t="shared" si="16"/>
        <v>2.4659993676599998</v>
      </c>
    </row>
    <row r="25" spans="3:14" x14ac:dyDescent="0.25">
      <c r="C25" s="13">
        <v>29979200000</v>
      </c>
      <c r="D25" s="13">
        <v>1.5</v>
      </c>
      <c r="E25" s="13">
        <v>1.4396E-13</v>
      </c>
      <c r="F25" s="13">
        <v>0.51099894609999996</v>
      </c>
      <c r="G25" s="13">
        <v>1.9307933844132101E-11</v>
      </c>
      <c r="H25" s="43">
        <f t="shared" si="17"/>
        <v>1E-14</v>
      </c>
      <c r="I25" s="38">
        <f t="shared" si="12"/>
        <v>0.99999986587852752</v>
      </c>
      <c r="J25" s="32">
        <f t="shared" si="13"/>
        <v>21.593999999999998</v>
      </c>
      <c r="K25" s="13">
        <v>0.4</v>
      </c>
      <c r="L25" s="37">
        <f t="shared" si="14"/>
        <v>5.291778884615924E-5</v>
      </c>
      <c r="M25" s="13">
        <f t="shared" si="15"/>
        <v>0.10217333032557692</v>
      </c>
      <c r="N25" s="13">
        <f t="shared" si="16"/>
        <v>21.900599367659996</v>
      </c>
    </row>
    <row r="26" spans="3:14" x14ac:dyDescent="0.25">
      <c r="C26" s="13">
        <v>29979200000</v>
      </c>
      <c r="D26" s="13">
        <v>1.5</v>
      </c>
      <c r="E26" s="13">
        <v>1.4396E-13</v>
      </c>
      <c r="F26" s="13">
        <v>0.51099894609999996</v>
      </c>
      <c r="G26" s="13">
        <v>1.9307933844132101E-11</v>
      </c>
      <c r="H26" s="43">
        <f t="shared" si="17"/>
        <v>1.0000000000000001E-15</v>
      </c>
      <c r="I26" s="38">
        <f t="shared" si="12"/>
        <v>0.99999999865878497</v>
      </c>
      <c r="J26" s="24">
        <f t="shared" si="13"/>
        <v>215.93999999999997</v>
      </c>
      <c r="K26" s="13">
        <v>0.4</v>
      </c>
      <c r="L26" s="37">
        <f t="shared" si="14"/>
        <v>5.2930128827611022E-6</v>
      </c>
      <c r="M26" s="13">
        <f t="shared" si="15"/>
        <v>0.10219714271355862</v>
      </c>
      <c r="N26" s="13">
        <f t="shared" si="16"/>
        <v>216.24659936765997</v>
      </c>
    </row>
    <row r="27" spans="3:14" x14ac:dyDescent="0.25">
      <c r="C27" s="13">
        <v>29979200000</v>
      </c>
      <c r="D27" s="13">
        <v>1.5</v>
      </c>
      <c r="E27" s="13">
        <v>1.4396E-13</v>
      </c>
      <c r="F27" s="13">
        <v>0.51099894609999996</v>
      </c>
      <c r="G27" s="13">
        <v>1.9307933844132101E-11</v>
      </c>
      <c r="H27" s="43">
        <f t="shared" si="17"/>
        <v>1.0000000000000001E-16</v>
      </c>
      <c r="I27" s="38">
        <f t="shared" si="12"/>
        <v>0.99999999998658795</v>
      </c>
      <c r="J27" s="24">
        <f t="shared" si="13"/>
        <v>2159.3999999999996</v>
      </c>
      <c r="K27" s="13">
        <v>0.4</v>
      </c>
      <c r="L27" s="37">
        <f t="shared" si="14"/>
        <v>5.2931362509757273E-7</v>
      </c>
      <c r="M27" s="13">
        <f t="shared" si="15"/>
        <v>0.10219952456318745</v>
      </c>
      <c r="N27" s="13">
        <f t="shared" si="16"/>
        <v>2159.7065993676592</v>
      </c>
    </row>
    <row r="28" spans="3:14" x14ac:dyDescent="0.25">
      <c r="C28" s="13">
        <v>29979200000</v>
      </c>
      <c r="D28" s="13">
        <v>1.5</v>
      </c>
      <c r="E28" s="13">
        <v>1.4396E-13</v>
      </c>
      <c r="F28" s="13">
        <v>0.51099894609999996</v>
      </c>
      <c r="G28" s="13">
        <v>1.9307933844132101E-11</v>
      </c>
      <c r="H28" s="43">
        <f>H27/10</f>
        <v>1.0000000000000001E-17</v>
      </c>
      <c r="I28" s="38">
        <f t="shared" si="12"/>
        <v>0.999999999999866</v>
      </c>
      <c r="J28" s="24">
        <f t="shared" si="13"/>
        <v>21593.999999999996</v>
      </c>
      <c r="K28" s="13">
        <v>0.4</v>
      </c>
      <c r="L28" s="37">
        <f t="shared" si="14"/>
        <v>5.2931485874809452E-8</v>
      </c>
      <c r="M28" s="13">
        <f t="shared" si="15"/>
        <v>0.10219976275425707</v>
      </c>
      <c r="N28" s="13">
        <f t="shared" si="16"/>
        <v>21594.306599367657</v>
      </c>
    </row>
    <row r="29" spans="3:14" x14ac:dyDescent="0.25">
      <c r="C29" s="13">
        <v>29979200000</v>
      </c>
      <c r="D29" s="13">
        <v>1.5</v>
      </c>
      <c r="E29" s="13">
        <v>1.4396E-13</v>
      </c>
      <c r="F29" s="13">
        <v>0.51099894609999996</v>
      </c>
      <c r="G29" s="13">
        <v>1.9307933844132101E-11</v>
      </c>
      <c r="H29" s="43">
        <f t="shared" si="17"/>
        <v>1.0000000000000001E-18</v>
      </c>
      <c r="I29" s="38">
        <f t="shared" si="12"/>
        <v>0.99999999999999867</v>
      </c>
      <c r="J29" s="24">
        <f t="shared" si="13"/>
        <v>215939.99999999997</v>
      </c>
      <c r="K29" s="13">
        <v>0.4</v>
      </c>
      <c r="L29" s="37">
        <f t="shared" si="14"/>
        <v>5.2931498211283042E-9</v>
      </c>
      <c r="M29" s="13">
        <f t="shared" si="15"/>
        <v>0.1021997865734251</v>
      </c>
      <c r="N29" s="13">
        <f t="shared" si="16"/>
        <v>215940.30659936761</v>
      </c>
    </row>
    <row r="30" spans="3:14" x14ac:dyDescent="0.25">
      <c r="C30" s="13">
        <v>29979200000</v>
      </c>
      <c r="D30" s="13">
        <v>1.5</v>
      </c>
      <c r="E30" s="13">
        <v>1.4396E-13</v>
      </c>
      <c r="F30" s="13">
        <v>0.51099894609999996</v>
      </c>
      <c r="G30" s="13">
        <v>1.9307933844132101E-11</v>
      </c>
      <c r="H30" s="24">
        <v>9.9999999999999994E-12</v>
      </c>
      <c r="I30" s="38">
        <f t="shared" si="12"/>
        <v>0.88797096056618241</v>
      </c>
      <c r="J30" s="24">
        <f t="shared" si="13"/>
        <v>2.1593999999999999E-2</v>
      </c>
      <c r="K30" s="13">
        <v>0.5</v>
      </c>
      <c r="L30" s="37">
        <f t="shared" si="14"/>
        <v>4.7767839751550079E-2</v>
      </c>
      <c r="M30" s="13">
        <f t="shared" si="15"/>
        <v>0.10386581664922495</v>
      </c>
      <c r="N30" s="13">
        <f t="shared" si="16"/>
        <v>0.27709347304999998</v>
      </c>
    </row>
    <row r="31" spans="3:14" x14ac:dyDescent="0.25">
      <c r="C31" s="13">
        <v>29979200000</v>
      </c>
      <c r="D31" s="13">
        <v>1.5</v>
      </c>
      <c r="E31" s="13">
        <v>1.4396E-13</v>
      </c>
      <c r="F31" s="13">
        <v>0.51099894609999996</v>
      </c>
      <c r="G31" s="13">
        <v>1.9307933844132101E-11</v>
      </c>
      <c r="H31" s="24">
        <f t="shared" ref="H31:H37" si="18">H30/10</f>
        <v>9.9999999999999998E-13</v>
      </c>
      <c r="I31" s="38">
        <f t="shared" si="12"/>
        <v>0.99866147727438936</v>
      </c>
      <c r="J31" s="24">
        <f t="shared" si="13"/>
        <v>0.21593999999999999</v>
      </c>
      <c r="K31" s="13">
        <v>0.5</v>
      </c>
      <c r="L31" s="37">
        <f t="shared" si="14"/>
        <v>6.4410075437904531E-3</v>
      </c>
      <c r="M31" s="13">
        <f t="shared" si="15"/>
        <v>0.12452923275310476</v>
      </c>
      <c r="N31" s="13">
        <f t="shared" si="16"/>
        <v>0.47143947305</v>
      </c>
    </row>
    <row r="32" spans="3:14" x14ac:dyDescent="0.25">
      <c r="C32" s="13">
        <v>29979200000</v>
      </c>
      <c r="D32" s="13">
        <v>1.5</v>
      </c>
      <c r="E32" s="13">
        <v>1.4396E-13</v>
      </c>
      <c r="F32" s="13">
        <v>0.51099894609999996</v>
      </c>
      <c r="G32" s="13">
        <v>1.9307933844132101E-11</v>
      </c>
      <c r="H32" s="24">
        <f t="shared" si="18"/>
        <v>1E-13</v>
      </c>
      <c r="I32" s="38">
        <f t="shared" si="12"/>
        <v>0.99998658811987684</v>
      </c>
      <c r="J32" s="24">
        <f t="shared" si="13"/>
        <v>2.1593999999999998</v>
      </c>
      <c r="K32" s="13">
        <v>0.5</v>
      </c>
      <c r="L32" s="37">
        <f t="shared" si="14"/>
        <v>6.5992594362024619E-4</v>
      </c>
      <c r="M32" s="13">
        <f t="shared" si="15"/>
        <v>0.12741977355318987</v>
      </c>
      <c r="N32" s="13">
        <f t="shared" si="16"/>
        <v>2.4148994730499997</v>
      </c>
    </row>
    <row r="33" spans="3:14" x14ac:dyDescent="0.25">
      <c r="C33" s="13">
        <v>29979200000</v>
      </c>
      <c r="D33" s="13">
        <v>1.5</v>
      </c>
      <c r="E33" s="13">
        <v>1.4396E-13</v>
      </c>
      <c r="F33" s="13">
        <v>0.51099894609999996</v>
      </c>
      <c r="G33" s="13">
        <v>1.9307933844132101E-11</v>
      </c>
      <c r="H33" s="24">
        <f t="shared" si="18"/>
        <v>1E-14</v>
      </c>
      <c r="I33" s="38">
        <f t="shared" si="12"/>
        <v>0.99999986587852752</v>
      </c>
      <c r="J33" s="24">
        <f t="shared" si="13"/>
        <v>21.593999999999998</v>
      </c>
      <c r="K33" s="13">
        <v>0.5</v>
      </c>
      <c r="L33" s="37">
        <f t="shared" si="14"/>
        <v>6.6147236057699038E-5</v>
      </c>
      <c r="M33" s="13">
        <f t="shared" si="15"/>
        <v>0.12771666290697115</v>
      </c>
      <c r="N33" s="13">
        <f t="shared" si="16"/>
        <v>21.849499473049995</v>
      </c>
    </row>
    <row r="34" spans="3:14" x14ac:dyDescent="0.25">
      <c r="C34" s="13">
        <v>29979200000</v>
      </c>
      <c r="D34" s="13">
        <v>1.5</v>
      </c>
      <c r="E34" s="13">
        <v>1.4396E-13</v>
      </c>
      <c r="F34" s="13">
        <v>0.51099894609999996</v>
      </c>
      <c r="G34" s="13">
        <v>1.9307933844132101E-11</v>
      </c>
      <c r="H34" s="24">
        <f t="shared" si="18"/>
        <v>1.0000000000000001E-15</v>
      </c>
      <c r="I34" s="38">
        <f t="shared" si="12"/>
        <v>0.99999999865878497</v>
      </c>
      <c r="J34" s="24">
        <f t="shared" si="13"/>
        <v>215.93999999999997</v>
      </c>
      <c r="K34" s="13">
        <v>0.5</v>
      </c>
      <c r="L34" s="37">
        <f t="shared" si="14"/>
        <v>6.6162661034513771E-6</v>
      </c>
      <c r="M34" s="13">
        <f t="shared" si="15"/>
        <v>0.12774642839194827</v>
      </c>
      <c r="N34" s="13">
        <f t="shared" si="16"/>
        <v>216.19549947304995</v>
      </c>
    </row>
    <row r="35" spans="3:14" x14ac:dyDescent="0.25">
      <c r="C35" s="13">
        <v>29979200000</v>
      </c>
      <c r="D35" s="13">
        <v>1.5</v>
      </c>
      <c r="E35" s="13">
        <v>1.4396E-13</v>
      </c>
      <c r="F35" s="13">
        <v>0.51099894609999996</v>
      </c>
      <c r="G35" s="13">
        <v>1.9307933844132101E-11</v>
      </c>
      <c r="H35" s="24">
        <f t="shared" si="18"/>
        <v>1.0000000000000001E-16</v>
      </c>
      <c r="I35" s="38">
        <f t="shared" si="12"/>
        <v>0.99999999998658795</v>
      </c>
      <c r="J35" s="24">
        <f t="shared" si="13"/>
        <v>2159.3999999999996</v>
      </c>
      <c r="K35" s="13">
        <v>0.5</v>
      </c>
      <c r="L35" s="37">
        <f t="shared" si="14"/>
        <v>6.6164203137196589E-7</v>
      </c>
      <c r="M35" s="13">
        <f t="shared" si="15"/>
        <v>0.1277494057039843</v>
      </c>
      <c r="N35" s="13">
        <f t="shared" si="16"/>
        <v>2159.6554994730495</v>
      </c>
    </row>
    <row r="36" spans="3:14" x14ac:dyDescent="0.25">
      <c r="C36" s="13">
        <v>29979200000</v>
      </c>
      <c r="D36" s="13">
        <v>1.5</v>
      </c>
      <c r="E36" s="13">
        <v>1.4396E-13</v>
      </c>
      <c r="F36" s="13">
        <v>0.51099894609999996</v>
      </c>
      <c r="G36" s="13">
        <v>1.9307933844132101E-11</v>
      </c>
      <c r="H36" s="24">
        <f t="shared" si="18"/>
        <v>1.0000000000000001E-17</v>
      </c>
      <c r="I36" s="38">
        <f>G36/SQRT(H36^2+G36^2)</f>
        <v>0.999999999999866</v>
      </c>
      <c r="J36" s="24">
        <f>D36*E36/H36</f>
        <v>21593.999999999996</v>
      </c>
      <c r="K36" s="13">
        <v>0.5</v>
      </c>
      <c r="L36" s="37">
        <f>K36*F36/(1+2*SQRT(1+(G36/H36)^2))</f>
        <v>6.616435734351181E-8</v>
      </c>
      <c r="M36" s="13">
        <f>(K36*F36-L36)/2</f>
        <v>0.12774970344282133</v>
      </c>
      <c r="N36" s="13">
        <f>J36+F36-K36*F36</f>
        <v>21594.255499473049</v>
      </c>
    </row>
    <row r="37" spans="3:14" x14ac:dyDescent="0.25">
      <c r="C37" s="13">
        <v>29979200000</v>
      </c>
      <c r="D37" s="13">
        <v>1.5</v>
      </c>
      <c r="E37" s="13">
        <v>1.4396E-13</v>
      </c>
      <c r="F37" s="13">
        <v>0.51099894609999996</v>
      </c>
      <c r="G37" s="13">
        <v>1.9307933844132101E-11</v>
      </c>
      <c r="H37" s="24">
        <f t="shared" si="18"/>
        <v>1.0000000000000001E-18</v>
      </c>
      <c r="I37" s="38">
        <f>G37/SQRT(H37^2+G37^2)</f>
        <v>0.99999999999999867</v>
      </c>
      <c r="J37" s="24">
        <f>D37*E37/H37</f>
        <v>215939.99999999997</v>
      </c>
      <c r="K37" s="13">
        <v>0.5</v>
      </c>
      <c r="L37" s="37">
        <f>K37*F37/(1+2*SQRT(1+(G37/H37)^2))</f>
        <v>6.6164372764103797E-9</v>
      </c>
      <c r="M37" s="13">
        <f>(K37*F37-L37)/2</f>
        <v>0.12774973321678135</v>
      </c>
      <c r="N37" s="13">
        <f>J37+F37-K37*F37</f>
        <v>215940.25549947302</v>
      </c>
    </row>
    <row r="38" spans="3:14" x14ac:dyDescent="0.25">
      <c r="C38" s="13">
        <v>29979200000</v>
      </c>
      <c r="D38" s="13">
        <v>1.5</v>
      </c>
      <c r="E38" s="13">
        <v>1.4396E-13</v>
      </c>
      <c r="F38" s="13">
        <v>0.51099894609999996</v>
      </c>
      <c r="G38" s="13">
        <v>1.9307933844132101E-11</v>
      </c>
      <c r="H38" s="42"/>
      <c r="I38" s="38"/>
      <c r="K38" s="13"/>
      <c r="L38" s="37"/>
    </row>
    <row r="39" spans="3:14" x14ac:dyDescent="0.25">
      <c r="C39" s="13">
        <v>29979200000</v>
      </c>
      <c r="D39" s="13">
        <v>1.5</v>
      </c>
      <c r="E39" s="13">
        <v>1.4396E-13</v>
      </c>
      <c r="F39" s="13">
        <v>0.51099894609999996</v>
      </c>
      <c r="G39" s="13">
        <v>1.9307933844132101E-11</v>
      </c>
    </row>
    <row r="40" spans="3:14" x14ac:dyDescent="0.25">
      <c r="C40" s="13">
        <v>29979200000</v>
      </c>
      <c r="D40" s="13">
        <v>1.5</v>
      </c>
      <c r="E40" s="13">
        <v>1.4396E-13</v>
      </c>
      <c r="F40" s="13">
        <v>0.51099894609999996</v>
      </c>
      <c r="G40" s="13">
        <v>1.9307933844132101E-11</v>
      </c>
    </row>
    <row r="41" spans="3:14" x14ac:dyDescent="0.25">
      <c r="C41" s="13">
        <v>29979200000</v>
      </c>
      <c r="D41" s="13">
        <v>1.5</v>
      </c>
      <c r="E41" s="13">
        <v>1.4396E-13</v>
      </c>
      <c r="F41" s="13">
        <v>0.51099894609999996</v>
      </c>
      <c r="G41" s="13">
        <v>1.9307933844132101E-11</v>
      </c>
    </row>
    <row r="42" spans="3:14" x14ac:dyDescent="0.25">
      <c r="C42" s="13">
        <v>29979200000</v>
      </c>
      <c r="D42" s="13">
        <v>1.5</v>
      </c>
      <c r="E42" s="13">
        <v>1.4396E-13</v>
      </c>
      <c r="F42" s="13">
        <v>0.51099894609999996</v>
      </c>
      <c r="G42" s="13">
        <v>1.9307933844132101E-11</v>
      </c>
    </row>
    <row r="43" spans="3:14" x14ac:dyDescent="0.25">
      <c r="C43" s="13">
        <v>29979200000</v>
      </c>
      <c r="D43" s="13">
        <v>1.5</v>
      </c>
      <c r="E43" s="13">
        <v>1.4396E-13</v>
      </c>
      <c r="F43" s="13">
        <v>0.51099894609999996</v>
      </c>
      <c r="G43" s="13">
        <v>1.9307933844132101E-11</v>
      </c>
    </row>
    <row r="44" spans="3:14" x14ac:dyDescent="0.25">
      <c r="C44" s="13">
        <v>29979200000</v>
      </c>
      <c r="D44" s="13">
        <v>1.5</v>
      </c>
      <c r="E44" s="13">
        <v>1.4396E-13</v>
      </c>
      <c r="F44" s="13">
        <v>0.51099894609999996</v>
      </c>
      <c r="G44" s="13">
        <v>1.9307933844132101E-11</v>
      </c>
    </row>
    <row r="45" spans="3:14" x14ac:dyDescent="0.25">
      <c r="C45" s="13">
        <v>29979200000</v>
      </c>
      <c r="D45" s="13">
        <v>1.5</v>
      </c>
      <c r="E45" s="13">
        <v>1.4396E-13</v>
      </c>
      <c r="F45" s="13">
        <v>0.51099894609999996</v>
      </c>
      <c r="G45" s="13">
        <v>1.9307933844132101E-11</v>
      </c>
    </row>
    <row r="46" spans="3:14" x14ac:dyDescent="0.25">
      <c r="C46" s="13">
        <v>29979200000</v>
      </c>
      <c r="D46" s="13">
        <v>1.5</v>
      </c>
      <c r="E46" s="13">
        <v>1.4396E-13</v>
      </c>
      <c r="F46" s="13">
        <v>0.51099894609999996</v>
      </c>
      <c r="G46" s="13">
        <v>1.9307933844132101E-11</v>
      </c>
    </row>
    <row r="47" spans="3:14" x14ac:dyDescent="0.25">
      <c r="C47" s="13">
        <v>29979200000</v>
      </c>
      <c r="D47" s="13">
        <v>1.5</v>
      </c>
      <c r="E47" s="13">
        <v>1.4396E-13</v>
      </c>
      <c r="F47" s="13">
        <v>0.51099894609999996</v>
      </c>
      <c r="G47" s="13">
        <v>1.9307933844132101E-11</v>
      </c>
    </row>
    <row r="48" spans="3:14" x14ac:dyDescent="0.25">
      <c r="C48" s="13">
        <v>29979200000</v>
      </c>
      <c r="D48" s="13">
        <v>1.5</v>
      </c>
      <c r="E48" s="13">
        <v>1.4396E-13</v>
      </c>
      <c r="F48" s="13">
        <v>0.51099894609999996</v>
      </c>
      <c r="G48" s="13">
        <v>1.9307933844132101E-11</v>
      </c>
    </row>
    <row r="49" spans="3:7" x14ac:dyDescent="0.25">
      <c r="C49" s="13">
        <v>29979200000</v>
      </c>
      <c r="D49" s="13">
        <v>1.5</v>
      </c>
      <c r="E49" s="13">
        <v>1.4396E-13</v>
      </c>
      <c r="F49" s="13">
        <v>0.51099894609999996</v>
      </c>
      <c r="G49" s="13">
        <v>1.9307933844132101E-11</v>
      </c>
    </row>
    <row r="50" spans="3:7" x14ac:dyDescent="0.25">
      <c r="C50" s="13">
        <v>29979200000</v>
      </c>
      <c r="D50" s="13">
        <v>1.5</v>
      </c>
      <c r="E50" s="13">
        <v>1.4396E-13</v>
      </c>
      <c r="F50" s="13">
        <v>0.51099894609999996</v>
      </c>
      <c r="G50" s="13">
        <v>1.9307933844132101E-11</v>
      </c>
    </row>
    <row r="51" spans="3:7" x14ac:dyDescent="0.25">
      <c r="C51" s="13">
        <v>29979200000</v>
      </c>
      <c r="D51" s="13">
        <v>1.5</v>
      </c>
      <c r="E51" s="13">
        <v>1.4396E-13</v>
      </c>
      <c r="F51" s="13">
        <v>0.51099894609999996</v>
      </c>
      <c r="G51" s="13">
        <v>1.9307933844132101E-11</v>
      </c>
    </row>
    <row r="52" spans="3:7" x14ac:dyDescent="0.25">
      <c r="C52" s="13">
        <v>29979200000</v>
      </c>
      <c r="D52" s="13">
        <v>1.5</v>
      </c>
      <c r="E52" s="13">
        <v>1.4396E-13</v>
      </c>
      <c r="F52" s="13">
        <v>0.51099894609999996</v>
      </c>
      <c r="G52" s="13">
        <v>1.9307933844132101E-11</v>
      </c>
    </row>
    <row r="53" spans="3:7" x14ac:dyDescent="0.25">
      <c r="C53" s="13">
        <v>29979200000</v>
      </c>
      <c r="D53" s="13">
        <v>1.5</v>
      </c>
      <c r="E53" s="13">
        <v>1.4396E-13</v>
      </c>
      <c r="F53" s="13">
        <v>0.51099894609999996</v>
      </c>
      <c r="G53" s="13">
        <v>1.9307933844132101E-11</v>
      </c>
    </row>
    <row r="54" spans="3:7" x14ac:dyDescent="0.25">
      <c r="C54" s="13">
        <v>29979200000</v>
      </c>
      <c r="D54" s="13">
        <v>1.5</v>
      </c>
      <c r="E54" s="13">
        <v>1.4396E-13</v>
      </c>
      <c r="F54" s="13">
        <v>0.51099894609999996</v>
      </c>
      <c r="G54" s="13">
        <v>1.9307933844132101E-11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064E-5E06-4CE8-9595-12EB942F82CF}">
  <dimension ref="A1:T21"/>
  <sheetViews>
    <sheetView topLeftCell="E1" workbookViewId="0">
      <selection activeCell="P2" sqref="P2"/>
    </sheetView>
  </sheetViews>
  <sheetFormatPr defaultRowHeight="15" x14ac:dyDescent="0.25"/>
  <cols>
    <col min="2" max="2" width="9.85546875" bestFit="1" customWidth="1"/>
    <col min="3" max="3" width="12.28515625" bestFit="1" customWidth="1"/>
    <col min="5" max="5" width="12.5703125" bestFit="1" customWidth="1"/>
    <col min="7" max="7" width="12.5703125" bestFit="1" customWidth="1"/>
    <col min="8" max="8" width="35.42578125" bestFit="1" customWidth="1"/>
    <col min="10" max="10" width="16.28515625" customWidth="1"/>
    <col min="13" max="13" width="16" customWidth="1"/>
    <col min="15" max="15" width="12" bestFit="1" customWidth="1"/>
    <col min="16" max="16" width="22.5703125" customWidth="1"/>
    <col min="18" max="18" width="10.28515625" bestFit="1" customWidth="1"/>
  </cols>
  <sheetData>
    <row r="1" spans="1:20" x14ac:dyDescent="0.25">
      <c r="A1" s="13" t="s">
        <v>48</v>
      </c>
      <c r="B1" s="24">
        <f>3/(P10/M5)^2</f>
        <v>1851.6637373878975</v>
      </c>
      <c r="C1" s="13" t="s">
        <v>90</v>
      </c>
      <c r="D1" s="13"/>
      <c r="E1" s="13" t="s">
        <v>89</v>
      </c>
      <c r="F1" s="13"/>
      <c r="G1" s="13" t="s">
        <v>51</v>
      </c>
      <c r="H1" s="28" t="s">
        <v>55</v>
      </c>
      <c r="I1" s="13" t="s">
        <v>27</v>
      </c>
      <c r="J1" s="25">
        <f>P4*M1+M7-M2</f>
        <v>1.6804849891656204</v>
      </c>
      <c r="K1" s="13"/>
      <c r="L1" s="13" t="s">
        <v>33</v>
      </c>
      <c r="M1" s="26">
        <v>313.57829978102188</v>
      </c>
      <c r="N1" s="13"/>
      <c r="O1" s="13" t="s">
        <v>8</v>
      </c>
      <c r="P1" s="13">
        <v>1.8284</v>
      </c>
      <c r="Q1" s="13"/>
      <c r="R1" s="13"/>
      <c r="S1" s="13"/>
      <c r="T1" s="13"/>
    </row>
    <row r="2" spans="1:20" x14ac:dyDescent="0.25">
      <c r="A2" s="13" t="s">
        <v>17</v>
      </c>
      <c r="B2" s="24">
        <f>-M4</f>
        <v>-1.5052777486479301E-3</v>
      </c>
      <c r="C2" s="26">
        <f>M5*SQRT(P3/M3)</f>
        <v>4.0729821936754814E-24</v>
      </c>
      <c r="D2" s="13"/>
      <c r="E2" s="26">
        <f>1/SQRT(1-G2^2)</f>
        <v>1.0071658824211924</v>
      </c>
      <c r="F2" s="13"/>
      <c r="G2" s="26">
        <f>J2/SQRT(J2^2+R3^2)</f>
        <v>0.11907633697210385</v>
      </c>
      <c r="H2" s="26">
        <f>M2/(1+P4*SQRT(1+(J2/P3)^2))</f>
        <v>234.49546345775875</v>
      </c>
      <c r="I2" s="13" t="s">
        <v>100</v>
      </c>
      <c r="J2" s="26">
        <f>P5*P7*P6/M9</f>
        <v>1.0515429432494678E-14</v>
      </c>
      <c r="K2" s="13"/>
      <c r="L2" s="13" t="s">
        <v>32</v>
      </c>
      <c r="M2" s="13">
        <v>939.56541330000005</v>
      </c>
      <c r="N2" s="13"/>
      <c r="O2" s="13" t="s">
        <v>9</v>
      </c>
      <c r="P2" s="13">
        <v>1.4396E-13</v>
      </c>
      <c r="Q2" s="13"/>
      <c r="R2" s="13"/>
      <c r="S2" s="13"/>
      <c r="T2" s="13"/>
    </row>
    <row r="3" spans="1:20" x14ac:dyDescent="0.25">
      <c r="A3" s="13" t="s">
        <v>49</v>
      </c>
      <c r="B3" s="24">
        <f>P1*M5</f>
        <v>4.2175702800000003E-19</v>
      </c>
      <c r="C3" s="13"/>
      <c r="D3" s="13"/>
      <c r="E3" s="13"/>
      <c r="F3" s="13"/>
      <c r="G3" s="13"/>
      <c r="H3" s="13"/>
      <c r="I3" s="13" t="s">
        <v>28</v>
      </c>
      <c r="J3" s="30">
        <f>P1*P2/R4</f>
        <v>3.0461342900127302</v>
      </c>
      <c r="K3" s="13"/>
      <c r="L3" s="13" t="s">
        <v>93</v>
      </c>
      <c r="M3" s="24">
        <f>M1*10^6*M6</f>
        <v>5.0238379407917515E-4</v>
      </c>
      <c r="N3" s="13"/>
      <c r="O3" s="13" t="s">
        <v>18</v>
      </c>
      <c r="P3" s="26">
        <f>P1*P2/J1</f>
        <v>1.5663124972671723E-13</v>
      </c>
      <c r="Q3" s="13" t="s">
        <v>108</v>
      </c>
      <c r="R3" s="30">
        <f>P11</f>
        <v>8.7679999999999998E-14</v>
      </c>
      <c r="S3" s="13"/>
      <c r="T3" s="13"/>
    </row>
    <row r="4" spans="1:20" x14ac:dyDescent="0.25">
      <c r="A4" s="13" t="s">
        <v>50</v>
      </c>
      <c r="B4" s="24">
        <f>B2^2-4*B1*B3</f>
        <v>2.2658610974507723E-6</v>
      </c>
      <c r="C4" s="13"/>
      <c r="D4" s="13"/>
      <c r="E4" s="13"/>
      <c r="F4" s="13"/>
      <c r="G4" s="13" t="s">
        <v>37</v>
      </c>
      <c r="H4" s="13">
        <f>(M2-H2)/P4</f>
        <v>235.02331661408041</v>
      </c>
      <c r="I4" s="13" t="s">
        <v>109</v>
      </c>
      <c r="J4" s="26">
        <f>M2-M9-M7+J3</f>
        <v>3.8284686439128159</v>
      </c>
      <c r="K4" s="13"/>
      <c r="L4" s="13" t="s">
        <v>96</v>
      </c>
      <c r="M4" s="24">
        <f>M2*10^6*M6</f>
        <v>1.5052777486479301E-3</v>
      </c>
      <c r="N4" s="13"/>
      <c r="O4" s="13" t="s">
        <v>31</v>
      </c>
      <c r="P4" s="13">
        <v>3</v>
      </c>
      <c r="Q4" s="13" t="s">
        <v>125</v>
      </c>
      <c r="R4" s="30">
        <v>8.6409999999999995E-14</v>
      </c>
      <c r="S4" s="13"/>
      <c r="T4" s="13"/>
    </row>
    <row r="5" spans="1:20" x14ac:dyDescent="0.25">
      <c r="A5" s="13"/>
      <c r="B5" s="13"/>
      <c r="C5" s="13"/>
      <c r="D5" s="13"/>
      <c r="E5" s="13"/>
      <c r="F5" s="13"/>
      <c r="G5" s="26">
        <f>1/SQRT(1-G2^2)</f>
        <v>1.0071658824211924</v>
      </c>
      <c r="H5" s="13"/>
      <c r="I5" s="13" t="s">
        <v>128</v>
      </c>
      <c r="J5" s="13">
        <v>2.4628193430656893</v>
      </c>
      <c r="K5" s="13"/>
      <c r="L5" s="13" t="s">
        <v>94</v>
      </c>
      <c r="M5" s="24">
        <v>2.3067000000000001E-19</v>
      </c>
      <c r="N5" s="13"/>
      <c r="O5" s="13" t="s">
        <v>5</v>
      </c>
      <c r="P5" s="13">
        <v>0.5</v>
      </c>
      <c r="Q5" s="13"/>
      <c r="R5" s="13"/>
      <c r="S5" s="13"/>
      <c r="T5" s="13"/>
    </row>
    <row r="6" spans="1:20" x14ac:dyDescent="0.25">
      <c r="A6" s="13" t="s">
        <v>91</v>
      </c>
      <c r="B6" s="24">
        <f>-B2+SQRT(B4)/2/B1</f>
        <v>1.5056842149293657E-3</v>
      </c>
      <c r="C6" s="13"/>
      <c r="D6" s="13"/>
      <c r="E6" s="13"/>
      <c r="F6" s="13"/>
      <c r="G6" s="13"/>
      <c r="H6" s="13"/>
      <c r="I6" s="13" t="s">
        <v>127</v>
      </c>
      <c r="J6" s="30">
        <f>J3-J5-M11</f>
        <v>-0.1989850530529591</v>
      </c>
      <c r="K6" s="13"/>
      <c r="L6" s="13" t="s">
        <v>95</v>
      </c>
      <c r="M6" s="24">
        <v>1.6021E-12</v>
      </c>
      <c r="N6" s="13"/>
      <c r="O6" s="13" t="s">
        <v>11</v>
      </c>
      <c r="P6" s="24">
        <v>6.5821194999999999E-22</v>
      </c>
      <c r="Q6" s="13"/>
      <c r="R6" s="13"/>
      <c r="S6" s="13"/>
      <c r="T6" s="13"/>
    </row>
    <row r="7" spans="1:20" x14ac:dyDescent="0.25">
      <c r="A7" s="24">
        <f>B6/(P10/M5)^2</f>
        <v>0.92934028691402393</v>
      </c>
      <c r="B7" s="13"/>
      <c r="C7" s="13"/>
      <c r="D7" s="13"/>
      <c r="E7" s="13"/>
      <c r="F7" s="13"/>
      <c r="G7" s="13"/>
      <c r="H7" s="13"/>
      <c r="I7" s="13" t="s">
        <v>136</v>
      </c>
      <c r="J7" s="13">
        <f>(P1*P2/R4-M11)</f>
        <v>2.2638342900127304</v>
      </c>
      <c r="K7" s="13"/>
      <c r="L7" s="13" t="s">
        <v>14</v>
      </c>
      <c r="M7" s="13">
        <v>0.51099894609999996</v>
      </c>
      <c r="N7" s="13"/>
      <c r="O7" s="13" t="s">
        <v>7</v>
      </c>
      <c r="P7" s="13">
        <v>29979200000</v>
      </c>
      <c r="Q7" s="13"/>
      <c r="R7" s="13"/>
      <c r="S7" s="13"/>
      <c r="T7" s="13"/>
    </row>
    <row r="8" spans="1:20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 t="s">
        <v>112</v>
      </c>
      <c r="M8" s="26">
        <f>M7*G5</f>
        <v>0.51466070446510581</v>
      </c>
      <c r="N8" s="13"/>
      <c r="O8" s="13" t="s">
        <v>52</v>
      </c>
      <c r="P8" s="13">
        <v>4.8029599999999995E-10</v>
      </c>
      <c r="Q8" s="13"/>
      <c r="R8" s="13"/>
      <c r="S8" s="13"/>
      <c r="T8" s="13"/>
    </row>
    <row r="9" spans="1:20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 t="s">
        <v>113</v>
      </c>
      <c r="M9" s="13">
        <v>938.27207999999996</v>
      </c>
      <c r="N9" s="13"/>
      <c r="O9" s="13" t="s">
        <v>53</v>
      </c>
      <c r="P9" s="26">
        <f>P14*P8/2*P3*G2/SQRT(1-G2^2)*M2/M7</f>
        <v>-1.7283701282876811E-23</v>
      </c>
      <c r="Q9" s="13"/>
      <c r="R9" s="13"/>
      <c r="S9" s="13"/>
      <c r="T9" s="13"/>
    </row>
    <row r="10" spans="1:20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 t="s">
        <v>114</v>
      </c>
      <c r="M10" s="26">
        <f>M9*G5</f>
        <v>944.99562740436761</v>
      </c>
      <c r="N10" s="13"/>
      <c r="O10" s="13" t="s">
        <v>92</v>
      </c>
      <c r="P10" s="13">
        <f>9.28476E-21</f>
        <v>9.2847600000000004E-21</v>
      </c>
      <c r="Q10" s="13"/>
      <c r="R10" s="13"/>
      <c r="S10" s="13"/>
      <c r="T10" s="13"/>
    </row>
    <row r="11" spans="1:20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 t="s">
        <v>126</v>
      </c>
      <c r="M11" s="13">
        <v>0.7823</v>
      </c>
      <c r="N11" s="13"/>
      <c r="O11" s="13" t="s">
        <v>99</v>
      </c>
      <c r="P11" s="29">
        <v>8.7679999999999998E-14</v>
      </c>
      <c r="Q11" s="13"/>
      <c r="R11" s="13"/>
      <c r="S11" s="13"/>
      <c r="T11" s="13"/>
    </row>
    <row r="12" spans="1:20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 t="s">
        <v>115</v>
      </c>
      <c r="M12" s="26">
        <f>M10-J3</f>
        <v>941.94949311435494</v>
      </c>
      <c r="N12" s="13"/>
      <c r="O12" s="13" t="s">
        <v>106</v>
      </c>
      <c r="P12" s="13">
        <f>P14/2*P13</f>
        <v>-9.6623639695006716E-24</v>
      </c>
      <c r="Q12" s="13"/>
      <c r="R12" s="13"/>
      <c r="S12" s="13"/>
      <c r="T12" s="13"/>
    </row>
    <row r="13" spans="1:20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 t="s">
        <v>104</v>
      </c>
      <c r="P13" s="13">
        <f>9.274009E-21</f>
        <v>9.2740090000000001E-21</v>
      </c>
      <c r="Q13" s="13"/>
      <c r="R13" s="13"/>
      <c r="S13" s="13"/>
      <c r="T13" s="13"/>
    </row>
    <row r="14" spans="1:20" x14ac:dyDescent="0.25">
      <c r="A14" s="13"/>
      <c r="B14" s="13"/>
      <c r="C14" s="13"/>
      <c r="D14" s="13"/>
      <c r="E14" s="13"/>
      <c r="F14" s="13"/>
      <c r="G14" s="13"/>
      <c r="H14" s="13"/>
      <c r="I14" s="13" t="s">
        <v>134</v>
      </c>
      <c r="J14" s="13">
        <f>P14/2</f>
        <v>-1.0418756300000001E-3</v>
      </c>
      <c r="K14" s="13"/>
      <c r="L14" s="13" t="s">
        <v>135</v>
      </c>
      <c r="M14" s="25">
        <f>J7/P2*R3</f>
        <v>1.3788065472931106</v>
      </c>
      <c r="N14" s="13"/>
      <c r="O14" s="13" t="s">
        <v>105</v>
      </c>
      <c r="P14" s="13">
        <f>(-1.04187563)*2*0.001</f>
        <v>-2.0837512600000003E-3</v>
      </c>
      <c r="Q14" s="13"/>
      <c r="R14" s="13"/>
      <c r="S14" s="13"/>
      <c r="T14" s="13"/>
    </row>
    <row r="15" spans="1:20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 t="s">
        <v>136</v>
      </c>
      <c r="M15" s="13"/>
      <c r="N15" s="13"/>
      <c r="O15" s="13"/>
      <c r="P15" s="13"/>
      <c r="Q15" s="13"/>
      <c r="R15" s="13"/>
      <c r="S15" s="13"/>
      <c r="T15" s="13"/>
    </row>
    <row r="16" spans="1:20" x14ac:dyDescent="0.25">
      <c r="L16" s="13"/>
      <c r="M16" s="13"/>
    </row>
    <row r="18" spans="12:13" x14ac:dyDescent="0.25">
      <c r="L18" t="s">
        <v>140</v>
      </c>
      <c r="M18">
        <f>DEGREES(M19)</f>
        <v>83.947743759332212</v>
      </c>
    </row>
    <row r="19" spans="12:13" x14ac:dyDescent="0.25">
      <c r="L19" t="s">
        <v>139</v>
      </c>
      <c r="M19">
        <v>1.4651645282208694</v>
      </c>
    </row>
    <row r="20" spans="12:13" x14ac:dyDescent="0.25">
      <c r="L20" t="s">
        <v>137</v>
      </c>
      <c r="M20">
        <v>1.3788</v>
      </c>
    </row>
    <row r="21" spans="12:13" x14ac:dyDescent="0.25">
      <c r="L21" t="s">
        <v>138</v>
      </c>
      <c r="M21">
        <f>ABS(-1/SIN(M19)+1/(2*SIN(2*M19))-M20)</f>
        <v>3.8825092207872558E-6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1805-5FDF-4CE8-9828-37AE100A1C3C}">
  <dimension ref="C5:N19"/>
  <sheetViews>
    <sheetView zoomScale="160" zoomScaleNormal="160" workbookViewId="0">
      <selection activeCell="P11" sqref="P11"/>
    </sheetView>
  </sheetViews>
  <sheetFormatPr defaultRowHeight="15" x14ac:dyDescent="0.25"/>
  <cols>
    <col min="1" max="2" width="9.140625" style="13"/>
    <col min="3" max="7" width="0" style="13" hidden="1" customWidth="1"/>
    <col min="8" max="8" width="9.140625" style="13"/>
    <col min="9" max="9" width="19.7109375" style="13" customWidth="1"/>
    <col min="10" max="10" width="12.140625" style="13" customWidth="1"/>
    <col min="11" max="11" width="9.5703125" customWidth="1"/>
    <col min="12" max="12" width="17.85546875" style="13" customWidth="1"/>
    <col min="13" max="13" width="11.85546875" style="13" customWidth="1"/>
    <col min="14" max="14" width="13.85546875" style="13" customWidth="1"/>
    <col min="15" max="16384" width="9.140625" style="13"/>
  </cols>
  <sheetData>
    <row r="5" spans="3:14" ht="18" x14ac:dyDescent="0.25">
      <c r="C5" s="13" t="s">
        <v>7</v>
      </c>
      <c r="D5" s="13" t="s">
        <v>8</v>
      </c>
      <c r="E5" s="13" t="s">
        <v>116</v>
      </c>
      <c r="F5" s="13" t="s">
        <v>14</v>
      </c>
      <c r="G5" s="13" t="s">
        <v>100</v>
      </c>
      <c r="H5" s="39" t="s">
        <v>70</v>
      </c>
      <c r="I5" s="39" t="s">
        <v>65</v>
      </c>
      <c r="J5" s="39" t="s">
        <v>71</v>
      </c>
      <c r="K5" s="39" t="s">
        <v>130</v>
      </c>
      <c r="L5" s="39" t="s">
        <v>131</v>
      </c>
      <c r="M5" s="39" t="s">
        <v>132</v>
      </c>
      <c r="N5" s="39" t="s">
        <v>129</v>
      </c>
    </row>
    <row r="6" spans="3:14" x14ac:dyDescent="0.25">
      <c r="C6" s="13">
        <v>29979200000</v>
      </c>
      <c r="D6" s="13">
        <v>1.5</v>
      </c>
      <c r="E6" s="13">
        <v>1.4396E-13</v>
      </c>
      <c r="F6" s="13">
        <v>0.51099894609999996</v>
      </c>
      <c r="G6" s="13">
        <v>1.9307933844132052E-11</v>
      </c>
      <c r="H6" s="24">
        <v>9.9999999999999994E-12</v>
      </c>
      <c r="I6" s="38">
        <f>G6/SQRT(H6^2+G6^2)</f>
        <v>0.88797096056618186</v>
      </c>
      <c r="J6" s="35">
        <f>D6*E6/H6</f>
        <v>2.1593999999999999E-2</v>
      </c>
      <c r="K6" s="13">
        <v>0.5</v>
      </c>
      <c r="L6" s="37">
        <f>K6*F6/(1+2*SQRT(1+(G6/H6)^2))</f>
        <v>4.7767839751550155E-2</v>
      </c>
      <c r="M6" s="13">
        <f>(K6*F6-L6)/2</f>
        <v>0.10386581664922491</v>
      </c>
      <c r="N6" s="13">
        <f>J6+F6-K6*F6</f>
        <v>0.27709347304999998</v>
      </c>
    </row>
    <row r="7" spans="3:14" x14ac:dyDescent="0.25">
      <c r="C7" s="13">
        <v>29979200000</v>
      </c>
      <c r="D7" s="13">
        <v>1.5</v>
      </c>
      <c r="E7" s="13">
        <v>1.4396E-13</v>
      </c>
      <c r="F7" s="13">
        <v>0.51099894609999996</v>
      </c>
      <c r="G7" s="13">
        <v>1.9307933844132052E-11</v>
      </c>
      <c r="H7" s="24">
        <f>H6/10</f>
        <v>9.9999999999999998E-13</v>
      </c>
      <c r="I7" s="38">
        <f t="shared" ref="I7:I13" si="0">G7/SQRT(H7^2+G7^2)</f>
        <v>0.99866147727438936</v>
      </c>
      <c r="J7" s="35">
        <f t="shared" ref="J7:J13" si="1">D7*E7/H7</f>
        <v>0.21593999999999999</v>
      </c>
      <c r="K7" s="13">
        <v>0.5</v>
      </c>
      <c r="L7" s="37">
        <f t="shared" ref="L7:L13" si="2">K7*F7/(1+2*SQRT(1+(G7/H7)^2))</f>
        <v>6.4410075437904696E-3</v>
      </c>
      <c r="M7" s="13">
        <f t="shared" ref="M7:M13" si="3">(K7*F7-L7)/2</f>
        <v>0.12452923275310476</v>
      </c>
      <c r="N7" s="13">
        <f t="shared" ref="N7:N13" si="4">J7+F7-K7*F7</f>
        <v>0.47143947305</v>
      </c>
    </row>
    <row r="8" spans="3:14" x14ac:dyDescent="0.25">
      <c r="C8" s="13">
        <v>29979200000</v>
      </c>
      <c r="D8" s="13">
        <v>1.5</v>
      </c>
      <c r="E8" s="13">
        <v>1.4396E-13</v>
      </c>
      <c r="F8" s="13">
        <v>0.51099894609999996</v>
      </c>
      <c r="G8" s="13">
        <v>1.9307933844132052E-11</v>
      </c>
      <c r="H8" s="24">
        <f t="shared" ref="H8:H12" si="5">H7/10</f>
        <v>1E-13</v>
      </c>
      <c r="I8" s="38">
        <f t="shared" si="0"/>
        <v>0.99998658811987684</v>
      </c>
      <c r="J8" s="35">
        <f t="shared" si="1"/>
        <v>2.1593999999999998</v>
      </c>
      <c r="K8" s="13">
        <v>0.5</v>
      </c>
      <c r="L8" s="37">
        <f t="shared" si="2"/>
        <v>6.5992594362024781E-4</v>
      </c>
      <c r="M8" s="13">
        <f t="shared" si="3"/>
        <v>0.12741977355318987</v>
      </c>
      <c r="N8" s="13">
        <f t="shared" si="4"/>
        <v>2.4148994730499997</v>
      </c>
    </row>
    <row r="9" spans="3:14" x14ac:dyDescent="0.25">
      <c r="C9" s="13">
        <v>29979200000</v>
      </c>
      <c r="D9" s="13">
        <v>1.5</v>
      </c>
      <c r="E9" s="13">
        <v>1.4396E-13</v>
      </c>
      <c r="F9" s="13">
        <v>0.51099894609999996</v>
      </c>
      <c r="G9" s="13">
        <v>1.9307933844132052E-11</v>
      </c>
      <c r="H9" s="24">
        <f t="shared" si="5"/>
        <v>1E-14</v>
      </c>
      <c r="I9" s="38">
        <f t="shared" si="0"/>
        <v>0.99999986587852752</v>
      </c>
      <c r="J9" s="34">
        <f t="shared" si="1"/>
        <v>21.593999999999998</v>
      </c>
      <c r="K9" s="13">
        <v>0.5</v>
      </c>
      <c r="L9" s="37">
        <f t="shared" si="2"/>
        <v>6.6147236057699215E-5</v>
      </c>
      <c r="M9" s="13">
        <f t="shared" si="3"/>
        <v>0.12771666290697115</v>
      </c>
      <c r="N9" s="13">
        <f t="shared" si="4"/>
        <v>21.849499473049995</v>
      </c>
    </row>
    <row r="10" spans="3:14" x14ac:dyDescent="0.25">
      <c r="C10" s="13">
        <v>29979200000</v>
      </c>
      <c r="D10" s="13">
        <v>1.5</v>
      </c>
      <c r="E10" s="13">
        <v>1.4396E-13</v>
      </c>
      <c r="F10" s="13">
        <v>0.51099894609999996</v>
      </c>
      <c r="G10" s="13">
        <v>1.9307933844132052E-11</v>
      </c>
      <c r="H10" s="24">
        <f t="shared" si="5"/>
        <v>1.0000000000000001E-15</v>
      </c>
      <c r="I10" s="38">
        <f t="shared" si="0"/>
        <v>0.99999999865878497</v>
      </c>
      <c r="J10" s="33">
        <f t="shared" si="1"/>
        <v>215.93999999999997</v>
      </c>
      <c r="K10" s="13">
        <v>0.5</v>
      </c>
      <c r="L10" s="37">
        <f t="shared" si="2"/>
        <v>6.6162661034513932E-6</v>
      </c>
      <c r="M10" s="13">
        <f t="shared" si="3"/>
        <v>0.12774642839194827</v>
      </c>
      <c r="N10" s="13">
        <f t="shared" si="4"/>
        <v>216.19549947304995</v>
      </c>
    </row>
    <row r="11" spans="3:14" x14ac:dyDescent="0.25">
      <c r="C11" s="13">
        <v>29979200000</v>
      </c>
      <c r="D11" s="13">
        <v>1.5</v>
      </c>
      <c r="E11" s="13">
        <v>1.4396E-13</v>
      </c>
      <c r="F11" s="13">
        <v>0.51099894609999996</v>
      </c>
      <c r="G11" s="13">
        <v>1.9307933844132052E-11</v>
      </c>
      <c r="H11" s="24">
        <f t="shared" si="5"/>
        <v>1.0000000000000001E-16</v>
      </c>
      <c r="I11" s="38">
        <f t="shared" si="0"/>
        <v>0.99999999998658795</v>
      </c>
      <c r="J11" s="32">
        <f t="shared" si="1"/>
        <v>2159.3999999999996</v>
      </c>
      <c r="K11" s="13">
        <v>0.5</v>
      </c>
      <c r="L11" s="37">
        <f t="shared" si="2"/>
        <v>6.6164203137196758E-7</v>
      </c>
      <c r="M11" s="13">
        <f t="shared" si="3"/>
        <v>0.1277494057039843</v>
      </c>
      <c r="N11" s="13">
        <f t="shared" si="4"/>
        <v>2159.6554994730495</v>
      </c>
    </row>
    <row r="12" spans="3:14" x14ac:dyDescent="0.25">
      <c r="C12" s="13">
        <v>29979200000</v>
      </c>
      <c r="D12" s="13">
        <v>1.5</v>
      </c>
      <c r="E12" s="13">
        <v>1.4396E-13</v>
      </c>
      <c r="F12" s="13">
        <v>0.51099894609999996</v>
      </c>
      <c r="G12" s="13">
        <v>1.9307933844132052E-11</v>
      </c>
      <c r="H12" s="24">
        <f t="shared" si="5"/>
        <v>1.0000000000000001E-17</v>
      </c>
      <c r="I12" s="38">
        <f t="shared" si="0"/>
        <v>0.999999999999866</v>
      </c>
      <c r="J12" s="40">
        <f t="shared" si="1"/>
        <v>21593.999999999996</v>
      </c>
      <c r="K12" s="13">
        <v>0.5</v>
      </c>
      <c r="L12" s="37">
        <f t="shared" si="2"/>
        <v>6.6164357343511982E-8</v>
      </c>
      <c r="M12" s="13">
        <f t="shared" si="3"/>
        <v>0.12774970344282133</v>
      </c>
      <c r="N12" s="35">
        <f t="shared" si="4"/>
        <v>21594.255499473049</v>
      </c>
    </row>
    <row r="13" spans="3:14" x14ac:dyDescent="0.25">
      <c r="C13" s="13">
        <v>29979200000</v>
      </c>
      <c r="D13" s="13">
        <v>1.5</v>
      </c>
      <c r="E13" s="13">
        <v>1.4396E-13</v>
      </c>
      <c r="F13" s="13">
        <v>0.51099894609999996</v>
      </c>
      <c r="G13" s="13">
        <v>1.9307933844132052E-11</v>
      </c>
      <c r="H13" s="24">
        <f>H12/10</f>
        <v>1.0000000000000001E-18</v>
      </c>
      <c r="I13" s="38">
        <f t="shared" si="0"/>
        <v>0.99999999999999867</v>
      </c>
      <c r="J13" s="41">
        <f t="shared" si="1"/>
        <v>215939.99999999997</v>
      </c>
      <c r="K13" s="13">
        <v>0.5</v>
      </c>
      <c r="L13" s="37">
        <f t="shared" si="2"/>
        <v>6.6164372764103962E-9</v>
      </c>
      <c r="M13" s="13">
        <f t="shared" si="3"/>
        <v>0.12774973321678135</v>
      </c>
      <c r="N13" s="13">
        <f t="shared" si="4"/>
        <v>215940.25549947302</v>
      </c>
    </row>
    <row r="19" spans="10:10" x14ac:dyDescent="0.25">
      <c r="J19" s="3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150AE-AE0E-4B8B-A794-04386EC8FA5E}">
  <dimension ref="A1:T16"/>
  <sheetViews>
    <sheetView workbookViewId="0">
      <selection activeCell="L13" sqref="L13"/>
    </sheetView>
  </sheetViews>
  <sheetFormatPr defaultRowHeight="15" x14ac:dyDescent="0.25"/>
  <cols>
    <col min="2" max="2" width="9.85546875" bestFit="1" customWidth="1"/>
    <col min="3" max="3" width="12.28515625" bestFit="1" customWidth="1"/>
    <col min="5" max="5" width="12.5703125" bestFit="1" customWidth="1"/>
    <col min="7" max="7" width="22" bestFit="1" customWidth="1"/>
    <col min="8" max="8" width="35.42578125" bestFit="1" customWidth="1"/>
    <col min="10" max="10" width="12.5703125" bestFit="1" customWidth="1"/>
    <col min="13" max="13" width="16" customWidth="1"/>
    <col min="16" max="16" width="12.28515625" bestFit="1" customWidth="1"/>
  </cols>
  <sheetData>
    <row r="1" spans="1:20" x14ac:dyDescent="0.25">
      <c r="A1" s="13" t="s">
        <v>48</v>
      </c>
      <c r="B1" s="24">
        <f>3/(P10/M5)^2</f>
        <v>1851.6637373878975</v>
      </c>
      <c r="C1" s="13" t="s">
        <v>90</v>
      </c>
      <c r="D1" s="13"/>
      <c r="E1" s="13" t="s">
        <v>89</v>
      </c>
      <c r="F1" s="13"/>
      <c r="G1" s="13" t="s">
        <v>51</v>
      </c>
      <c r="H1" s="28" t="s">
        <v>55</v>
      </c>
      <c r="I1" s="13" t="s">
        <v>27</v>
      </c>
      <c r="J1" s="25">
        <f>3*M1-M2</f>
        <v>2814.3052410539003</v>
      </c>
      <c r="K1" s="13"/>
      <c r="L1" s="13" t="s">
        <v>33</v>
      </c>
      <c r="M1" s="13">
        <v>938.27207999999996</v>
      </c>
      <c r="N1" s="13"/>
      <c r="O1" s="13" t="s">
        <v>8</v>
      </c>
      <c r="P1" s="13">
        <v>1.5</v>
      </c>
      <c r="Q1" s="13"/>
      <c r="R1" s="13"/>
      <c r="S1" s="13"/>
      <c r="T1" s="13"/>
    </row>
    <row r="2" spans="1:20" x14ac:dyDescent="0.25">
      <c r="A2" s="13" t="s">
        <v>17</v>
      </c>
      <c r="B2" s="24">
        <f>-M4</f>
        <v>-8.186714115468099E-7</v>
      </c>
      <c r="C2" s="26">
        <f>M5*SQRT(P3/M3)</f>
        <v>5.2115013853953582E-26</v>
      </c>
      <c r="D2" s="13"/>
      <c r="E2" s="26">
        <f>1/SQRT(1-G2^2)</f>
        <v>251637.20558148215</v>
      </c>
      <c r="F2" s="13"/>
      <c r="G2" s="27">
        <f>J2/SQRT(J2^2+P3^2)</f>
        <v>0.99999999999210376</v>
      </c>
      <c r="H2" s="26">
        <f>M2/(1+P4*SQRT(1+(J2/P3)^2))</f>
        <v>1.0153487565583723E-6</v>
      </c>
      <c r="I2" s="13" t="s">
        <v>100</v>
      </c>
      <c r="J2" s="26">
        <f>P5*P7*P6/M2</f>
        <v>1.9307933844132052E-11</v>
      </c>
      <c r="K2" s="13"/>
      <c r="L2" s="13" t="s">
        <v>32</v>
      </c>
      <c r="M2" s="13">
        <v>0.51099894609999996</v>
      </c>
      <c r="N2" s="13"/>
      <c r="O2" s="13" t="s">
        <v>9</v>
      </c>
      <c r="P2" s="13">
        <v>1.4396E-13</v>
      </c>
      <c r="Q2" s="13"/>
      <c r="R2" s="13"/>
      <c r="S2" s="13"/>
      <c r="T2" s="13"/>
    </row>
    <row r="3" spans="1:20" x14ac:dyDescent="0.25">
      <c r="A3" s="13" t="s">
        <v>49</v>
      </c>
      <c r="B3" s="24">
        <f>P1*M5</f>
        <v>3.4600499999999999E-19</v>
      </c>
      <c r="C3" s="13"/>
      <c r="D3" s="13"/>
      <c r="E3" s="13"/>
      <c r="F3" s="13"/>
      <c r="G3" s="13"/>
      <c r="H3" s="13"/>
      <c r="I3" s="13" t="s">
        <v>47</v>
      </c>
      <c r="J3" s="26">
        <f>P8*P3/2/P10</f>
        <v>1.9845872159390363E-6</v>
      </c>
      <c r="K3" s="13"/>
      <c r="L3" s="13" t="s">
        <v>93</v>
      </c>
      <c r="M3" s="24">
        <f>M1*10^6*M6</f>
        <v>1.503205699368E-3</v>
      </c>
      <c r="N3" s="13"/>
      <c r="O3" s="13" t="s">
        <v>18</v>
      </c>
      <c r="P3" s="26">
        <f>P1*P2/J1</f>
        <v>7.6729416855697866E-17</v>
      </c>
      <c r="Q3" s="13"/>
      <c r="R3" s="13"/>
      <c r="S3" s="24">
        <f>P5*P8*M7*P11/M4/P10/2*P7</f>
        <v>0.99994802811830175</v>
      </c>
      <c r="T3" s="13"/>
    </row>
    <row r="4" spans="1:20" x14ac:dyDescent="0.25">
      <c r="A4" s="13" t="s">
        <v>50</v>
      </c>
      <c r="B4" s="24">
        <f>B2^2-4*B1*B3</f>
        <v>6.676601404382266E-13</v>
      </c>
      <c r="C4" s="13"/>
      <c r="D4" s="13"/>
      <c r="E4" s="13"/>
      <c r="F4" s="13"/>
      <c r="G4" s="13"/>
      <c r="H4" s="13" t="s">
        <v>101</v>
      </c>
      <c r="I4" s="13" t="s">
        <v>50</v>
      </c>
      <c r="J4" s="25">
        <f>P10-P8/2/P7*M7/2/M4</f>
        <v>9.2847600000000004E-21</v>
      </c>
      <c r="K4" s="13"/>
      <c r="L4" s="13" t="s">
        <v>96</v>
      </c>
      <c r="M4" s="24">
        <f>M2*10^6*M6</f>
        <v>8.186714115468099E-7</v>
      </c>
      <c r="N4" s="13"/>
      <c r="O4" s="13" t="s">
        <v>31</v>
      </c>
      <c r="P4" s="13">
        <v>2</v>
      </c>
      <c r="Q4" s="13"/>
      <c r="R4" s="13"/>
      <c r="S4" s="13"/>
      <c r="T4" s="13"/>
    </row>
    <row r="5" spans="1:20" x14ac:dyDescent="0.25">
      <c r="A5" s="13"/>
      <c r="B5" s="13"/>
      <c r="C5" s="13"/>
      <c r="D5" s="13"/>
      <c r="E5" s="13"/>
      <c r="F5" s="13"/>
      <c r="G5" s="13"/>
      <c r="H5" s="26">
        <f>(M2-C2)/2</f>
        <v>0.25549947304999998</v>
      </c>
      <c r="I5" s="13" t="s">
        <v>98</v>
      </c>
      <c r="J5" s="24">
        <f>P8/2/P7*M7/2/M4*P7*P7</f>
        <v>4.6367616968006231E-21</v>
      </c>
      <c r="K5" s="13"/>
      <c r="L5" s="13" t="s">
        <v>94</v>
      </c>
      <c r="M5" s="24">
        <v>2.3067000000000001E-19</v>
      </c>
      <c r="N5" s="13"/>
      <c r="O5" s="13" t="s">
        <v>5</v>
      </c>
      <c r="P5" s="13">
        <v>0.5</v>
      </c>
      <c r="Q5" s="13"/>
      <c r="R5" s="13"/>
      <c r="S5" s="13"/>
      <c r="T5" s="13"/>
    </row>
    <row r="6" spans="1:20" x14ac:dyDescent="0.25">
      <c r="A6" s="13" t="s">
        <v>91</v>
      </c>
      <c r="B6" s="24">
        <f>-B2+SQRT(B4)/2/B1</f>
        <v>8.1889205223709805E-7</v>
      </c>
      <c r="C6" s="13"/>
      <c r="D6" s="13"/>
      <c r="E6" s="13"/>
      <c r="F6" s="13"/>
      <c r="G6" s="13"/>
      <c r="H6" s="13"/>
      <c r="I6" s="13"/>
      <c r="J6" s="13"/>
      <c r="K6" s="13"/>
      <c r="L6" s="13" t="s">
        <v>95</v>
      </c>
      <c r="M6" s="24">
        <v>1.6021E-12</v>
      </c>
      <c r="N6" s="13"/>
      <c r="O6" s="13" t="s">
        <v>11</v>
      </c>
      <c r="P6" s="24">
        <v>6.5821194999999999E-22</v>
      </c>
      <c r="Q6" s="13"/>
      <c r="R6" s="13"/>
      <c r="S6" s="13"/>
      <c r="T6" s="13"/>
    </row>
    <row r="7" spans="1:20" x14ac:dyDescent="0.25">
      <c r="A7" s="24">
        <f>B6/(P10/M5)^2</f>
        <v>5.0543757265419681E-4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 t="s">
        <v>97</v>
      </c>
      <c r="M7" s="24">
        <f>P6*10^6*M6</f>
        <v>1.0545213650949998E-27</v>
      </c>
      <c r="N7" s="13"/>
      <c r="O7" s="13" t="s">
        <v>7</v>
      </c>
      <c r="P7" s="13">
        <v>29979200000</v>
      </c>
      <c r="Q7" s="13"/>
      <c r="R7" s="13"/>
      <c r="S7" s="13"/>
      <c r="T7" s="13"/>
    </row>
    <row r="8" spans="1:20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 t="s">
        <v>52</v>
      </c>
      <c r="P8" s="13">
        <v>4.8029599999999995E-10</v>
      </c>
      <c r="Q8" s="13"/>
      <c r="R8" s="13"/>
      <c r="S8" s="13"/>
      <c r="T8" s="13"/>
    </row>
    <row r="9" spans="1:20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 t="s">
        <v>110</v>
      </c>
      <c r="M9" s="13">
        <f>SQRT(1-(M2/(0.7837+M2))^2)</f>
        <v>0.91881626483537748</v>
      </c>
      <c r="N9" s="13"/>
      <c r="O9" s="13" t="s">
        <v>53</v>
      </c>
      <c r="P9" s="26">
        <f>P11*P8/2*G2/SQRT(1-G2^2)*P3</f>
        <v>9.2842977451529655E-21</v>
      </c>
      <c r="Q9" s="13"/>
      <c r="R9" s="13"/>
      <c r="S9" s="13"/>
      <c r="T9" s="13"/>
    </row>
    <row r="10" spans="1:20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 t="s">
        <v>111</v>
      </c>
      <c r="M10" s="13">
        <f>(P6*P7*SQRT(1-M9^2))/(M9*2*M2)</f>
        <v>8.2938912697732568E-12</v>
      </c>
      <c r="N10" s="13"/>
      <c r="O10" s="13" t="s">
        <v>92</v>
      </c>
      <c r="P10" s="13">
        <f>9.28476E-21</f>
        <v>9.2847600000000004E-21</v>
      </c>
      <c r="Q10" s="13"/>
      <c r="R10" s="13"/>
      <c r="S10" s="13"/>
      <c r="T10" s="13"/>
    </row>
    <row r="11" spans="1:20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 t="s">
        <v>102</v>
      </c>
      <c r="P11" s="13">
        <f>2*1.001159652</f>
        <v>2.0023193039999998</v>
      </c>
      <c r="Q11" s="13"/>
      <c r="R11" s="13"/>
      <c r="S11" s="13"/>
      <c r="T11" s="13"/>
    </row>
    <row r="12" spans="1:20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 x14ac:dyDescent="0.25">
      <c r="L16" s="13"/>
      <c r="M16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9D3D-61D7-4692-8297-89092DB85CE9}">
  <sheetPr>
    <pageSetUpPr fitToPage="1"/>
  </sheetPr>
  <dimension ref="A2:U60"/>
  <sheetViews>
    <sheetView tabSelected="1" workbookViewId="0">
      <selection activeCell="A4" sqref="A4:K47"/>
    </sheetView>
  </sheetViews>
  <sheetFormatPr defaultRowHeight="20.100000000000001" customHeight="1" x14ac:dyDescent="0.25"/>
  <cols>
    <col min="1" max="19" width="12.7109375" style="13" customWidth="1"/>
    <col min="20" max="21" width="12.7109375" customWidth="1"/>
    <col min="22" max="16384" width="9.140625" style="13"/>
  </cols>
  <sheetData>
    <row r="2" spans="1:21" s="55" customFormat="1" ht="20.100000000000001" customHeight="1" x14ac:dyDescent="0.25"/>
    <row r="4" spans="1:21" s="55" customFormat="1" ht="20.100000000000001" customHeight="1" x14ac:dyDescent="0.25">
      <c r="A4" s="98" t="s">
        <v>197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1:21" ht="20.100000000000001" customHeight="1" x14ac:dyDescent="0.25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101"/>
      <c r="M5" s="101"/>
      <c r="N5" s="101"/>
      <c r="O5" s="101"/>
      <c r="P5" s="101"/>
      <c r="Q5" s="101"/>
      <c r="R5" s="101"/>
      <c r="S5" s="101"/>
      <c r="T5" s="101"/>
      <c r="U5" s="101"/>
    </row>
    <row r="7" spans="1:21" ht="20.100000000000001" customHeight="1" x14ac:dyDescent="0.25">
      <c r="A7" s="90" t="s">
        <v>202</v>
      </c>
      <c r="B7" s="90"/>
      <c r="C7" s="90"/>
      <c r="D7" s="90"/>
      <c r="E7" s="90"/>
      <c r="F7" s="90"/>
      <c r="G7" s="90"/>
      <c r="H7" s="90"/>
      <c r="I7" s="90"/>
      <c r="J7" s="90"/>
      <c r="K7" s="90"/>
      <c r="L7" s="92"/>
      <c r="M7" s="31"/>
      <c r="N7" s="31"/>
      <c r="O7" s="31"/>
      <c r="P7" s="31"/>
      <c r="Q7" s="31"/>
      <c r="R7" s="31"/>
      <c r="S7" s="31"/>
      <c r="T7" s="31"/>
      <c r="U7" s="31"/>
    </row>
    <row r="9" spans="1:21" ht="20.100000000000001" customHeight="1" x14ac:dyDescent="0.25">
      <c r="A9" s="44" t="s">
        <v>150</v>
      </c>
      <c r="B9" s="44" t="s">
        <v>148</v>
      </c>
      <c r="C9" s="44" t="s">
        <v>5</v>
      </c>
      <c r="D9" s="44" t="s">
        <v>31</v>
      </c>
      <c r="E9" s="44" t="s">
        <v>158</v>
      </c>
      <c r="F9" s="44" t="s">
        <v>8</v>
      </c>
      <c r="G9" s="44" t="s">
        <v>70</v>
      </c>
      <c r="H9" s="44" t="s">
        <v>143</v>
      </c>
      <c r="I9" s="44" t="s">
        <v>149</v>
      </c>
      <c r="J9" s="44" t="s">
        <v>147</v>
      </c>
      <c r="K9" s="54" t="s">
        <v>169</v>
      </c>
      <c r="T9" s="13"/>
      <c r="U9" s="13"/>
    </row>
    <row r="10" spans="1:21" ht="20.100000000000001" customHeight="1" x14ac:dyDescent="0.25">
      <c r="A10" s="47" t="s">
        <v>159</v>
      </c>
      <c r="B10" s="57" t="s">
        <v>141</v>
      </c>
      <c r="C10" s="49">
        <v>0.5</v>
      </c>
      <c r="D10" s="55" t="s">
        <v>163</v>
      </c>
      <c r="E10" s="13" t="s">
        <v>177</v>
      </c>
      <c r="F10" s="55" t="s">
        <v>163</v>
      </c>
      <c r="G10" s="55" t="s">
        <v>163</v>
      </c>
      <c r="H10" s="59">
        <f>C10*H43*H42/B20</f>
        <v>3.7706667695645212E-14</v>
      </c>
      <c r="I10" s="60">
        <f>J10*H45*H10/H46</f>
        <v>1.955172259634581E-3</v>
      </c>
      <c r="J10" s="51">
        <f>ABS(J13)*B10</f>
        <v>1.0012106554632947</v>
      </c>
      <c r="K10" s="56" t="s">
        <v>163</v>
      </c>
      <c r="T10" s="13"/>
      <c r="U10" s="13"/>
    </row>
    <row r="11" spans="1:21" ht="20.100000000000001" customHeight="1" x14ac:dyDescent="0.25">
      <c r="A11" s="47" t="s">
        <v>160</v>
      </c>
      <c r="B11" s="50" t="s">
        <v>161</v>
      </c>
      <c r="C11" s="53">
        <v>1</v>
      </c>
      <c r="D11" s="13" t="s">
        <v>163</v>
      </c>
      <c r="E11" s="13" t="s">
        <v>177</v>
      </c>
      <c r="F11" s="13" t="s">
        <v>163</v>
      </c>
      <c r="G11" s="13" t="s">
        <v>163</v>
      </c>
      <c r="H11" s="58">
        <f>C11*H43*H42/B21</f>
        <v>4.7815155337330479E-14</v>
      </c>
      <c r="I11" s="60">
        <f>J11*H45*H11/H46</f>
        <v>-2.4793192031780588E-3</v>
      </c>
      <c r="J11" s="51">
        <f>ABS(J13)*B11</f>
        <v>-1.0012106554632947</v>
      </c>
      <c r="K11" s="13" t="s">
        <v>163</v>
      </c>
      <c r="T11" s="13"/>
      <c r="U11" s="13"/>
    </row>
    <row r="12" spans="1:21" ht="20.100000000000001" customHeight="1" x14ac:dyDescent="0.25">
      <c r="A12" s="47" t="s">
        <v>162</v>
      </c>
      <c r="B12" s="57" t="s">
        <v>161</v>
      </c>
      <c r="C12" s="49">
        <v>0.5</v>
      </c>
      <c r="D12" s="55" t="s">
        <v>163</v>
      </c>
      <c r="E12" s="13" t="s">
        <v>177</v>
      </c>
      <c r="F12" s="55" t="s">
        <v>163</v>
      </c>
      <c r="G12" s="55" t="s">
        <v>163</v>
      </c>
      <c r="H12" s="58">
        <f>C12*H43*H42/B22</f>
        <v>4.7756022698552039E-14</v>
      </c>
      <c r="I12" s="60">
        <f>J12*H45*H12/H46</f>
        <v>-2.4762530479847172E-3</v>
      </c>
      <c r="J12" s="51">
        <f>ABS(J13)*B12</f>
        <v>-1.0012106554632947</v>
      </c>
      <c r="K12" s="56" t="s">
        <v>163</v>
      </c>
      <c r="T12" s="13"/>
      <c r="U12" s="13"/>
    </row>
    <row r="13" spans="1:21" ht="20.100000000000001" customHeight="1" x14ac:dyDescent="0.25">
      <c r="A13" s="47" t="s">
        <v>151</v>
      </c>
      <c r="B13" s="50">
        <v>-1</v>
      </c>
      <c r="C13" s="49">
        <v>0.5</v>
      </c>
      <c r="D13" s="13">
        <v>5</v>
      </c>
      <c r="E13" s="13" t="s">
        <v>177</v>
      </c>
      <c r="F13" s="34">
        <v>1.2246999999999999</v>
      </c>
      <c r="G13" s="77">
        <v>7.6729400000000001E-17</v>
      </c>
      <c r="H13" s="26">
        <f>C13*H42*H43/B23</f>
        <v>1.9307963341362468E-11</v>
      </c>
      <c r="I13" s="13">
        <f>-1.00115965218091</f>
        <v>-1.0011596521809101</v>
      </c>
      <c r="J13" s="51">
        <f>I13/H45/H13*H46</f>
        <v>-1.0012106554632947</v>
      </c>
      <c r="K13" s="78">
        <f>(SQRT(G13^2+H13^2)-H13)/SQRT(G13^2+H13^2)</f>
        <v>7.8962096599473713E-12</v>
      </c>
      <c r="T13" s="13"/>
      <c r="U13" s="13"/>
    </row>
    <row r="14" spans="1:21" ht="20.100000000000001" customHeight="1" x14ac:dyDescent="0.25">
      <c r="A14" s="47" t="s">
        <v>152</v>
      </c>
      <c r="B14" s="50" t="s">
        <v>141</v>
      </c>
      <c r="C14" s="49">
        <v>0.5</v>
      </c>
      <c r="D14" s="13">
        <v>3</v>
      </c>
      <c r="E14" s="13" t="s">
        <v>145</v>
      </c>
      <c r="F14" s="13">
        <v>1.3788</v>
      </c>
      <c r="G14" s="48">
        <v>8.7679999999999998E-14</v>
      </c>
      <c r="H14" s="26">
        <f>C14*H42*H43/B24</f>
        <v>1.0515445497188465E-14</v>
      </c>
      <c r="I14" s="53">
        <v>1.5210322052999999E-3</v>
      </c>
      <c r="J14" s="51">
        <f>I14/H45/H14*H46</f>
        <v>2.7929896265411909</v>
      </c>
      <c r="K14" s="25">
        <f t="shared" ref="K14:K15" si="0">(SQRT(G14^2+H14^2)-H14)/SQRT(G14^2+H14^2)</f>
        <v>0.88092348369131779</v>
      </c>
      <c r="T14" s="13"/>
      <c r="U14" s="13"/>
    </row>
    <row r="15" spans="1:21" ht="20.100000000000001" customHeight="1" x14ac:dyDescent="0.25">
      <c r="A15" s="47" t="s">
        <v>153</v>
      </c>
      <c r="B15" s="50" t="s">
        <v>142</v>
      </c>
      <c r="C15" s="49">
        <v>0.5</v>
      </c>
      <c r="D15" s="13">
        <v>4</v>
      </c>
      <c r="E15" s="13" t="s">
        <v>146</v>
      </c>
      <c r="F15" s="13">
        <v>1.8284</v>
      </c>
      <c r="G15" s="48">
        <v>8.6409999999999995E-14</v>
      </c>
      <c r="H15" s="26">
        <f>C15*H42*H43/B25</f>
        <v>1.0500970745741323E-14</v>
      </c>
      <c r="I15" s="53">
        <f>-0.00104187563</f>
        <v>-1.0418756299999999E-3</v>
      </c>
      <c r="J15" s="51">
        <f>I15/H45/H15*H46</f>
        <v>-1.9157772911017938</v>
      </c>
      <c r="K15" s="25">
        <f t="shared" si="0"/>
        <v>0.87936259275921635</v>
      </c>
      <c r="T15" s="13"/>
      <c r="U15" s="13"/>
    </row>
    <row r="16" spans="1:21" ht="20.100000000000001" customHeight="1" x14ac:dyDescent="0.25">
      <c r="A16" s="47"/>
      <c r="B16" s="50"/>
      <c r="C16" s="49"/>
      <c r="G16" s="48"/>
      <c r="H16" s="26"/>
      <c r="I16" s="53"/>
      <c r="J16" s="51"/>
      <c r="K16" s="25"/>
      <c r="L16" s="25"/>
      <c r="M16" s="35"/>
      <c r="N16" s="30"/>
      <c r="O16" s="35"/>
      <c r="P16" s="35"/>
      <c r="Q16" s="35"/>
      <c r="R16" s="35"/>
      <c r="T16" s="13"/>
      <c r="U16" s="13"/>
    </row>
    <row r="17" spans="1:21" ht="20.100000000000001" customHeight="1" x14ac:dyDescent="0.25">
      <c r="A17" s="90" t="s">
        <v>203</v>
      </c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2"/>
      <c r="M17" s="92"/>
      <c r="N17" s="92"/>
      <c r="O17" s="92"/>
      <c r="P17" s="92"/>
      <c r="Q17" s="92"/>
      <c r="R17" s="92"/>
      <c r="S17" s="92"/>
      <c r="T17" s="92"/>
      <c r="U17" s="92"/>
    </row>
    <row r="18" spans="1:21" ht="20.100000000000001" customHeight="1" x14ac:dyDescent="0.25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</row>
    <row r="19" spans="1:21" ht="20.100000000000001" customHeight="1" x14ac:dyDescent="0.25">
      <c r="A19" s="66" t="s">
        <v>150</v>
      </c>
      <c r="B19" s="67" t="s">
        <v>204</v>
      </c>
      <c r="C19" s="67" t="s">
        <v>205</v>
      </c>
      <c r="D19" s="67" t="s">
        <v>154</v>
      </c>
      <c r="E19" s="67" t="s">
        <v>206</v>
      </c>
      <c r="F19" s="67" t="s">
        <v>207</v>
      </c>
      <c r="G19" s="67" t="s">
        <v>208</v>
      </c>
      <c r="H19" s="67" t="s">
        <v>209</v>
      </c>
      <c r="I19" s="68" t="s">
        <v>83</v>
      </c>
      <c r="J19" s="67" t="s">
        <v>174</v>
      </c>
      <c r="K19" s="68" t="s">
        <v>210</v>
      </c>
      <c r="L19" s="91"/>
      <c r="M19" s="91"/>
      <c r="N19" s="91"/>
      <c r="O19" s="91"/>
      <c r="P19" s="91"/>
      <c r="Q19" s="91"/>
      <c r="R19" s="91"/>
      <c r="S19" s="91"/>
      <c r="T19" s="91"/>
      <c r="U19" s="91"/>
    </row>
    <row r="20" spans="1:21" ht="20.100000000000001" customHeight="1" x14ac:dyDescent="0.25">
      <c r="A20" s="84" t="s">
        <v>159</v>
      </c>
      <c r="B20" s="71">
        <f>G24</f>
        <v>261.66059006887878</v>
      </c>
      <c r="C20" s="79">
        <f>B20*H40*1000000</f>
        <v>4.192064313493507E-4</v>
      </c>
      <c r="D20" s="72" t="s">
        <v>163</v>
      </c>
      <c r="E20" s="72" t="s">
        <v>163</v>
      </c>
      <c r="F20" s="72" t="s">
        <v>163</v>
      </c>
      <c r="G20" s="72" t="s">
        <v>163</v>
      </c>
      <c r="H20" s="72" t="s">
        <v>144</v>
      </c>
      <c r="I20" s="73" t="s">
        <v>163</v>
      </c>
      <c r="J20" s="72" t="s">
        <v>176</v>
      </c>
      <c r="K20" s="73" t="s">
        <v>176</v>
      </c>
      <c r="L20" s="91"/>
      <c r="M20" s="91"/>
      <c r="N20" s="91"/>
      <c r="O20" s="91"/>
      <c r="P20" s="91"/>
      <c r="Q20" s="91"/>
      <c r="R20" s="91"/>
      <c r="S20" s="91"/>
      <c r="T20" s="91"/>
      <c r="U20" s="91"/>
    </row>
    <row r="21" spans="1:21" ht="20.100000000000001" customHeight="1" x14ac:dyDescent="0.25">
      <c r="A21" s="85" t="s">
        <v>160</v>
      </c>
      <c r="B21" s="74">
        <f>F24</f>
        <v>412.68710094812769</v>
      </c>
      <c r="C21" s="81">
        <f>B21*H40*1000000</f>
        <v>6.611660044289954E-4</v>
      </c>
      <c r="D21" s="75" t="s">
        <v>163</v>
      </c>
      <c r="E21" s="75" t="s">
        <v>163</v>
      </c>
      <c r="F21" s="75" t="s">
        <v>163</v>
      </c>
      <c r="G21" s="75" t="s">
        <v>163</v>
      </c>
      <c r="H21" s="75" t="s">
        <v>163</v>
      </c>
      <c r="I21" s="76" t="s">
        <v>163</v>
      </c>
      <c r="J21" s="75" t="s">
        <v>176</v>
      </c>
      <c r="K21" s="76" t="s">
        <v>176</v>
      </c>
      <c r="L21" s="91"/>
      <c r="M21" s="91"/>
      <c r="N21" s="91"/>
      <c r="O21" s="91"/>
      <c r="P21" s="91"/>
      <c r="Q21" s="91"/>
      <c r="R21" s="91"/>
      <c r="S21" s="91"/>
      <c r="T21" s="91"/>
      <c r="U21" s="91"/>
    </row>
    <row r="22" spans="1:21" ht="20.100000000000001" customHeight="1" x14ac:dyDescent="0.25">
      <c r="A22" s="84" t="s">
        <v>162</v>
      </c>
      <c r="B22" s="71">
        <f>F25</f>
        <v>206.59904994711385</v>
      </c>
      <c r="C22" s="79">
        <f>B22*H40*1000000</f>
        <v>3.3099233792027109E-4</v>
      </c>
      <c r="D22" s="72" t="s">
        <v>163</v>
      </c>
      <c r="E22" s="72" t="s">
        <v>163</v>
      </c>
      <c r="F22" s="72" t="s">
        <v>163</v>
      </c>
      <c r="G22" s="72" t="s">
        <v>163</v>
      </c>
      <c r="H22" s="72" t="s">
        <v>163</v>
      </c>
      <c r="I22" s="73" t="s">
        <v>163</v>
      </c>
      <c r="J22" s="72" t="s">
        <v>176</v>
      </c>
      <c r="K22" s="73" t="s">
        <v>176</v>
      </c>
      <c r="T22" s="13"/>
      <c r="U22" s="13"/>
    </row>
    <row r="23" spans="1:21" ht="20.100000000000001" customHeight="1" x14ac:dyDescent="0.25">
      <c r="A23" s="85" t="s">
        <v>151</v>
      </c>
      <c r="B23" s="80">
        <v>0.51099894609999996</v>
      </c>
      <c r="C23" s="81">
        <f>B23*H40*1000000</f>
        <v>8.186714115468099E-7</v>
      </c>
      <c r="D23" s="82">
        <f>F13*H44/G13</f>
        <v>2297.7869239170377</v>
      </c>
      <c r="E23" s="83">
        <f>B23</f>
        <v>0.51099894609999996</v>
      </c>
      <c r="F23" s="69">
        <v>1.0153499999999999E-6</v>
      </c>
      <c r="G23" s="80">
        <v>0.25549899999999998</v>
      </c>
      <c r="H23" s="75" t="s">
        <v>144</v>
      </c>
      <c r="I23" s="100">
        <f>SQRT(H13^2+G13^2)/G13</f>
        <v>251637.09531828645</v>
      </c>
      <c r="J23" s="75" t="s">
        <v>176</v>
      </c>
      <c r="K23" s="76" t="s">
        <v>176</v>
      </c>
      <c r="T23" s="13"/>
      <c r="U23" s="13"/>
    </row>
    <row r="24" spans="1:21" ht="20.100000000000001" customHeight="1" x14ac:dyDescent="0.25">
      <c r="A24" s="84" t="s">
        <v>152</v>
      </c>
      <c r="B24" s="71">
        <v>938.27207999999996</v>
      </c>
      <c r="C24" s="79">
        <f>B24*H40*1000000</f>
        <v>1.503205699368E-3</v>
      </c>
      <c r="D24" s="71">
        <f>F14*H44/G14</f>
        <v>2.2638235401459856</v>
      </c>
      <c r="E24" s="71">
        <f>B24-D24</f>
        <v>936.00825645985401</v>
      </c>
      <c r="F24" s="71">
        <f>(2*F25-B23)</f>
        <v>412.68710094812769</v>
      </c>
      <c r="G24" s="71">
        <f>K54*B23</f>
        <v>261.66059006887878</v>
      </c>
      <c r="H24" s="72" t="s">
        <v>144</v>
      </c>
      <c r="I24" s="86">
        <f>SQRT(H14^2+G14^2)/G14</f>
        <v>1.0071659042383267</v>
      </c>
      <c r="J24" s="72" t="s">
        <v>175</v>
      </c>
      <c r="K24" s="73">
        <v>0</v>
      </c>
      <c r="L24" s="25"/>
      <c r="M24" s="35"/>
      <c r="N24" s="30"/>
      <c r="O24" s="35"/>
      <c r="P24" s="35"/>
      <c r="Q24" s="35"/>
      <c r="R24" s="35"/>
      <c r="T24" s="13"/>
      <c r="U24" s="13"/>
    </row>
    <row r="25" spans="1:21" ht="20.100000000000001" customHeight="1" x14ac:dyDescent="0.25">
      <c r="A25" s="85" t="s">
        <v>153</v>
      </c>
      <c r="B25" s="74">
        <v>939.56541330000005</v>
      </c>
      <c r="C25" s="81">
        <f>B25*H40*1000000</f>
        <v>1.5052777486479301E-3</v>
      </c>
      <c r="D25" s="74">
        <f>F15*H44/G15</f>
        <v>3.0461342900127302</v>
      </c>
      <c r="E25" s="74">
        <f>B25-D25</f>
        <v>936.51927900998737</v>
      </c>
      <c r="F25" s="74">
        <f>K55*B23</f>
        <v>206.59904994711385</v>
      </c>
      <c r="G25" s="74">
        <f>K54*B23</f>
        <v>261.66059006887878</v>
      </c>
      <c r="H25" s="75">
        <f>B25-B24-B23</f>
        <v>0.78233435390008577</v>
      </c>
      <c r="I25" s="87">
        <f>SQRT(H15^2+G15^2)/G15</f>
        <v>1.0073570930686075</v>
      </c>
      <c r="J25" s="75" t="s">
        <v>175</v>
      </c>
      <c r="K25" s="76">
        <v>0</v>
      </c>
    </row>
    <row r="27" spans="1:21" ht="20.100000000000001" customHeight="1" x14ac:dyDescent="0.25">
      <c r="A27" s="94" t="s">
        <v>187</v>
      </c>
      <c r="B27" s="95"/>
      <c r="D27" s="94" t="s">
        <v>186</v>
      </c>
      <c r="E27" s="95"/>
      <c r="G27" s="94" t="s">
        <v>181</v>
      </c>
      <c r="H27" s="95"/>
      <c r="J27" s="94" t="s">
        <v>183</v>
      </c>
      <c r="K27" s="70"/>
    </row>
    <row r="28" spans="1:21" ht="20.100000000000001" customHeight="1" x14ac:dyDescent="0.25">
      <c r="A28" s="89" t="s">
        <v>178</v>
      </c>
      <c r="B28" s="89"/>
      <c r="D28" s="90" t="s">
        <v>180</v>
      </c>
      <c r="E28" s="90"/>
      <c r="G28" s="90" t="s">
        <v>182</v>
      </c>
      <c r="H28" s="90"/>
      <c r="J28" s="90" t="s">
        <v>188</v>
      </c>
      <c r="K28" s="88"/>
    </row>
    <row r="29" spans="1:21" ht="20.100000000000001" customHeight="1" x14ac:dyDescent="0.25">
      <c r="A29" s="89"/>
      <c r="B29" s="89"/>
      <c r="D29" s="90"/>
      <c r="E29" s="90"/>
      <c r="G29" s="90"/>
      <c r="H29" s="90"/>
      <c r="J29" s="88"/>
      <c r="K29" s="88"/>
    </row>
    <row r="31" spans="1:21" ht="20.100000000000001" customHeight="1" x14ac:dyDescent="0.25">
      <c r="A31" s="94" t="s">
        <v>198</v>
      </c>
      <c r="B31" s="70"/>
      <c r="D31" s="94" t="s">
        <v>185</v>
      </c>
      <c r="E31" s="70"/>
      <c r="G31" s="94" t="s">
        <v>184</v>
      </c>
      <c r="H31" s="94"/>
      <c r="J31" s="94" t="s">
        <v>189</v>
      </c>
      <c r="K31" s="94"/>
    </row>
    <row r="32" spans="1:21" ht="20.100000000000001" customHeight="1" x14ac:dyDescent="0.25">
      <c r="A32" s="90" t="s">
        <v>199</v>
      </c>
      <c r="B32" s="70"/>
      <c r="D32" s="96" t="s">
        <v>211</v>
      </c>
      <c r="E32" s="96"/>
      <c r="G32" s="90" t="s">
        <v>179</v>
      </c>
      <c r="H32" s="90"/>
      <c r="J32" s="90" t="s">
        <v>190</v>
      </c>
      <c r="K32" s="90"/>
    </row>
    <row r="33" spans="1:19" ht="20.100000000000001" customHeight="1" x14ac:dyDescent="0.25">
      <c r="A33" s="70"/>
      <c r="B33" s="70"/>
      <c r="D33" s="96"/>
      <c r="E33" s="96"/>
      <c r="G33" s="90"/>
      <c r="H33" s="90"/>
      <c r="J33" s="90"/>
      <c r="K33" s="90"/>
    </row>
    <row r="35" spans="1:19" ht="20.100000000000001" customHeight="1" x14ac:dyDescent="0.25">
      <c r="A35" s="94" t="s">
        <v>200</v>
      </c>
      <c r="B35" s="94"/>
      <c r="C35" s="94"/>
      <c r="E35" s="94" t="s">
        <v>193</v>
      </c>
      <c r="F35" s="94"/>
      <c r="G35" s="94"/>
      <c r="I35" s="94" t="s">
        <v>194</v>
      </c>
      <c r="J35" s="94"/>
      <c r="K35" s="94"/>
    </row>
    <row r="36" spans="1:19" ht="20.100000000000001" customHeight="1" x14ac:dyDescent="0.25">
      <c r="A36" s="93" t="s">
        <v>201</v>
      </c>
      <c r="B36" s="99"/>
      <c r="C36" s="99"/>
      <c r="E36" s="90" t="s">
        <v>196</v>
      </c>
      <c r="F36" s="90"/>
      <c r="G36" s="90"/>
      <c r="I36" s="93" t="s">
        <v>195</v>
      </c>
      <c r="J36" s="93"/>
      <c r="K36" s="93"/>
    </row>
    <row r="37" spans="1:19" ht="20.100000000000001" customHeight="1" x14ac:dyDescent="0.25">
      <c r="A37" s="99"/>
      <c r="B37" s="99"/>
      <c r="C37" s="99"/>
      <c r="E37" s="90"/>
      <c r="F37" s="90"/>
      <c r="G37" s="90"/>
      <c r="I37" s="93"/>
      <c r="J37" s="93"/>
      <c r="K37" s="93"/>
    </row>
    <row r="39" spans="1:19" ht="20.100000000000001" customHeight="1" x14ac:dyDescent="0.25">
      <c r="D39" s="94" t="s">
        <v>191</v>
      </c>
      <c r="E39" s="70"/>
      <c r="G39" s="47" t="s">
        <v>72</v>
      </c>
      <c r="H39" s="25" t="s">
        <v>73</v>
      </c>
    </row>
    <row r="40" spans="1:19" ht="20.100000000000001" customHeight="1" x14ac:dyDescent="0.25">
      <c r="D40" s="96" t="s">
        <v>192</v>
      </c>
      <c r="E40" s="97"/>
      <c r="G40" s="47" t="s">
        <v>155</v>
      </c>
      <c r="H40" s="25">
        <v>1.6021E-12</v>
      </c>
    </row>
    <row r="41" spans="1:19" ht="20.100000000000001" customHeight="1" x14ac:dyDescent="0.25">
      <c r="D41" s="97"/>
      <c r="E41" s="97"/>
      <c r="G41" s="47" t="s">
        <v>170</v>
      </c>
      <c r="H41" s="25">
        <f>1/H40</f>
        <v>624180762748.89209</v>
      </c>
    </row>
    <row r="42" spans="1:19" ht="20.100000000000001" customHeight="1" x14ac:dyDescent="0.25">
      <c r="G42" s="47" t="s">
        <v>74</v>
      </c>
      <c r="H42" s="25">
        <v>29979245800</v>
      </c>
    </row>
    <row r="43" spans="1:19" ht="20.100000000000001" customHeight="1" x14ac:dyDescent="0.25">
      <c r="G43" s="47" t="s">
        <v>156</v>
      </c>
      <c r="H43" s="25">
        <v>6.5821194999999999E-22</v>
      </c>
    </row>
    <row r="44" spans="1:19" ht="20.100000000000001" customHeight="1" x14ac:dyDescent="0.25">
      <c r="G44" s="47" t="s">
        <v>172</v>
      </c>
      <c r="H44" s="25">
        <v>1.4396E-13</v>
      </c>
    </row>
    <row r="45" spans="1:19" ht="20.100000000000001" customHeight="1" x14ac:dyDescent="0.25">
      <c r="G45" s="47" t="s">
        <v>157</v>
      </c>
      <c r="H45" s="13">
        <v>4.8029599999999995E-10</v>
      </c>
    </row>
    <row r="46" spans="1:19" ht="20.100000000000001" customHeight="1" x14ac:dyDescent="0.25">
      <c r="G46" s="65" t="s">
        <v>173</v>
      </c>
      <c r="H46" s="52">
        <v>9.2740099940000002E-21</v>
      </c>
    </row>
    <row r="47" spans="1:19" ht="20.100000000000001" customHeight="1" x14ac:dyDescent="0.25">
      <c r="G47" s="47" t="s">
        <v>171</v>
      </c>
      <c r="H47" s="25">
        <f>1/40*0.000001</f>
        <v>2.4999999999999999E-8</v>
      </c>
      <c r="S47"/>
    </row>
    <row r="48" spans="1:19" ht="20.100000000000001" customHeight="1" x14ac:dyDescent="0.25">
      <c r="Q48" s="13">
        <f>(G24*2+F24)</f>
        <v>936.0082810858853</v>
      </c>
      <c r="S48"/>
    </row>
    <row r="49" spans="5:19" ht="20.100000000000001" customHeight="1" x14ac:dyDescent="0.25">
      <c r="I49" s="13">
        <v>-5.2093781499999996E-4</v>
      </c>
      <c r="L49" s="13">
        <f>1/K54-1/K55</f>
        <v>-5.2047721581170649E-4</v>
      </c>
      <c r="P49" s="13" t="s">
        <v>168</v>
      </c>
      <c r="Q49" s="13">
        <f>(F24+2*G24)*I25</f>
        <v>942.89458112282148</v>
      </c>
      <c r="S49"/>
    </row>
    <row r="50" spans="5:19" ht="20.100000000000001" customHeight="1" x14ac:dyDescent="0.25">
      <c r="E50" s="26">
        <f>H45*H13</f>
        <v>9.2735375610030266E-21</v>
      </c>
      <c r="I50" s="13">
        <v>916.36126273606362</v>
      </c>
      <c r="L50" s="13">
        <f>K54+K55</f>
        <v>916.36126373606362</v>
      </c>
      <c r="P50" s="13" t="s">
        <v>168</v>
      </c>
      <c r="Q50" s="13">
        <f>2*I10+I11</f>
        <v>1.4310253160911032E-3</v>
      </c>
      <c r="S50"/>
    </row>
    <row r="51" spans="5:19" ht="20.100000000000001" customHeight="1" x14ac:dyDescent="0.25">
      <c r="J51" s="13" t="s">
        <v>164</v>
      </c>
      <c r="K51" s="13">
        <f>I15/2</f>
        <v>-5.2093781499999996E-4</v>
      </c>
      <c r="S51"/>
    </row>
    <row r="52" spans="5:19" ht="20.100000000000001" customHeight="1" x14ac:dyDescent="0.25">
      <c r="J52" s="13" t="s">
        <v>165</v>
      </c>
      <c r="K52" s="13">
        <f>E25/2/B23</f>
        <v>916.36126273606362</v>
      </c>
      <c r="S52"/>
    </row>
    <row r="53" spans="5:19" ht="20.100000000000001" customHeight="1" x14ac:dyDescent="0.25">
      <c r="S53"/>
    </row>
    <row r="54" spans="5:19" ht="20.100000000000001" customHeight="1" x14ac:dyDescent="0.25">
      <c r="J54" s="13" t="s">
        <v>166</v>
      </c>
      <c r="K54" s="13">
        <v>512.05700533416189</v>
      </c>
      <c r="S54"/>
    </row>
    <row r="55" spans="5:19" ht="20.100000000000001" customHeight="1" x14ac:dyDescent="0.25">
      <c r="J55" s="13" t="s">
        <v>167</v>
      </c>
      <c r="K55" s="13">
        <v>404.30425840190173</v>
      </c>
      <c r="S55"/>
    </row>
    <row r="56" spans="5:19" ht="20.100000000000001" customHeight="1" x14ac:dyDescent="0.25">
      <c r="S56"/>
    </row>
    <row r="57" spans="5:19" ht="20.100000000000001" customHeight="1" x14ac:dyDescent="0.25">
      <c r="S57"/>
    </row>
    <row r="58" spans="5:19" ht="20.100000000000001" customHeight="1" x14ac:dyDescent="0.25">
      <c r="S58"/>
    </row>
    <row r="59" spans="5:19" ht="20.100000000000001" customHeight="1" x14ac:dyDescent="0.25">
      <c r="S59"/>
    </row>
    <row r="60" spans="5:19" ht="20.100000000000001" customHeight="1" x14ac:dyDescent="0.25">
      <c r="S60"/>
    </row>
  </sheetData>
  <mergeCells count="27">
    <mergeCell ref="A7:K7"/>
    <mergeCell ref="A17:K17"/>
    <mergeCell ref="A4:K5"/>
    <mergeCell ref="A31:B31"/>
    <mergeCell ref="A32:B33"/>
    <mergeCell ref="A35:C35"/>
    <mergeCell ref="A36:C37"/>
    <mergeCell ref="I35:K35"/>
    <mergeCell ref="I36:K37"/>
    <mergeCell ref="E35:G35"/>
    <mergeCell ref="E36:G37"/>
    <mergeCell ref="D31:E31"/>
    <mergeCell ref="D32:E33"/>
    <mergeCell ref="J27:K27"/>
    <mergeCell ref="J28:K29"/>
    <mergeCell ref="J31:K31"/>
    <mergeCell ref="J32:K33"/>
    <mergeCell ref="D39:E39"/>
    <mergeCell ref="D40:E41"/>
    <mergeCell ref="A28:B29"/>
    <mergeCell ref="G32:H33"/>
    <mergeCell ref="D28:E29"/>
    <mergeCell ref="A27:B27"/>
    <mergeCell ref="D27:E27"/>
    <mergeCell ref="G28:H29"/>
    <mergeCell ref="G27:H27"/>
    <mergeCell ref="G31:H3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5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D02A9-CA3B-4B52-9248-5C2F7157E7D2}">
  <dimension ref="A1:AE3"/>
  <sheetViews>
    <sheetView zoomScale="110" zoomScaleNormal="110" workbookViewId="0">
      <selection activeCell="B2" sqref="B2"/>
    </sheetView>
  </sheetViews>
  <sheetFormatPr defaultRowHeight="15" x14ac:dyDescent="0.25"/>
  <cols>
    <col min="2" max="2" width="12" bestFit="1" customWidth="1"/>
    <col min="5" max="5" width="67.5703125" bestFit="1" customWidth="1"/>
    <col min="6" max="6" width="21.42578125" bestFit="1" customWidth="1"/>
    <col min="15" max="15" width="12.42578125" bestFit="1" customWidth="1"/>
    <col min="18" max="18" width="11.42578125" bestFit="1" customWidth="1"/>
    <col min="19" max="19" width="12.42578125" bestFit="1" customWidth="1"/>
    <col min="20" max="20" width="11.85546875" bestFit="1" customWidth="1"/>
    <col min="23" max="23" width="12.140625" bestFit="1" customWidth="1"/>
    <col min="24" max="24" width="15.140625" customWidth="1"/>
    <col min="25" max="25" width="13.42578125" customWidth="1"/>
    <col min="26" max="26" width="12.425781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14</v>
      </c>
      <c r="N1" t="s">
        <v>11</v>
      </c>
      <c r="O1" t="s">
        <v>12</v>
      </c>
      <c r="P1" t="s">
        <v>15</v>
      </c>
      <c r="Q1" t="s">
        <v>13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E1" t="s">
        <v>26</v>
      </c>
    </row>
    <row r="2" spans="1:31" x14ac:dyDescent="0.25">
      <c r="A2" s="1">
        <f>O2^2*(1-Q2^2)+(M2-L2)^2</f>
        <v>0.26112097415362068</v>
      </c>
      <c r="B2">
        <f>2*O2*P2*L2*(1-Q2^2)</f>
        <v>2.986301610329289E-16</v>
      </c>
      <c r="C2" s="1">
        <f>(P2*L2)^2*(1-Q2^2)-(M2-L2)^2</f>
        <v>-0.26112097415361046</v>
      </c>
      <c r="D2" s="1">
        <f>B2^2-4*A2*C2</f>
        <v>0.27273665257173269</v>
      </c>
      <c r="E2" s="5">
        <f>E8-B2+SQRT(D2)/2/A2</f>
        <v>0.99999999999998013</v>
      </c>
      <c r="F2" s="3">
        <f>1-E2</f>
        <v>1.9872992140790302E-14</v>
      </c>
      <c r="G2">
        <v>0.5</v>
      </c>
      <c r="H2">
        <f>4</f>
        <v>4</v>
      </c>
      <c r="I2" s="1">
        <v>29979200000</v>
      </c>
      <c r="J2">
        <v>1</v>
      </c>
      <c r="K2" s="1">
        <v>1.4396E-13</v>
      </c>
      <c r="L2" s="1">
        <v>2.529E-8</v>
      </c>
      <c r="M2">
        <v>0.51100000000000001</v>
      </c>
      <c r="N2" s="1">
        <v>6.5821194999999999E-22</v>
      </c>
      <c r="O2" s="4">
        <f>J2*K2*H2*L2/G2/N2/I2</f>
        <v>1.476028870269518E-9</v>
      </c>
      <c r="P2">
        <v>4</v>
      </c>
      <c r="Q2">
        <v>0</v>
      </c>
      <c r="R2" s="2">
        <f>O2*E2/SQRT(1-E2^2)</f>
        <v>7.4036899621615446E-3</v>
      </c>
      <c r="S2" s="4">
        <f>J2*K2/R2</f>
        <v>1.9444358250513524E-11</v>
      </c>
      <c r="T2" s="2">
        <f>L2*P2/SQRT(1-E2^2)</f>
        <v>0.50741370420181531</v>
      </c>
      <c r="U2" s="1">
        <f>L2/SQRT(1-Q2^2)</f>
        <v>2.529E-8</v>
      </c>
      <c r="V2">
        <f>M2/SQRT(1-Q2^2)</f>
        <v>0.51100000000000001</v>
      </c>
      <c r="W2" s="2">
        <f>V2-T2</f>
        <v>3.5862957981847021E-3</v>
      </c>
      <c r="X2" s="1">
        <f>V2-U2-T2-R2</f>
        <v>-3.8174194539768256E-3</v>
      </c>
      <c r="Y2" s="1">
        <f>S2*R2-J2*K2</f>
        <v>0</v>
      </c>
      <c r="Z2" s="1">
        <f>G2*N2-H2*T2/P2*E2*I2*S2</f>
        <v>-0.29578479562760901</v>
      </c>
    </row>
    <row r="3" spans="1:31" x14ac:dyDescent="0.25">
      <c r="R3" s="1">
        <v>0</v>
      </c>
      <c r="S3" s="1" t="e">
        <f>J2*K2/R3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919DD-1A98-4075-BC7F-387B6F4EBFA5}">
  <dimension ref="A1:V2"/>
  <sheetViews>
    <sheetView workbookViewId="0">
      <selection activeCell="D25" sqref="D25"/>
    </sheetView>
  </sheetViews>
  <sheetFormatPr defaultRowHeight="15" x14ac:dyDescent="0.25"/>
  <cols>
    <col min="3" max="3" width="12" bestFit="1" customWidth="1"/>
    <col min="5" max="5" width="11" bestFit="1" customWidth="1"/>
    <col min="16" max="16" width="12" bestFit="1" customWidth="1"/>
    <col min="17" max="17" width="10" bestFit="1" customWidth="1"/>
  </cols>
  <sheetData>
    <row r="1" spans="1:22" x14ac:dyDescent="0.25">
      <c r="A1" t="s">
        <v>5</v>
      </c>
      <c r="B1" t="s">
        <v>13</v>
      </c>
      <c r="C1" t="s">
        <v>7</v>
      </c>
      <c r="D1" t="s">
        <v>8</v>
      </c>
      <c r="E1" t="s">
        <v>9</v>
      </c>
      <c r="F1" t="s">
        <v>14</v>
      </c>
      <c r="G1" t="s">
        <v>10</v>
      </c>
      <c r="H1" t="s">
        <v>11</v>
      </c>
      <c r="I1" t="s">
        <v>15</v>
      </c>
      <c r="K1" t="s">
        <v>28</v>
      </c>
      <c r="L1" t="s">
        <v>18</v>
      </c>
      <c r="M1" t="s">
        <v>4</v>
      </c>
      <c r="N1" t="s">
        <v>27</v>
      </c>
      <c r="P1" t="s">
        <v>19</v>
      </c>
      <c r="Q1" t="s">
        <v>20</v>
      </c>
      <c r="R1" t="s">
        <v>21</v>
      </c>
      <c r="T1" t="s">
        <v>12</v>
      </c>
      <c r="V1" t="s">
        <v>29</v>
      </c>
    </row>
    <row r="2" spans="1:22" x14ac:dyDescent="0.25">
      <c r="A2">
        <v>0.5</v>
      </c>
      <c r="B2">
        <v>0.9</v>
      </c>
      <c r="C2">
        <v>29979200000</v>
      </c>
      <c r="D2">
        <v>1</v>
      </c>
      <c r="E2">
        <v>1.4396E-13</v>
      </c>
      <c r="F2">
        <v>0.51100000000000001</v>
      </c>
      <c r="G2">
        <v>2.529E-8</v>
      </c>
      <c r="H2" s="1">
        <v>6.5821194999999999E-22</v>
      </c>
      <c r="I2">
        <v>4</v>
      </c>
      <c r="K2">
        <f>SQRT(T2^2*M2^2/(1-M2^2))</f>
        <v>3.3005009340466307E-5</v>
      </c>
      <c r="L2">
        <f>D2*E2/N2</f>
        <v>1.2303723142318651E-13</v>
      </c>
      <c r="M2">
        <v>0.99999999900000003</v>
      </c>
      <c r="N2">
        <f>R2-Q2-I2*P2</f>
        <v>1.170052335661306</v>
      </c>
      <c r="P2">
        <f>G2/SQRT(1-M2^2)</f>
        <v>5.6550159950643564E-4</v>
      </c>
      <c r="Q2">
        <f>G2/SQRT(1-B2^2)</f>
        <v>5.8019239095865083E-8</v>
      </c>
      <c r="R2">
        <f>F2/SQRT(1-B2^2)</f>
        <v>1.1723144000785708</v>
      </c>
      <c r="T2" s="1">
        <f>D2*E2*G2*I2/A2/H2/C2</f>
        <v>1.476028870269518E-9</v>
      </c>
      <c r="V2">
        <f>N2-K2</f>
        <v>1.1700193306519655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BD6F8-5A01-44BD-9994-F446D94FEBE8}">
  <dimension ref="A1:AB3"/>
  <sheetViews>
    <sheetView topLeftCell="F1" workbookViewId="0">
      <selection activeCell="J2" sqref="J2"/>
    </sheetView>
  </sheetViews>
  <sheetFormatPr defaultRowHeight="15" x14ac:dyDescent="0.25"/>
  <cols>
    <col min="1" max="1" width="11.5703125" bestFit="1" customWidth="1"/>
    <col min="5" max="5" width="27.85546875" bestFit="1" customWidth="1"/>
    <col min="9" max="9" width="12" bestFit="1" customWidth="1"/>
    <col min="15" max="15" width="11" bestFit="1" customWidth="1"/>
    <col min="18" max="19" width="11.28515625" bestFit="1" customWidth="1"/>
    <col min="20" max="20" width="17.5703125" bestFit="1" customWidth="1"/>
    <col min="21" max="21" width="10.7109375" customWidth="1"/>
    <col min="22" max="22" width="10.42578125" customWidth="1"/>
    <col min="23" max="24" width="16.42578125" bestFit="1" customWidth="1"/>
    <col min="25" max="25" width="15.42578125" bestFit="1" customWidth="1"/>
    <col min="26" max="26" width="14.71093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30</v>
      </c>
      <c r="E1" t="s">
        <v>4</v>
      </c>
      <c r="F1" t="s">
        <v>41</v>
      </c>
      <c r="H1" t="s">
        <v>46</v>
      </c>
      <c r="I1" t="s">
        <v>7</v>
      </c>
      <c r="J1" t="s">
        <v>11</v>
      </c>
      <c r="K1" t="s">
        <v>32</v>
      </c>
      <c r="L1" t="s">
        <v>33</v>
      </c>
      <c r="M1" t="s">
        <v>31</v>
      </c>
      <c r="N1" t="s">
        <v>5</v>
      </c>
      <c r="O1" t="s">
        <v>9</v>
      </c>
      <c r="P1" t="s">
        <v>8</v>
      </c>
      <c r="Q1" t="s">
        <v>43</v>
      </c>
      <c r="R1" s="2">
        <f>S2*L2</f>
        <v>5.8364130892428557E-7</v>
      </c>
      <c r="S1" t="s">
        <v>34</v>
      </c>
      <c r="T1" t="s">
        <v>18</v>
      </c>
      <c r="U1" t="s">
        <v>35</v>
      </c>
      <c r="V1" t="s">
        <v>36</v>
      </c>
      <c r="W1" t="s">
        <v>19</v>
      </c>
      <c r="X1" t="s">
        <v>38</v>
      </c>
      <c r="Y1" t="s">
        <v>39</v>
      </c>
      <c r="Z1" t="s">
        <v>40</v>
      </c>
      <c r="AA1" t="s">
        <v>37</v>
      </c>
      <c r="AB1" t="s">
        <v>42</v>
      </c>
    </row>
    <row r="2" spans="1:28" x14ac:dyDescent="0.25">
      <c r="A2" s="2">
        <f>R1^2+R2^2</f>
        <v>0.25907082010034066</v>
      </c>
      <c r="B2" s="1">
        <f>2*R1*R3</f>
        <v>4.6691304713942849E-11</v>
      </c>
      <c r="C2" s="1">
        <f>R3^2-(R2)^2</f>
        <v>-0.25907081850000002</v>
      </c>
      <c r="D2" s="1">
        <f>B2^2-4*A2*C2</f>
        <v>0.26847075765144607</v>
      </c>
      <c r="E2" s="11">
        <f>-B2+SQRT(D2)/2/A2</f>
        <v>0.99999999686469254</v>
      </c>
      <c r="F2" s="10">
        <f>-B2-SQRT(D2)/2/A2</f>
        <v>-0.99999999695807518</v>
      </c>
      <c r="G2" s="1"/>
      <c r="H2">
        <v>2E-3</v>
      </c>
      <c r="I2">
        <v>29979200000</v>
      </c>
      <c r="J2" s="1">
        <v>6.5821194999999999E-22</v>
      </c>
      <c r="K2">
        <v>0.51100000000000001</v>
      </c>
      <c r="L2" s="1">
        <v>1.0000000000000001E-5</v>
      </c>
      <c r="M2">
        <v>4</v>
      </c>
      <c r="N2" s="1">
        <v>0.5</v>
      </c>
      <c r="O2">
        <v>1.4396E-13</v>
      </c>
      <c r="P2" s="1">
        <v>1</v>
      </c>
      <c r="Q2" t="s">
        <v>44</v>
      </c>
      <c r="R2" s="1">
        <f>K2-L2-H2</f>
        <v>0.50899000000000005</v>
      </c>
      <c r="S2" s="2">
        <f>P2*O2*M2/N2/I2/J2</f>
        <v>5.8364130892428548E-2</v>
      </c>
      <c r="T2" s="9">
        <f>P2*O2/Y2</f>
        <v>1.9532187388000565E-11</v>
      </c>
      <c r="U2" s="1">
        <f>K2-M2*L2/AA2-L2-Y2</f>
        <v>-1.5124493059968198E-3</v>
      </c>
      <c r="V2" s="1">
        <f>A2*J2-M2*L2/I2/AA2*E2*P2*O2/Y2</f>
        <v>-1.5858246531365558E-22</v>
      </c>
      <c r="W2" s="8">
        <f>L2/AA2</f>
        <v>0.12628301276071222</v>
      </c>
      <c r="X2" s="8">
        <f>M2*L2/AA2</f>
        <v>0.50513205104284886</v>
      </c>
      <c r="Y2" s="7">
        <f>S2*L2*E2/AA2</f>
        <v>7.3703982631479681E-3</v>
      </c>
      <c r="Z2" s="6">
        <f>K2-M2*L2/AA2-L2-H2</f>
        <v>3.8579489571511482E-3</v>
      </c>
      <c r="AA2">
        <f>SQRT(1-E2^2)</f>
        <v>7.9187214348049604E-5</v>
      </c>
      <c r="AB2" s="1">
        <f>ABS(Z2-Y2)</f>
        <v>3.5124493059968198E-3</v>
      </c>
    </row>
    <row r="3" spans="1:28" x14ac:dyDescent="0.25">
      <c r="Q3" t="s">
        <v>45</v>
      </c>
      <c r="R3" s="1">
        <f>M2*L2</f>
        <v>4.0000000000000003E-5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B7C6-0AFC-4296-9E50-8B9CDEA42455}">
  <dimension ref="A1:P10"/>
  <sheetViews>
    <sheetView workbookViewId="0">
      <selection activeCell="M2" sqref="M2"/>
    </sheetView>
  </sheetViews>
  <sheetFormatPr defaultRowHeight="15" x14ac:dyDescent="0.25"/>
  <cols>
    <col min="5" max="5" width="18" customWidth="1"/>
    <col min="8" max="8" width="12.5703125" bestFit="1" customWidth="1"/>
    <col min="10" max="10" width="11" customWidth="1"/>
    <col min="11" max="11" width="22" bestFit="1" customWidth="1"/>
    <col min="13" max="13" width="12" bestFit="1" customWidth="1"/>
    <col min="16" max="16" width="12.5703125" bestFit="1" customWidth="1"/>
  </cols>
  <sheetData>
    <row r="1" spans="1:16" x14ac:dyDescent="0.25">
      <c r="A1" t="s">
        <v>48</v>
      </c>
      <c r="B1" t="s">
        <v>17</v>
      </c>
      <c r="C1" t="s">
        <v>49</v>
      </c>
      <c r="D1" t="s">
        <v>50</v>
      </c>
      <c r="E1" t="s">
        <v>46</v>
      </c>
      <c r="G1" t="s">
        <v>47</v>
      </c>
      <c r="H1" s="4">
        <f>4*P7/P1/P3/P2/P5</f>
        <v>7.8372935454910788</v>
      </c>
      <c r="J1" t="s">
        <v>51</v>
      </c>
      <c r="K1" s="14">
        <f>SQRT(1-(H1*M1)^2)</f>
        <v>0.99999999999998035</v>
      </c>
      <c r="L1" t="s">
        <v>33</v>
      </c>
      <c r="M1" s="1">
        <v>2.529E-8</v>
      </c>
      <c r="O1" t="s">
        <v>5</v>
      </c>
      <c r="P1">
        <v>0.5</v>
      </c>
    </row>
    <row r="2" spans="1:16" x14ac:dyDescent="0.25">
      <c r="E2" s="4">
        <f>M2-P4*M1/K3-M1-K2</f>
        <v>0.25027867210488458</v>
      </c>
      <c r="G2" t="s">
        <v>34</v>
      </c>
      <c r="H2" s="4">
        <f>P8*P6*P4/P1/P3/P2</f>
        <v>4.3773098169321407E-2</v>
      </c>
      <c r="J2" t="s">
        <v>27</v>
      </c>
      <c r="K2" s="1">
        <f>H2*M1*K1/K3</f>
        <v>5.5840509161811033E-3</v>
      </c>
      <c r="L2" t="s">
        <v>32</v>
      </c>
      <c r="M2">
        <v>0.51099894609999996</v>
      </c>
      <c r="O2" t="s">
        <v>7</v>
      </c>
      <c r="P2">
        <v>29979200000</v>
      </c>
    </row>
    <row r="3" spans="1:16" x14ac:dyDescent="0.25">
      <c r="E3" s="4">
        <f>M2-M1-(P4+H2*K1*K4)/H1</f>
        <v>0.25022355412169517</v>
      </c>
      <c r="J3" t="s">
        <v>54</v>
      </c>
      <c r="K3">
        <f>SQRT(1-K1^2)</f>
        <v>1.9824705564454303E-7</v>
      </c>
      <c r="O3" t="s">
        <v>11</v>
      </c>
      <c r="P3" s="1">
        <v>6.5821194999999999E-22</v>
      </c>
    </row>
    <row r="4" spans="1:16" x14ac:dyDescent="0.25">
      <c r="J4" s="23" t="s">
        <v>82</v>
      </c>
      <c r="K4">
        <f>SQRT(1-P10^2)</f>
        <v>1</v>
      </c>
      <c r="O4" t="s">
        <v>31</v>
      </c>
      <c r="P4">
        <v>2</v>
      </c>
    </row>
    <row r="5" spans="1:16" x14ac:dyDescent="0.25">
      <c r="J5" t="s">
        <v>55</v>
      </c>
      <c r="K5" s="6">
        <f>(M1+E3)/K4</f>
        <v>0.25022357941169515</v>
      </c>
      <c r="O5" t="s">
        <v>52</v>
      </c>
      <c r="P5" s="1">
        <v>4.8029599999999995E-10</v>
      </c>
    </row>
    <row r="6" spans="1:16" x14ac:dyDescent="0.25">
      <c r="J6" t="s">
        <v>56</v>
      </c>
      <c r="K6" s="1">
        <f>M1/K3/K4</f>
        <v>0.12756809889446716</v>
      </c>
      <c r="O6" t="s">
        <v>9</v>
      </c>
      <c r="P6" s="1">
        <v>1.4396E-13</v>
      </c>
    </row>
    <row r="7" spans="1:16" x14ac:dyDescent="0.25">
      <c r="J7" t="s">
        <v>57</v>
      </c>
      <c r="K7" s="1">
        <f>P4*M1/K3/K4</f>
        <v>0.25513619778893432</v>
      </c>
      <c r="O7" t="s">
        <v>53</v>
      </c>
      <c r="P7" s="4">
        <f>P9*1.001159652</f>
        <v>9.2847646242445194E-21</v>
      </c>
    </row>
    <row r="8" spans="1:16" x14ac:dyDescent="0.25">
      <c r="J8" t="s">
        <v>81</v>
      </c>
      <c r="K8" s="1">
        <f>M2/K4</f>
        <v>0.51099894609999996</v>
      </c>
      <c r="O8" t="s">
        <v>8</v>
      </c>
      <c r="P8" s="1">
        <v>1.5</v>
      </c>
    </row>
    <row r="9" spans="1:16" x14ac:dyDescent="0.25">
      <c r="J9" t="s">
        <v>18</v>
      </c>
      <c r="K9" s="1">
        <f>P8*P6/K2</f>
        <v>3.8670850828788639E-11</v>
      </c>
      <c r="O9" t="s">
        <v>58</v>
      </c>
      <c r="P9" s="1">
        <v>9.2740100000000003E-21</v>
      </c>
    </row>
    <row r="10" spans="1:16" x14ac:dyDescent="0.25">
      <c r="O10" t="s">
        <v>17</v>
      </c>
      <c r="P10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739A-55E8-4849-8175-EB35B25A5D73}">
  <dimension ref="A1:Q10"/>
  <sheetViews>
    <sheetView workbookViewId="0">
      <selection activeCell="M2" sqref="M2"/>
    </sheetView>
  </sheetViews>
  <sheetFormatPr defaultRowHeight="15" x14ac:dyDescent="0.25"/>
  <cols>
    <col min="5" max="5" width="12.5703125" bestFit="1" customWidth="1"/>
    <col min="8" max="8" width="12.5703125" bestFit="1" customWidth="1"/>
    <col min="11" max="11" width="18.85546875" bestFit="1" customWidth="1"/>
    <col min="13" max="13" width="12" bestFit="1" customWidth="1"/>
    <col min="16" max="16" width="12.5703125" bestFit="1" customWidth="1"/>
  </cols>
  <sheetData>
    <row r="1" spans="1:17" x14ac:dyDescent="0.25">
      <c r="A1" t="s">
        <v>48</v>
      </c>
      <c r="B1" t="s">
        <v>17</v>
      </c>
      <c r="C1" t="s">
        <v>49</v>
      </c>
      <c r="D1" t="s">
        <v>50</v>
      </c>
      <c r="E1" t="s">
        <v>46</v>
      </c>
      <c r="G1" t="s">
        <v>47</v>
      </c>
      <c r="H1" s="4">
        <f>4*P7/P1/P3/P2/P5</f>
        <v>1.1906966338756715E-2</v>
      </c>
      <c r="J1" t="s">
        <v>51</v>
      </c>
      <c r="K1" s="12">
        <f>SQRT(1-(H1*M1)^2)</f>
        <v>0.99999999999999845</v>
      </c>
      <c r="L1" t="s">
        <v>33</v>
      </c>
      <c r="M1" s="1">
        <v>4.6999999999999999E-6</v>
      </c>
      <c r="O1" t="s">
        <v>5</v>
      </c>
      <c r="P1">
        <v>0.5</v>
      </c>
    </row>
    <row r="2" spans="1:17" x14ac:dyDescent="0.25">
      <c r="E2" s="1">
        <f>M2-P4*M1/K3-M1-K2</f>
        <v>765.98749642043902</v>
      </c>
      <c r="G2" t="s">
        <v>34</v>
      </c>
      <c r="H2" s="4">
        <f>P8*P6*P4/P1/P3/P2</f>
        <v>4.3773098169321407E-2</v>
      </c>
      <c r="J2" t="s">
        <v>27</v>
      </c>
      <c r="K2" s="1">
        <f>H2*M1*K1/K3</f>
        <v>3.6899545214242861</v>
      </c>
      <c r="L2" t="s">
        <v>32</v>
      </c>
      <c r="M2">
        <v>938.27207999999996</v>
      </c>
      <c r="O2" t="s">
        <v>7</v>
      </c>
      <c r="P2">
        <v>29979200000</v>
      </c>
    </row>
    <row r="3" spans="1:17" x14ac:dyDescent="0.25">
      <c r="E3" s="4">
        <f>(M2-M1)/SQRT(1-P10^2)-(P4+H2*K1)/H1</f>
        <v>766.62691900885306</v>
      </c>
      <c r="J3" t="s">
        <v>54</v>
      </c>
      <c r="K3">
        <f>SQRT(1-K1^2)</f>
        <v>5.5755039852469285E-8</v>
      </c>
      <c r="O3" t="s">
        <v>11</v>
      </c>
      <c r="P3" s="1">
        <v>6.5821194999999999E-22</v>
      </c>
    </row>
    <row r="4" spans="1:17" x14ac:dyDescent="0.25">
      <c r="O4" t="s">
        <v>31</v>
      </c>
      <c r="P4">
        <v>2</v>
      </c>
    </row>
    <row r="5" spans="1:17" x14ac:dyDescent="0.25">
      <c r="J5" t="s">
        <v>55</v>
      </c>
      <c r="K5" s="6">
        <f>M1+E2</f>
        <v>765.98750112043899</v>
      </c>
      <c r="O5" t="s">
        <v>52</v>
      </c>
      <c r="P5" s="1">
        <v>4.8029599999999995E-10</v>
      </c>
    </row>
    <row r="6" spans="1:17" x14ac:dyDescent="0.25">
      <c r="J6" t="s">
        <v>56</v>
      </c>
      <c r="K6" s="1">
        <f>M1/K3</f>
        <v>84.297312179068342</v>
      </c>
      <c r="O6" t="s">
        <v>9</v>
      </c>
      <c r="P6" s="1">
        <v>1.4396E-13</v>
      </c>
    </row>
    <row r="7" spans="1:17" x14ac:dyDescent="0.25">
      <c r="J7" t="s">
        <v>57</v>
      </c>
      <c r="K7">
        <f>P4*M1/K3</f>
        <v>168.59462435813668</v>
      </c>
      <c r="O7" t="s">
        <v>53</v>
      </c>
      <c r="P7" s="4">
        <f>0.001521032*P9</f>
        <v>1.410606597832E-23</v>
      </c>
      <c r="Q7">
        <v>1.5210320000000001E-3</v>
      </c>
    </row>
    <row r="8" spans="1:17" x14ac:dyDescent="0.25">
      <c r="O8" t="s">
        <v>8</v>
      </c>
      <c r="P8" s="1">
        <v>1.5</v>
      </c>
    </row>
    <row r="9" spans="1:17" x14ac:dyDescent="0.25">
      <c r="J9" t="s">
        <v>18</v>
      </c>
      <c r="K9" s="1">
        <f>P8*P6/K2</f>
        <v>5.8521046464455957E-14</v>
      </c>
      <c r="O9" t="s">
        <v>58</v>
      </c>
      <c r="P9">
        <f>9.27401E-21</f>
        <v>9.2740100000000003E-21</v>
      </c>
    </row>
    <row r="10" spans="1:17" x14ac:dyDescent="0.25">
      <c r="O10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511B-C4A1-4638-8509-82F3462389D0}">
  <dimension ref="A1:AJ35"/>
  <sheetViews>
    <sheetView topLeftCell="I1" workbookViewId="0">
      <selection activeCell="L2" sqref="L2"/>
    </sheetView>
  </sheetViews>
  <sheetFormatPr defaultRowHeight="15" x14ac:dyDescent="0.25"/>
  <cols>
    <col min="1" max="1" width="14" customWidth="1"/>
    <col min="2" max="2" width="19" customWidth="1"/>
    <col min="3" max="3" width="19.7109375" customWidth="1"/>
    <col min="7" max="7" width="15.28515625" customWidth="1"/>
    <col min="8" max="8" width="16" customWidth="1"/>
    <col min="12" max="12" width="14.42578125" customWidth="1"/>
    <col min="13" max="13" width="15.5703125" customWidth="1"/>
    <col min="14" max="14" width="15.140625" customWidth="1"/>
    <col min="15" max="15" width="13.5703125" customWidth="1"/>
    <col min="16" max="16" width="16" customWidth="1"/>
    <col min="17" max="17" width="13.85546875" customWidth="1"/>
    <col min="18" max="18" width="13.5703125" customWidth="1"/>
    <col min="21" max="21" width="12.85546875" customWidth="1"/>
    <col min="22" max="22" width="14.85546875" customWidth="1"/>
  </cols>
  <sheetData>
    <row r="1" spans="1:36" ht="16.5" x14ac:dyDescent="0.25">
      <c r="A1" s="15" t="s">
        <v>59</v>
      </c>
      <c r="B1" s="15" t="s">
        <v>66</v>
      </c>
      <c r="C1" s="15" t="s">
        <v>67</v>
      </c>
      <c r="D1" s="15"/>
      <c r="E1" s="15"/>
      <c r="F1" s="15"/>
      <c r="G1" s="15" t="s">
        <v>72</v>
      </c>
      <c r="H1" s="15" t="s">
        <v>73</v>
      </c>
      <c r="I1" s="15"/>
      <c r="J1" s="15"/>
      <c r="K1" s="15"/>
      <c r="L1" s="15" t="s">
        <v>80</v>
      </c>
      <c r="M1" s="15">
        <v>0</v>
      </c>
      <c r="N1" s="15">
        <v>0.1</v>
      </c>
      <c r="O1" s="15">
        <v>0.5</v>
      </c>
      <c r="P1" s="15">
        <v>0.9</v>
      </c>
      <c r="Q1" s="15">
        <v>0.99</v>
      </c>
      <c r="R1" s="15">
        <v>0.999</v>
      </c>
      <c r="S1" s="15">
        <v>0.99990000000000001</v>
      </c>
      <c r="T1" s="15">
        <v>0.99999000000000005</v>
      </c>
      <c r="U1" s="15">
        <v>0.99999899999999997</v>
      </c>
      <c r="V1" s="15">
        <v>0.99999990000000005</v>
      </c>
      <c r="W1" s="15"/>
      <c r="X1" s="15"/>
      <c r="Y1" s="15"/>
      <c r="Z1" s="15"/>
      <c r="AA1" s="15"/>
      <c r="AB1" s="15"/>
      <c r="AC1" s="13"/>
      <c r="AD1" s="13"/>
      <c r="AE1" s="13"/>
      <c r="AF1" s="13"/>
      <c r="AG1" s="13"/>
      <c r="AH1" s="13"/>
      <c r="AI1" s="13"/>
      <c r="AJ1" s="13"/>
    </row>
    <row r="2" spans="1:36" ht="16.5" x14ac:dyDescent="0.25">
      <c r="A2" s="15" t="s">
        <v>62</v>
      </c>
      <c r="B2" s="15">
        <v>0.51099894609999996</v>
      </c>
      <c r="C2" s="15">
        <v>938.27207999999996</v>
      </c>
      <c r="D2" s="15"/>
      <c r="E2" s="15"/>
      <c r="F2" s="15"/>
      <c r="G2" s="15" t="s">
        <v>60</v>
      </c>
      <c r="H2" s="15">
        <v>4.8029599999999995E-10</v>
      </c>
      <c r="I2" s="15"/>
      <c r="J2" s="15"/>
      <c r="K2" s="15"/>
      <c r="L2" s="15" t="s">
        <v>83</v>
      </c>
      <c r="M2" s="15">
        <f>1/SQRT(1-M1^2)</f>
        <v>1</v>
      </c>
      <c r="N2" s="15">
        <f t="shared" ref="N2:V2" si="0">1/SQRT(1-N1^2)</f>
        <v>1.0050378152592121</v>
      </c>
      <c r="O2" s="15">
        <f t="shared" si="0"/>
        <v>1.1547005383792517</v>
      </c>
      <c r="P2" s="15">
        <f t="shared" si="0"/>
        <v>2.294157338705618</v>
      </c>
      <c r="Q2" s="15">
        <f t="shared" si="0"/>
        <v>7.0888120500833542</v>
      </c>
      <c r="R2" s="15">
        <f t="shared" si="0"/>
        <v>22.366272042129371</v>
      </c>
      <c r="S2" s="15">
        <f t="shared" si="0"/>
        <v>70.712445951914518</v>
      </c>
      <c r="T2" s="15">
        <f t="shared" si="0"/>
        <v>223.60735676962474</v>
      </c>
      <c r="U2" s="15">
        <f t="shared" si="0"/>
        <v>707.10695794923186</v>
      </c>
      <c r="V2" s="15">
        <f t="shared" si="0"/>
        <v>2236.0680339452938</v>
      </c>
      <c r="W2" s="15"/>
      <c r="X2" s="15"/>
      <c r="Y2" s="15"/>
      <c r="Z2" s="15"/>
      <c r="AA2" s="15"/>
      <c r="AB2" s="15"/>
      <c r="AC2" s="13"/>
      <c r="AD2" s="13"/>
      <c r="AE2" s="13"/>
      <c r="AF2" s="13"/>
      <c r="AG2" s="13"/>
      <c r="AH2" s="13"/>
      <c r="AI2" s="13"/>
      <c r="AJ2" s="13"/>
    </row>
    <row r="3" spans="1:36" ht="16.5" x14ac:dyDescent="0.25">
      <c r="A3" s="15" t="s">
        <v>79</v>
      </c>
      <c r="B3" s="15">
        <v>2.529E-8</v>
      </c>
      <c r="C3" s="15">
        <v>4.6999999999999999E-6</v>
      </c>
      <c r="D3" s="15"/>
      <c r="E3" s="15"/>
      <c r="F3" s="15"/>
      <c r="G3" s="15" t="s">
        <v>61</v>
      </c>
      <c r="H3" s="15">
        <v>1.4396E-13</v>
      </c>
      <c r="I3" s="15"/>
      <c r="J3" s="15"/>
      <c r="K3" s="15"/>
      <c r="L3" s="15" t="s">
        <v>84</v>
      </c>
      <c r="M3" s="15">
        <f>0.5109989461*M2</f>
        <v>0.51099894609999996</v>
      </c>
      <c r="N3" s="15">
        <f t="shared" ref="N3:V3" si="1">0.5109989461*N2</f>
        <v>0.5135732643881038</v>
      </c>
      <c r="O3" s="15">
        <f t="shared" si="1"/>
        <v>0.5900507581729002</v>
      </c>
      <c r="P3" s="15">
        <f t="shared" si="1"/>
        <v>1.1723119822661514</v>
      </c>
      <c r="Q3" s="15">
        <f t="shared" si="1"/>
        <v>3.6223754866935742</v>
      </c>
      <c r="R3" s="15">
        <f t="shared" si="1"/>
        <v>11.429141441714002</v>
      </c>
      <c r="S3" s="15">
        <f t="shared" si="1"/>
        <v>36.13398535758153</v>
      </c>
      <c r="T3" s="15">
        <f t="shared" si="1"/>
        <v>114.26312364948494</v>
      </c>
      <c r="U3" s="15">
        <f t="shared" si="1"/>
        <v>361.33091029203445</v>
      </c>
      <c r="V3" s="15">
        <f t="shared" si="1"/>
        <v>1142.6284087539441</v>
      </c>
      <c r="W3" s="15"/>
      <c r="X3" s="15"/>
      <c r="Y3" s="15"/>
      <c r="Z3" s="15"/>
      <c r="AA3" s="15"/>
      <c r="AB3" s="15"/>
      <c r="AC3" s="13"/>
      <c r="AD3" s="13"/>
      <c r="AE3" s="13"/>
      <c r="AF3" s="13"/>
      <c r="AG3" s="13"/>
      <c r="AH3" s="13"/>
      <c r="AI3" s="13"/>
      <c r="AJ3" s="13"/>
    </row>
    <row r="4" spans="1:36" ht="16.5" x14ac:dyDescent="0.3">
      <c r="A4" s="15" t="s">
        <v>63</v>
      </c>
      <c r="B4" s="15">
        <v>0.12756809889446716</v>
      </c>
      <c r="C4" s="15">
        <v>84.297312179068342</v>
      </c>
      <c r="D4" s="15"/>
      <c r="E4" s="15"/>
      <c r="F4" s="16"/>
      <c r="G4" s="15" t="s">
        <v>74</v>
      </c>
      <c r="H4" s="15">
        <v>29979200000</v>
      </c>
      <c r="I4" s="16"/>
      <c r="J4" s="16"/>
      <c r="K4" s="16"/>
      <c r="L4" s="15" t="s">
        <v>85</v>
      </c>
      <c r="M4" s="15">
        <f>938.27208*M2</f>
        <v>938.27207999999996</v>
      </c>
      <c r="N4" s="15">
        <f t="shared" ref="N4:V4" si="2">938.27208*N2</f>
        <v>942.99892140191662</v>
      </c>
      <c r="O4" s="15">
        <f t="shared" si="2"/>
        <v>1083.4232759222202</v>
      </c>
      <c r="P4" s="15">
        <f t="shared" si="2"/>
        <v>2152.5437780345846</v>
      </c>
      <c r="Q4" s="15">
        <f t="shared" si="2"/>
        <v>6651.2344269607729</v>
      </c>
      <c r="R4" s="15">
        <f t="shared" si="2"/>
        <v>20985.64859081457</v>
      </c>
      <c r="S4" s="15">
        <f t="shared" si="2"/>
        <v>66347.513745190416</v>
      </c>
      <c r="T4" s="15">
        <f t="shared" si="2"/>
        <v>209804.53973953787</v>
      </c>
      <c r="U4" s="15">
        <f t="shared" si="2"/>
        <v>663458.7162174983</v>
      </c>
      <c r="V4" s="15">
        <f t="shared" si="2"/>
        <v>2098040.2052313611</v>
      </c>
      <c r="W4" s="15"/>
      <c r="X4" s="15"/>
      <c r="Y4" s="15"/>
      <c r="Z4" s="15"/>
      <c r="AA4" s="15"/>
      <c r="AB4" s="15"/>
      <c r="AC4" s="13"/>
      <c r="AD4" s="13"/>
      <c r="AE4" s="13"/>
      <c r="AF4" s="13"/>
      <c r="AG4" s="13"/>
      <c r="AH4" s="13"/>
      <c r="AI4" s="13"/>
      <c r="AJ4" s="13"/>
    </row>
    <row r="5" spans="1:36" ht="16.5" x14ac:dyDescent="0.3">
      <c r="A5" s="15" t="s">
        <v>76</v>
      </c>
      <c r="B5" s="15">
        <v>0.25513619778893398</v>
      </c>
      <c r="C5" s="15">
        <v>168.59462435813668</v>
      </c>
      <c r="D5" s="15"/>
      <c r="E5" s="15"/>
      <c r="F5" s="16"/>
      <c r="G5" s="15" t="s">
        <v>78</v>
      </c>
      <c r="H5" s="17">
        <v>9.2740100000000003E-21</v>
      </c>
      <c r="I5" s="16"/>
      <c r="J5" s="16"/>
      <c r="K5" s="16"/>
      <c r="L5" s="22" t="s">
        <v>86</v>
      </c>
      <c r="M5" s="15">
        <f>0.255136197788934*M2</f>
        <v>0.25513619778893398</v>
      </c>
      <c r="N5" s="15">
        <f t="shared" ref="N5:V5" si="3">0.255136197788934*N2</f>
        <v>0.25642152681933245</v>
      </c>
      <c r="O5" s="15">
        <f t="shared" si="3"/>
        <v>0.2946059049469173</v>
      </c>
      <c r="P5" s="15">
        <f t="shared" si="3"/>
        <v>0.58532258052693098</v>
      </c>
      <c r="Q5" s="15">
        <f t="shared" si="3"/>
        <v>1.8086125532986452</v>
      </c>
      <c r="R5" s="15">
        <f t="shared" si="3"/>
        <v>5.7064456075418235</v>
      </c>
      <c r="S5" s="15">
        <f t="shared" si="3"/>
        <v>18.041304596526967</v>
      </c>
      <c r="T5" s="15">
        <f t="shared" si="3"/>
        <v>57.050330803835706</v>
      </c>
      <c r="U5" s="15">
        <f t="shared" si="3"/>
        <v>180.40858068126664</v>
      </c>
      <c r="V5" s="15">
        <f t="shared" si="3"/>
        <v>570.50189617817921</v>
      </c>
      <c r="W5" s="15"/>
      <c r="X5" s="15"/>
      <c r="Y5" s="15"/>
      <c r="Z5" s="15"/>
      <c r="AA5" s="15"/>
      <c r="AB5" s="15"/>
      <c r="AC5" s="13"/>
      <c r="AD5" s="13"/>
      <c r="AE5" s="13"/>
      <c r="AF5" s="13"/>
      <c r="AG5" s="13"/>
      <c r="AH5" s="13"/>
      <c r="AI5" s="13"/>
      <c r="AJ5" s="13"/>
    </row>
    <row r="6" spans="1:36" ht="16.5" x14ac:dyDescent="0.3">
      <c r="A6" s="15" t="s">
        <v>64</v>
      </c>
      <c r="B6" s="15">
        <v>0.25027975129488461</v>
      </c>
      <c r="C6" s="15">
        <v>765.98750112043899</v>
      </c>
      <c r="D6" s="15"/>
      <c r="E6" s="15"/>
      <c r="F6" s="16"/>
      <c r="G6" s="15" t="s">
        <v>75</v>
      </c>
      <c r="H6" s="18">
        <v>6.5821194999999999E-22</v>
      </c>
      <c r="I6" s="16"/>
      <c r="J6" s="16"/>
      <c r="K6" s="16"/>
      <c r="L6" s="15" t="s">
        <v>87</v>
      </c>
      <c r="M6" s="15">
        <f>0.250279751294885*M2</f>
        <v>0.250279751294885</v>
      </c>
      <c r="N6" s="15">
        <f t="shared" ref="N6:V6" si="4">0.250279751294885*N2</f>
        <v>0.25154061444503018</v>
      </c>
      <c r="O6" s="15">
        <f t="shared" si="4"/>
        <v>0.28899816356562891</v>
      </c>
      <c r="P6" s="15">
        <f t="shared" si="4"/>
        <v>0.57418112816257727</v>
      </c>
      <c r="Q6" s="15">
        <f t="shared" si="4"/>
        <v>1.7741861168710458</v>
      </c>
      <c r="R6" s="15">
        <f t="shared" si="4"/>
        <v>5.5978250040978788</v>
      </c>
      <c r="S6" s="15">
        <f t="shared" si="4"/>
        <v>17.697893386298162</v>
      </c>
      <c r="T6" s="15">
        <f t="shared" si="4"/>
        <v>55.964393640008304</v>
      </c>
      <c r="U6" s="15">
        <f t="shared" si="4"/>
        <v>176.97455357441646</v>
      </c>
      <c r="V6" s="15">
        <f t="shared" si="4"/>
        <v>559.64255141427066</v>
      </c>
      <c r="W6" s="15"/>
      <c r="X6" s="15"/>
      <c r="Y6" s="15"/>
      <c r="Z6" s="15"/>
      <c r="AA6" s="15"/>
      <c r="AB6" s="15"/>
      <c r="AC6" s="13"/>
      <c r="AD6" s="13"/>
      <c r="AE6" s="13"/>
      <c r="AF6" s="13"/>
      <c r="AG6" s="13"/>
      <c r="AH6" s="13"/>
      <c r="AI6" s="13"/>
      <c r="AJ6" s="13"/>
    </row>
    <row r="7" spans="1:36" ht="16.5" x14ac:dyDescent="0.3">
      <c r="A7" s="15" t="s">
        <v>65</v>
      </c>
      <c r="B7" s="19">
        <v>0.99999999999998035</v>
      </c>
      <c r="C7" s="20">
        <v>0.99999999999999845</v>
      </c>
      <c r="D7" s="15"/>
      <c r="E7" s="15"/>
      <c r="F7" s="16"/>
      <c r="G7" s="16"/>
      <c r="H7" s="16"/>
      <c r="I7" s="16"/>
      <c r="J7" s="16"/>
      <c r="K7" s="16"/>
      <c r="L7" s="15" t="s">
        <v>88</v>
      </c>
      <c r="M7" s="15">
        <f>0.0055840509161811*M2</f>
        <v>5.5840509161810999E-3</v>
      </c>
      <c r="N7" s="15">
        <f t="shared" ref="N7:V7" si="5">0.0055840509161811*N2</f>
        <v>5.6121823330948541E-3</v>
      </c>
      <c r="O7" s="15">
        <f t="shared" si="5"/>
        <v>6.4479065992514694E-3</v>
      </c>
      <c r="P7" s="15">
        <f t="shared" si="5"/>
        <v>1.28106913890627E-2</v>
      </c>
      <c r="Q7" s="15">
        <f t="shared" si="5"/>
        <v>3.9584287422903576E-2</v>
      </c>
      <c r="R7" s="15">
        <f t="shared" si="5"/>
        <v>0.12489440188840824</v>
      </c>
      <c r="S7" s="15">
        <f t="shared" si="5"/>
        <v>0.39486189860319476</v>
      </c>
      <c r="T7" s="15">
        <f t="shared" si="5"/>
        <v>1.2486348654342572</v>
      </c>
      <c r="U7" s="15">
        <f t="shared" si="5"/>
        <v>3.9485212563744385</v>
      </c>
      <c r="V7" s="15">
        <f t="shared" si="5"/>
        <v>12.486317753595488</v>
      </c>
      <c r="W7" s="15"/>
      <c r="X7" s="15"/>
      <c r="Y7" s="15"/>
      <c r="Z7" s="15"/>
      <c r="AA7" s="15"/>
      <c r="AB7" s="15"/>
      <c r="AC7" s="13"/>
      <c r="AD7" s="13"/>
      <c r="AE7" s="13"/>
      <c r="AF7" s="13"/>
      <c r="AG7" s="13"/>
      <c r="AH7" s="13"/>
      <c r="AI7" s="13"/>
      <c r="AJ7" s="13"/>
    </row>
    <row r="8" spans="1:36" ht="16.5" x14ac:dyDescent="0.3">
      <c r="A8" s="15" t="s">
        <v>71</v>
      </c>
      <c r="B8" s="15">
        <v>5.5840509161810999E-3</v>
      </c>
      <c r="C8" s="15">
        <v>3.6899545214242861</v>
      </c>
      <c r="D8" s="15"/>
      <c r="E8" s="15"/>
      <c r="F8" s="16"/>
      <c r="G8" s="16"/>
      <c r="H8" s="16"/>
      <c r="I8" s="16"/>
      <c r="J8" s="16"/>
      <c r="K8" s="16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3"/>
      <c r="AD8" s="13"/>
      <c r="AE8" s="13"/>
      <c r="AF8" s="13"/>
      <c r="AG8" s="13"/>
      <c r="AH8" s="13"/>
      <c r="AI8" s="13"/>
      <c r="AJ8" s="13"/>
    </row>
    <row r="9" spans="1:36" ht="16.5" x14ac:dyDescent="0.3">
      <c r="A9" s="15" t="s">
        <v>8</v>
      </c>
      <c r="B9" s="15">
        <v>1.5</v>
      </c>
      <c r="C9" s="15">
        <v>1.5</v>
      </c>
      <c r="D9" s="15"/>
      <c r="E9" s="15"/>
      <c r="F9" s="16"/>
      <c r="G9" s="16"/>
      <c r="H9" s="16"/>
      <c r="I9" s="16"/>
      <c r="J9" s="16"/>
      <c r="K9" s="16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3"/>
      <c r="AD9" s="13"/>
      <c r="AE9" s="13"/>
      <c r="AF9" s="13"/>
      <c r="AG9" s="13"/>
      <c r="AH9" s="13"/>
      <c r="AI9" s="13"/>
      <c r="AJ9" s="13"/>
    </row>
    <row r="10" spans="1:36" ht="16.5" x14ac:dyDescent="0.3">
      <c r="A10" s="15" t="s">
        <v>70</v>
      </c>
      <c r="B10" s="15">
        <v>3.8670850828788639E-11</v>
      </c>
      <c r="C10" s="15">
        <v>5.8521046464455957E-14</v>
      </c>
      <c r="D10" s="15"/>
      <c r="E10" s="15"/>
      <c r="F10" s="16"/>
      <c r="G10" s="16"/>
      <c r="H10" s="16"/>
      <c r="I10" s="16"/>
      <c r="J10" s="16"/>
      <c r="K10" s="16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3"/>
      <c r="AD10" s="13"/>
      <c r="AE10" s="13"/>
      <c r="AF10" s="13"/>
      <c r="AG10" s="13"/>
      <c r="AH10" s="13"/>
      <c r="AI10" s="13"/>
      <c r="AJ10" s="13"/>
    </row>
    <row r="11" spans="1:36" ht="16.5" x14ac:dyDescent="0.3">
      <c r="A11" s="15" t="s">
        <v>77</v>
      </c>
      <c r="B11" s="15" t="s">
        <v>68</v>
      </c>
      <c r="C11" s="15">
        <v>1.5210320000000001E-3</v>
      </c>
      <c r="D11" s="15"/>
      <c r="E11" s="15"/>
      <c r="F11" s="16"/>
      <c r="G11" s="16"/>
      <c r="H11" s="16"/>
      <c r="I11" s="16"/>
      <c r="J11" s="16"/>
      <c r="K11" s="16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3"/>
      <c r="AD11" s="13"/>
      <c r="AE11" s="13"/>
      <c r="AF11" s="13"/>
      <c r="AG11" s="13"/>
      <c r="AH11" s="13"/>
      <c r="AI11" s="13"/>
      <c r="AJ11" s="13"/>
    </row>
    <row r="12" spans="1:36" ht="16.5" x14ac:dyDescent="0.3">
      <c r="A12" s="15" t="s">
        <v>31</v>
      </c>
      <c r="B12" s="15">
        <v>2</v>
      </c>
      <c r="C12" s="15">
        <v>2</v>
      </c>
      <c r="D12" s="15"/>
      <c r="E12" s="15"/>
      <c r="F12" s="16"/>
      <c r="G12" s="16"/>
      <c r="H12" s="16"/>
      <c r="I12" s="16"/>
      <c r="J12" s="16"/>
      <c r="K12" s="16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3"/>
      <c r="AD12" s="13"/>
      <c r="AE12" s="13"/>
      <c r="AF12" s="13"/>
      <c r="AG12" s="13"/>
      <c r="AH12" s="13"/>
      <c r="AI12" s="13"/>
      <c r="AJ12" s="13"/>
    </row>
    <row r="13" spans="1:36" ht="16.5" x14ac:dyDescent="0.3">
      <c r="A13" s="15" t="s">
        <v>5</v>
      </c>
      <c r="B13" s="15" t="s">
        <v>69</v>
      </c>
      <c r="C13" s="15" t="s">
        <v>69</v>
      </c>
      <c r="D13" s="15"/>
      <c r="E13" s="15"/>
      <c r="F13" s="16"/>
      <c r="G13" s="16"/>
      <c r="H13" s="16"/>
      <c r="I13" s="16"/>
      <c r="J13" s="16"/>
      <c r="K13" s="16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3"/>
      <c r="AD13" s="13"/>
      <c r="AE13" s="13"/>
      <c r="AF13" s="13"/>
      <c r="AG13" s="13"/>
      <c r="AH13" s="13"/>
      <c r="AI13" s="13"/>
      <c r="AJ13" s="13"/>
    </row>
    <row r="14" spans="1:36" ht="16.5" x14ac:dyDescent="0.3">
      <c r="A14" s="15"/>
      <c r="B14" s="15"/>
      <c r="C14" s="15"/>
      <c r="D14" s="15"/>
      <c r="E14" s="15"/>
      <c r="F14" s="16"/>
      <c r="G14" s="16"/>
      <c r="H14" s="16"/>
      <c r="I14" s="16"/>
      <c r="J14" s="16"/>
      <c r="K14" s="16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3"/>
      <c r="AD14" s="13"/>
      <c r="AE14" s="13"/>
      <c r="AF14" s="13"/>
      <c r="AG14" s="13"/>
      <c r="AH14" s="13"/>
      <c r="AI14" s="13"/>
      <c r="AJ14" s="13"/>
    </row>
    <row r="15" spans="1:36" ht="16.5" x14ac:dyDescent="0.3">
      <c r="H15" s="16"/>
      <c r="I15" s="16"/>
      <c r="J15" s="16"/>
      <c r="K15" s="16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3"/>
      <c r="AD15" s="13"/>
      <c r="AE15" s="13"/>
      <c r="AF15" s="13"/>
      <c r="AG15" s="13"/>
      <c r="AH15" s="13"/>
      <c r="AI15" s="13"/>
      <c r="AJ15" s="13"/>
    </row>
    <row r="16" spans="1:36" ht="16.5" x14ac:dyDescent="0.25"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3"/>
      <c r="AD16" s="13"/>
      <c r="AE16" s="13"/>
      <c r="AF16" s="13"/>
      <c r="AG16" s="13"/>
      <c r="AH16" s="13"/>
      <c r="AI16" s="13"/>
      <c r="AJ16" s="13"/>
    </row>
    <row r="17" spans="1:36" ht="16.5" x14ac:dyDescent="0.25">
      <c r="H17" s="15"/>
      <c r="I17" s="15"/>
      <c r="J17" s="15"/>
      <c r="K17" s="15"/>
      <c r="L17" s="15"/>
      <c r="M17" s="15"/>
      <c r="N17" s="15"/>
      <c r="O17" s="13"/>
      <c r="P17" s="13"/>
      <c r="Q17" s="13"/>
      <c r="R17" s="13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3"/>
      <c r="AD17" s="13"/>
      <c r="AE17" s="13"/>
      <c r="AF17" s="13"/>
      <c r="AG17" s="13"/>
      <c r="AH17" s="13"/>
      <c r="AI17" s="13"/>
      <c r="AJ17" s="13"/>
    </row>
    <row r="18" spans="1:36" ht="16.5" x14ac:dyDescent="0.25">
      <c r="H18" s="15"/>
      <c r="I18" s="15"/>
      <c r="J18" s="15"/>
      <c r="K18" s="15"/>
      <c r="L18" s="15"/>
      <c r="M18" s="15"/>
      <c r="N18" s="15"/>
      <c r="O18" s="13"/>
      <c r="P18" s="13"/>
      <c r="Q18" s="13"/>
      <c r="R18" s="13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3"/>
      <c r="AD18" s="13"/>
      <c r="AE18" s="13"/>
      <c r="AF18" s="13"/>
      <c r="AG18" s="13"/>
      <c r="AH18" s="13"/>
      <c r="AI18" s="13"/>
      <c r="AJ18" s="13"/>
    </row>
    <row r="19" spans="1:36" ht="16.5" x14ac:dyDescent="0.3">
      <c r="A19" s="15"/>
      <c r="B19" s="15"/>
      <c r="C19" s="15"/>
      <c r="D19" s="15"/>
      <c r="E19" s="15"/>
      <c r="F19" s="16"/>
      <c r="G19" s="16"/>
      <c r="H19" s="16"/>
      <c r="I19" s="16"/>
      <c r="J19" s="16"/>
      <c r="K19" s="16"/>
      <c r="L19" s="15"/>
      <c r="M19" s="15"/>
      <c r="N19" s="15"/>
      <c r="O19" s="13"/>
      <c r="P19" s="13"/>
      <c r="Q19" s="13"/>
      <c r="R19" s="13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3"/>
      <c r="AD19" s="13"/>
      <c r="AE19" s="13"/>
      <c r="AF19" s="13"/>
      <c r="AG19" s="13"/>
      <c r="AH19" s="13"/>
      <c r="AI19" s="13"/>
      <c r="AJ19" s="13"/>
    </row>
    <row r="20" spans="1:36" ht="16.5" x14ac:dyDescent="0.3">
      <c r="A20" s="15"/>
      <c r="B20" s="15"/>
      <c r="C20" s="15"/>
      <c r="D20" s="15"/>
      <c r="E20" s="15"/>
      <c r="F20" s="15"/>
      <c r="G20" s="15"/>
      <c r="H20" s="15"/>
      <c r="I20" s="21"/>
      <c r="J20" s="15"/>
      <c r="K20" s="15"/>
      <c r="L20" s="15"/>
      <c r="M20" s="15"/>
      <c r="N20" s="15"/>
      <c r="O20" s="13"/>
      <c r="P20" s="13"/>
      <c r="Q20" s="13"/>
      <c r="R20" s="13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3"/>
      <c r="AD20" s="13"/>
      <c r="AE20" s="13"/>
      <c r="AF20" s="13"/>
      <c r="AG20" s="13"/>
      <c r="AH20" s="13"/>
      <c r="AI20" s="13"/>
      <c r="AJ20" s="13"/>
    </row>
    <row r="21" spans="1:36" ht="16.5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ht="16.5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ht="16.5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ht="16.5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ht="16.5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ht="16.5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ht="16.5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6.5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6.5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ht="16.5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 ht="16.5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N31" s="15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1:36" ht="16.5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ht="16.5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ht="16.5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ht="16.5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921C4-DDF5-4429-9CB8-948CAE3AAFA9}">
  <sheetPr>
    <pageSetUpPr fitToPage="1"/>
  </sheetPr>
  <dimension ref="A1:X197"/>
  <sheetViews>
    <sheetView topLeftCell="I1" zoomScale="130" zoomScaleNormal="130" workbookViewId="0">
      <selection activeCell="L12" sqref="K12:L16"/>
    </sheetView>
  </sheetViews>
  <sheetFormatPr defaultRowHeight="15" x14ac:dyDescent="0.25"/>
  <cols>
    <col min="1" max="1" width="9.140625" style="31"/>
    <col min="2" max="2" width="9.85546875" style="31" bestFit="1" customWidth="1"/>
    <col min="3" max="3" width="12.28515625" style="31" bestFit="1" customWidth="1"/>
    <col min="4" max="4" width="9.140625" style="31"/>
    <col min="5" max="5" width="12.5703125" style="31" bestFit="1" customWidth="1"/>
    <col min="6" max="6" width="9.140625" style="31"/>
    <col min="7" max="7" width="22" style="31" bestFit="1" customWidth="1"/>
    <col min="8" max="8" width="35.42578125" style="31" bestFit="1" customWidth="1"/>
    <col min="9" max="9" width="9.140625" style="31"/>
    <col min="10" max="10" width="7" style="31" customWidth="1"/>
    <col min="11" max="11" width="19" style="31" customWidth="1"/>
    <col min="12" max="12" width="25.85546875" style="31" customWidth="1"/>
    <col min="13" max="13" width="28.140625" style="31" customWidth="1"/>
    <col min="14" max="14" width="25.140625" style="31" customWidth="1"/>
    <col min="15" max="15" width="15" style="31" customWidth="1"/>
    <col min="16" max="16" width="18.42578125" style="31" customWidth="1"/>
    <col min="17" max="19" width="9.140625" style="31"/>
    <col min="20" max="20" width="12.85546875" style="31" bestFit="1" customWidth="1"/>
    <col min="21" max="16384" width="9.140625" style="31"/>
  </cols>
  <sheetData>
    <row r="1" spans="1:21" x14ac:dyDescent="0.25">
      <c r="A1" s="13" t="s">
        <v>48</v>
      </c>
      <c r="B1" s="24">
        <f>3/(P10/M5)^2</f>
        <v>1851.6637373878975</v>
      </c>
      <c r="C1" s="13" t="s">
        <v>90</v>
      </c>
      <c r="D1" s="13"/>
      <c r="E1" s="13" t="s">
        <v>89</v>
      </c>
      <c r="F1" s="13"/>
      <c r="G1" s="13" t="s">
        <v>51</v>
      </c>
      <c r="H1" s="28" t="s">
        <v>55</v>
      </c>
      <c r="I1" s="13" t="s">
        <v>27</v>
      </c>
      <c r="J1" s="25">
        <f>3*M1-M2</f>
        <v>2814.3052410539003</v>
      </c>
      <c r="K1" s="13"/>
      <c r="L1" s="13" t="s">
        <v>33</v>
      </c>
      <c r="M1" s="13">
        <v>938.27207999999996</v>
      </c>
      <c r="N1" s="13"/>
      <c r="O1" s="13" t="s">
        <v>8</v>
      </c>
      <c r="P1" s="13">
        <v>1.5</v>
      </c>
      <c r="Q1" s="13"/>
      <c r="R1" s="13"/>
      <c r="S1" s="13"/>
      <c r="T1" s="13"/>
    </row>
    <row r="2" spans="1:21" x14ac:dyDescent="0.25">
      <c r="A2" s="13" t="s">
        <v>17</v>
      </c>
      <c r="B2" s="24">
        <f>-M4</f>
        <v>-8.186714115468099E-7</v>
      </c>
      <c r="C2" s="26">
        <f>M5*SQRT(P3/M3)</f>
        <v>5.2115013853953582E-26</v>
      </c>
      <c r="D2" s="13"/>
      <c r="E2" s="26">
        <f>1/SQRT(1-G2^2)</f>
        <v>251637.20558148215</v>
      </c>
      <c r="F2" s="13"/>
      <c r="G2" s="27">
        <f>J2/SQRT(J2^2+P3^2)</f>
        <v>0.99999999999210376</v>
      </c>
      <c r="H2" s="26">
        <f>M2/(1+P4*SQRT(1+(J2/P3)^2))</f>
        <v>1.0153487565583723E-6</v>
      </c>
      <c r="I2" s="13" t="s">
        <v>100</v>
      </c>
      <c r="J2" s="26">
        <f>P5*P7*P6/M2</f>
        <v>1.9307933844132052E-11</v>
      </c>
      <c r="K2" s="13"/>
      <c r="L2" s="13" t="s">
        <v>32</v>
      </c>
      <c r="M2" s="13">
        <v>0.51099894609999996</v>
      </c>
      <c r="N2" s="13"/>
      <c r="O2" s="13" t="s">
        <v>9</v>
      </c>
      <c r="P2" s="13">
        <v>1.4396E-13</v>
      </c>
      <c r="Q2" s="13"/>
      <c r="R2" s="13"/>
      <c r="S2" s="13"/>
      <c r="T2" s="13"/>
    </row>
    <row r="3" spans="1:21" x14ac:dyDescent="0.25">
      <c r="A3" s="13" t="s">
        <v>49</v>
      </c>
      <c r="B3" s="24">
        <f>P1*M5</f>
        <v>3.4600499999999999E-19</v>
      </c>
      <c r="C3" s="13"/>
      <c r="D3" s="13"/>
      <c r="E3" s="13"/>
      <c r="F3" s="13"/>
      <c r="G3" s="13"/>
      <c r="H3" s="13"/>
      <c r="I3" s="13" t="s">
        <v>47</v>
      </c>
      <c r="J3" s="26">
        <f>P8*P3/2/P10</f>
        <v>1.9845872159390363E-6</v>
      </c>
      <c r="K3" s="13"/>
      <c r="L3" s="13" t="s">
        <v>93</v>
      </c>
      <c r="M3" s="24">
        <f>M1*10^6*M6</f>
        <v>1.503205699368E-3</v>
      </c>
      <c r="N3" s="13"/>
      <c r="O3" s="13" t="s">
        <v>18</v>
      </c>
      <c r="P3" s="26">
        <f>P1*P2/J1</f>
        <v>7.6729416855697866E-17</v>
      </c>
      <c r="Q3" s="13"/>
      <c r="R3" s="13"/>
      <c r="S3" s="24">
        <f>P5*P8*M7*P11/M4/P10/2*P7</f>
        <v>0.99994802811830175</v>
      </c>
      <c r="T3" s="13"/>
    </row>
    <row r="4" spans="1:21" x14ac:dyDescent="0.25">
      <c r="A4" s="13" t="s">
        <v>50</v>
      </c>
      <c r="B4" s="24">
        <f>B2^2-4*B1*B3</f>
        <v>6.676601404382266E-13</v>
      </c>
      <c r="C4" s="13"/>
      <c r="D4" s="13"/>
      <c r="E4" s="13"/>
      <c r="F4" s="13"/>
      <c r="G4" s="13"/>
      <c r="H4" s="13" t="s">
        <v>101</v>
      </c>
      <c r="I4" s="13" t="s">
        <v>50</v>
      </c>
      <c r="J4" s="25">
        <f>P10-P8/2/P7*M7/2/M4</f>
        <v>9.2847600000000004E-21</v>
      </c>
      <c r="K4" s="13"/>
      <c r="L4" s="13" t="s">
        <v>96</v>
      </c>
      <c r="M4" s="24">
        <f>M2*10^6*M6</f>
        <v>8.186714115468099E-7</v>
      </c>
      <c r="N4" s="13"/>
      <c r="O4" s="13" t="s">
        <v>31</v>
      </c>
      <c r="P4" s="13">
        <v>2</v>
      </c>
      <c r="Q4" s="13"/>
      <c r="R4" s="13"/>
      <c r="S4" s="13"/>
      <c r="T4" s="13"/>
    </row>
    <row r="5" spans="1:21" x14ac:dyDescent="0.25">
      <c r="A5" s="13"/>
      <c r="B5" s="13"/>
      <c r="C5" s="13"/>
      <c r="D5" s="13"/>
      <c r="E5" s="13"/>
      <c r="F5" s="13"/>
      <c r="G5" s="13"/>
      <c r="H5" s="26">
        <f>(M2-C2)/2</f>
        <v>0.25549947304999998</v>
      </c>
      <c r="I5" s="13" t="s">
        <v>98</v>
      </c>
      <c r="J5" s="24">
        <f>P8/2/P7*M7/2/M4*P7*P7</f>
        <v>4.6367616968006231E-21</v>
      </c>
      <c r="K5" s="13"/>
      <c r="L5" s="13" t="s">
        <v>94</v>
      </c>
      <c r="M5" s="24">
        <v>2.3067000000000001E-19</v>
      </c>
      <c r="N5" s="13"/>
      <c r="O5" s="13" t="s">
        <v>5</v>
      </c>
      <c r="P5" s="13">
        <v>0.5</v>
      </c>
      <c r="Q5" s="13"/>
      <c r="R5" s="13"/>
      <c r="S5" s="13"/>
      <c r="T5" s="13"/>
    </row>
    <row r="6" spans="1:21" x14ac:dyDescent="0.25">
      <c r="A6" s="13" t="s">
        <v>91</v>
      </c>
      <c r="B6" s="24">
        <f>-B2+SQRT(B4)/2/B1</f>
        <v>8.1889205223709805E-7</v>
      </c>
      <c r="C6" s="13"/>
      <c r="D6" s="13"/>
      <c r="E6" s="13"/>
      <c r="F6" s="13"/>
      <c r="G6" s="13"/>
      <c r="H6" s="13"/>
      <c r="I6" s="13"/>
      <c r="J6" s="13"/>
      <c r="K6" s="13"/>
      <c r="L6" s="13" t="s">
        <v>95</v>
      </c>
      <c r="M6" s="24">
        <v>1.6021E-12</v>
      </c>
      <c r="N6" s="13"/>
      <c r="O6" s="13" t="s">
        <v>11</v>
      </c>
      <c r="P6" s="24">
        <v>6.5821194999999999E-22</v>
      </c>
      <c r="Q6" s="13"/>
      <c r="R6" s="13"/>
      <c r="S6" s="13"/>
      <c r="T6" s="13"/>
    </row>
    <row r="7" spans="1:21" x14ac:dyDescent="0.25">
      <c r="A7" s="24">
        <f>B6/(P10/M5)^2</f>
        <v>5.0543757265419681E-4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 t="s">
        <v>97</v>
      </c>
      <c r="M7" s="24">
        <f>P6*10^6*M6</f>
        <v>1.0545213650949998E-27</v>
      </c>
      <c r="N7" s="13"/>
      <c r="O7" s="13" t="s">
        <v>7</v>
      </c>
      <c r="P7" s="13">
        <v>29979200000</v>
      </c>
      <c r="Q7" s="13"/>
      <c r="R7" s="13"/>
      <c r="S7" s="13"/>
      <c r="T7" s="13"/>
    </row>
    <row r="8" spans="1:21" x14ac:dyDescent="0.25">
      <c r="A8" s="13"/>
      <c r="B8" s="13"/>
      <c r="C8" s="13"/>
      <c r="D8" s="13"/>
      <c r="E8" s="13"/>
      <c r="F8" s="13"/>
      <c r="G8" s="13"/>
      <c r="H8" s="13">
        <f>(P11-2)/2</f>
        <v>1.1596519999999E-3</v>
      </c>
      <c r="I8" s="13"/>
      <c r="J8" s="13"/>
      <c r="K8" s="13"/>
      <c r="L8" s="13"/>
      <c r="M8" s="13"/>
      <c r="N8" s="13"/>
      <c r="O8" s="13" t="s">
        <v>52</v>
      </c>
      <c r="P8" s="13">
        <v>4.8029599999999995E-10</v>
      </c>
      <c r="Q8" s="13"/>
      <c r="R8" s="13"/>
      <c r="S8" s="13"/>
      <c r="T8" s="13"/>
    </row>
    <row r="9" spans="1:2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s">
        <v>53</v>
      </c>
      <c r="P9" s="26">
        <f>P11*P8/2*G2/SQRT(1-G2^2)*P3</f>
        <v>9.2842977451529655E-21</v>
      </c>
      <c r="Q9" s="13"/>
      <c r="R9" s="13"/>
      <c r="S9" s="13"/>
      <c r="T9" s="13"/>
    </row>
    <row r="10" spans="1:21" x14ac:dyDescent="0.25">
      <c r="A10" s="13"/>
      <c r="B10" s="13"/>
      <c r="C10" s="13"/>
      <c r="D10" s="13"/>
      <c r="E10" s="13"/>
      <c r="F10" s="13"/>
      <c r="G10" s="13"/>
      <c r="H10" s="45">
        <f>P2/P6/P7/2/PI()</f>
        <v>1.1611174913490495E-3</v>
      </c>
      <c r="I10" s="13"/>
      <c r="J10" s="13"/>
      <c r="K10" s="13"/>
      <c r="L10" s="13"/>
      <c r="M10" s="13"/>
      <c r="N10" s="13"/>
      <c r="O10" s="13" t="s">
        <v>92</v>
      </c>
      <c r="P10" s="13">
        <f>9.28476E-21</f>
        <v>9.2847600000000004E-21</v>
      </c>
      <c r="Q10" s="13"/>
      <c r="R10" s="13"/>
      <c r="S10" s="13"/>
      <c r="T10" s="13"/>
    </row>
    <row r="11" spans="1:2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 t="s">
        <v>102</v>
      </c>
      <c r="P11" s="46">
        <f>2*1.001159652</f>
        <v>2.0023193039999998</v>
      </c>
      <c r="Q11" s="13"/>
      <c r="R11" s="13"/>
      <c r="S11" s="13"/>
      <c r="T11" s="13"/>
    </row>
    <row r="12" spans="1:21" x14ac:dyDescent="0.25">
      <c r="A12" s="13"/>
      <c r="B12" s="13"/>
      <c r="C12" s="13"/>
      <c r="D12" s="13"/>
      <c r="E12" s="13"/>
      <c r="F12" s="13"/>
      <c r="G12" s="13"/>
      <c r="H12" s="13" t="s">
        <v>102</v>
      </c>
      <c r="I12" s="13"/>
      <c r="J12" s="13"/>
      <c r="K12" s="13"/>
      <c r="L12" s="13"/>
      <c r="M12" s="13"/>
      <c r="N12" s="13"/>
      <c r="O12" s="13" t="s">
        <v>133</v>
      </c>
      <c r="P12" s="46">
        <f>H10*2+2</f>
        <v>2.0023222349826981</v>
      </c>
      <c r="Q12" s="13"/>
      <c r="R12" s="13"/>
      <c r="S12" s="13" t="s">
        <v>27</v>
      </c>
      <c r="T12" s="13">
        <f>3000</f>
        <v>3000</v>
      </c>
    </row>
    <row r="13" spans="1:2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 t="s">
        <v>18</v>
      </c>
      <c r="T13" s="13">
        <f>P2/T12*1.2247</f>
        <v>5.8769270666666659E-17</v>
      </c>
    </row>
    <row r="14" spans="1:2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25"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0:24" x14ac:dyDescent="0.25"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0:24" x14ac:dyDescent="0.25">
      <c r="J18" s="13"/>
      <c r="K18" s="39"/>
      <c r="L18" s="61" t="s">
        <v>123</v>
      </c>
      <c r="M18" s="61"/>
      <c r="N18" s="61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0:24" x14ac:dyDescent="0.25"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0:24" ht="17.25" x14ac:dyDescent="0.25">
      <c r="J20" s="13"/>
      <c r="K20" s="13" t="s">
        <v>65</v>
      </c>
      <c r="L20" s="13" t="s">
        <v>122</v>
      </c>
      <c r="M20" s="13" t="s">
        <v>124</v>
      </c>
      <c r="N20" s="13" t="s">
        <v>121</v>
      </c>
      <c r="O20" s="13" t="s">
        <v>7</v>
      </c>
      <c r="P20" s="13" t="s">
        <v>8</v>
      </c>
      <c r="Q20" s="13" t="s">
        <v>116</v>
      </c>
      <c r="R20" s="13" t="s">
        <v>32</v>
      </c>
      <c r="S20" s="13" t="s">
        <v>100</v>
      </c>
      <c r="T20" s="13"/>
      <c r="U20" s="13"/>
    </row>
    <row r="21" spans="10:24" x14ac:dyDescent="0.25">
      <c r="J21" s="13"/>
      <c r="K21" s="38">
        <f t="shared" ref="K21" si="0">L21/O21*10000000000</f>
        <v>3.3356460479265625E-2</v>
      </c>
      <c r="L21" s="36">
        <f>0.1</f>
        <v>0.1</v>
      </c>
      <c r="M21" s="25">
        <f t="shared" ref="M21:M67" si="1">S21*SQRT(1-K21^2)/K21*10^12</f>
        <v>578.51429850926297</v>
      </c>
      <c r="N21" s="33">
        <f t="shared" ref="N21:N22" si="2">1000*P21*Q21/M21*10^12</f>
        <v>0.37326648720082145</v>
      </c>
      <c r="O21" s="13">
        <v>29979200000</v>
      </c>
      <c r="P21" s="13">
        <v>1.5</v>
      </c>
      <c r="Q21" s="13">
        <v>1.4396E-13</v>
      </c>
      <c r="R21" s="13">
        <v>0.51099894609999996</v>
      </c>
      <c r="S21" s="13">
        <v>1.9307933844132052E-11</v>
      </c>
      <c r="T21" s="13"/>
      <c r="U21" s="13"/>
    </row>
    <row r="22" spans="10:24" x14ac:dyDescent="0.25">
      <c r="J22" s="13"/>
      <c r="K22" s="38">
        <f>L22/O22*10000000000</f>
        <v>0.19446371706605467</v>
      </c>
      <c r="L22" s="36">
        <f>L21+(O22*0.0000000001-L21)/6</f>
        <v>0.58298666666666665</v>
      </c>
      <c r="M22" s="25">
        <f t="shared" si="1"/>
        <v>97.39266588468125</v>
      </c>
      <c r="N22" s="33">
        <f t="shared" si="2"/>
        <v>2.217210074685561</v>
      </c>
      <c r="O22" s="13">
        <v>29979200000</v>
      </c>
      <c r="P22" s="13">
        <v>1.5</v>
      </c>
      <c r="Q22" s="13">
        <v>1.4396E-13</v>
      </c>
      <c r="R22" s="13">
        <v>0.51099894609999996</v>
      </c>
      <c r="S22" s="13">
        <v>1.9307933844132052E-11</v>
      </c>
      <c r="T22" s="13"/>
      <c r="U22" s="13"/>
    </row>
    <row r="23" spans="10:24" x14ac:dyDescent="0.25">
      <c r="J23" s="13"/>
      <c r="K23" s="38">
        <f t="shared" ref="K23:K66" si="3">L23/O23*10000000000</f>
        <v>0.32871976422171223</v>
      </c>
      <c r="L23" s="36">
        <f t="shared" ref="L23:L66" si="4">L22+(O23*0.0000000001-L22)/6</f>
        <v>0.98547555555555555</v>
      </c>
      <c r="M23" s="25">
        <f t="shared" si="1"/>
        <v>55.472611679940691</v>
      </c>
      <c r="N23" s="33">
        <f t="shared" ref="N23:N67" si="5">1000*P23*Q23/M23*10^12</f>
        <v>3.8927318087330205</v>
      </c>
      <c r="O23" s="13">
        <v>29979200000</v>
      </c>
      <c r="P23" s="13">
        <v>1.5</v>
      </c>
      <c r="Q23" s="13">
        <v>1.4396E-13</v>
      </c>
      <c r="R23" s="13">
        <v>0.51099894609999996</v>
      </c>
      <c r="S23" s="13">
        <v>1.9307933844132052E-11</v>
      </c>
      <c r="T23" s="13"/>
      <c r="U23" s="13"/>
    </row>
    <row r="24" spans="10:24" x14ac:dyDescent="0.25">
      <c r="J24" s="13"/>
      <c r="K24" s="38">
        <f t="shared" si="3"/>
        <v>0.44059980351809358</v>
      </c>
      <c r="L24" s="36">
        <f t="shared" si="4"/>
        <v>1.320882962962963</v>
      </c>
      <c r="M24" s="25">
        <f t="shared" si="1"/>
        <v>39.339105973078354</v>
      </c>
      <c r="N24" s="33">
        <f t="shared" si="5"/>
        <v>5.4891943947017543</v>
      </c>
      <c r="O24" s="13">
        <v>29979200000</v>
      </c>
      <c r="P24" s="13">
        <v>1.5</v>
      </c>
      <c r="Q24" s="13">
        <v>1.4396E-13</v>
      </c>
      <c r="R24" s="13">
        <v>0.51099894609999996</v>
      </c>
      <c r="S24" s="13">
        <v>1.9307933844132052E-11</v>
      </c>
      <c r="T24" s="13"/>
      <c r="U24" s="13"/>
    </row>
    <row r="25" spans="10:24" x14ac:dyDescent="0.25">
      <c r="J25" s="13"/>
      <c r="K25" s="38">
        <f t="shared" si="3"/>
        <v>0.53383316959841132</v>
      </c>
      <c r="L25" s="36">
        <f t="shared" si="4"/>
        <v>1.6003891358024691</v>
      </c>
      <c r="M25" s="25">
        <f t="shared" si="1"/>
        <v>30.583697813957976</v>
      </c>
      <c r="N25" s="33">
        <f t="shared" si="5"/>
        <v>7.0606243010107166</v>
      </c>
      <c r="O25" s="13">
        <v>29979200000</v>
      </c>
      <c r="P25" s="13">
        <v>1.5</v>
      </c>
      <c r="Q25" s="13">
        <v>1.4396E-13</v>
      </c>
      <c r="R25" s="13">
        <v>0.51099894609999996</v>
      </c>
      <c r="S25" s="13">
        <v>1.9307933844132052E-11</v>
      </c>
      <c r="T25" s="13"/>
      <c r="U25" s="13"/>
    </row>
    <row r="26" spans="10:24" x14ac:dyDescent="0.25">
      <c r="J26" s="13"/>
      <c r="K26" s="38">
        <f t="shared" si="3"/>
        <v>0.61152764133200943</v>
      </c>
      <c r="L26" s="36">
        <f t="shared" si="4"/>
        <v>1.8333109465020576</v>
      </c>
      <c r="M26" s="25">
        <f t="shared" si="1"/>
        <v>24.981507992589766</v>
      </c>
      <c r="N26" s="33">
        <f t="shared" si="5"/>
        <v>8.6439937918901464</v>
      </c>
      <c r="O26" s="13">
        <v>29979200000</v>
      </c>
      <c r="P26" s="13">
        <v>1.5</v>
      </c>
      <c r="Q26" s="13">
        <v>1.4396E-13</v>
      </c>
      <c r="R26" s="13">
        <v>0.51099894609999996</v>
      </c>
      <c r="S26" s="13">
        <v>1.9307933844132052E-11</v>
      </c>
      <c r="T26" s="13"/>
      <c r="U26" s="13"/>
    </row>
    <row r="27" spans="10:24" x14ac:dyDescent="0.25">
      <c r="J27" s="13"/>
      <c r="K27" s="38">
        <f t="shared" si="3"/>
        <v>0.67627303444334108</v>
      </c>
      <c r="L27" s="36">
        <f t="shared" si="4"/>
        <v>2.0274124554183812</v>
      </c>
      <c r="M27" s="25">
        <f t="shared" si="1"/>
        <v>21.031756688587652</v>
      </c>
      <c r="N27" s="33">
        <f t="shared" si="5"/>
        <v>10.267330646572873</v>
      </c>
      <c r="O27" s="13">
        <v>29979200000</v>
      </c>
      <c r="P27" s="13">
        <v>1.5</v>
      </c>
      <c r="Q27" s="13">
        <v>1.4396E-13</v>
      </c>
      <c r="R27" s="13">
        <v>0.51099894609999996</v>
      </c>
      <c r="S27" s="13">
        <v>1.9307933844132052E-11</v>
      </c>
      <c r="T27" s="13"/>
      <c r="U27" s="13"/>
    </row>
    <row r="28" spans="10:24" x14ac:dyDescent="0.25">
      <c r="J28" s="13"/>
      <c r="K28" s="38">
        <f t="shared" si="3"/>
        <v>0.73022752870278429</v>
      </c>
      <c r="L28" s="36">
        <f t="shared" si="4"/>
        <v>2.189163712848651</v>
      </c>
      <c r="M28" s="25">
        <f t="shared" si="1"/>
        <v>18.064586491301903</v>
      </c>
      <c r="N28" s="33">
        <f t="shared" si="5"/>
        <v>11.953774867970274</v>
      </c>
      <c r="O28" s="13">
        <v>29979200000</v>
      </c>
      <c r="P28" s="13">
        <v>1.5</v>
      </c>
      <c r="Q28" s="13">
        <v>1.4396E-13</v>
      </c>
      <c r="R28" s="13">
        <v>0.51099894609999996</v>
      </c>
      <c r="S28" s="13">
        <v>1.9307933844132052E-11</v>
      </c>
      <c r="T28" s="13"/>
      <c r="U28" s="13"/>
    </row>
    <row r="29" spans="10:24" x14ac:dyDescent="0.25">
      <c r="J29" s="13"/>
      <c r="K29" s="38">
        <f t="shared" si="3"/>
        <v>0.77518960725232022</v>
      </c>
      <c r="L29" s="36">
        <f t="shared" si="4"/>
        <v>2.3239564273738758</v>
      </c>
      <c r="M29" s="25">
        <f t="shared" si="1"/>
        <v>15.734698513915339</v>
      </c>
      <c r="N29" s="33">
        <f t="shared" si="5"/>
        <v>13.723809185732319</v>
      </c>
      <c r="O29" s="13">
        <v>29979200000</v>
      </c>
      <c r="P29" s="13">
        <v>1.5</v>
      </c>
      <c r="Q29" s="13">
        <v>1.4396E-13</v>
      </c>
      <c r="R29" s="13">
        <v>0.51099894609999996</v>
      </c>
      <c r="S29" s="13">
        <v>1.9307933844132052E-11</v>
      </c>
      <c r="T29" s="13"/>
      <c r="U29" s="13"/>
    </row>
    <row r="30" spans="10:24" x14ac:dyDescent="0.25">
      <c r="J30" s="13"/>
      <c r="K30" s="38">
        <f t="shared" si="3"/>
        <v>0.81265800604360006</v>
      </c>
      <c r="L30" s="36">
        <f t="shared" si="4"/>
        <v>2.4362836894782296</v>
      </c>
      <c r="M30" s="25">
        <f t="shared" si="1"/>
        <v>13.845335683151452</v>
      </c>
      <c r="N30" s="33">
        <f t="shared" si="5"/>
        <v>15.596588262051304</v>
      </c>
      <c r="O30" s="13">
        <v>29979200000</v>
      </c>
      <c r="P30" s="13">
        <v>1.5</v>
      </c>
      <c r="Q30" s="13">
        <v>1.4396E-13</v>
      </c>
      <c r="R30" s="13">
        <v>0.51099894609999996</v>
      </c>
      <c r="S30" s="13">
        <v>1.9307933844132052E-11</v>
      </c>
      <c r="T30" s="13"/>
      <c r="U30" s="13"/>
    </row>
    <row r="31" spans="10:24" x14ac:dyDescent="0.25">
      <c r="J31" s="13"/>
      <c r="K31" s="38">
        <f t="shared" si="3"/>
        <v>0.8438816717030001</v>
      </c>
      <c r="L31" s="36">
        <f t="shared" si="4"/>
        <v>2.5298897412318579</v>
      </c>
      <c r="M31" s="25">
        <f t="shared" si="1"/>
        <v>12.275741014731643</v>
      </c>
      <c r="N31" s="33">
        <f t="shared" si="5"/>
        <v>17.590791443128261</v>
      </c>
      <c r="O31" s="13">
        <v>29979200000</v>
      </c>
      <c r="P31" s="13">
        <v>1.5</v>
      </c>
      <c r="Q31" s="13">
        <v>1.4396E-13</v>
      </c>
      <c r="R31" s="13">
        <v>0.51099894609999996</v>
      </c>
      <c r="S31" s="13">
        <v>1.9307933844132052E-11</v>
      </c>
      <c r="T31" s="13"/>
      <c r="U31" s="13"/>
    </row>
    <row r="32" spans="10:24" x14ac:dyDescent="0.25">
      <c r="J32" s="13"/>
      <c r="K32" s="38">
        <f t="shared" si="3"/>
        <v>0.86990139308583347</v>
      </c>
      <c r="L32" s="36">
        <f t="shared" si="4"/>
        <v>2.6078947843598819</v>
      </c>
      <c r="M32" s="25">
        <f t="shared" si="1"/>
        <v>10.947411712931361</v>
      </c>
      <c r="N32" s="33">
        <f t="shared" si="5"/>
        <v>19.725210457274226</v>
      </c>
      <c r="O32" s="13">
        <v>29979200000</v>
      </c>
      <c r="P32" s="13">
        <v>1.5</v>
      </c>
      <c r="Q32" s="13">
        <v>1.4396E-13</v>
      </c>
      <c r="R32" s="13">
        <v>0.51099894609999996</v>
      </c>
      <c r="S32" s="13">
        <v>1.9307933844132052E-11</v>
      </c>
      <c r="T32" s="13"/>
      <c r="U32" s="13"/>
    </row>
    <row r="33" spans="8:21" x14ac:dyDescent="0.25">
      <c r="J33" s="13"/>
      <c r="K33" s="38">
        <f t="shared" si="3"/>
        <v>0.89158449423819452</v>
      </c>
      <c r="L33" s="36">
        <f t="shared" si="4"/>
        <v>2.672898986966568</v>
      </c>
      <c r="M33" s="25">
        <f t="shared" si="1"/>
        <v>9.8069027329926062</v>
      </c>
      <c r="N33" s="33">
        <f t="shared" si="5"/>
        <v>22.019184433585718</v>
      </c>
      <c r="O33" s="13">
        <v>29979200000</v>
      </c>
      <c r="P33" s="13">
        <v>1.5</v>
      </c>
      <c r="Q33" s="13">
        <v>1.4396E-13</v>
      </c>
      <c r="R33" s="13">
        <v>0.51099894609999996</v>
      </c>
      <c r="S33" s="13">
        <v>1.9307933844132052E-11</v>
      </c>
      <c r="T33" s="13"/>
      <c r="U33" s="13"/>
    </row>
    <row r="34" spans="8:21" x14ac:dyDescent="0.25">
      <c r="J34" s="13"/>
      <c r="K34" s="38">
        <f t="shared" si="3"/>
        <v>0.90965374519849551</v>
      </c>
      <c r="L34" s="36">
        <f t="shared" si="4"/>
        <v>2.7270691558054736</v>
      </c>
      <c r="M34" s="25">
        <f t="shared" si="1"/>
        <v>8.8164161552951708</v>
      </c>
      <c r="N34" s="33">
        <f t="shared" si="5"/>
        <v>24.492945454974432</v>
      </c>
      <c r="O34" s="13">
        <v>29979200000</v>
      </c>
      <c r="P34" s="13">
        <v>1.5</v>
      </c>
      <c r="Q34" s="13">
        <v>1.4396E-13</v>
      </c>
      <c r="R34" s="13">
        <v>0.51099894609999996</v>
      </c>
      <c r="S34" s="13">
        <v>1.9307933844132052E-11</v>
      </c>
      <c r="T34" s="13"/>
      <c r="U34" s="13"/>
    </row>
    <row r="35" spans="8:21" x14ac:dyDescent="0.25">
      <c r="H35" s="31" t="s">
        <v>118</v>
      </c>
      <c r="J35" s="13"/>
      <c r="K35" s="38">
        <f t="shared" si="3"/>
        <v>0.92471145433207957</v>
      </c>
      <c r="L35" s="36">
        <f t="shared" si="4"/>
        <v>2.7722109631712279</v>
      </c>
      <c r="M35" s="25">
        <f t="shared" si="1"/>
        <v>7.9483472845109766</v>
      </c>
      <c r="N35" s="33">
        <f t="shared" si="5"/>
        <v>27.16791205396931</v>
      </c>
      <c r="O35" s="13">
        <v>29979200000</v>
      </c>
      <c r="P35" s="13">
        <v>1.5</v>
      </c>
      <c r="Q35" s="13">
        <v>1.4396E-13</v>
      </c>
      <c r="R35" s="13">
        <v>0.51099894609999996</v>
      </c>
      <c r="S35" s="13">
        <v>1.9307933844132052E-11</v>
      </c>
      <c r="T35" s="13"/>
      <c r="U35" s="13"/>
    </row>
    <row r="36" spans="8:21" x14ac:dyDescent="0.25">
      <c r="J36" s="13"/>
      <c r="K36" s="38">
        <f t="shared" si="3"/>
        <v>0.93725954527673294</v>
      </c>
      <c r="L36" s="36">
        <f t="shared" si="4"/>
        <v>2.8098291359760235</v>
      </c>
      <c r="M36" s="25">
        <f t="shared" si="1"/>
        <v>7.181971307283062</v>
      </c>
      <c r="N36" s="33">
        <f t="shared" si="5"/>
        <v>30.066953871149629</v>
      </c>
      <c r="O36" s="13">
        <v>29979200000</v>
      </c>
      <c r="P36" s="13">
        <v>1.5</v>
      </c>
      <c r="Q36" s="13">
        <v>1.4396E-13</v>
      </c>
      <c r="R36" s="13">
        <v>0.51099894609999996</v>
      </c>
      <c r="S36" s="13">
        <v>1.9307933844132052E-11</v>
      </c>
      <c r="T36" s="13"/>
      <c r="U36" s="13"/>
    </row>
    <row r="37" spans="8:21" x14ac:dyDescent="0.25">
      <c r="J37" s="13"/>
      <c r="K37" s="38">
        <f t="shared" si="3"/>
        <v>0.9477162877306109</v>
      </c>
      <c r="L37" s="36">
        <f t="shared" si="4"/>
        <v>2.8411776133133531</v>
      </c>
      <c r="M37" s="25">
        <f t="shared" si="1"/>
        <v>6.5013495000497574</v>
      </c>
      <c r="N37" s="33">
        <f t="shared" si="5"/>
        <v>33.214642590487919</v>
      </c>
      <c r="O37" s="13">
        <v>29979200000</v>
      </c>
      <c r="P37" s="13">
        <v>1.5</v>
      </c>
      <c r="Q37" s="13">
        <v>1.4396E-13</v>
      </c>
      <c r="R37" s="13">
        <v>0.51099894609999996</v>
      </c>
      <c r="S37" s="13">
        <v>1.9307933844132052E-11</v>
      </c>
      <c r="T37" s="13"/>
      <c r="U37" s="13"/>
    </row>
    <row r="38" spans="8:21" x14ac:dyDescent="0.25">
      <c r="J38" s="13"/>
      <c r="K38" s="38">
        <f t="shared" si="3"/>
        <v>0.95643023977550901</v>
      </c>
      <c r="L38" s="36">
        <f t="shared" si="4"/>
        <v>2.8673013444277942</v>
      </c>
      <c r="M38" s="25">
        <f t="shared" si="1"/>
        <v>5.8939611872757691</v>
      </c>
      <c r="N38" s="33">
        <f t="shared" si="5"/>
        <v>36.63749949120534</v>
      </c>
      <c r="O38" s="13">
        <v>29979200000</v>
      </c>
      <c r="P38" s="13">
        <v>1.5</v>
      </c>
      <c r="Q38" s="13">
        <v>1.4396E-13</v>
      </c>
      <c r="R38" s="13">
        <v>0.51099894609999996</v>
      </c>
      <c r="S38" s="13">
        <v>1.9307933844132052E-11</v>
      </c>
      <c r="T38" s="13"/>
      <c r="U38" s="13"/>
    </row>
    <row r="39" spans="8:21" x14ac:dyDescent="0.25">
      <c r="J39" s="13"/>
      <c r="K39" s="38">
        <f t="shared" si="3"/>
        <v>0.96369186647959082</v>
      </c>
      <c r="L39" s="36">
        <f t="shared" si="4"/>
        <v>2.8890711203564949</v>
      </c>
      <c r="M39" s="25">
        <f t="shared" si="1"/>
        <v>5.3497839208573588</v>
      </c>
      <c r="N39" s="33">
        <f t="shared" si="5"/>
        <v>40.364247078860217</v>
      </c>
      <c r="O39" s="13">
        <v>29979200000</v>
      </c>
      <c r="P39" s="13">
        <v>1.5</v>
      </c>
      <c r="Q39" s="13">
        <v>1.4396E-13</v>
      </c>
      <c r="R39" s="13">
        <v>0.51099894609999996</v>
      </c>
      <c r="S39" s="13">
        <v>1.9307933844132052E-11</v>
      </c>
      <c r="T39" s="13"/>
      <c r="U39" s="13"/>
    </row>
    <row r="40" spans="8:21" x14ac:dyDescent="0.25">
      <c r="J40" s="13"/>
      <c r="K40" s="38">
        <f t="shared" si="3"/>
        <v>0.96974322206632568</v>
      </c>
      <c r="L40" s="36">
        <f t="shared" si="4"/>
        <v>2.9072126002970791</v>
      </c>
      <c r="M40" s="25">
        <f t="shared" si="1"/>
        <v>4.8606594631742075</v>
      </c>
      <c r="N40" s="33">
        <f t="shared" si="5"/>
        <v>44.426070502577943</v>
      </c>
      <c r="O40" s="13">
        <v>29979200000</v>
      </c>
      <c r="P40" s="13">
        <v>1.5</v>
      </c>
      <c r="Q40" s="13">
        <v>1.4396E-13</v>
      </c>
      <c r="R40" s="13">
        <v>0.51099894609999996</v>
      </c>
      <c r="S40" s="13">
        <v>1.9307933844132052E-11</v>
      </c>
      <c r="T40" s="13"/>
      <c r="U40" s="13"/>
    </row>
    <row r="41" spans="8:21" x14ac:dyDescent="0.25">
      <c r="J41" s="13"/>
      <c r="K41" s="38">
        <f t="shared" si="3"/>
        <v>0.97478601838860468</v>
      </c>
      <c r="L41" s="36">
        <f t="shared" si="4"/>
        <v>2.9223305002475657</v>
      </c>
      <c r="M41" s="25">
        <f t="shared" si="1"/>
        <v>4.419847128955297</v>
      </c>
      <c r="N41" s="33">
        <f t="shared" si="5"/>
        <v>48.856893394645745</v>
      </c>
      <c r="O41" s="13">
        <v>29979200000</v>
      </c>
      <c r="P41" s="13">
        <v>1.5</v>
      </c>
      <c r="Q41" s="13">
        <v>1.4396E-13</v>
      </c>
      <c r="R41" s="13">
        <v>0.51099894609999996</v>
      </c>
      <c r="S41" s="13">
        <v>1.9307933844132052E-11</v>
      </c>
      <c r="T41" s="13"/>
      <c r="U41" s="13"/>
    </row>
    <row r="42" spans="8:21" x14ac:dyDescent="0.25">
      <c r="J42" s="13"/>
      <c r="K42" s="38">
        <f t="shared" si="3"/>
        <v>0.97898834865717066</v>
      </c>
      <c r="L42" s="36">
        <f t="shared" si="4"/>
        <v>2.9349287502063048</v>
      </c>
      <c r="M42" s="25">
        <f t="shared" si="1"/>
        <v>4.0217029573557976</v>
      </c>
      <c r="N42" s="33">
        <f t="shared" si="5"/>
        <v>53.693672130866908</v>
      </c>
      <c r="O42" s="13">
        <v>29979200000</v>
      </c>
      <c r="P42" s="13">
        <v>1.5</v>
      </c>
      <c r="Q42" s="13">
        <v>1.4396E-13</v>
      </c>
      <c r="R42" s="13">
        <v>0.51099894609999996</v>
      </c>
      <c r="S42" s="13">
        <v>1.9307933844132052E-11</v>
      </c>
      <c r="T42" s="13"/>
      <c r="U42" s="13"/>
    </row>
    <row r="43" spans="8:21" x14ac:dyDescent="0.25">
      <c r="J43" s="13"/>
      <c r="K43" s="38">
        <f t="shared" si="3"/>
        <v>0.98249029054764214</v>
      </c>
      <c r="L43" s="36">
        <f t="shared" si="4"/>
        <v>2.9454272918385875</v>
      </c>
      <c r="M43" s="25">
        <f t="shared" si="1"/>
        <v>3.661445206232385</v>
      </c>
      <c r="N43" s="33">
        <f t="shared" si="5"/>
        <v>58.976712155198832</v>
      </c>
      <c r="O43" s="13">
        <v>29979200000</v>
      </c>
      <c r="P43" s="13">
        <v>1.5</v>
      </c>
      <c r="Q43" s="13">
        <v>1.4396E-13</v>
      </c>
      <c r="R43" s="13">
        <v>0.51099894609999996</v>
      </c>
      <c r="S43" s="13">
        <v>1.9307933844132052E-11</v>
      </c>
      <c r="T43" s="13"/>
      <c r="U43" s="13"/>
    </row>
    <row r="44" spans="8:21" x14ac:dyDescent="0.25">
      <c r="J44" s="13"/>
      <c r="K44" s="38">
        <f t="shared" si="3"/>
        <v>0.9854085754563684</v>
      </c>
      <c r="L44" s="36">
        <f t="shared" si="4"/>
        <v>2.9541760765321561</v>
      </c>
      <c r="M44" s="25">
        <f t="shared" si="1"/>
        <v>3.3349801876913765</v>
      </c>
      <c r="N44" s="33">
        <f t="shared" si="5"/>
        <v>64.750009849228945</v>
      </c>
      <c r="O44" s="13">
        <v>29979200000</v>
      </c>
      <c r="P44" s="13">
        <v>1.5</v>
      </c>
      <c r="Q44" s="13">
        <v>1.4396E-13</v>
      </c>
      <c r="R44" s="13">
        <v>0.51099894609999996</v>
      </c>
      <c r="S44" s="13">
        <v>1.9307933844132052E-11</v>
      </c>
      <c r="T44" s="13"/>
      <c r="U44" s="13"/>
    </row>
    <row r="45" spans="8:21" x14ac:dyDescent="0.25">
      <c r="J45" s="13"/>
      <c r="K45" s="38">
        <f t="shared" si="3"/>
        <v>0.98784047954697374</v>
      </c>
      <c r="L45" s="36">
        <f t="shared" si="4"/>
        <v>2.9614667304434636</v>
      </c>
      <c r="M45" s="25">
        <f t="shared" si="1"/>
        <v>3.0387709943755343</v>
      </c>
      <c r="N45" s="33">
        <f t="shared" si="5"/>
        <v>71.061623399619023</v>
      </c>
      <c r="O45" s="13">
        <v>29979200000</v>
      </c>
      <c r="P45" s="13">
        <v>1.5</v>
      </c>
      <c r="Q45" s="13">
        <v>1.4396E-13</v>
      </c>
      <c r="R45" s="13">
        <v>0.51099894609999996</v>
      </c>
      <c r="S45" s="13">
        <v>1.9307933844132052E-11</v>
      </c>
      <c r="T45" s="13"/>
      <c r="U45" s="13"/>
    </row>
    <row r="46" spans="8:21" x14ac:dyDescent="0.25">
      <c r="J46" s="13"/>
      <c r="K46" s="38">
        <f t="shared" si="3"/>
        <v>0.98986706628914478</v>
      </c>
      <c r="L46" s="36">
        <f t="shared" si="4"/>
        <v>2.9675422753695528</v>
      </c>
      <c r="M46" s="25">
        <f t="shared" si="1"/>
        <v>2.7697371732461851</v>
      </c>
      <c r="N46" s="33">
        <f t="shared" si="5"/>
        <v>77.964076189552017</v>
      </c>
      <c r="O46" s="13">
        <v>29979200000</v>
      </c>
      <c r="P46" s="13">
        <v>1.5</v>
      </c>
      <c r="Q46" s="13">
        <v>1.4396E-13</v>
      </c>
      <c r="R46" s="13">
        <v>0.51099894609999996</v>
      </c>
      <c r="S46" s="13">
        <v>1.9307933844132052E-11</v>
      </c>
      <c r="T46" s="13"/>
      <c r="U46" s="13"/>
    </row>
    <row r="47" spans="8:21" x14ac:dyDescent="0.25">
      <c r="J47" s="13"/>
      <c r="K47" s="38">
        <f t="shared" si="3"/>
        <v>0.99155588857428734</v>
      </c>
      <c r="L47" s="36">
        <f t="shared" si="4"/>
        <v>2.9726052294746275</v>
      </c>
      <c r="M47" s="25">
        <f t="shared" si="1"/>
        <v>2.5251770350002292</v>
      </c>
      <c r="N47" s="33">
        <f t="shared" si="5"/>
        <v>85.514796391287632</v>
      </c>
      <c r="O47" s="13">
        <v>29979200000</v>
      </c>
      <c r="P47" s="13">
        <v>1.5</v>
      </c>
      <c r="Q47" s="13">
        <v>1.4396E-13</v>
      </c>
      <c r="R47" s="13">
        <v>0.51099894609999996</v>
      </c>
      <c r="S47" s="13">
        <v>1.9307933844132052E-11</v>
      </c>
      <c r="T47" s="13"/>
      <c r="U47" s="13"/>
    </row>
    <row r="48" spans="8:21" x14ac:dyDescent="0.25">
      <c r="J48" s="13"/>
      <c r="K48" s="38">
        <f t="shared" si="3"/>
        <v>0.99296324047857265</v>
      </c>
      <c r="L48" s="36">
        <f t="shared" si="4"/>
        <v>2.9768243578955227</v>
      </c>
      <c r="M48" s="25">
        <f t="shared" si="1"/>
        <v>2.3027067275697681</v>
      </c>
      <c r="N48" s="33">
        <f t="shared" si="5"/>
        <v>93.776596652366095</v>
      </c>
      <c r="O48" s="13">
        <v>29979200000</v>
      </c>
      <c r="P48" s="13">
        <v>1.5</v>
      </c>
      <c r="Q48" s="13">
        <v>1.4396E-13</v>
      </c>
      <c r="R48" s="13">
        <v>0.51099894609999996</v>
      </c>
      <c r="S48" s="13">
        <v>1.9307933844132052E-11</v>
      </c>
      <c r="T48" s="13"/>
      <c r="U48" s="13"/>
    </row>
    <row r="49" spans="8:21" x14ac:dyDescent="0.25">
      <c r="J49" s="13"/>
      <c r="K49" s="38">
        <f t="shared" si="3"/>
        <v>0.99413603373214399</v>
      </c>
      <c r="L49" s="36">
        <f t="shared" si="4"/>
        <v>2.980340298246269</v>
      </c>
      <c r="M49" s="25">
        <f t="shared" si="1"/>
        <v>2.1002118702467736</v>
      </c>
      <c r="N49" s="33">
        <f t="shared" si="5"/>
        <v>102.81819803952789</v>
      </c>
      <c r="O49" s="13">
        <v>29979200000</v>
      </c>
      <c r="P49" s="13">
        <v>1.5</v>
      </c>
      <c r="Q49" s="13">
        <v>1.4396E-13</v>
      </c>
      <c r="R49" s="13">
        <v>0.51099894609999996</v>
      </c>
      <c r="S49" s="13">
        <v>1.9307933844132052E-11</v>
      </c>
      <c r="T49" s="13"/>
      <c r="U49" s="13"/>
    </row>
    <row r="50" spans="8:21" x14ac:dyDescent="0.25">
      <c r="J50" s="13"/>
      <c r="K50" s="38">
        <f t="shared" si="3"/>
        <v>0.9951133614434533</v>
      </c>
      <c r="L50" s="36">
        <f t="shared" si="4"/>
        <v>2.9832702485385574</v>
      </c>
      <c r="M50" s="25">
        <f t="shared" si="1"/>
        <v>1.9158087028055899</v>
      </c>
      <c r="N50" s="33">
        <f t="shared" si="5"/>
        <v>112.71480272731223</v>
      </c>
      <c r="O50" s="13">
        <v>29979200000</v>
      </c>
      <c r="P50" s="13">
        <v>1.5</v>
      </c>
      <c r="Q50" s="13">
        <v>1.4396E-13</v>
      </c>
      <c r="R50" s="13">
        <v>0.51099894609999996</v>
      </c>
      <c r="S50" s="13">
        <v>1.9307933844132052E-11</v>
      </c>
      <c r="T50" s="13"/>
      <c r="U50" s="13"/>
    </row>
    <row r="51" spans="8:21" x14ac:dyDescent="0.25">
      <c r="J51" s="13"/>
      <c r="K51" s="38">
        <f t="shared" si="3"/>
        <v>0.99592780120287783</v>
      </c>
      <c r="L51" s="36">
        <f t="shared" si="4"/>
        <v>2.9857118737821313</v>
      </c>
      <c r="M51" s="25">
        <f t="shared" si="1"/>
        <v>1.7478125187543041</v>
      </c>
      <c r="N51" s="33">
        <f t="shared" si="5"/>
        <v>123.54872029060883</v>
      </c>
      <c r="O51" s="13">
        <v>29979200000</v>
      </c>
      <c r="P51" s="13">
        <v>1.5</v>
      </c>
      <c r="Q51" s="13">
        <v>1.4396E-13</v>
      </c>
      <c r="R51" s="13">
        <v>0.51099894609999996</v>
      </c>
      <c r="S51" s="13">
        <v>1.9307933844132052E-11</v>
      </c>
      <c r="T51" s="13"/>
      <c r="U51" s="13"/>
    </row>
    <row r="52" spans="8:21" x14ac:dyDescent="0.25">
      <c r="J52" s="13"/>
      <c r="K52" s="38">
        <f t="shared" si="3"/>
        <v>0.99660650100239823</v>
      </c>
      <c r="L52" s="36">
        <f t="shared" si="4"/>
        <v>2.9877465614851095</v>
      </c>
      <c r="M52" s="25">
        <f t="shared" si="1"/>
        <v>1.5947117322863242</v>
      </c>
      <c r="N52" s="33">
        <f t="shared" si="5"/>
        <v>135.41005288172596</v>
      </c>
      <c r="O52" s="13">
        <v>29979200000</v>
      </c>
      <c r="P52" s="13">
        <v>1.5</v>
      </c>
      <c r="Q52" s="13">
        <v>1.4396E-13</v>
      </c>
      <c r="R52" s="13">
        <v>0.51099894609999996</v>
      </c>
      <c r="S52" s="13">
        <v>1.9307933844132052E-11</v>
      </c>
      <c r="T52" s="13"/>
      <c r="U52" s="13"/>
    </row>
    <row r="53" spans="8:21" x14ac:dyDescent="0.25">
      <c r="J53" s="13"/>
      <c r="K53" s="38">
        <f t="shared" si="3"/>
        <v>0.9971720841686651</v>
      </c>
      <c r="L53" s="36">
        <f t="shared" si="4"/>
        <v>2.9894421345709246</v>
      </c>
      <c r="M53" s="25">
        <f t="shared" si="1"/>
        <v>1.455146346594506</v>
      </c>
      <c r="N53" s="33">
        <f t="shared" si="5"/>
        <v>148.39744504418172</v>
      </c>
      <c r="O53" s="13">
        <v>29979200000</v>
      </c>
      <c r="P53" s="13">
        <v>1.5</v>
      </c>
      <c r="Q53" s="13">
        <v>1.4396E-13</v>
      </c>
      <c r="R53" s="13">
        <v>0.51099894609999996</v>
      </c>
      <c r="S53" s="13">
        <v>1.9307933844132052E-11</v>
      </c>
      <c r="T53" s="13"/>
      <c r="U53" s="13"/>
    </row>
    <row r="54" spans="8:21" x14ac:dyDescent="0.25">
      <c r="J54" s="13"/>
      <c r="K54" s="38">
        <f t="shared" si="3"/>
        <v>0.99764340347388769</v>
      </c>
      <c r="L54" s="36">
        <f t="shared" si="4"/>
        <v>2.9908551121424374</v>
      </c>
      <c r="M54" s="25">
        <f t="shared" si="1"/>
        <v>1.327889895362141</v>
      </c>
      <c r="N54" s="33">
        <f t="shared" si="5"/>
        <v>162.61890443944452</v>
      </c>
      <c r="O54" s="13">
        <v>29979200000</v>
      </c>
      <c r="P54" s="13">
        <v>1.5</v>
      </c>
      <c r="Q54" s="13">
        <v>1.4396E-13</v>
      </c>
      <c r="R54" s="13">
        <v>0.51099894609999996</v>
      </c>
      <c r="S54" s="13">
        <v>1.9307933844132052E-11</v>
      </c>
      <c r="T54" s="13"/>
      <c r="U54" s="13"/>
    </row>
    <row r="55" spans="8:21" x14ac:dyDescent="0.25">
      <c r="J55" s="13"/>
      <c r="K55" s="38">
        <f t="shared" si="3"/>
        <v>0.99803616956157304</v>
      </c>
      <c r="L55" s="36">
        <f t="shared" si="4"/>
        <v>2.9920325934520311</v>
      </c>
      <c r="M55" s="25">
        <f t="shared" si="1"/>
        <v>1.2118341524933878</v>
      </c>
      <c r="N55" s="33">
        <f t="shared" si="5"/>
        <v>178.19270034244909</v>
      </c>
      <c r="O55" s="13">
        <v>29979200000</v>
      </c>
      <c r="P55" s="13">
        <v>1.5</v>
      </c>
      <c r="Q55" s="13">
        <v>1.4396E-13</v>
      </c>
      <c r="R55" s="13">
        <v>0.51099894609999996</v>
      </c>
      <c r="S55" s="13">
        <v>1.9307933844132052E-11</v>
      </c>
      <c r="T55" s="13"/>
      <c r="U55" s="13"/>
    </row>
    <row r="56" spans="8:21" x14ac:dyDescent="0.25">
      <c r="J56" s="13"/>
      <c r="K56" s="38">
        <f t="shared" si="3"/>
        <v>0.99836347463464414</v>
      </c>
      <c r="L56" s="36">
        <f t="shared" si="4"/>
        <v>2.9930138278766925</v>
      </c>
      <c r="M56" s="25">
        <f t="shared" si="1"/>
        <v>1.1059760703450534</v>
      </c>
      <c r="N56" s="33">
        <f t="shared" si="5"/>
        <v>195.24834740106888</v>
      </c>
      <c r="O56" s="13">
        <v>29979200000</v>
      </c>
      <c r="P56" s="13">
        <v>1.5</v>
      </c>
      <c r="Q56" s="13">
        <v>1.4396E-13</v>
      </c>
      <c r="R56" s="13">
        <v>0.51099894609999996</v>
      </c>
      <c r="S56" s="13">
        <v>1.9307933844132052E-11</v>
      </c>
      <c r="T56" s="13"/>
      <c r="U56" s="13"/>
    </row>
    <row r="57" spans="8:21" x14ac:dyDescent="0.25">
      <c r="J57" s="13"/>
      <c r="K57" s="38">
        <f t="shared" si="3"/>
        <v>0.9986362288622036</v>
      </c>
      <c r="L57" s="36">
        <f t="shared" si="4"/>
        <v>2.9938315232305772</v>
      </c>
      <c r="M57" s="25">
        <f t="shared" si="1"/>
        <v>1.009406529885293</v>
      </c>
      <c r="N57" s="33">
        <f t="shared" si="5"/>
        <v>213.92768285790564</v>
      </c>
      <c r="O57" s="13">
        <v>29979200000</v>
      </c>
      <c r="P57" s="13">
        <v>1.5</v>
      </c>
      <c r="Q57" s="13">
        <v>1.4396E-13</v>
      </c>
      <c r="R57" s="13">
        <v>0.51099894609999996</v>
      </c>
      <c r="S57" s="13">
        <v>1.9307933844132052E-11</v>
      </c>
      <c r="T57" s="13"/>
      <c r="U57" s="13"/>
    </row>
    <row r="58" spans="8:21" x14ac:dyDescent="0.25">
      <c r="J58" s="13"/>
      <c r="K58" s="38">
        <f t="shared" si="3"/>
        <v>0.9988635240518362</v>
      </c>
      <c r="L58" s="36">
        <f t="shared" si="4"/>
        <v>2.994512936025481</v>
      </c>
      <c r="M58" s="25">
        <f t="shared" si="1"/>
        <v>0.92130057866330384</v>
      </c>
      <c r="N58" s="33">
        <f t="shared" si="5"/>
        <v>234.38604620579196</v>
      </c>
      <c r="O58" s="13">
        <v>29979200000</v>
      </c>
      <c r="P58" s="13">
        <v>1.5</v>
      </c>
      <c r="Q58" s="13">
        <v>1.4396E-13</v>
      </c>
      <c r="R58" s="13">
        <v>0.51099894609999996</v>
      </c>
      <c r="S58" s="13">
        <v>1.9307933844132052E-11</v>
      </c>
      <c r="T58" s="13"/>
      <c r="U58" s="13"/>
    </row>
    <row r="59" spans="8:21" x14ac:dyDescent="0.25">
      <c r="H59" s="31" t="s">
        <v>117</v>
      </c>
      <c r="J59" s="13"/>
      <c r="K59" s="38">
        <f t="shared" si="3"/>
        <v>0.99905293670986361</v>
      </c>
      <c r="L59" s="36">
        <f t="shared" si="4"/>
        <v>2.995080780021234</v>
      </c>
      <c r="M59" s="25">
        <f t="shared" si="1"/>
        <v>0.84090890234206139</v>
      </c>
      <c r="N59" s="33">
        <f t="shared" si="5"/>
        <v>256.79357109738487</v>
      </c>
      <c r="O59" s="13">
        <v>29979200000</v>
      </c>
      <c r="P59" s="13">
        <v>1.5</v>
      </c>
      <c r="Q59" s="13">
        <v>1.4396E-13</v>
      </c>
      <c r="R59" s="13">
        <v>0.51099894609999996</v>
      </c>
      <c r="S59" s="13">
        <v>1.9307933844132052E-11</v>
      </c>
      <c r="T59" s="13"/>
      <c r="U59" s="13"/>
    </row>
    <row r="60" spans="8:21" x14ac:dyDescent="0.25">
      <c r="H60" s="31" t="s">
        <v>119</v>
      </c>
      <c r="J60" s="13"/>
      <c r="K60" s="38">
        <f t="shared" si="3"/>
        <v>0.99921078059155299</v>
      </c>
      <c r="L60" s="36">
        <f t="shared" si="4"/>
        <v>2.9955539833510283</v>
      </c>
      <c r="M60" s="25">
        <f t="shared" si="1"/>
        <v>0.76755032868407369</v>
      </c>
      <c r="N60" s="33">
        <f t="shared" si="5"/>
        <v>281.33660025944909</v>
      </c>
      <c r="O60" s="13">
        <v>29979200000</v>
      </c>
      <c r="P60" s="13">
        <v>1.5</v>
      </c>
      <c r="Q60" s="13">
        <v>1.4396E-13</v>
      </c>
      <c r="R60" s="13">
        <v>0.51099894609999996</v>
      </c>
      <c r="S60" s="13">
        <v>1.9307933844132052E-11</v>
      </c>
      <c r="T60" s="13"/>
      <c r="U60" s="13"/>
    </row>
    <row r="61" spans="8:21" x14ac:dyDescent="0.25">
      <c r="H61" s="31" t="s">
        <v>120</v>
      </c>
      <c r="J61" s="13"/>
      <c r="K61" s="38">
        <f t="shared" si="3"/>
        <v>0.99934231715962729</v>
      </c>
      <c r="L61" s="36">
        <f t="shared" si="4"/>
        <v>2.99594831945919</v>
      </c>
      <c r="M61" s="25">
        <f t="shared" si="1"/>
        <v>0.70060520353511402</v>
      </c>
      <c r="N61" s="33">
        <f t="shared" si="5"/>
        <v>308.21923518468014</v>
      </c>
      <c r="O61" s="13">
        <v>29979200000</v>
      </c>
      <c r="P61" s="13">
        <v>1.5</v>
      </c>
      <c r="Q61" s="13">
        <v>1.4396E-13</v>
      </c>
      <c r="R61" s="13">
        <v>0.51099894609999996</v>
      </c>
      <c r="S61" s="13">
        <v>1.9307933844132052E-11</v>
      </c>
      <c r="T61" s="13"/>
      <c r="U61" s="13"/>
    </row>
    <row r="62" spans="8:21" x14ac:dyDescent="0.25">
      <c r="J62" s="13"/>
      <c r="K62" s="38">
        <f t="shared" si="3"/>
        <v>0.99945193096635609</v>
      </c>
      <c r="L62" s="36">
        <f t="shared" si="4"/>
        <v>2.9962769328826582</v>
      </c>
      <c r="M62" s="25">
        <f t="shared" si="1"/>
        <v>0.63950950966574294</v>
      </c>
      <c r="N62" s="33">
        <f t="shared" si="5"/>
        <v>337.6650334924135</v>
      </c>
      <c r="O62" s="13">
        <v>29979200000</v>
      </c>
      <c r="P62" s="13">
        <v>1.5</v>
      </c>
      <c r="Q62" s="13">
        <v>1.4396E-13</v>
      </c>
      <c r="R62" s="13">
        <v>0.51099894609999996</v>
      </c>
      <c r="S62" s="13">
        <v>1.9307933844132052E-11</v>
      </c>
      <c r="T62" s="13"/>
      <c r="U62" s="13"/>
    </row>
    <row r="63" spans="8:21" x14ac:dyDescent="0.25">
      <c r="J63" s="13"/>
      <c r="K63" s="38">
        <f t="shared" si="3"/>
        <v>0.99954327580529667</v>
      </c>
      <c r="L63" s="36">
        <f t="shared" si="4"/>
        <v>2.9965507774022151</v>
      </c>
      <c r="M63" s="25">
        <f t="shared" si="1"/>
        <v>0.58374962359390614</v>
      </c>
      <c r="N63" s="33">
        <f t="shared" si="5"/>
        <v>369.9188680766016</v>
      </c>
      <c r="O63" s="13">
        <v>29979200000</v>
      </c>
      <c r="P63" s="13">
        <v>1.5</v>
      </c>
      <c r="Q63" s="13">
        <v>1.4396E-13</v>
      </c>
      <c r="R63" s="13">
        <v>0.51099894609999996</v>
      </c>
      <c r="S63" s="13">
        <v>1.9307933844132052E-11</v>
      </c>
      <c r="T63" s="13"/>
      <c r="U63" s="13"/>
    </row>
    <row r="64" spans="8:21" x14ac:dyDescent="0.25">
      <c r="J64" s="13"/>
      <c r="K64" s="38">
        <f t="shared" si="3"/>
        <v>0.99961939650441389</v>
      </c>
      <c r="L64" s="36">
        <f t="shared" si="4"/>
        <v>2.9967789811685126</v>
      </c>
      <c r="M64" s="25">
        <f t="shared" si="1"/>
        <v>0.53285762443983531</v>
      </c>
      <c r="N64" s="33">
        <f t="shared" si="5"/>
        <v>405.24896350503786</v>
      </c>
      <c r="O64" s="13">
        <v>29979200000</v>
      </c>
      <c r="P64" s="13">
        <v>1.5</v>
      </c>
      <c r="Q64" s="13">
        <v>1.4396E-13</v>
      </c>
      <c r="R64" s="13">
        <v>0.51099894609999996</v>
      </c>
      <c r="S64" s="13">
        <v>1.9307933844132052E-11</v>
      </c>
      <c r="T64" s="13"/>
      <c r="U64" s="13"/>
    </row>
    <row r="65" spans="10:21" x14ac:dyDescent="0.25">
      <c r="J65" s="13"/>
      <c r="K65" s="38">
        <f t="shared" si="3"/>
        <v>0.999682830420345</v>
      </c>
      <c r="L65" s="36">
        <f t="shared" si="4"/>
        <v>2.9969691509737606</v>
      </c>
      <c r="M65" s="25">
        <f t="shared" si="1"/>
        <v>0.48640708373728614</v>
      </c>
      <c r="N65" s="33">
        <f t="shared" si="5"/>
        <v>443.94912660571288</v>
      </c>
      <c r="O65" s="13">
        <v>29979200000</v>
      </c>
      <c r="P65" s="13">
        <v>1.5</v>
      </c>
      <c r="Q65" s="13">
        <v>1.4396E-13</v>
      </c>
      <c r="R65" s="13">
        <v>0.51099894609999996</v>
      </c>
      <c r="S65" s="13">
        <v>1.9307933844132052E-11</v>
      </c>
      <c r="T65" s="13"/>
      <c r="U65" s="13"/>
    </row>
    <row r="66" spans="10:21" x14ac:dyDescent="0.25">
      <c r="J66" s="13"/>
      <c r="K66" s="38">
        <f t="shared" si="3"/>
        <v>0.99973569201695422</v>
      </c>
      <c r="L66" s="36">
        <f t="shared" si="4"/>
        <v>2.9971276258114674</v>
      </c>
      <c r="M66" s="25">
        <f t="shared" si="1"/>
        <v>0.44400927688714603</v>
      </c>
      <c r="N66" s="33">
        <f t="shared" si="5"/>
        <v>486.34118979204464</v>
      </c>
      <c r="O66" s="13">
        <v>29979200000</v>
      </c>
      <c r="P66" s="13">
        <v>1.5</v>
      </c>
      <c r="Q66" s="13">
        <v>1.4396E-13</v>
      </c>
      <c r="R66" s="13">
        <v>0.51099894609999996</v>
      </c>
      <c r="S66" s="13">
        <v>1.9307933844132052E-11</v>
      </c>
      <c r="T66" s="13"/>
      <c r="U66" s="13"/>
    </row>
    <row r="67" spans="10:21" x14ac:dyDescent="0.25">
      <c r="J67" s="13"/>
      <c r="K67" s="38">
        <f>L67/O67*10000000000</f>
        <v>0.99976048269458251</v>
      </c>
      <c r="L67" s="36">
        <v>2.997201946279743</v>
      </c>
      <c r="M67" s="25">
        <f t="shared" si="1"/>
        <v>0.42266596242892679</v>
      </c>
      <c r="N67" s="33">
        <f t="shared" si="5"/>
        <v>510.89990487774679</v>
      </c>
      <c r="O67" s="13">
        <v>29979200000</v>
      </c>
      <c r="P67" s="13">
        <v>1.5</v>
      </c>
      <c r="Q67" s="13">
        <v>1.4396E-13</v>
      </c>
      <c r="R67" s="13">
        <v>0.51099894609999996</v>
      </c>
      <c r="S67" s="13">
        <v>1.9307933844132101E-11</v>
      </c>
      <c r="T67" s="13"/>
      <c r="U67" s="13"/>
    </row>
    <row r="68" spans="10:21" x14ac:dyDescent="0.25">
      <c r="J68" s="13"/>
      <c r="K68" s="13"/>
      <c r="L68" s="30"/>
      <c r="M68" s="13"/>
      <c r="N68" s="13"/>
      <c r="O68" s="13"/>
      <c r="P68" s="13"/>
      <c r="Q68" s="13"/>
      <c r="R68" s="13"/>
      <c r="S68" s="13"/>
      <c r="T68" s="13"/>
      <c r="U68" s="13"/>
    </row>
    <row r="69" spans="10:21" x14ac:dyDescent="0.25">
      <c r="J69" s="13"/>
      <c r="K69" s="13"/>
      <c r="L69" s="62" t="s">
        <v>117</v>
      </c>
      <c r="M69" s="62"/>
      <c r="N69" s="62"/>
      <c r="O69" s="13"/>
      <c r="P69" s="13"/>
      <c r="Q69" s="13"/>
      <c r="R69" s="13"/>
      <c r="S69" s="13"/>
      <c r="T69" s="13"/>
      <c r="U69" s="13"/>
    </row>
    <row r="70" spans="10:21" ht="21" x14ac:dyDescent="0.25">
      <c r="J70" s="13"/>
      <c r="K70" s="13"/>
      <c r="L70" s="63" t="s">
        <v>119</v>
      </c>
      <c r="M70" s="63"/>
      <c r="N70" s="63"/>
      <c r="O70" s="13"/>
      <c r="P70" s="13"/>
      <c r="Q70" s="13"/>
      <c r="R70" s="13"/>
      <c r="S70" s="13"/>
      <c r="T70" s="13"/>
      <c r="U70" s="13"/>
    </row>
    <row r="71" spans="10:21" ht="18.75" x14ac:dyDescent="0.25">
      <c r="J71" s="13"/>
      <c r="K71" s="13"/>
      <c r="L71" s="64" t="s">
        <v>120</v>
      </c>
      <c r="M71" s="64"/>
      <c r="N71" s="64"/>
      <c r="O71" s="13"/>
      <c r="P71" s="13"/>
      <c r="Q71" s="13"/>
      <c r="R71" s="13"/>
      <c r="S71" s="13"/>
      <c r="T71" s="13"/>
      <c r="U71" s="13"/>
    </row>
    <row r="72" spans="10:21" x14ac:dyDescent="0.25">
      <c r="J72" s="13"/>
      <c r="K72" s="13"/>
      <c r="L72" s="30"/>
      <c r="M72" s="13"/>
      <c r="N72" s="13"/>
      <c r="O72" s="13"/>
      <c r="P72" s="13"/>
      <c r="Q72" s="13"/>
      <c r="R72" s="13"/>
      <c r="S72" s="13"/>
      <c r="T72" s="13"/>
      <c r="U72" s="13"/>
    </row>
    <row r="73" spans="10:21" x14ac:dyDescent="0.25">
      <c r="J73" s="13"/>
      <c r="K73" s="13"/>
      <c r="L73" s="30"/>
      <c r="M73" s="13"/>
      <c r="N73" s="13"/>
      <c r="O73" s="13"/>
      <c r="P73" s="13"/>
      <c r="Q73" s="13"/>
      <c r="R73" s="13"/>
      <c r="S73" s="13"/>
      <c r="T73" s="13"/>
      <c r="U73" s="13"/>
    </row>
    <row r="74" spans="10:21" x14ac:dyDescent="0.25">
      <c r="J74" s="13"/>
      <c r="O74" s="13"/>
      <c r="P74" s="13"/>
      <c r="Q74" s="13"/>
      <c r="R74" s="13"/>
      <c r="S74" s="13"/>
      <c r="T74" s="13"/>
      <c r="U74" s="13"/>
    </row>
    <row r="75" spans="10:21" x14ac:dyDescent="0.25">
      <c r="J75" s="13"/>
      <c r="O75" s="13"/>
      <c r="P75" s="13"/>
      <c r="Q75" s="13"/>
      <c r="R75" s="13"/>
      <c r="S75" s="13"/>
      <c r="T75" s="13"/>
      <c r="U75" s="13"/>
    </row>
    <row r="76" spans="10:21" x14ac:dyDescent="0.25">
      <c r="J76" s="13"/>
      <c r="O76" s="13"/>
      <c r="P76" s="13"/>
      <c r="Q76" s="13"/>
      <c r="R76" s="13"/>
      <c r="S76" s="13"/>
      <c r="T76" s="13"/>
      <c r="U76" s="13"/>
    </row>
    <row r="77" spans="10:21" x14ac:dyDescent="0.25">
      <c r="J77" s="13"/>
      <c r="K77" s="13"/>
      <c r="L77" s="30"/>
      <c r="M77" s="13"/>
      <c r="N77" s="13"/>
      <c r="O77" s="13"/>
      <c r="P77" s="13"/>
      <c r="Q77" s="13"/>
      <c r="R77" s="13"/>
      <c r="S77" s="13"/>
      <c r="T77" s="13"/>
      <c r="U77" s="13"/>
    </row>
    <row r="78" spans="10:21" x14ac:dyDescent="0.25">
      <c r="J78" s="13"/>
      <c r="K78" s="13"/>
      <c r="L78" s="30"/>
      <c r="M78" s="13"/>
      <c r="N78" s="13"/>
      <c r="O78" s="13"/>
      <c r="P78" s="13"/>
      <c r="Q78" s="13"/>
      <c r="R78" s="13"/>
      <c r="S78" s="13"/>
      <c r="T78" s="13"/>
      <c r="U78" s="13"/>
    </row>
    <row r="79" spans="10:21" x14ac:dyDescent="0.25">
      <c r="J79" s="13"/>
      <c r="K79" s="13"/>
      <c r="L79" s="30"/>
      <c r="M79" s="13"/>
      <c r="N79" s="13"/>
      <c r="O79" s="13"/>
      <c r="P79" s="13"/>
      <c r="Q79" s="13"/>
      <c r="R79" s="13"/>
      <c r="S79" s="13"/>
      <c r="T79" s="13"/>
      <c r="U79" s="13"/>
    </row>
    <row r="80" spans="10:21" x14ac:dyDescent="0.25">
      <c r="J80" s="13"/>
      <c r="K80" s="13"/>
      <c r="L80" s="30"/>
      <c r="M80" s="13"/>
      <c r="N80" s="13"/>
      <c r="O80" s="13"/>
      <c r="P80" s="13"/>
      <c r="Q80" s="13"/>
      <c r="R80" s="13"/>
      <c r="S80" s="13"/>
      <c r="T80" s="13"/>
      <c r="U80" s="13"/>
    </row>
    <row r="81" spans="10:21" x14ac:dyDescent="0.25">
      <c r="J81" s="13"/>
      <c r="K81" s="13"/>
      <c r="L81" s="30"/>
      <c r="M81" s="13"/>
      <c r="N81" s="13"/>
      <c r="O81" s="13"/>
      <c r="P81" s="13"/>
      <c r="Q81" s="13"/>
      <c r="R81" s="13"/>
      <c r="S81" s="13"/>
      <c r="T81" s="13"/>
      <c r="U81" s="13"/>
    </row>
    <row r="82" spans="10:21" x14ac:dyDescent="0.25">
      <c r="J82" s="13"/>
      <c r="K82" s="13"/>
      <c r="L82" s="30"/>
      <c r="M82" s="13"/>
      <c r="N82" s="13"/>
      <c r="O82" s="13"/>
      <c r="P82" s="13"/>
      <c r="Q82" s="13"/>
      <c r="R82" s="13"/>
      <c r="S82" s="13"/>
      <c r="T82" s="13"/>
      <c r="U82" s="13"/>
    </row>
    <row r="83" spans="10:21" x14ac:dyDescent="0.25">
      <c r="J83" s="13"/>
      <c r="K83" s="13"/>
      <c r="L83" s="30"/>
      <c r="M83" s="13"/>
      <c r="N83" s="13"/>
      <c r="O83" s="13"/>
      <c r="P83" s="13"/>
      <c r="Q83" s="13"/>
      <c r="R83" s="13"/>
      <c r="S83" s="13"/>
      <c r="T83" s="13"/>
      <c r="U83" s="13"/>
    </row>
    <row r="84" spans="10:21" x14ac:dyDescent="0.25">
      <c r="J84" s="13"/>
      <c r="K84" s="13"/>
      <c r="L84" s="30"/>
      <c r="M84" s="13"/>
      <c r="N84" s="13"/>
      <c r="O84" s="13"/>
      <c r="P84" s="13"/>
      <c r="Q84" s="13"/>
      <c r="R84" s="13"/>
      <c r="S84" s="13"/>
      <c r="T84" s="13"/>
      <c r="U84" s="13"/>
    </row>
    <row r="85" spans="10:21" x14ac:dyDescent="0.25">
      <c r="J85" s="13"/>
      <c r="K85" s="13"/>
      <c r="L85" s="30"/>
      <c r="M85" s="13"/>
      <c r="N85" s="13"/>
      <c r="O85" s="13"/>
      <c r="P85" s="13"/>
      <c r="Q85" s="13"/>
      <c r="R85" s="13"/>
      <c r="S85" s="13"/>
      <c r="T85" s="13"/>
      <c r="U85" s="13"/>
    </row>
    <row r="86" spans="10:21" x14ac:dyDescent="0.25">
      <c r="J86" s="13"/>
      <c r="K86" s="13"/>
      <c r="L86" s="30"/>
      <c r="M86" s="13"/>
      <c r="N86" s="13"/>
      <c r="O86" s="13"/>
      <c r="P86" s="13"/>
      <c r="Q86" s="13"/>
      <c r="R86" s="13"/>
      <c r="S86" s="13"/>
      <c r="T86" s="13"/>
      <c r="U86" s="13"/>
    </row>
    <row r="87" spans="10:21" x14ac:dyDescent="0.25">
      <c r="J87" s="13"/>
      <c r="K87" s="13"/>
      <c r="L87" s="30"/>
      <c r="M87" s="13"/>
      <c r="N87" s="13"/>
      <c r="O87" s="13"/>
      <c r="P87" s="13"/>
      <c r="Q87" s="13"/>
      <c r="R87" s="13"/>
      <c r="S87" s="13"/>
      <c r="T87" s="13"/>
      <c r="U87" s="13"/>
    </row>
    <row r="88" spans="10:21" x14ac:dyDescent="0.25">
      <c r="J88" s="13"/>
      <c r="K88" s="13"/>
      <c r="L88" s="30"/>
      <c r="M88" s="13"/>
      <c r="N88" s="13"/>
      <c r="O88" s="13"/>
      <c r="P88" s="13"/>
      <c r="Q88" s="13"/>
      <c r="R88" s="13"/>
      <c r="S88" s="13"/>
      <c r="T88" s="13"/>
      <c r="U88" s="13"/>
    </row>
    <row r="89" spans="10:21" x14ac:dyDescent="0.25">
      <c r="J89" s="13"/>
      <c r="K89" s="13"/>
      <c r="L89" s="30"/>
      <c r="M89" s="13"/>
      <c r="N89" s="13"/>
      <c r="O89" s="13"/>
      <c r="P89" s="13"/>
      <c r="Q89" s="13"/>
      <c r="R89" s="13"/>
      <c r="S89" s="13"/>
      <c r="T89" s="13"/>
      <c r="U89" s="13"/>
    </row>
    <row r="90" spans="10:21" x14ac:dyDescent="0.25">
      <c r="J90" s="13"/>
      <c r="K90" s="13"/>
      <c r="L90" s="30"/>
      <c r="M90" s="13"/>
      <c r="N90" s="13"/>
      <c r="O90" s="13"/>
      <c r="P90" s="13"/>
      <c r="Q90" s="13"/>
      <c r="R90" s="13"/>
      <c r="S90" s="13"/>
      <c r="T90" s="13"/>
      <c r="U90" s="13"/>
    </row>
    <row r="91" spans="10:21" x14ac:dyDescent="0.25">
      <c r="J91" s="13"/>
      <c r="K91" s="13"/>
      <c r="L91" s="30"/>
      <c r="M91" s="13"/>
      <c r="N91" s="13"/>
      <c r="O91" s="13"/>
      <c r="P91" s="13"/>
      <c r="Q91" s="13"/>
      <c r="R91" s="13"/>
      <c r="S91" s="13"/>
      <c r="T91" s="13"/>
      <c r="U91" s="13"/>
    </row>
    <row r="92" spans="10:21" x14ac:dyDescent="0.25">
      <c r="J92" s="13"/>
      <c r="K92" s="13"/>
      <c r="L92" s="30"/>
      <c r="M92" s="13"/>
      <c r="N92" s="13"/>
      <c r="O92" s="13"/>
      <c r="P92" s="13"/>
      <c r="Q92" s="13"/>
      <c r="R92" s="13"/>
      <c r="S92" s="13"/>
      <c r="T92" s="13"/>
      <c r="U92" s="13"/>
    </row>
    <row r="93" spans="10:21" x14ac:dyDescent="0.25">
      <c r="J93" s="13"/>
      <c r="K93" s="13"/>
      <c r="L93" s="30"/>
      <c r="M93" s="13"/>
      <c r="N93" s="13"/>
      <c r="O93" s="13"/>
      <c r="P93" s="13"/>
      <c r="Q93" s="13"/>
      <c r="R93" s="13"/>
      <c r="S93" s="13"/>
      <c r="T93" s="13"/>
      <c r="U93" s="13"/>
    </row>
    <row r="94" spans="10:21" x14ac:dyDescent="0.25">
      <c r="J94" s="13"/>
      <c r="K94" s="13"/>
      <c r="L94" s="30"/>
      <c r="M94" s="13"/>
      <c r="N94" s="13"/>
      <c r="O94" s="13"/>
      <c r="P94" s="13"/>
      <c r="Q94" s="13"/>
      <c r="R94" s="13"/>
      <c r="S94" s="13"/>
      <c r="T94" s="13"/>
      <c r="U94" s="13"/>
    </row>
    <row r="95" spans="10:21" x14ac:dyDescent="0.25">
      <c r="J95" s="13"/>
      <c r="K95" s="13"/>
      <c r="L95" s="30"/>
      <c r="M95" s="13"/>
      <c r="N95" s="13"/>
      <c r="O95" s="13"/>
      <c r="P95" s="13"/>
      <c r="Q95" s="13"/>
      <c r="R95" s="13"/>
      <c r="S95" s="13"/>
      <c r="T95" s="13"/>
      <c r="U95" s="13"/>
    </row>
    <row r="96" spans="10:21" x14ac:dyDescent="0.25">
      <c r="J96" s="13"/>
      <c r="K96" s="13"/>
      <c r="L96" s="30"/>
      <c r="M96" s="13"/>
      <c r="N96" s="13"/>
      <c r="O96" s="13"/>
      <c r="P96" s="13"/>
      <c r="Q96" s="13"/>
      <c r="R96" s="13"/>
      <c r="S96" s="13"/>
      <c r="T96" s="13"/>
      <c r="U96" s="13"/>
    </row>
    <row r="97" spans="10:21" x14ac:dyDescent="0.25">
      <c r="J97" s="13"/>
      <c r="K97" s="13"/>
      <c r="L97" s="30"/>
      <c r="M97" s="13"/>
      <c r="N97" s="13"/>
      <c r="O97" s="13"/>
      <c r="P97" s="13"/>
      <c r="Q97" s="13"/>
      <c r="R97" s="13"/>
      <c r="S97" s="13"/>
      <c r="T97" s="13"/>
      <c r="U97" s="13"/>
    </row>
    <row r="98" spans="10:21" x14ac:dyDescent="0.25">
      <c r="J98" s="13"/>
      <c r="K98" s="13"/>
      <c r="L98" s="30"/>
      <c r="M98" s="13"/>
      <c r="N98" s="13"/>
      <c r="O98" s="13"/>
      <c r="P98" s="13"/>
      <c r="Q98" s="13"/>
      <c r="R98" s="13"/>
      <c r="S98" s="13"/>
      <c r="T98" s="13"/>
      <c r="U98" s="13"/>
    </row>
    <row r="99" spans="10:21" x14ac:dyDescent="0.25">
      <c r="J99" s="13"/>
      <c r="K99" s="13"/>
      <c r="L99" s="30"/>
      <c r="M99" s="13"/>
      <c r="N99" s="13"/>
      <c r="O99" s="13"/>
      <c r="P99" s="13"/>
      <c r="Q99" s="13"/>
      <c r="R99" s="13"/>
      <c r="S99" s="13"/>
      <c r="T99" s="13"/>
      <c r="U99" s="13"/>
    </row>
    <row r="100" spans="10:21" x14ac:dyDescent="0.25">
      <c r="J100" s="13"/>
      <c r="K100" s="13"/>
      <c r="L100" s="30"/>
      <c r="M100" s="13"/>
      <c r="N100" s="13"/>
      <c r="O100" s="13"/>
      <c r="P100" s="13"/>
      <c r="Q100" s="13"/>
      <c r="R100" s="13"/>
      <c r="S100" s="13"/>
      <c r="T100" s="13"/>
      <c r="U100" s="13"/>
    </row>
    <row r="101" spans="10:21" x14ac:dyDescent="0.25">
      <c r="J101" s="13"/>
      <c r="K101" s="13"/>
      <c r="L101" s="30"/>
      <c r="M101" s="13"/>
      <c r="N101" s="13"/>
      <c r="O101" s="13"/>
      <c r="P101" s="13"/>
      <c r="Q101" s="13"/>
      <c r="R101" s="13"/>
      <c r="S101" s="13"/>
      <c r="T101" s="13"/>
      <c r="U101" s="13"/>
    </row>
    <row r="102" spans="10:21" x14ac:dyDescent="0.25">
      <c r="J102" s="13"/>
      <c r="K102" s="13"/>
      <c r="L102" s="30"/>
      <c r="M102" s="13"/>
      <c r="N102" s="13"/>
      <c r="O102" s="13"/>
      <c r="P102" s="13"/>
      <c r="Q102" s="13"/>
      <c r="R102" s="13"/>
      <c r="S102" s="13"/>
      <c r="T102" s="13"/>
      <c r="U102" s="13"/>
    </row>
    <row r="103" spans="10:21" x14ac:dyDescent="0.25">
      <c r="J103" s="13"/>
      <c r="K103" s="13"/>
      <c r="L103" s="30"/>
      <c r="M103" s="13"/>
      <c r="N103" s="13"/>
      <c r="O103" s="13"/>
      <c r="P103" s="13"/>
      <c r="Q103" s="13"/>
      <c r="R103" s="13"/>
      <c r="S103" s="13"/>
      <c r="T103" s="13"/>
      <c r="U103" s="13"/>
    </row>
    <row r="104" spans="10:21" x14ac:dyDescent="0.25">
      <c r="J104" s="13"/>
      <c r="K104" s="13"/>
      <c r="L104" s="30"/>
      <c r="M104" s="13"/>
      <c r="N104" s="13"/>
      <c r="O104" s="13"/>
      <c r="P104" s="13"/>
      <c r="Q104" s="13"/>
      <c r="R104" s="13"/>
      <c r="S104" s="13"/>
      <c r="T104" s="13"/>
      <c r="U104" s="13"/>
    </row>
    <row r="105" spans="10:21" x14ac:dyDescent="0.25">
      <c r="J105" s="13"/>
      <c r="K105" s="13"/>
      <c r="L105" s="30"/>
      <c r="M105" s="13"/>
      <c r="N105" s="13"/>
      <c r="O105" s="13"/>
      <c r="P105" s="13"/>
      <c r="Q105" s="13"/>
      <c r="R105" s="13"/>
      <c r="S105" s="13"/>
      <c r="T105" s="13"/>
      <c r="U105" s="13"/>
    </row>
    <row r="106" spans="10:21" x14ac:dyDescent="0.25">
      <c r="J106" s="13"/>
      <c r="K106" s="13"/>
      <c r="L106" s="30"/>
      <c r="M106" s="13"/>
      <c r="N106" s="13"/>
      <c r="O106" s="13"/>
      <c r="P106" s="13"/>
      <c r="Q106" s="13"/>
      <c r="R106" s="13"/>
      <c r="S106" s="13"/>
      <c r="T106" s="13"/>
      <c r="U106" s="13"/>
    </row>
    <row r="107" spans="10:21" x14ac:dyDescent="0.25">
      <c r="J107" s="13"/>
      <c r="K107" s="13"/>
      <c r="L107" s="30"/>
      <c r="M107" s="13"/>
      <c r="N107" s="13"/>
      <c r="O107" s="13"/>
      <c r="P107" s="13"/>
      <c r="Q107" s="13"/>
      <c r="R107" s="13"/>
      <c r="S107" s="13"/>
      <c r="T107" s="13"/>
      <c r="U107" s="13"/>
    </row>
    <row r="108" spans="10:21" x14ac:dyDescent="0.25">
      <c r="J108" s="13"/>
      <c r="K108" s="13"/>
      <c r="L108" s="30"/>
      <c r="M108" s="13"/>
      <c r="N108" s="13"/>
      <c r="O108" s="13"/>
      <c r="P108" s="13"/>
      <c r="Q108" s="13"/>
      <c r="R108" s="13"/>
      <c r="S108" s="13"/>
      <c r="T108" s="13"/>
      <c r="U108" s="13"/>
    </row>
    <row r="109" spans="10:21" x14ac:dyDescent="0.25">
      <c r="J109" s="13"/>
      <c r="K109" s="13"/>
      <c r="L109" s="30"/>
      <c r="M109" s="13"/>
      <c r="N109" s="13"/>
      <c r="O109" s="13"/>
      <c r="P109" s="13"/>
      <c r="Q109" s="13"/>
      <c r="R109" s="13"/>
      <c r="S109" s="13"/>
      <c r="T109" s="13"/>
      <c r="U109" s="13"/>
    </row>
    <row r="110" spans="10:21" x14ac:dyDescent="0.25">
      <c r="J110" s="13"/>
      <c r="K110" s="13"/>
      <c r="L110" s="30"/>
      <c r="M110" s="13"/>
      <c r="N110" s="13"/>
      <c r="O110" s="13"/>
      <c r="P110" s="13"/>
      <c r="Q110" s="13"/>
      <c r="R110" s="13"/>
      <c r="S110" s="13"/>
      <c r="T110" s="13"/>
      <c r="U110" s="13"/>
    </row>
    <row r="111" spans="10:21" x14ac:dyDescent="0.25">
      <c r="J111" s="13"/>
      <c r="K111" s="13"/>
      <c r="L111" s="30"/>
      <c r="M111" s="13"/>
      <c r="N111" s="13"/>
      <c r="O111" s="13"/>
      <c r="P111" s="13"/>
      <c r="Q111" s="13"/>
      <c r="R111" s="13"/>
      <c r="S111" s="13"/>
      <c r="T111" s="13"/>
      <c r="U111" s="13"/>
    </row>
    <row r="112" spans="10:21" x14ac:dyDescent="0.25">
      <c r="J112" s="13"/>
      <c r="K112" s="13"/>
      <c r="L112" s="30"/>
      <c r="M112" s="13"/>
      <c r="N112" s="13"/>
      <c r="O112" s="13"/>
      <c r="P112" s="13"/>
      <c r="Q112" s="13"/>
      <c r="R112" s="13"/>
      <c r="S112" s="13"/>
      <c r="T112" s="13"/>
      <c r="U112" s="13"/>
    </row>
    <row r="113" spans="10:21" x14ac:dyDescent="0.25">
      <c r="J113" s="13"/>
      <c r="K113" s="13"/>
      <c r="L113" s="30"/>
      <c r="M113" s="13"/>
      <c r="N113" s="13"/>
      <c r="O113" s="13"/>
      <c r="P113" s="13"/>
      <c r="Q113" s="13"/>
      <c r="R113" s="13"/>
      <c r="S113" s="13"/>
      <c r="T113" s="13"/>
      <c r="U113" s="13"/>
    </row>
    <row r="114" spans="10:21" x14ac:dyDescent="0.25">
      <c r="J114" s="13"/>
      <c r="K114" s="13"/>
      <c r="L114" s="30"/>
      <c r="M114" s="13"/>
      <c r="N114" s="13"/>
      <c r="O114" s="13"/>
      <c r="P114" s="13"/>
      <c r="Q114" s="13"/>
      <c r="R114" s="13"/>
      <c r="S114" s="13"/>
      <c r="T114" s="13"/>
      <c r="U114" s="13"/>
    </row>
    <row r="115" spans="10:21" x14ac:dyDescent="0.25">
      <c r="J115" s="13"/>
      <c r="K115" s="13"/>
      <c r="L115" s="30"/>
      <c r="M115" s="13"/>
      <c r="N115" s="13"/>
      <c r="O115" s="13"/>
      <c r="P115" s="13"/>
      <c r="Q115" s="13"/>
      <c r="R115" s="13"/>
      <c r="S115" s="13"/>
      <c r="T115" s="13"/>
      <c r="U115" s="13"/>
    </row>
    <row r="116" spans="10:21" x14ac:dyDescent="0.25">
      <c r="J116" s="13"/>
      <c r="K116" s="13"/>
      <c r="L116" s="30"/>
      <c r="M116" s="13"/>
      <c r="N116" s="13"/>
      <c r="O116" s="13"/>
      <c r="P116" s="13"/>
      <c r="Q116" s="13"/>
      <c r="R116" s="13"/>
      <c r="S116" s="13"/>
      <c r="T116" s="13"/>
      <c r="U116" s="13"/>
    </row>
    <row r="117" spans="10:21" x14ac:dyDescent="0.25">
      <c r="J117" s="13"/>
      <c r="K117" s="13"/>
      <c r="L117" s="30"/>
      <c r="M117" s="13"/>
      <c r="N117" s="13"/>
      <c r="O117" s="13"/>
      <c r="P117" s="13"/>
      <c r="Q117" s="13"/>
      <c r="R117" s="13"/>
      <c r="S117" s="13"/>
      <c r="T117" s="13"/>
      <c r="U117" s="13"/>
    </row>
    <row r="118" spans="10:21" x14ac:dyDescent="0.25">
      <c r="J118" s="13"/>
      <c r="K118" s="13"/>
      <c r="L118" s="30"/>
      <c r="M118" s="13"/>
      <c r="N118" s="13"/>
      <c r="O118" s="13"/>
      <c r="P118" s="13"/>
      <c r="Q118" s="13"/>
      <c r="R118" s="13"/>
      <c r="S118" s="13"/>
      <c r="T118" s="13"/>
      <c r="U118" s="13"/>
    </row>
    <row r="119" spans="10:21" x14ac:dyDescent="0.25">
      <c r="J119" s="13"/>
      <c r="K119" s="13"/>
      <c r="L119" s="30"/>
      <c r="M119" s="13"/>
      <c r="N119" s="13"/>
      <c r="O119" s="13"/>
      <c r="P119" s="13"/>
      <c r="Q119" s="13"/>
      <c r="R119" s="13"/>
      <c r="S119" s="13"/>
      <c r="T119" s="13"/>
      <c r="U119" s="13"/>
    </row>
    <row r="120" spans="10:21" x14ac:dyDescent="0.25">
      <c r="J120" s="13"/>
      <c r="K120" s="13"/>
      <c r="L120" s="30"/>
      <c r="M120" s="13"/>
      <c r="N120" s="13"/>
      <c r="O120" s="13"/>
      <c r="P120" s="13"/>
      <c r="Q120" s="13"/>
      <c r="R120" s="13"/>
      <c r="S120" s="13"/>
      <c r="T120" s="13"/>
      <c r="U120" s="13"/>
    </row>
    <row r="121" spans="10:21" x14ac:dyDescent="0.25">
      <c r="J121" s="13"/>
      <c r="K121" s="13"/>
      <c r="L121" s="30"/>
      <c r="M121" s="13"/>
      <c r="N121" s="13"/>
      <c r="O121" s="13"/>
      <c r="P121" s="13"/>
      <c r="Q121" s="13"/>
      <c r="R121" s="13"/>
      <c r="S121" s="13"/>
      <c r="T121" s="13"/>
      <c r="U121" s="13"/>
    </row>
    <row r="122" spans="10:21" x14ac:dyDescent="0.25">
      <c r="J122" s="13"/>
      <c r="K122" s="13"/>
      <c r="L122" s="30"/>
      <c r="M122" s="13"/>
      <c r="N122" s="13"/>
      <c r="O122" s="13"/>
      <c r="P122" s="13"/>
      <c r="Q122" s="13"/>
      <c r="R122" s="13"/>
      <c r="S122" s="13"/>
      <c r="T122" s="13"/>
      <c r="U122" s="13"/>
    </row>
    <row r="123" spans="10:21" x14ac:dyDescent="0.25"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spans="10:21" x14ac:dyDescent="0.25">
      <c r="J124" s="13"/>
      <c r="O124" s="13"/>
      <c r="P124" s="13"/>
      <c r="Q124" s="13"/>
      <c r="R124" s="13"/>
      <c r="S124" s="13"/>
      <c r="T124" s="13"/>
      <c r="U124" s="13"/>
    </row>
    <row r="125" spans="10:21" x14ac:dyDescent="0.25">
      <c r="J125" s="13"/>
      <c r="O125" s="13"/>
      <c r="P125" s="13"/>
      <c r="Q125" s="13"/>
      <c r="R125" s="13"/>
      <c r="S125" s="13"/>
      <c r="T125" s="13"/>
      <c r="U125" s="13"/>
    </row>
    <row r="126" spans="10:21" x14ac:dyDescent="0.25">
      <c r="J126" s="13"/>
      <c r="O126" s="13"/>
      <c r="P126" s="13"/>
      <c r="Q126" s="13"/>
      <c r="R126" s="13"/>
      <c r="S126" s="13"/>
      <c r="T126" s="13"/>
      <c r="U126" s="13"/>
    </row>
    <row r="127" spans="10:21" x14ac:dyDescent="0.25">
      <c r="J127" s="13"/>
      <c r="O127" s="13"/>
      <c r="P127" s="13"/>
      <c r="Q127" s="13"/>
      <c r="R127" s="13"/>
      <c r="S127" s="13"/>
      <c r="T127" s="13"/>
      <c r="U127" s="13"/>
    </row>
    <row r="128" spans="10:21" x14ac:dyDescent="0.25">
      <c r="J128" s="13"/>
      <c r="O128" s="13"/>
      <c r="P128" s="13"/>
      <c r="Q128" s="13"/>
      <c r="R128" s="13"/>
      <c r="S128" s="13"/>
      <c r="T128" s="13"/>
      <c r="U128" s="13"/>
    </row>
    <row r="129" spans="10:21" x14ac:dyDescent="0.25">
      <c r="J129" s="13"/>
      <c r="O129" s="13"/>
      <c r="P129" s="13"/>
      <c r="Q129" s="13"/>
      <c r="R129" s="13"/>
      <c r="S129" s="13"/>
      <c r="T129" s="13"/>
      <c r="U129" s="13"/>
    </row>
    <row r="130" spans="10:21" x14ac:dyDescent="0.25">
      <c r="J130" s="13"/>
      <c r="O130" s="13"/>
      <c r="P130" s="13"/>
      <c r="Q130" s="13"/>
      <c r="R130" s="13"/>
      <c r="S130" s="13"/>
      <c r="T130" s="13"/>
      <c r="U130" s="13"/>
    </row>
    <row r="131" spans="10:21" x14ac:dyDescent="0.25">
      <c r="J131" s="13"/>
      <c r="O131" s="13"/>
      <c r="P131" s="13"/>
      <c r="Q131" s="13"/>
      <c r="R131" s="13"/>
      <c r="S131" s="13"/>
      <c r="T131" s="13"/>
      <c r="U131" s="13"/>
    </row>
    <row r="132" spans="10:21" x14ac:dyDescent="0.25">
      <c r="J132" s="13"/>
      <c r="O132" s="13"/>
      <c r="P132" s="13"/>
      <c r="Q132" s="13"/>
      <c r="R132" s="13"/>
      <c r="S132" s="13"/>
      <c r="T132" s="13"/>
      <c r="U132" s="13"/>
    </row>
    <row r="133" spans="10:21" x14ac:dyDescent="0.25">
      <c r="J133" s="13"/>
      <c r="O133" s="13"/>
      <c r="P133" s="13"/>
      <c r="Q133" s="13"/>
      <c r="R133" s="13"/>
      <c r="S133" s="13"/>
      <c r="T133" s="13"/>
      <c r="U133" s="13"/>
    </row>
    <row r="134" spans="10:21" x14ac:dyDescent="0.25">
      <c r="J134" s="13"/>
      <c r="O134" s="13"/>
      <c r="P134" s="13"/>
      <c r="Q134" s="13"/>
      <c r="R134" s="13"/>
      <c r="S134" s="13"/>
      <c r="T134" s="13"/>
      <c r="U134" s="13"/>
    </row>
    <row r="135" spans="10:21" x14ac:dyDescent="0.25">
      <c r="J135" s="13"/>
      <c r="O135" s="13"/>
      <c r="P135" s="13"/>
      <c r="Q135" s="13"/>
      <c r="R135" s="13"/>
      <c r="S135" s="13"/>
      <c r="T135" s="13"/>
      <c r="U135" s="13"/>
    </row>
    <row r="136" spans="10:21" x14ac:dyDescent="0.25">
      <c r="J136" s="13"/>
      <c r="O136" s="13"/>
      <c r="P136" s="13"/>
      <c r="Q136" s="13"/>
      <c r="R136" s="13"/>
      <c r="S136" s="13"/>
      <c r="T136" s="13"/>
      <c r="U136" s="13"/>
    </row>
    <row r="137" spans="10:21" x14ac:dyDescent="0.25">
      <c r="J137" s="13"/>
      <c r="O137" s="13"/>
      <c r="P137" s="13"/>
      <c r="Q137" s="13"/>
      <c r="R137" s="13"/>
      <c r="S137" s="13"/>
      <c r="T137" s="13"/>
      <c r="U137" s="13"/>
    </row>
    <row r="138" spans="10:21" x14ac:dyDescent="0.25">
      <c r="J138" s="13"/>
      <c r="O138" s="13"/>
      <c r="P138" s="13"/>
      <c r="Q138" s="13"/>
      <c r="R138" s="13"/>
      <c r="S138" s="13"/>
      <c r="T138" s="13"/>
      <c r="U138" s="13"/>
    </row>
    <row r="139" spans="10:21" x14ac:dyDescent="0.25">
      <c r="J139" s="13"/>
      <c r="O139" s="13"/>
      <c r="P139" s="13"/>
      <c r="Q139" s="13"/>
      <c r="R139" s="13"/>
      <c r="S139" s="13"/>
      <c r="T139" s="13"/>
      <c r="U139" s="13"/>
    </row>
    <row r="140" spans="10:21" x14ac:dyDescent="0.25">
      <c r="J140" s="13"/>
      <c r="O140" s="13"/>
      <c r="P140" s="13"/>
      <c r="Q140" s="13"/>
      <c r="R140" s="13"/>
      <c r="S140" s="13"/>
      <c r="T140" s="13"/>
      <c r="U140" s="13"/>
    </row>
    <row r="141" spans="10:21" x14ac:dyDescent="0.25">
      <c r="J141" s="13"/>
      <c r="O141" s="13"/>
      <c r="P141" s="13"/>
      <c r="Q141" s="13"/>
      <c r="R141" s="13"/>
      <c r="S141" s="13"/>
      <c r="T141" s="13"/>
      <c r="U141" s="13"/>
    </row>
    <row r="142" spans="10:21" x14ac:dyDescent="0.25">
      <c r="J142" s="13"/>
      <c r="O142" s="13"/>
      <c r="P142" s="13"/>
      <c r="Q142" s="13"/>
      <c r="R142" s="13"/>
      <c r="S142" s="13"/>
      <c r="T142" s="13"/>
      <c r="U142" s="13"/>
    </row>
    <row r="143" spans="10:21" x14ac:dyDescent="0.25">
      <c r="J143" s="13"/>
      <c r="O143" s="13"/>
      <c r="P143" s="13"/>
      <c r="Q143" s="13"/>
      <c r="R143" s="13"/>
      <c r="S143" s="13"/>
      <c r="T143" s="13"/>
      <c r="U143" s="13"/>
    </row>
    <row r="144" spans="10:21" x14ac:dyDescent="0.25">
      <c r="J144" s="13"/>
      <c r="O144" s="13"/>
      <c r="P144" s="13"/>
      <c r="Q144" s="13"/>
      <c r="R144" s="13"/>
      <c r="S144" s="13"/>
      <c r="T144" s="13"/>
      <c r="U144" s="13"/>
    </row>
    <row r="145" spans="10:21" x14ac:dyDescent="0.25">
      <c r="J145" s="13"/>
      <c r="O145" s="13"/>
      <c r="P145" s="13"/>
      <c r="Q145" s="13"/>
      <c r="R145" s="13"/>
      <c r="S145" s="13"/>
      <c r="T145" s="13"/>
      <c r="U145" s="13"/>
    </row>
    <row r="146" spans="10:21" x14ac:dyDescent="0.25">
      <c r="J146" s="13"/>
      <c r="O146" s="13"/>
      <c r="P146" s="13"/>
      <c r="Q146" s="13"/>
      <c r="R146" s="13"/>
      <c r="S146" s="13"/>
      <c r="T146" s="13"/>
      <c r="U146" s="13"/>
    </row>
    <row r="147" spans="10:21" x14ac:dyDescent="0.25">
      <c r="J147" s="13"/>
      <c r="O147" s="13"/>
      <c r="P147" s="13"/>
      <c r="Q147" s="13"/>
      <c r="R147" s="13"/>
      <c r="S147" s="13"/>
      <c r="T147" s="13"/>
      <c r="U147" s="13"/>
    </row>
    <row r="148" spans="10:21" x14ac:dyDescent="0.25">
      <c r="J148" s="13"/>
      <c r="O148" s="13"/>
      <c r="P148" s="13"/>
      <c r="Q148" s="13"/>
      <c r="R148" s="13"/>
      <c r="S148" s="13"/>
      <c r="T148" s="13"/>
      <c r="U148" s="13"/>
    </row>
    <row r="149" spans="10:21" x14ac:dyDescent="0.25">
      <c r="J149" s="13"/>
      <c r="O149" s="13"/>
      <c r="P149" s="13"/>
      <c r="Q149" s="13"/>
      <c r="R149" s="13"/>
      <c r="S149" s="13"/>
      <c r="T149" s="13"/>
      <c r="U149" s="13"/>
    </row>
    <row r="150" spans="10:21" x14ac:dyDescent="0.25">
      <c r="J150" s="13"/>
      <c r="O150" s="13"/>
      <c r="P150" s="13"/>
      <c r="Q150" s="13"/>
      <c r="R150" s="13"/>
      <c r="S150" s="13"/>
      <c r="T150" s="13"/>
      <c r="U150" s="13"/>
    </row>
    <row r="151" spans="10:21" x14ac:dyDescent="0.25">
      <c r="J151" s="13"/>
      <c r="O151" s="13"/>
      <c r="P151" s="13"/>
      <c r="Q151" s="13"/>
      <c r="R151" s="13"/>
      <c r="S151" s="13"/>
      <c r="T151" s="13"/>
      <c r="U151" s="13"/>
    </row>
    <row r="152" spans="10:21" x14ac:dyDescent="0.25">
      <c r="J152" s="13"/>
      <c r="O152" s="13"/>
      <c r="P152" s="13"/>
      <c r="Q152" s="13"/>
      <c r="R152" s="13"/>
      <c r="S152" s="13"/>
      <c r="T152" s="13"/>
      <c r="U152" s="13"/>
    </row>
    <row r="153" spans="10:21" x14ac:dyDescent="0.25">
      <c r="J153" s="13"/>
      <c r="O153" s="13"/>
      <c r="P153" s="13"/>
      <c r="Q153" s="13"/>
      <c r="R153" s="13"/>
      <c r="S153" s="13"/>
      <c r="T153" s="13"/>
      <c r="U153" s="13"/>
    </row>
    <row r="154" spans="10:21" x14ac:dyDescent="0.25">
      <c r="J154" s="13"/>
      <c r="O154" s="13"/>
      <c r="P154" s="13"/>
      <c r="Q154" s="13"/>
      <c r="R154" s="13"/>
      <c r="S154" s="13"/>
      <c r="T154" s="13"/>
      <c r="U154" s="13"/>
    </row>
    <row r="155" spans="10:21" x14ac:dyDescent="0.25">
      <c r="J155" s="13"/>
      <c r="O155" s="13"/>
      <c r="P155" s="13"/>
      <c r="Q155" s="13"/>
      <c r="R155" s="13"/>
      <c r="S155" s="13"/>
      <c r="T155" s="13"/>
      <c r="U155" s="13"/>
    </row>
    <row r="156" spans="10:21" x14ac:dyDescent="0.25">
      <c r="J156" s="13"/>
      <c r="O156" s="13"/>
      <c r="P156" s="13"/>
      <c r="Q156" s="13"/>
      <c r="R156" s="13"/>
      <c r="S156" s="13"/>
      <c r="T156" s="13"/>
      <c r="U156" s="13"/>
    </row>
    <row r="157" spans="10:21" x14ac:dyDescent="0.25">
      <c r="J157" s="13"/>
      <c r="O157" s="13"/>
      <c r="P157" s="13"/>
      <c r="Q157" s="13"/>
      <c r="R157" s="13"/>
      <c r="S157" s="13"/>
      <c r="T157" s="13"/>
      <c r="U157" s="13"/>
    </row>
    <row r="158" spans="10:21" x14ac:dyDescent="0.25">
      <c r="J158" s="13"/>
      <c r="O158" s="13"/>
      <c r="P158" s="13"/>
      <c r="Q158" s="13"/>
      <c r="R158" s="13"/>
      <c r="S158" s="13"/>
      <c r="T158" s="13"/>
      <c r="U158" s="13"/>
    </row>
    <row r="159" spans="10:21" x14ac:dyDescent="0.25">
      <c r="J159" s="13"/>
      <c r="O159" s="13"/>
      <c r="P159" s="13"/>
      <c r="Q159" s="13"/>
      <c r="R159" s="13"/>
      <c r="S159" s="13"/>
      <c r="T159" s="13"/>
      <c r="U159" s="13"/>
    </row>
    <row r="160" spans="10:21" x14ac:dyDescent="0.25">
      <c r="J160" s="13"/>
      <c r="O160" s="13"/>
      <c r="P160" s="13"/>
      <c r="Q160" s="13"/>
      <c r="R160" s="13"/>
      <c r="S160" s="13"/>
      <c r="T160" s="13"/>
      <c r="U160" s="13"/>
    </row>
    <row r="161" spans="10:21" x14ac:dyDescent="0.25">
      <c r="J161" s="13"/>
      <c r="O161" s="13"/>
      <c r="P161" s="13"/>
      <c r="Q161" s="13"/>
      <c r="R161" s="13"/>
      <c r="S161" s="13"/>
      <c r="T161" s="13"/>
      <c r="U161" s="13"/>
    </row>
    <row r="162" spans="10:21" x14ac:dyDescent="0.25">
      <c r="J162" s="13"/>
      <c r="O162" s="13"/>
      <c r="P162" s="13"/>
      <c r="Q162" s="13"/>
      <c r="R162" s="13"/>
      <c r="S162" s="13"/>
      <c r="T162" s="13"/>
      <c r="U162" s="13"/>
    </row>
    <row r="163" spans="10:21" x14ac:dyDescent="0.25">
      <c r="J163" s="13"/>
      <c r="O163" s="13"/>
      <c r="P163" s="13"/>
      <c r="Q163" s="13"/>
      <c r="R163" s="13"/>
      <c r="S163" s="13"/>
      <c r="T163" s="13"/>
      <c r="U163" s="13"/>
    </row>
    <row r="164" spans="10:21" x14ac:dyDescent="0.25">
      <c r="J164" s="13"/>
      <c r="O164" s="13"/>
      <c r="P164" s="13"/>
      <c r="Q164" s="13"/>
      <c r="R164" s="13"/>
      <c r="S164" s="13"/>
      <c r="T164" s="13"/>
      <c r="U164" s="13"/>
    </row>
    <row r="165" spans="10:21" x14ac:dyDescent="0.25">
      <c r="J165" s="13"/>
      <c r="O165" s="13"/>
      <c r="P165" s="13"/>
      <c r="Q165" s="13"/>
      <c r="R165" s="13"/>
      <c r="S165" s="13"/>
      <c r="T165" s="13"/>
      <c r="U165" s="13"/>
    </row>
    <row r="166" spans="10:21" x14ac:dyDescent="0.25">
      <c r="J166" s="13"/>
      <c r="O166" s="13"/>
      <c r="P166" s="13"/>
      <c r="Q166" s="13"/>
      <c r="R166" s="13"/>
      <c r="S166" s="13"/>
      <c r="T166" s="13"/>
      <c r="U166" s="13"/>
    </row>
    <row r="167" spans="10:21" x14ac:dyDescent="0.25">
      <c r="J167" s="13"/>
      <c r="O167" s="13"/>
      <c r="P167" s="13"/>
      <c r="Q167" s="13"/>
      <c r="R167" s="13"/>
      <c r="S167" s="13"/>
      <c r="T167" s="13"/>
      <c r="U167" s="13"/>
    </row>
    <row r="168" spans="10:21" x14ac:dyDescent="0.25">
      <c r="J168" s="13"/>
      <c r="O168" s="13"/>
      <c r="P168" s="13"/>
      <c r="Q168" s="13"/>
      <c r="R168" s="13"/>
      <c r="S168" s="13"/>
      <c r="T168" s="13"/>
      <c r="U168" s="13"/>
    </row>
    <row r="169" spans="10:21" x14ac:dyDescent="0.25">
      <c r="J169" s="13"/>
      <c r="O169" s="13"/>
      <c r="P169" s="13"/>
      <c r="Q169" s="13"/>
      <c r="R169" s="13"/>
      <c r="S169" s="13"/>
      <c r="T169" s="13"/>
      <c r="U169" s="13"/>
    </row>
    <row r="170" spans="10:21" x14ac:dyDescent="0.25">
      <c r="J170" s="13"/>
      <c r="O170" s="13"/>
      <c r="P170" s="13"/>
      <c r="Q170" s="13"/>
      <c r="R170" s="13"/>
      <c r="S170" s="13"/>
      <c r="T170" s="13"/>
      <c r="U170" s="13"/>
    </row>
    <row r="171" spans="10:21" x14ac:dyDescent="0.25">
      <c r="J171" s="13"/>
      <c r="O171" s="13"/>
      <c r="P171" s="13"/>
      <c r="Q171" s="13"/>
      <c r="R171" s="13"/>
      <c r="S171" s="13"/>
      <c r="T171" s="13"/>
      <c r="U171" s="13"/>
    </row>
    <row r="172" spans="10:21" x14ac:dyDescent="0.25">
      <c r="J172" s="13"/>
      <c r="O172" s="13"/>
      <c r="P172" s="13"/>
      <c r="Q172" s="13"/>
      <c r="R172" s="13"/>
      <c r="S172" s="13"/>
      <c r="T172" s="13"/>
      <c r="U172" s="13"/>
    </row>
    <row r="173" spans="10:21" x14ac:dyDescent="0.25">
      <c r="J173" s="13"/>
      <c r="O173" s="13"/>
      <c r="P173" s="13"/>
      <c r="Q173" s="13"/>
      <c r="R173" s="13"/>
      <c r="S173" s="13"/>
      <c r="T173" s="13"/>
      <c r="U173" s="13"/>
    </row>
    <row r="174" spans="10:21" x14ac:dyDescent="0.25">
      <c r="J174" s="13"/>
      <c r="O174" s="13"/>
      <c r="P174" s="13"/>
      <c r="Q174" s="13"/>
      <c r="R174" s="13"/>
      <c r="S174" s="13"/>
      <c r="T174" s="13"/>
      <c r="U174" s="13"/>
    </row>
    <row r="175" spans="10:21" x14ac:dyDescent="0.25">
      <c r="J175" s="13"/>
      <c r="O175" s="13"/>
      <c r="P175" s="13"/>
      <c r="Q175" s="13"/>
      <c r="R175" s="13"/>
      <c r="S175" s="13"/>
      <c r="T175" s="13"/>
      <c r="U175" s="13"/>
    </row>
    <row r="176" spans="10:21" x14ac:dyDescent="0.25">
      <c r="J176" s="13"/>
      <c r="O176" s="13"/>
      <c r="P176" s="13"/>
      <c r="Q176" s="13"/>
      <c r="R176" s="13"/>
      <c r="S176" s="13"/>
      <c r="T176" s="13"/>
      <c r="U176" s="13"/>
    </row>
    <row r="177" spans="10:21" x14ac:dyDescent="0.25">
      <c r="J177" s="13"/>
      <c r="O177" s="13"/>
      <c r="P177" s="13"/>
      <c r="Q177" s="13"/>
      <c r="R177" s="13"/>
      <c r="S177" s="13"/>
      <c r="T177" s="13"/>
      <c r="U177" s="13"/>
    </row>
    <row r="178" spans="10:21" x14ac:dyDescent="0.25">
      <c r="J178" s="13"/>
      <c r="O178" s="13"/>
      <c r="P178" s="13"/>
      <c r="Q178" s="13"/>
      <c r="R178" s="13"/>
      <c r="S178" s="13"/>
      <c r="T178" s="13"/>
      <c r="U178" s="13"/>
    </row>
    <row r="179" spans="10:21" x14ac:dyDescent="0.25">
      <c r="J179" s="13"/>
      <c r="O179" s="13"/>
      <c r="P179" s="13"/>
      <c r="Q179" s="13"/>
      <c r="R179" s="13"/>
      <c r="S179" s="13"/>
      <c r="T179" s="13"/>
      <c r="U179" s="13"/>
    </row>
    <row r="180" spans="10:21" x14ac:dyDescent="0.25">
      <c r="J180" s="13"/>
      <c r="O180" s="13"/>
      <c r="P180" s="13"/>
      <c r="Q180" s="13"/>
      <c r="R180" s="13"/>
      <c r="S180" s="13"/>
      <c r="T180" s="13"/>
      <c r="U180" s="13"/>
    </row>
    <row r="181" spans="10:21" x14ac:dyDescent="0.25">
      <c r="J181" s="13"/>
      <c r="O181" s="13"/>
      <c r="P181" s="13"/>
      <c r="Q181" s="13"/>
      <c r="R181" s="13"/>
      <c r="S181" s="13"/>
      <c r="T181" s="13"/>
      <c r="U181" s="13"/>
    </row>
    <row r="182" spans="10:21" x14ac:dyDescent="0.25">
      <c r="J182" s="13"/>
      <c r="O182" s="13"/>
      <c r="P182" s="13"/>
      <c r="Q182" s="13"/>
      <c r="R182" s="13"/>
      <c r="S182" s="13"/>
      <c r="T182" s="13"/>
      <c r="U182" s="13"/>
    </row>
    <row r="183" spans="10:21" x14ac:dyDescent="0.25">
      <c r="J183" s="13"/>
      <c r="O183" s="13"/>
      <c r="P183" s="13"/>
      <c r="Q183" s="13"/>
      <c r="R183" s="13"/>
      <c r="S183" s="13"/>
      <c r="T183" s="13"/>
      <c r="U183" s="13"/>
    </row>
    <row r="184" spans="10:21" x14ac:dyDescent="0.25">
      <c r="J184" s="13"/>
      <c r="O184" s="13"/>
      <c r="P184" s="13"/>
      <c r="Q184" s="13"/>
      <c r="R184" s="13"/>
      <c r="S184" s="13"/>
      <c r="T184" s="13"/>
      <c r="U184" s="13"/>
    </row>
    <row r="185" spans="10:21" x14ac:dyDescent="0.25">
      <c r="J185" s="13"/>
      <c r="O185" s="13"/>
      <c r="P185" s="13"/>
      <c r="Q185" s="13"/>
      <c r="R185" s="13"/>
      <c r="S185" s="13"/>
      <c r="T185" s="13"/>
      <c r="U185" s="13"/>
    </row>
    <row r="186" spans="10:21" x14ac:dyDescent="0.25">
      <c r="J186" s="13"/>
      <c r="O186" s="13"/>
      <c r="P186" s="13"/>
      <c r="Q186" s="13"/>
      <c r="R186" s="13"/>
      <c r="S186" s="13"/>
      <c r="T186" s="13"/>
      <c r="U186" s="13"/>
    </row>
    <row r="187" spans="10:21" x14ac:dyDescent="0.25">
      <c r="J187" s="13"/>
      <c r="O187" s="13"/>
      <c r="P187" s="13"/>
      <c r="Q187" s="13"/>
      <c r="R187" s="13"/>
      <c r="S187" s="13"/>
      <c r="T187" s="13"/>
      <c r="U187" s="13"/>
    </row>
    <row r="188" spans="10:21" x14ac:dyDescent="0.25">
      <c r="J188" s="13"/>
      <c r="O188" s="13"/>
      <c r="P188" s="13"/>
      <c r="Q188" s="13"/>
      <c r="R188" s="13"/>
      <c r="S188" s="13"/>
      <c r="T188" s="13"/>
      <c r="U188" s="13"/>
    </row>
    <row r="189" spans="10:21" x14ac:dyDescent="0.25">
      <c r="J189" s="13"/>
      <c r="O189" s="13"/>
      <c r="P189" s="13"/>
      <c r="Q189" s="13"/>
      <c r="R189" s="13"/>
      <c r="S189" s="13"/>
      <c r="T189" s="13"/>
      <c r="U189" s="13"/>
    </row>
    <row r="190" spans="10:21" x14ac:dyDescent="0.25">
      <c r="J190" s="13"/>
      <c r="O190" s="13"/>
      <c r="P190" s="13"/>
      <c r="Q190" s="13"/>
      <c r="R190" s="13"/>
      <c r="S190" s="13"/>
      <c r="T190" s="13"/>
      <c r="U190" s="13"/>
    </row>
    <row r="191" spans="10:21" x14ac:dyDescent="0.25">
      <c r="J191" s="13"/>
      <c r="O191" s="13"/>
      <c r="P191" s="13"/>
      <c r="Q191" s="13"/>
      <c r="R191" s="13"/>
      <c r="S191" s="13"/>
      <c r="T191" s="13"/>
      <c r="U191" s="13"/>
    </row>
    <row r="192" spans="10:21" x14ac:dyDescent="0.25">
      <c r="J192" s="13"/>
      <c r="O192" s="13"/>
      <c r="P192" s="13"/>
      <c r="Q192" s="13"/>
      <c r="R192" s="13"/>
      <c r="S192" s="13"/>
      <c r="T192" s="13"/>
      <c r="U192" s="13"/>
    </row>
    <row r="193" spans="10:21" x14ac:dyDescent="0.25">
      <c r="J193" s="13"/>
      <c r="O193" s="13"/>
      <c r="P193" s="13"/>
      <c r="Q193" s="13"/>
      <c r="R193" s="13"/>
      <c r="S193" s="13"/>
      <c r="T193" s="13"/>
      <c r="U193" s="13"/>
    </row>
    <row r="194" spans="10:21" x14ac:dyDescent="0.25">
      <c r="J194" s="13"/>
      <c r="T194" s="13"/>
      <c r="U194" s="13"/>
    </row>
    <row r="195" spans="10:21" x14ac:dyDescent="0.25">
      <c r="J195" s="13"/>
      <c r="T195" s="13"/>
      <c r="U195" s="13"/>
    </row>
    <row r="196" spans="10:21" x14ac:dyDescent="0.25">
      <c r="J196" s="13"/>
      <c r="T196" s="13"/>
      <c r="U196" s="13"/>
    </row>
    <row r="197" spans="10:21" x14ac:dyDescent="0.25">
      <c r="J197" s="13"/>
      <c r="T197" s="13"/>
      <c r="U197" s="13"/>
    </row>
  </sheetData>
  <mergeCells count="4">
    <mergeCell ref="L18:N18"/>
    <mergeCell ref="L69:N69"/>
    <mergeCell ref="L70:N70"/>
    <mergeCell ref="L71:N71"/>
  </mergeCells>
  <printOptions horizontalCentered="1" verticalCentered="1"/>
  <pageMargins left="1.5748031496062993" right="1.5748031496062993" top="0.39370078740157483" bottom="0.39370078740157483" header="0.31496062992125984" footer="0.31496062992125984"/>
  <pageSetup paperSize="9" scale="22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242BF-E519-4033-B809-95F2E25641BB}">
  <dimension ref="A1:T16"/>
  <sheetViews>
    <sheetView topLeftCell="E1" workbookViewId="0">
      <selection activeCell="P8" sqref="P8"/>
    </sheetView>
  </sheetViews>
  <sheetFormatPr defaultRowHeight="15" x14ac:dyDescent="0.25"/>
  <cols>
    <col min="2" max="2" width="9.85546875" bestFit="1" customWidth="1"/>
    <col min="3" max="3" width="12.28515625" bestFit="1" customWidth="1"/>
    <col min="5" max="5" width="12.5703125" bestFit="1" customWidth="1"/>
    <col min="7" max="7" width="12.28515625" bestFit="1" customWidth="1"/>
    <col min="8" max="8" width="35.42578125" bestFit="1" customWidth="1"/>
    <col min="10" max="10" width="16.28515625" customWidth="1"/>
    <col min="13" max="13" width="16" customWidth="1"/>
    <col min="15" max="15" width="12" bestFit="1" customWidth="1"/>
    <col min="16" max="16" width="22.5703125" customWidth="1"/>
  </cols>
  <sheetData>
    <row r="1" spans="1:20" x14ac:dyDescent="0.25">
      <c r="A1" s="13" t="s">
        <v>48</v>
      </c>
      <c r="B1" s="24">
        <f>3/(P10/M5)^2</f>
        <v>1851.6637373878975</v>
      </c>
      <c r="C1" s="13" t="s">
        <v>90</v>
      </c>
      <c r="D1" s="13"/>
      <c r="E1" s="13" t="s">
        <v>89</v>
      </c>
      <c r="F1" s="13"/>
      <c r="G1" s="13" t="s">
        <v>51</v>
      </c>
      <c r="H1" s="28" t="s">
        <v>55</v>
      </c>
      <c r="I1" s="13" t="s">
        <v>27</v>
      </c>
      <c r="J1" s="25">
        <f>3*M1-M2</f>
        <v>2.4628193430656893</v>
      </c>
      <c r="K1" s="13"/>
      <c r="L1" s="13" t="s">
        <v>33</v>
      </c>
      <c r="M1" s="26">
        <f>(M2+P1*P2/P11)/3</f>
        <v>313.57829978102188</v>
      </c>
      <c r="N1" s="13"/>
      <c r="O1" s="13" t="s">
        <v>8</v>
      </c>
      <c r="P1" s="13">
        <v>1.5</v>
      </c>
      <c r="Q1" s="13"/>
      <c r="R1" s="13"/>
      <c r="S1" s="13"/>
      <c r="T1" s="13"/>
    </row>
    <row r="2" spans="1:20" x14ac:dyDescent="0.25">
      <c r="A2" s="13" t="s">
        <v>17</v>
      </c>
      <c r="B2" s="24">
        <f>-M4</f>
        <v>-1.503205699368E-3</v>
      </c>
      <c r="C2" s="26">
        <f>M5*SQRT(P3/M3)</f>
        <v>3.047358686541149E-24</v>
      </c>
      <c r="D2" s="13"/>
      <c r="E2" s="26">
        <f>1/SQRT(1-G2^2)</f>
        <v>1.0071659042383267</v>
      </c>
      <c r="F2" s="13"/>
      <c r="G2" s="26">
        <f>J2/SQRT(J2^2+P3^2)</f>
        <v>0.11907651630868202</v>
      </c>
      <c r="H2" s="26">
        <f>M2/(1+P4*SQRT(1+(J2/P3)^2))</f>
        <v>311.27033771181704</v>
      </c>
      <c r="I2" s="13" t="s">
        <v>100</v>
      </c>
      <c r="J2" s="26">
        <f>P5*P7*P6/M2</f>
        <v>1.0515445497188465E-14</v>
      </c>
      <c r="K2" s="13"/>
      <c r="L2" s="13" t="s">
        <v>32</v>
      </c>
      <c r="M2" s="13">
        <v>938.27207999999996</v>
      </c>
      <c r="N2" s="13"/>
      <c r="O2" s="13" t="s">
        <v>9</v>
      </c>
      <c r="P2" s="13">
        <v>1.4396E-13</v>
      </c>
      <c r="Q2" s="13"/>
      <c r="R2" s="13"/>
      <c r="S2" s="13"/>
      <c r="T2" s="13"/>
    </row>
    <row r="3" spans="1:20" x14ac:dyDescent="0.25">
      <c r="A3" s="13" t="s">
        <v>49</v>
      </c>
      <c r="B3" s="24">
        <f>P1*M5</f>
        <v>3.4600499999999999E-19</v>
      </c>
      <c r="C3" s="13"/>
      <c r="D3" s="13"/>
      <c r="E3" s="13"/>
      <c r="F3" s="13"/>
      <c r="G3" s="13"/>
      <c r="H3" s="13"/>
      <c r="I3" s="13" t="s">
        <v>28</v>
      </c>
      <c r="J3" s="26">
        <f>P1*P2/P3</f>
        <v>2.4628193430656893</v>
      </c>
      <c r="K3" s="13"/>
      <c r="L3" s="13" t="s">
        <v>93</v>
      </c>
      <c r="M3" s="24">
        <f>M1*10^6*M6</f>
        <v>5.0238379407917515E-4</v>
      </c>
      <c r="N3" s="13"/>
      <c r="O3" s="13" t="s">
        <v>18</v>
      </c>
      <c r="P3" s="26">
        <f>P1*P2/J1</f>
        <v>8.7680000000000137E-14</v>
      </c>
      <c r="Q3" s="13"/>
      <c r="R3" s="13"/>
      <c r="S3" s="13"/>
      <c r="T3" s="13"/>
    </row>
    <row r="4" spans="1:20" x14ac:dyDescent="0.25">
      <c r="A4" s="13" t="s">
        <v>50</v>
      </c>
      <c r="B4" s="24">
        <f>B2^2-4*B1*B3</f>
        <v>2.2596273720496985E-6</v>
      </c>
      <c r="C4" s="13"/>
      <c r="D4" s="13"/>
      <c r="E4" s="13"/>
      <c r="F4" s="13"/>
      <c r="G4" s="13"/>
      <c r="H4" s="13">
        <f>(M2-H2)/P4</f>
        <v>313.50087114409143</v>
      </c>
      <c r="I4" s="13"/>
      <c r="J4" s="13"/>
      <c r="K4" s="13"/>
      <c r="L4" s="13" t="s">
        <v>96</v>
      </c>
      <c r="M4" s="24">
        <f>M2*10^6*M6</f>
        <v>1.503205699368E-3</v>
      </c>
      <c r="N4" s="13"/>
      <c r="O4" s="13" t="s">
        <v>31</v>
      </c>
      <c r="P4" s="13">
        <v>2</v>
      </c>
      <c r="Q4" s="13"/>
      <c r="R4" s="13"/>
      <c r="S4" s="13"/>
      <c r="T4" s="13"/>
    </row>
    <row r="5" spans="1:20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 t="s">
        <v>94</v>
      </c>
      <c r="M5" s="24">
        <v>2.3067000000000001E-19</v>
      </c>
      <c r="N5" s="13"/>
      <c r="O5" s="13" t="s">
        <v>5</v>
      </c>
      <c r="P5" s="13">
        <v>0.5</v>
      </c>
      <c r="Q5" s="13"/>
      <c r="R5" s="13"/>
      <c r="S5" s="13"/>
      <c r="T5" s="13"/>
    </row>
    <row r="6" spans="1:20" x14ac:dyDescent="0.25">
      <c r="A6" s="13" t="s">
        <v>91</v>
      </c>
      <c r="B6" s="24">
        <f>-B2+SQRT(B4)/2/B1</f>
        <v>1.503611606139344E-3</v>
      </c>
      <c r="C6" s="13"/>
      <c r="D6" s="13"/>
      <c r="E6" s="13"/>
      <c r="F6" s="13"/>
      <c r="G6" s="13"/>
      <c r="H6" s="13"/>
      <c r="I6" s="13"/>
      <c r="J6" s="13"/>
      <c r="K6" s="13"/>
      <c r="L6" s="13" t="s">
        <v>95</v>
      </c>
      <c r="M6" s="24">
        <v>1.6021E-12</v>
      </c>
      <c r="N6" s="13"/>
      <c r="O6" s="13" t="s">
        <v>11</v>
      </c>
      <c r="P6" s="24">
        <v>6.5821194999999999E-22</v>
      </c>
      <c r="Q6" s="13"/>
      <c r="R6" s="13"/>
      <c r="S6" s="13"/>
      <c r="T6" s="13"/>
    </row>
    <row r="7" spans="1:20" x14ac:dyDescent="0.25">
      <c r="A7" s="24">
        <f>B6/(P10/M5)^2</f>
        <v>0.92806102873459895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 t="s">
        <v>14</v>
      </c>
      <c r="M7" s="13">
        <v>0.51100000000000001</v>
      </c>
      <c r="N7" s="13"/>
      <c r="O7" s="13" t="s">
        <v>7</v>
      </c>
      <c r="P7" s="13">
        <v>29979245800</v>
      </c>
      <c r="Q7" s="13"/>
      <c r="R7" s="13"/>
      <c r="S7" s="13"/>
      <c r="T7" s="13"/>
    </row>
    <row r="8" spans="1:20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 t="s">
        <v>52</v>
      </c>
      <c r="P8" s="13">
        <v>4.8029599999999995E-10</v>
      </c>
      <c r="Q8" s="13"/>
      <c r="R8" s="13"/>
      <c r="S8" s="13"/>
      <c r="T8" s="13"/>
    </row>
    <row r="9" spans="1:20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s">
        <v>53</v>
      </c>
      <c r="P9" s="26">
        <f>P14*P8/2*P3*G2/SQRT(1-G2^2)*M2/M7</f>
        <v>1.4105320196097035E-23</v>
      </c>
      <c r="Q9" s="13"/>
      <c r="R9" s="13"/>
      <c r="S9" s="13"/>
      <c r="T9" s="13"/>
    </row>
    <row r="10" spans="1:20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 t="s">
        <v>92</v>
      </c>
      <c r="P10" s="13">
        <f>9.28476E-21</f>
        <v>9.2847600000000004E-21</v>
      </c>
      <c r="Q10" s="13"/>
      <c r="R10" s="13"/>
      <c r="S10" s="13"/>
      <c r="T10" s="13"/>
    </row>
    <row r="11" spans="1:20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 t="s">
        <v>99</v>
      </c>
      <c r="P11" s="29">
        <v>8.7679999999999998E-14</v>
      </c>
      <c r="Q11" s="13"/>
      <c r="R11" s="13"/>
      <c r="S11" s="13"/>
      <c r="T11" s="13"/>
    </row>
    <row r="12" spans="1:20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 t="s">
        <v>103</v>
      </c>
      <c r="P12" s="13">
        <f>P14/2*P13</f>
        <v>1.4106066361242048E-23</v>
      </c>
      <c r="Q12" s="13"/>
      <c r="R12" s="13"/>
      <c r="S12" s="13"/>
      <c r="T12" s="13"/>
    </row>
    <row r="13" spans="1:20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 t="s">
        <v>104</v>
      </c>
      <c r="P13" s="13">
        <f>9.274009E-21</f>
        <v>9.2740090000000001E-21</v>
      </c>
      <c r="Q13" s="13"/>
      <c r="R13" s="13"/>
      <c r="S13" s="13"/>
      <c r="T13" s="13"/>
    </row>
    <row r="14" spans="1:20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 t="s">
        <v>105</v>
      </c>
      <c r="P14" s="13">
        <f>2*0.0015210322053</f>
        <v>3.0420644105999999E-3</v>
      </c>
      <c r="Q14" s="13"/>
      <c r="R14" s="13"/>
      <c r="S14" s="13"/>
      <c r="T14" s="13"/>
    </row>
    <row r="15" spans="1:20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 t="s">
        <v>107</v>
      </c>
      <c r="P15" s="13">
        <f>P14*M2/M7</f>
        <v>5.5856831742223791</v>
      </c>
      <c r="Q15" s="13"/>
      <c r="R15" s="13"/>
      <c r="S15" s="13"/>
      <c r="T15" s="13"/>
    </row>
    <row r="16" spans="1:20" x14ac:dyDescent="0.25">
      <c r="L16" s="13"/>
      <c r="M1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Arkusz4 (2)</vt:lpstr>
      <vt:lpstr>Arkusz1</vt:lpstr>
      <vt:lpstr>Arkusz2</vt:lpstr>
      <vt:lpstr>Arkusz3</vt:lpstr>
      <vt:lpstr>Electron</vt:lpstr>
      <vt:lpstr>Proton</vt:lpstr>
      <vt:lpstr>Table</vt:lpstr>
      <vt:lpstr>Electron STR</vt:lpstr>
      <vt:lpstr>Proton STR</vt:lpstr>
      <vt:lpstr>Neutron STR</vt:lpstr>
      <vt:lpstr>Arkusz4</vt:lpstr>
      <vt:lpstr>Electron STR (2)</vt:lpstr>
      <vt:lpstr>Beta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Science Project</dc:creator>
  <cp:lastModifiedBy>Science Project</cp:lastModifiedBy>
  <cp:lastPrinted>2018-12-21T18:36:27Z</cp:lastPrinted>
  <dcterms:created xsi:type="dcterms:W3CDTF">2018-11-08T17:06:32Z</dcterms:created>
  <dcterms:modified xsi:type="dcterms:W3CDTF">2018-12-21T19:19:26Z</dcterms:modified>
</cp:coreProperties>
</file>