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 Project\Desktop\AA_Bar\Mathematica Works\"/>
    </mc:Choice>
  </mc:AlternateContent>
  <xr:revisionPtr revIDLastSave="0" documentId="8_{6BD6B4CE-7FDE-42C9-AA6C-9B96BEB4C3A3}" xr6:coauthVersionLast="43" xr6:coauthVersionMax="43" xr10:uidLastSave="{00000000-0000-0000-0000-000000000000}"/>
  <bookViews>
    <workbookView xWindow="30" yWindow="630" windowWidth="28770" windowHeight="15570" xr2:uid="{07B8C8D2-78BE-4F84-AA0A-F74A5F4FFA34}"/>
  </bookViews>
  <sheets>
    <sheet name="Arkusz1" sheetId="1" r:id="rId1"/>
  </sheets>
  <externalReferences>
    <externalReference r:id="rId2"/>
    <externalReference r:id="rId3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Y6" i="1" l="1"/>
  <c r="AX6" i="1"/>
  <c r="AW6" i="1"/>
  <c r="AV6" i="1"/>
  <c r="AU6" i="1"/>
  <c r="AT6" i="1"/>
  <c r="AS6" i="1"/>
  <c r="AQ6" i="1"/>
  <c r="AP6" i="1"/>
  <c r="AO6" i="1"/>
  <c r="AM6" i="1"/>
  <c r="AL6" i="1"/>
  <c r="AK6" i="1"/>
  <c r="AJ6" i="1"/>
  <c r="AI6" i="1"/>
  <c r="AH6" i="1"/>
  <c r="AG6" i="1"/>
  <c r="AF6" i="1"/>
  <c r="X6" i="1"/>
  <c r="W6" i="1"/>
  <c r="V6" i="1"/>
  <c r="S6" i="1"/>
  <c r="R6" i="1"/>
  <c r="N6" i="1"/>
  <c r="L6" i="1"/>
  <c r="F6" i="1"/>
  <c r="U6" i="1" s="1"/>
  <c r="AY5" i="1"/>
  <c r="AX5" i="1"/>
  <c r="AW5" i="1"/>
  <c r="AV5" i="1"/>
  <c r="AU5" i="1"/>
  <c r="AT5" i="1"/>
  <c r="AS5" i="1"/>
  <c r="AQ5" i="1"/>
  <c r="AP5" i="1"/>
  <c r="AJ5" i="1" s="1"/>
  <c r="AO5" i="1"/>
  <c r="AM5" i="1"/>
  <c r="AK5" i="1" s="1"/>
  <c r="AL5" i="1"/>
  <c r="AH5" i="1"/>
  <c r="AG5" i="1"/>
  <c r="AF5" i="1"/>
  <c r="X5" i="1"/>
  <c r="W5" i="1"/>
  <c r="V5" i="1"/>
  <c r="S5" i="1"/>
  <c r="R5" i="1"/>
  <c r="N5" i="1"/>
  <c r="L5" i="1"/>
  <c r="F5" i="1"/>
  <c r="U5" i="1" s="1"/>
  <c r="AY4" i="1"/>
  <c r="AX4" i="1"/>
  <c r="AW4" i="1"/>
  <c r="AV4" i="1"/>
  <c r="AU4" i="1"/>
  <c r="AT4" i="1"/>
  <c r="AS4" i="1"/>
  <c r="AQ4" i="1"/>
  <c r="AP4" i="1"/>
  <c r="AO4" i="1"/>
  <c r="AJ4" i="1" s="1"/>
  <c r="AM4" i="1"/>
  <c r="AK4" i="1" s="1"/>
  <c r="AL4" i="1"/>
  <c r="AH4" i="1"/>
  <c r="AG4" i="1"/>
  <c r="AF4" i="1"/>
  <c r="X4" i="1"/>
  <c r="W4" i="1"/>
  <c r="V4" i="1"/>
  <c r="S4" i="1"/>
  <c r="R4" i="1"/>
  <c r="N4" i="1"/>
  <c r="L4" i="1"/>
  <c r="F4" i="1"/>
  <c r="U4" i="1" s="1"/>
  <c r="BB3" i="1"/>
  <c r="BA3" i="1"/>
  <c r="BD3" i="1" s="1"/>
  <c r="AY3" i="1"/>
  <c r="AX3" i="1"/>
  <c r="AW3" i="1"/>
  <c r="AV3" i="1"/>
  <c r="AU3" i="1"/>
  <c r="AT3" i="1"/>
  <c r="AS3" i="1"/>
  <c r="AQ3" i="1"/>
  <c r="AP3" i="1"/>
  <c r="AO3" i="1"/>
  <c r="AJ3" i="1" s="1"/>
  <c r="AM3" i="1"/>
  <c r="AK3" i="1" s="1"/>
  <c r="AL3" i="1"/>
  <c r="AI3" i="1"/>
  <c r="AH3" i="1"/>
  <c r="AG3" i="1"/>
  <c r="AF3" i="1"/>
  <c r="X3" i="1"/>
  <c r="W3" i="1"/>
  <c r="V3" i="1"/>
  <c r="S3" i="1"/>
  <c r="R3" i="1"/>
  <c r="N3" i="1"/>
  <c r="F3" i="1"/>
  <c r="L3" i="1" s="1"/>
  <c r="BB2" i="1"/>
  <c r="BA2" i="1"/>
  <c r="BD2" i="1" s="1"/>
  <c r="AY2" i="1"/>
  <c r="AX2" i="1"/>
  <c r="AW2" i="1"/>
  <c r="AV2" i="1"/>
  <c r="AU2" i="1"/>
  <c r="AT2" i="1"/>
  <c r="AS2" i="1"/>
  <c r="AQ2" i="1"/>
  <c r="AP2" i="1"/>
  <c r="AJ2" i="1" s="1"/>
  <c r="AO2" i="1"/>
  <c r="AM2" i="1"/>
  <c r="AL2" i="1"/>
  <c r="AK2" i="1"/>
  <c r="AI2" i="1"/>
  <c r="AH2" i="1"/>
  <c r="AG2" i="1"/>
  <c r="AF2" i="1"/>
  <c r="X2" i="1"/>
  <c r="W2" i="1"/>
  <c r="V2" i="1"/>
  <c r="S2" i="1"/>
  <c r="R2" i="1"/>
  <c r="N2" i="1"/>
  <c r="L2" i="1"/>
  <c r="F2" i="1"/>
  <c r="U2" i="1" s="1"/>
  <c r="AY12" i="1"/>
  <c r="AX12" i="1"/>
  <c r="AW12" i="1"/>
  <c r="AV12" i="1"/>
  <c r="AU12" i="1"/>
  <c r="AT12" i="1"/>
  <c r="AS12" i="1"/>
  <c r="AQ12" i="1"/>
  <c r="AP12" i="1"/>
  <c r="AO12" i="1"/>
  <c r="AM12" i="1"/>
  <c r="AL12" i="1"/>
  <c r="AK12" i="1"/>
  <c r="AJ12" i="1"/>
  <c r="AI12" i="1"/>
  <c r="AH12" i="1"/>
  <c r="AG12" i="1"/>
  <c r="AF12" i="1"/>
  <c r="X12" i="1"/>
  <c r="W12" i="1"/>
  <c r="V12" i="1"/>
  <c r="S12" i="1"/>
  <c r="R12" i="1"/>
  <c r="N12" i="1"/>
  <c r="L12" i="1"/>
  <c r="F12" i="1"/>
  <c r="U12" i="1" s="1"/>
  <c r="AY11" i="1"/>
  <c r="AX11" i="1"/>
  <c r="AW11" i="1"/>
  <c r="AV11" i="1"/>
  <c r="AU11" i="1"/>
  <c r="AT11" i="1"/>
  <c r="AS11" i="1"/>
  <c r="AQ11" i="1"/>
  <c r="AP11" i="1"/>
  <c r="AO11" i="1"/>
  <c r="AJ11" i="1" s="1"/>
  <c r="AM11" i="1"/>
  <c r="AK11" i="1" s="1"/>
  <c r="AL11" i="1"/>
  <c r="AH11" i="1"/>
  <c r="AG11" i="1"/>
  <c r="AF11" i="1"/>
  <c r="X11" i="1"/>
  <c r="W11" i="1"/>
  <c r="V11" i="1"/>
  <c r="S11" i="1"/>
  <c r="R11" i="1"/>
  <c r="N11" i="1"/>
  <c r="L11" i="1"/>
  <c r="F11" i="1"/>
  <c r="AY10" i="1"/>
  <c r="AX10" i="1"/>
  <c r="AW10" i="1"/>
  <c r="AV10" i="1"/>
  <c r="AU10" i="1"/>
  <c r="AT10" i="1"/>
  <c r="AS10" i="1"/>
  <c r="AQ10" i="1"/>
  <c r="AP10" i="1"/>
  <c r="AO10" i="1"/>
  <c r="AJ10" i="1" s="1"/>
  <c r="AM10" i="1"/>
  <c r="AK10" i="1" s="1"/>
  <c r="AL10" i="1"/>
  <c r="AH10" i="1"/>
  <c r="AG10" i="1"/>
  <c r="AF10" i="1"/>
  <c r="X10" i="1"/>
  <c r="W10" i="1"/>
  <c r="V10" i="1"/>
  <c r="S10" i="1"/>
  <c r="R10" i="1"/>
  <c r="N10" i="1"/>
  <c r="L10" i="1"/>
  <c r="F10" i="1"/>
  <c r="U10" i="1" s="1"/>
  <c r="AY9" i="1"/>
  <c r="AX9" i="1"/>
  <c r="AW9" i="1"/>
  <c r="AV9" i="1"/>
  <c r="AU9" i="1"/>
  <c r="AT9" i="1"/>
  <c r="AS9" i="1"/>
  <c r="AQ9" i="1"/>
  <c r="AP9" i="1"/>
  <c r="AO9" i="1"/>
  <c r="AJ9" i="1" s="1"/>
  <c r="AM9" i="1"/>
  <c r="AK9" i="1" s="1"/>
  <c r="AL9" i="1"/>
  <c r="AI9" i="1"/>
  <c r="AH9" i="1"/>
  <c r="AG9" i="1"/>
  <c r="AF9" i="1"/>
  <c r="X9" i="1"/>
  <c r="W9" i="1"/>
  <c r="V9" i="1"/>
  <c r="S9" i="1"/>
  <c r="R9" i="1"/>
  <c r="N9" i="1"/>
  <c r="F9" i="1"/>
  <c r="L9" i="1" s="1"/>
  <c r="AY8" i="1"/>
  <c r="AX8" i="1"/>
  <c r="AW8" i="1"/>
  <c r="AV8" i="1"/>
  <c r="AU8" i="1"/>
  <c r="AT8" i="1"/>
  <c r="AS8" i="1"/>
  <c r="AQ8" i="1"/>
  <c r="AP8" i="1"/>
  <c r="AO8" i="1"/>
  <c r="AJ8" i="1" s="1"/>
  <c r="AM8" i="1"/>
  <c r="AL8" i="1"/>
  <c r="AK8" i="1"/>
  <c r="AI8" i="1"/>
  <c r="AH8" i="1"/>
  <c r="AG8" i="1"/>
  <c r="AF8" i="1"/>
  <c r="X8" i="1"/>
  <c r="W8" i="1"/>
  <c r="V8" i="1"/>
  <c r="S8" i="1"/>
  <c r="R8" i="1"/>
  <c r="N8" i="1"/>
  <c r="F8" i="1"/>
  <c r="U8" i="1" s="1"/>
  <c r="T3" i="1" l="1"/>
  <c r="P3" i="1" s="1"/>
  <c r="K3" i="1"/>
  <c r="U3" i="1"/>
  <c r="T4" i="1"/>
  <c r="P4" i="1" s="1"/>
  <c r="AI4" i="1"/>
  <c r="K4" i="1"/>
  <c r="T5" i="1"/>
  <c r="P5" i="1" s="1"/>
  <c r="AI5" i="1"/>
  <c r="K5" i="1"/>
  <c r="T2" i="1"/>
  <c r="P2" i="1" s="1"/>
  <c r="T6" i="1"/>
  <c r="P6" i="1" s="1"/>
  <c r="K2" i="1"/>
  <c r="K6" i="1"/>
  <c r="Q11" i="1"/>
  <c r="Q8" i="1"/>
  <c r="U11" i="1"/>
  <c r="T9" i="1"/>
  <c r="K9" i="1"/>
  <c r="U9" i="1"/>
  <c r="T10" i="1"/>
  <c r="P10" i="1" s="1"/>
  <c r="AI10" i="1"/>
  <c r="K10" i="1"/>
  <c r="L8" i="1"/>
  <c r="T11" i="1"/>
  <c r="P11" i="1" s="1"/>
  <c r="AI11" i="1"/>
  <c r="K11" i="1"/>
  <c r="T12" i="1"/>
  <c r="P12" i="1" s="1"/>
  <c r="T8" i="1"/>
  <c r="P8" i="1" s="1"/>
  <c r="K8" i="1"/>
  <c r="K12" i="1"/>
  <c r="Q2" i="1" l="1"/>
  <c r="Q3" i="1"/>
  <c r="Q4" i="1"/>
  <c r="Q5" i="1"/>
  <c r="Q6" i="1"/>
  <c r="P9" i="1"/>
  <c r="Q12" i="1"/>
  <c r="Q10" i="1"/>
  <c r="Q9" i="1"/>
  <c r="BA5" i="1" l="1"/>
  <c r="BB4" i="1"/>
  <c r="BA4" i="1"/>
  <c r="BD4" i="1" l="1"/>
  <c r="BB6" i="1"/>
  <c r="BA6" i="1"/>
  <c r="BB5" i="1"/>
  <c r="BD5" i="1" s="1"/>
  <c r="BD6" i="1" l="1"/>
  <c r="BA12" i="1" l="1"/>
  <c r="BB12" i="1"/>
  <c r="BB8" i="1"/>
  <c r="BA10" i="1"/>
  <c r="BD10" i="1" s="1"/>
  <c r="BA8" i="1"/>
  <c r="BB10" i="1"/>
  <c r="BA11" i="1"/>
  <c r="BA9" i="1" l="1"/>
  <c r="BB9" i="1"/>
  <c r="BD8" i="1"/>
  <c r="BD12" i="1"/>
  <c r="BB11" i="1"/>
  <c r="BD11" i="1" s="1"/>
  <c r="BD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C8903D50-41A6-4A01-993A-DF53B0EF10AC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ile elektronów maksymalnie może mieć tą energię
</t>
        </r>
      </text>
    </comment>
    <comment ref="F1" authorId="0" shapeId="0" xr:uid="{1256D5FA-F948-406B-BCB9-6AAF2746F825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07.05.2015 - poprawka - jonizowalna ta część molekuły, która ma mniejszą energię atomową</t>
        </r>
      </text>
    </comment>
    <comment ref="X1" authorId="0" shapeId="0" xr:uid="{FCEE8ED7-E8EE-4261-AF1F-9920EE3AB985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jeżeli ręcznie, to w dwóch kolejnych kolumnach trzeba ręcznie poprawić ograniczenia na energię 2</t>
        </r>
      </text>
    </comment>
    <comment ref="J2" authorId="0" shapeId="0" xr:uid="{3A81A678-7D7D-42DF-8B59-9A424BA92671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or 0,889</t>
        </r>
      </text>
    </comment>
    <comment ref="J4" authorId="0" shapeId="0" xr:uid="{AC122494-382F-4B83-BDBE-5318F89109B0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or 0,519</t>
        </r>
      </text>
    </comment>
    <comment ref="J5" authorId="0" shapeId="0" xr:uid="{36D3992F-CFBC-4932-8EDB-C39B48C4F239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or 1,245</t>
        </r>
      </text>
    </comment>
    <comment ref="J8" authorId="0" shapeId="0" xr:uid="{31BDCB70-E575-42BB-86A5-AE82A1863B21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or 0,889</t>
        </r>
      </text>
    </comment>
    <comment ref="J10" authorId="0" shapeId="0" xr:uid="{6A1FE203-9ED8-4CCB-BAD1-EA49E1DF9897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or 0,519</t>
        </r>
      </text>
    </comment>
    <comment ref="J11" authorId="0" shapeId="0" xr:uid="{72A29E6D-6E8F-40DE-8725-E75507C971B0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or 1,245</t>
        </r>
      </text>
    </comment>
  </commentList>
</comments>
</file>

<file path=xl/sharedStrings.xml><?xml version="1.0" encoding="utf-8"?>
<sst xmlns="http://schemas.openxmlformats.org/spreadsheetml/2006/main" count="70" uniqueCount="56">
  <si>
    <t>FCl</t>
  </si>
  <si>
    <t>Hyde Peel</t>
  </si>
  <si>
    <t>BrF</t>
  </si>
  <si>
    <t>BrCl</t>
  </si>
  <si>
    <t>ICl</t>
  </si>
  <si>
    <t>IBr</t>
  </si>
  <si>
    <t>Molecule</t>
  </si>
  <si>
    <r>
      <t>E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 xml:space="preserve"> [eV]</t>
    </r>
  </si>
  <si>
    <r>
      <t>n (E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</si>
  <si>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E</t>
    </r>
    <r>
      <rPr>
        <b/>
        <vertAlign val="subscript"/>
        <sz val="11"/>
        <color theme="1"/>
        <rFont val="Calibri"/>
        <family val="2"/>
        <charset val="238"/>
        <scheme val="minor"/>
      </rPr>
      <t>B</t>
    </r>
    <r>
      <rPr>
        <b/>
        <sz val="11"/>
        <color theme="1"/>
        <rFont val="Calibri"/>
        <family val="2"/>
        <charset val="238"/>
        <scheme val="minor"/>
      </rPr>
      <t xml:space="preserve"> [eV]</t>
    </r>
  </si>
  <si>
    <r>
      <t>n (E</t>
    </r>
    <r>
      <rPr>
        <b/>
        <vertAlign val="subscript"/>
        <sz val="11"/>
        <color theme="1"/>
        <rFont val="Calibri"/>
        <family val="2"/>
        <charset val="238"/>
        <scheme val="minor"/>
      </rPr>
      <t>B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</si>
  <si>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E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</si>
  <si>
    <t>v</t>
  </si>
  <si>
    <t>l [Å]</t>
  </si>
  <si>
    <t>D [eV]</t>
  </si>
  <si>
    <t>p [D]</t>
  </si>
  <si>
    <r>
      <t>E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 xml:space="preserve"> [eV]</t>
    </r>
  </si>
  <si>
    <r>
      <t>E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 xml:space="preserve"> [eV]</t>
    </r>
  </si>
  <si>
    <t>f [mdyn/Å]</t>
  </si>
  <si>
    <t>ERR</t>
  </si>
  <si>
    <t>cont</t>
  </si>
  <si>
    <t>D [eV] (SOLVER)</t>
  </si>
  <si>
    <t xml:space="preserve"> p [D] (SOLVER)</t>
  </si>
  <si>
    <r>
      <t>E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 xml:space="preserve"> [eV] (SOLVER)</t>
    </r>
  </si>
  <si>
    <r>
      <t>E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 xml:space="preserve"> [eV] (SOLVER)</t>
    </r>
  </si>
  <si>
    <t>f  calc (SOLVER)</t>
  </si>
  <si>
    <r>
      <t>E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 xml:space="preserve">  max [eV]</t>
    </r>
  </si>
  <si>
    <t>-&gt;</t>
  </si>
  <si>
    <r>
      <t>E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 xml:space="preserve"> [eV] reference</t>
    </r>
  </si>
  <si>
    <r>
      <t>r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 xml:space="preserve"> [Å]</t>
    </r>
  </si>
  <si>
    <r>
      <t>r</t>
    </r>
    <r>
      <rPr>
        <b/>
        <vertAlign val="subscript"/>
        <sz val="11"/>
        <color theme="1"/>
        <rFont val="Calibri"/>
        <family val="2"/>
        <charset val="238"/>
        <scheme val="minor"/>
      </rPr>
      <t>B</t>
    </r>
    <r>
      <rPr>
        <b/>
        <sz val="11"/>
        <color theme="1"/>
        <rFont val="Calibri"/>
        <family val="2"/>
        <charset val="238"/>
        <scheme val="minor"/>
      </rPr>
      <t xml:space="preserve"> [Å]</t>
    </r>
  </si>
  <si>
    <t>α</t>
  </si>
  <si>
    <t>β</t>
  </si>
  <si>
    <t>φ</t>
  </si>
  <si>
    <r>
      <t>α</t>
    </r>
    <r>
      <rPr>
        <b/>
        <vertAlign val="subscript"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[deg]</t>
    </r>
  </si>
  <si>
    <r>
      <t>β</t>
    </r>
    <r>
      <rPr>
        <b/>
        <vertAlign val="subscript"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[deg]</t>
    </r>
  </si>
  <si>
    <r>
      <t>φ</t>
    </r>
    <r>
      <rPr>
        <b/>
        <vertAlign val="subscript"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[deg]</t>
    </r>
  </si>
  <si>
    <t>d [Å]</t>
  </si>
  <si>
    <r>
      <t>ρ</t>
    </r>
    <r>
      <rPr>
        <b/>
        <vertAlign val="subscript"/>
        <sz val="11"/>
        <rFont val="Calibri"/>
        <family val="2"/>
        <charset val="238"/>
      </rPr>
      <t>1</t>
    </r>
    <r>
      <rPr>
        <b/>
        <sz val="11"/>
        <rFont val="Calibri"/>
        <family val="2"/>
        <charset val="238"/>
      </rPr>
      <t xml:space="preserve"> [Å]</t>
    </r>
  </si>
  <si>
    <r>
      <t>ρ</t>
    </r>
    <r>
      <rPr>
        <b/>
        <vertAlign val="subscript"/>
        <sz val="11"/>
        <rFont val="Calibri"/>
        <family val="2"/>
        <charset val="238"/>
      </rPr>
      <t>2</t>
    </r>
    <r>
      <rPr>
        <b/>
        <sz val="11"/>
        <rFont val="Calibri"/>
        <family val="2"/>
        <charset val="238"/>
      </rPr>
      <t xml:space="preserve"> [Å]</t>
    </r>
  </si>
  <si>
    <r>
      <t>x (e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</si>
  <si>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y (e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</si>
  <si>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z (e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</si>
  <si>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x (e</t>
    </r>
    <r>
      <rPr>
        <b/>
        <vertAlign val="subscript"/>
        <sz val="11"/>
        <color theme="1"/>
        <rFont val="Calibri"/>
        <family val="2"/>
        <charset val="238"/>
        <scheme val="minor"/>
      </rPr>
      <t>B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</si>
  <si>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y (e</t>
    </r>
    <r>
      <rPr>
        <b/>
        <vertAlign val="subscript"/>
        <sz val="11"/>
        <color theme="1"/>
        <rFont val="Calibri"/>
        <family val="2"/>
        <charset val="238"/>
        <scheme val="minor"/>
      </rPr>
      <t>B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</si>
  <si>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z (e</t>
    </r>
    <r>
      <rPr>
        <b/>
        <vertAlign val="subscript"/>
        <sz val="11"/>
        <color theme="1"/>
        <rFont val="Calibri"/>
        <family val="2"/>
        <charset val="238"/>
        <scheme val="minor"/>
      </rPr>
      <t>B</t>
    </r>
    <r>
      <rPr>
        <b/>
        <sz val="11"/>
        <color theme="1"/>
        <rFont val="Calibri"/>
        <family val="2"/>
        <charset val="238"/>
        <scheme val="minor"/>
      </rPr>
      <t>)</t>
    </r>
  </si>
  <si>
    <t>l</t>
  </si>
  <si>
    <t>r1</t>
  </si>
  <si>
    <t>r2</t>
  </si>
  <si>
    <t xml:space="preserve">α </t>
  </si>
  <si>
    <t xml:space="preserve">β </t>
  </si>
  <si>
    <t xml:space="preserve">φ </t>
  </si>
  <si>
    <t>Omega A</t>
  </si>
  <si>
    <t>Omega B</t>
  </si>
  <si>
    <t>par Kr(A)</t>
  </si>
  <si>
    <t>#Adrn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</si>
</sst>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vertAlign val="subscript"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vertAlign val="subscript"/>
      <sz val="1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3" fillId="3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2" fontId="3" fillId="4" borderId="3" xfId="0" applyNumberFormat="1" applyFont="1" applyFill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6" fontId="3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 wrapText="1"/>
    </xf>
    <xf numFmtId="0" fontId="2" fillId="5" borderId="10" xfId="1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 wrapText="1"/>
    </xf>
    <xf numFmtId="0" fontId="2" fillId="5" borderId="12" xfId="1" applyFont="1" applyFill="1" applyBorder="1" applyAlignment="1">
      <alignment horizontal="center" vertical="center" wrapText="1"/>
    </xf>
    <xf numFmtId="0" fontId="2" fillId="5" borderId="13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4" borderId="10" xfId="1" applyFont="1" applyFill="1" applyBorder="1" applyAlignment="1">
      <alignment horizontal="center" vertical="center" wrapText="1"/>
    </xf>
    <xf numFmtId="0" fontId="2" fillId="4" borderId="10" xfId="1" quotePrefix="1" applyFont="1" applyFill="1" applyBorder="1" applyAlignment="1">
      <alignment horizontal="center" vertical="center" wrapText="1"/>
    </xf>
    <xf numFmtId="0" fontId="2" fillId="5" borderId="14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</cellXfs>
  <cellStyles count="2">
    <cellStyle name="Dane wyjściowe" xfId="1" builtinId="21"/>
    <cellStyle name="Normalny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-%20backu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tz"/>
      <sheetName val="Internal Data"/>
      <sheetName val="Internal radii"/>
      <sheetName val="AB"/>
      <sheetName val="ABn"/>
      <sheetName val="ABC"/>
      <sheetName val="ABBA"/>
      <sheetName val="CH3F"/>
      <sheetName val="Rotation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A1" t="str">
            <v>ωr [x1018 1/s]</v>
          </cell>
          <cell r="BB1" t="str">
            <v>ωr [x1018 1/s]</v>
          </cell>
        </row>
        <row r="2">
          <cell r="BA2">
            <v>2.2761739715425437E-2</v>
          </cell>
          <cell r="BB2">
            <v>2.276167356865039E-2</v>
          </cell>
        </row>
        <row r="3">
          <cell r="BA3">
            <v>2.2896206656783848E-2</v>
          </cell>
          <cell r="BB3">
            <v>2.2896144567504981E-2</v>
          </cell>
        </row>
        <row r="4">
          <cell r="BA4">
            <v>2.0588212004678863E-2</v>
          </cell>
          <cell r="BB4">
            <v>2.0587143026374797E-2</v>
          </cell>
        </row>
      </sheetData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tz"/>
      <sheetName val="Internal Data"/>
      <sheetName val="Internal radii"/>
      <sheetName val="AB"/>
      <sheetName val="ABn"/>
      <sheetName val="ABC"/>
      <sheetName val="ABBA"/>
      <sheetName val="CH3F"/>
      <sheetName val="Rotation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A6">
            <v>2.1807026396105041E-2</v>
          </cell>
          <cell r="BB6">
            <v>2.1800912358995107E-2</v>
          </cell>
        </row>
        <row r="7">
          <cell r="BA7">
            <v>2.2613359570963266E-2</v>
          </cell>
          <cell r="BB7">
            <v>2.2609495080213426E-2</v>
          </cell>
        </row>
        <row r="8">
          <cell r="BA8">
            <v>1.2296318489572619E-2</v>
          </cell>
          <cell r="BB8">
            <v>1.2297934682648734E-2</v>
          </cell>
        </row>
        <row r="9">
          <cell r="BA9">
            <v>9.9872961387208643E-3</v>
          </cell>
          <cell r="BB9">
            <v>9.9882625452908571E-3</v>
          </cell>
        </row>
        <row r="10">
          <cell r="BA10">
            <v>1.594409111891747E-2</v>
          </cell>
          <cell r="BB10">
            <v>1.5944091173953037E-2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956B-0832-4DD2-817B-8CF6E0040005}">
  <dimension ref="A1:BD12"/>
  <sheetViews>
    <sheetView tabSelected="1" workbookViewId="0">
      <selection activeCell="L9" sqref="L9"/>
    </sheetView>
  </sheetViews>
  <sheetFormatPr defaultRowHeight="15" x14ac:dyDescent="0.25"/>
  <sheetData>
    <row r="1" spans="1:56" s="16" customFormat="1" ht="33" customHeight="1" thickBot="1" x14ac:dyDescent="0.3">
      <c r="A1" s="20" t="s">
        <v>6</v>
      </c>
      <c r="B1" s="21" t="s">
        <v>7</v>
      </c>
      <c r="C1" s="22" t="s">
        <v>8</v>
      </c>
      <c r="D1" s="21" t="s">
        <v>9</v>
      </c>
      <c r="E1" s="22" t="s">
        <v>10</v>
      </c>
      <c r="F1" s="23" t="s">
        <v>11</v>
      </c>
      <c r="G1" s="24" t="s">
        <v>12</v>
      </c>
      <c r="H1" s="25" t="s">
        <v>13</v>
      </c>
      <c r="I1" s="21" t="s">
        <v>14</v>
      </c>
      <c r="J1" s="21" t="s">
        <v>15</v>
      </c>
      <c r="K1" s="21" t="s">
        <v>7</v>
      </c>
      <c r="L1" s="21" t="s">
        <v>9</v>
      </c>
      <c r="M1" s="21" t="s">
        <v>16</v>
      </c>
      <c r="N1" s="21" t="s">
        <v>17</v>
      </c>
      <c r="O1" s="26" t="s">
        <v>18</v>
      </c>
      <c r="P1" s="27" t="s">
        <v>19</v>
      </c>
      <c r="Q1" s="27" t="s">
        <v>20</v>
      </c>
      <c r="R1" s="27" t="s">
        <v>21</v>
      </c>
      <c r="S1" s="27" t="s">
        <v>22</v>
      </c>
      <c r="T1" s="27" t="s">
        <v>23</v>
      </c>
      <c r="U1" s="27" t="s">
        <v>24</v>
      </c>
      <c r="V1" s="26" t="s">
        <v>25</v>
      </c>
      <c r="W1" s="27" t="s">
        <v>26</v>
      </c>
      <c r="X1" s="27" t="s">
        <v>20</v>
      </c>
      <c r="Y1" s="28" t="s">
        <v>27</v>
      </c>
      <c r="Z1" s="27" t="s">
        <v>28</v>
      </c>
      <c r="AA1" s="21" t="s">
        <v>29</v>
      </c>
      <c r="AB1" s="21" t="s">
        <v>30</v>
      </c>
      <c r="AC1" s="21" t="s">
        <v>31</v>
      </c>
      <c r="AD1" s="21" t="s">
        <v>32</v>
      </c>
      <c r="AE1" s="21" t="s">
        <v>33</v>
      </c>
      <c r="AF1" s="21" t="s">
        <v>34</v>
      </c>
      <c r="AG1" s="21" t="s">
        <v>35</v>
      </c>
      <c r="AH1" s="29" t="s">
        <v>36</v>
      </c>
      <c r="AI1" s="24" t="s">
        <v>37</v>
      </c>
      <c r="AJ1" s="30" t="s">
        <v>38</v>
      </c>
      <c r="AK1" s="30" t="s">
        <v>39</v>
      </c>
      <c r="AL1" s="21" t="s">
        <v>40</v>
      </c>
      <c r="AM1" s="21" t="s">
        <v>41</v>
      </c>
      <c r="AN1" s="21" t="s">
        <v>42</v>
      </c>
      <c r="AO1" s="21" t="s">
        <v>43</v>
      </c>
      <c r="AP1" s="21" t="s">
        <v>44</v>
      </c>
      <c r="AQ1" s="29" t="s">
        <v>45</v>
      </c>
      <c r="AS1" s="16" t="s">
        <v>12</v>
      </c>
      <c r="AT1" s="16" t="s">
        <v>46</v>
      </c>
      <c r="AU1" s="16" t="s">
        <v>47</v>
      </c>
      <c r="AV1" s="16" t="s">
        <v>48</v>
      </c>
      <c r="AW1" s="16" t="s">
        <v>49</v>
      </c>
      <c r="AX1" s="16" t="s">
        <v>50</v>
      </c>
      <c r="AY1" s="16" t="s">
        <v>51</v>
      </c>
      <c r="BA1" s="16" t="s">
        <v>52</v>
      </c>
      <c r="BB1" s="16" t="s">
        <v>53</v>
      </c>
      <c r="BC1" s="16" t="s">
        <v>54</v>
      </c>
    </row>
    <row r="2" spans="1:56" s="16" customFormat="1" ht="15" customHeight="1" x14ac:dyDescent="0.25">
      <c r="A2" s="1" t="s">
        <v>0</v>
      </c>
      <c r="B2" s="2">
        <v>-17.422999999999998</v>
      </c>
      <c r="C2" s="3">
        <v>2</v>
      </c>
      <c r="D2" s="2">
        <v>-12.968</v>
      </c>
      <c r="E2" s="3">
        <v>2</v>
      </c>
      <c r="F2" s="4" t="str">
        <f>IF(B2&gt;=D2,"A","B")</f>
        <v>B</v>
      </c>
      <c r="G2" s="5">
        <v>1</v>
      </c>
      <c r="H2" s="6">
        <v>1.6279999999999999</v>
      </c>
      <c r="I2" s="7">
        <v>-2.7033125440999997</v>
      </c>
      <c r="J2" s="7">
        <v>0.88</v>
      </c>
      <c r="K2" s="8">
        <f>IF(F2="A",M2,N2)</f>
        <v>-16.39</v>
      </c>
      <c r="L2" s="7">
        <f>IF(F2="A",N2,M2)</f>
        <v>-12.66</v>
      </c>
      <c r="M2" s="7">
        <v>-12.66</v>
      </c>
      <c r="N2" s="8">
        <f>IF(Z2&lt;&gt;0,Z2,0.565*(W2-M2)+M2)</f>
        <v>-16.39</v>
      </c>
      <c r="O2" s="9">
        <v>-4.4749999999999996</v>
      </c>
      <c r="P2" s="10">
        <f>SUMXMY2(M2:N2,T2:U2)+SUMXMY2(I2:J2,R2:S2)</f>
        <v>3.0814879110195774E-31</v>
      </c>
      <c r="Q2" s="10" t="b">
        <f>AND(ABS(R2-$I2)&lt;0.0001,ABS(S2-J2)&lt;0.0001,ABS(T2-$M2)&lt;0.0001,IF(Z2&lt;0,TRUE,T2+0.0001&gt;=U2),N2-0.0001&lt;=T2)</f>
        <v>1</v>
      </c>
      <c r="R2" s="11">
        <f>-(14.3998434*AA2*AB2/(H2^3)*(SIN(AC2)*SIN(AD2)*COS(AE2)-2*COS(AC2)*COS(AD2)))*G2</f>
        <v>-2.7033125441000001</v>
      </c>
      <c r="S2" s="11">
        <f>4.803*(H2-AA2*COS(AC2)-AB2*COS(AD2))</f>
        <v>0.88000000000000034</v>
      </c>
      <c r="T2" s="11">
        <f>IF(F2="A",-14.3998434/AA2-14.3998434/AK2+14.3998434/$H2,-14.3998434/AB2-14.3998434/AJ2+14.3998434/$H2)</f>
        <v>-12.66</v>
      </c>
      <c r="U2" s="11">
        <f>IF(F2="A",-14.3998434/AB2-14.3998434/AJ2+14.3998434/$H2,-14.3998434/AA2-14.3998434/AK2+14.3998434/$H2)</f>
        <v>-16.39</v>
      </c>
      <c r="V2" s="9">
        <f>-2*G2*6*4.803^2*AA2*AB2/H2^5*(SIN(AC2)*SIN(AD2)*COS(AE2)-2*COS(AC2)*COS(AD2))/10</f>
        <v>-1.9608126892636275</v>
      </c>
      <c r="W2" s="11">
        <f>(G2*B2+G2*D2+I2-G2*M2)/G2</f>
        <v>-20.434312544099999</v>
      </c>
      <c r="X2" s="11" t="str">
        <f>IF(OR(C2&lt;G2,E2&lt;G2),"RĘCZNIE","OK")</f>
        <v>OK</v>
      </c>
      <c r="Y2" s="11" t="s">
        <v>1</v>
      </c>
      <c r="Z2" s="11">
        <v>-16.39</v>
      </c>
      <c r="AA2" s="2">
        <v>0.83264640057447648</v>
      </c>
      <c r="AB2" s="2">
        <v>1.7758796779705577</v>
      </c>
      <c r="AC2" s="7">
        <v>1.5503350323715552</v>
      </c>
      <c r="AD2" s="7">
        <v>0.63686312755346397</v>
      </c>
      <c r="AE2" s="7">
        <v>0.21624384160367086</v>
      </c>
      <c r="AF2" s="12">
        <f t="shared" ref="AF2:AH6" si="0">DEGREES(AC2)</f>
        <v>88.827654186167976</v>
      </c>
      <c r="AG2" s="12">
        <f t="shared" si="0"/>
        <v>36.489569336315299</v>
      </c>
      <c r="AH2" s="13">
        <f t="shared" si="0"/>
        <v>12.389859469585824</v>
      </c>
      <c r="AI2" s="14">
        <f>SUMXMY2(AL2:AN2,AO2:AQ2)^0.5</f>
        <v>1.88659066497102</v>
      </c>
      <c r="AJ2" s="2">
        <f>SUMSQ(AO2:AQ2)^0.5</f>
        <v>1.0748924552692425</v>
      </c>
      <c r="AK2" s="2">
        <f>SQRT((H2-AL2)^2+AM2^2+AN2^2)</f>
        <v>1.8133436937478624</v>
      </c>
      <c r="AL2" s="7">
        <f>AA2*COS(AC2)</f>
        <v>1.7035834377914411E-2</v>
      </c>
      <c r="AM2" s="7">
        <f>AA2*SIN(AC2)</f>
        <v>0.83247210688207429</v>
      </c>
      <c r="AN2" s="7">
        <v>0</v>
      </c>
      <c r="AO2" s="7">
        <f>H2-AB2*COS(AD2)</f>
        <v>0.2002546559477667</v>
      </c>
      <c r="AP2" s="7">
        <f>-AB2*SIN(AD2)*COS(AE2)</f>
        <v>-1.0314781206951378</v>
      </c>
      <c r="AQ2" s="15">
        <f>-AB2*SIN(AD2)*SIN(AE2)</f>
        <v>-0.22659379888516104</v>
      </c>
      <c r="AS2" s="17" t="str">
        <f>INT(G2)&amp;"."&amp;RIGHT(MOD(G2,1),LEN(MOD(H2,1))-2)</f>
        <v>1.0</v>
      </c>
      <c r="AT2" s="17" t="str">
        <f>INT(H2)&amp;"."&amp;RIGHT(MOD(H2,1),LEN(MOD(H2,1))-2)</f>
        <v>1.628</v>
      </c>
      <c r="AU2" s="17" t="str">
        <f t="shared" ref="AU2:AX6" si="1">INT(AA2)&amp;"."&amp;RIGHT(MOD(AA2,1),LEN(MOD(AA2,1))-2)</f>
        <v>0.832646400574476</v>
      </c>
      <c r="AV2" s="17" t="str">
        <f t="shared" si="1"/>
        <v>1.775879677970558</v>
      </c>
      <c r="AW2" s="17" t="str">
        <f t="shared" si="1"/>
        <v>1.550335032371555</v>
      </c>
      <c r="AX2" s="17" t="str">
        <f t="shared" si="1"/>
        <v>0.636863127553464</v>
      </c>
      <c r="AY2" s="17" t="str">
        <f>IFERROR(INT(AE2)&amp;"."&amp;RIGHT(MOD(AE2,1),LEN(MOD(AE2,1))-2),0)</f>
        <v>0.216243841603671</v>
      </c>
      <c r="BA2" s="18" t="e">
        <f>[1]Rotation!#REF!</f>
        <v>#REF!</v>
      </c>
      <c r="BB2" s="18" t="e">
        <f>[1]Rotation!#REF!</f>
        <v>#REF!</v>
      </c>
      <c r="BC2" s="18">
        <v>0.38323965217164913</v>
      </c>
      <c r="BD2" s="16" t="e">
        <f>N(ROUND(BA2,4)=ROUND(BB2,4))</f>
        <v>#REF!</v>
      </c>
    </row>
    <row r="3" spans="1:56" s="16" customFormat="1" ht="15" customHeight="1" x14ac:dyDescent="0.25">
      <c r="A3" s="19" t="s">
        <v>2</v>
      </c>
      <c r="B3" s="2">
        <v>-11.814</v>
      </c>
      <c r="C3" s="3">
        <v>2</v>
      </c>
      <c r="D3" s="2">
        <v>-17.422999999999998</v>
      </c>
      <c r="E3" s="3">
        <v>2</v>
      </c>
      <c r="F3" s="4" t="str">
        <f>IF(B3&gt;=D3,"A","B")</f>
        <v>A</v>
      </c>
      <c r="G3" s="5">
        <v>1</v>
      </c>
      <c r="H3" s="6">
        <v>1.7549999999999999</v>
      </c>
      <c r="I3" s="7">
        <v>-2.9019956000000002</v>
      </c>
      <c r="J3" s="7">
        <v>1.29</v>
      </c>
      <c r="K3" s="7">
        <f>IF(F3="A",M3,N3)</f>
        <v>-11.78</v>
      </c>
      <c r="L3" s="7">
        <f>IF(F3="A",N3,M3)</f>
        <v>-16.627132513999999</v>
      </c>
      <c r="M3" s="7">
        <v>-11.78</v>
      </c>
      <c r="N3" s="7">
        <f>IF(Z3&lt;&gt;0,Z3,0.565*(W3-M3)+M3)</f>
        <v>-16.627132513999999</v>
      </c>
      <c r="O3" s="9">
        <v>-4.0750000000000002</v>
      </c>
      <c r="P3" s="10">
        <f>SUMXMY2(M3:N3,T3:U3)+SUMXMY2(I3:J3,R3:S3)</f>
        <v>1.7601458947743826E-29</v>
      </c>
      <c r="Q3" s="10" t="b">
        <f>AND(ABS(R3-$I3)&lt;0.0001,ABS(S3-J3)&lt;0.0001,ABS(T3-$M3)&lt;0.0001,IF(Z3&lt;0,TRUE,T3+0.0001&gt;=U3),N3-0.0001&lt;=T3)</f>
        <v>1</v>
      </c>
      <c r="R3" s="11">
        <f>-(14.3998434*AA3*AB3/(H3^3)*(SIN(AC3)*SIN(AD3)*COS(AE3)-2*COS(AC3)*COS(AD3)))*G3</f>
        <v>-2.9019956000000016</v>
      </c>
      <c r="S3" s="11">
        <f>4.803*(H3-AA3*COS(AC3)-AB3*COS(AD3))</f>
        <v>1.2900000000000003</v>
      </c>
      <c r="T3" s="11">
        <f>IF(F3="A",-14.3998434/AA3-14.3998434/AK3+14.3998434/$H3,-14.3998434/AB3-14.3998434/AJ3+14.3998434/$H3)</f>
        <v>-11.779999999999998</v>
      </c>
      <c r="U3" s="11">
        <f>IF(F3="A",-14.3998434/AB3-14.3998434/AJ3+14.3998434/$H3,-14.3998434/AA3-14.3998434/AK3+14.3998434/$H3)</f>
        <v>-16.627132514000003</v>
      </c>
      <c r="V3" s="9">
        <f>-2*G3*6*4.803^2*AA3*AB3/H3^5*(SIN(AC3)*SIN(AD3)*COS(AE3)-2*COS(AC3)*COS(AD3))/10</f>
        <v>-1.8113032160551854</v>
      </c>
      <c r="W3" s="11">
        <f>(G3*B3+G3*D3+I3-G3*M3)/G3</f>
        <v>-20.3589956</v>
      </c>
      <c r="X3" s="11" t="str">
        <f>IF(OR(C3&lt;G3,E3&lt;G3),"RĘCZNIE","OK")</f>
        <v>OK</v>
      </c>
      <c r="Y3" s="11"/>
      <c r="Z3" s="11"/>
      <c r="AA3" s="2">
        <v>1.912364728342145</v>
      </c>
      <c r="AB3" s="2">
        <v>0.81944150701548846</v>
      </c>
      <c r="AC3" s="7">
        <v>0.63586436114904843</v>
      </c>
      <c r="AD3" s="7">
        <v>1.6345313486002848</v>
      </c>
      <c r="AE3" s="7">
        <v>4.7808412696496733E-4</v>
      </c>
      <c r="AF3" s="12">
        <f t="shared" si="0"/>
        <v>36.432344236622825</v>
      </c>
      <c r="AG3" s="12">
        <f t="shared" si="0"/>
        <v>93.651747756623024</v>
      </c>
      <c r="AH3" s="13">
        <f t="shared" si="0"/>
        <v>2.7392202727289223E-2</v>
      </c>
      <c r="AI3" s="14">
        <f>SUMXMY2(AL3:AN3,AO3:AQ3)^0.5</f>
        <v>1.9718568774586658</v>
      </c>
      <c r="AJ3" s="2">
        <f>SUMSQ(AO3:AQ3)^0.5</f>
        <v>1.9836084536879264</v>
      </c>
      <c r="AK3" s="2">
        <f>SQRT((H3-AL3)^2+AM3^2+AN3^2)</f>
        <v>1.1561332267621769</v>
      </c>
      <c r="AL3" s="7">
        <f>AA3*COS(AC3)</f>
        <v>1.5386096342403428</v>
      </c>
      <c r="AM3" s="7">
        <f>AA3*SIN(AC3)</f>
        <v>1.1357020945784704</v>
      </c>
      <c r="AN3" s="7">
        <v>0</v>
      </c>
      <c r="AO3" s="7">
        <f>H3-AB3*COS(AD3)</f>
        <v>1.8071917704052398</v>
      </c>
      <c r="AP3" s="7">
        <f>-AB3*SIN(AD3)*COS(AE3)</f>
        <v>-0.81777762849502755</v>
      </c>
      <c r="AQ3" s="15">
        <f>-AB3*SIN(AD3)*SIN(AE3)</f>
        <v>-3.909665333575417E-4</v>
      </c>
      <c r="AS3" s="17" t="str">
        <f>INT(G3)&amp;"."&amp;RIGHT(MOD(G3,1),LEN(MOD(H3,1))-2)</f>
        <v>1.0</v>
      </c>
      <c r="AT3" s="17" t="str">
        <f>INT(H3)&amp;"."&amp;RIGHT(MOD(H3,1),LEN(MOD(H3,1))-2)</f>
        <v>1.755</v>
      </c>
      <c r="AU3" s="17" t="str">
        <f t="shared" si="1"/>
        <v>1.912364728342145</v>
      </c>
      <c r="AV3" s="17" t="str">
        <f t="shared" si="1"/>
        <v>0.819441507015488</v>
      </c>
      <c r="AW3" s="17" t="str">
        <f t="shared" si="1"/>
        <v>0.635864361149048</v>
      </c>
      <c r="AX3" s="17" t="str">
        <f t="shared" si="1"/>
        <v>1.634531348600285</v>
      </c>
      <c r="AY3" s="17" t="str">
        <f>IFERROR(INT(AE3)&amp;"."&amp;RIGHT(MOD(AE3,1),LEN(MOD(AE3,1))-2),0)</f>
        <v>0.000478084126964967</v>
      </c>
      <c r="BA3" s="18" t="str">
        <f>[1]Rotation!BA1</f>
        <v>ωr [x1018 1/s]</v>
      </c>
      <c r="BB3" s="18" t="str">
        <f>[1]Rotation!BB1</f>
        <v>ωr [x1018 1/s]</v>
      </c>
      <c r="BC3" s="18">
        <v>0.65854559359341269</v>
      </c>
      <c r="BD3" s="16" t="e">
        <f>N(ROUND(BA3,4)=ROUND(BB3,4))</f>
        <v>#VALUE!</v>
      </c>
    </row>
    <row r="4" spans="1:56" s="16" customFormat="1" ht="15" customHeight="1" x14ac:dyDescent="0.25">
      <c r="A4" s="1" t="s">
        <v>3</v>
      </c>
      <c r="B4" s="2">
        <v>-11.814</v>
      </c>
      <c r="C4" s="3">
        <v>2</v>
      </c>
      <c r="D4" s="2">
        <v>-12.968</v>
      </c>
      <c r="E4" s="3">
        <v>2</v>
      </c>
      <c r="F4" s="4" t="str">
        <f>IF(B4&gt;=D4,"A","B")</f>
        <v>A</v>
      </c>
      <c r="G4" s="5">
        <v>1</v>
      </c>
      <c r="H4" s="6">
        <v>2.1379999999999999</v>
      </c>
      <c r="I4" s="7">
        <v>-2.2730916963999999</v>
      </c>
      <c r="J4" s="7">
        <v>0.56999999999999995</v>
      </c>
      <c r="K4" s="7">
        <f>IF(F4="A",M4,N4)</f>
        <v>-11.1</v>
      </c>
      <c r="L4" s="7">
        <f>IF(F4="A",N4,M4)</f>
        <v>-13.843126808466</v>
      </c>
      <c r="M4" s="7">
        <v>-11.1</v>
      </c>
      <c r="N4" s="7">
        <f>IF(Z4&lt;&gt;0,Z4,0.565*(W4-M4)+M4)</f>
        <v>-13.843126808466</v>
      </c>
      <c r="O4" s="9">
        <v>-2.86</v>
      </c>
      <c r="P4" s="10">
        <f>SUMXMY2(M4:N4,T4:U4)+SUMXMY2(I4:J4,R4:S4)</f>
        <v>6.7176436460226787E-30</v>
      </c>
      <c r="Q4" s="10" t="b">
        <f>AND(ABS(R4-$I4)&lt;0.0001,ABS(S4-J4)&lt;0.0001,ABS(T4-$M4)&lt;0.0001,IF(Z4&lt;0,TRUE,T4+0.0001&gt;=U4),N4-0.0001&lt;=T4)</f>
        <v>1</v>
      </c>
      <c r="R4" s="11">
        <f>-(14.3998434*AA4*AB4/(H4^3)*(SIN(AC4)*SIN(AD4)*COS(AE4)-2*COS(AC4)*COS(AD4)))*G4</f>
        <v>-2.273091696399999</v>
      </c>
      <c r="S4" s="11">
        <f>4.803*(H4-AA4*COS(AC4)-AB4*COS(AD4))</f>
        <v>0.57000000000000162</v>
      </c>
      <c r="T4" s="11">
        <f>IF(F4="A",-14.3998434/AA4-14.3998434/AK4+14.3998434/$H4,-14.3998434/AB4-14.3998434/AJ4+14.3998434/$H4)</f>
        <v>-11.1</v>
      </c>
      <c r="U4" s="11">
        <f>IF(F4="A",-14.3998434/AB4-14.3998434/AJ4+14.3998434/$H4,-14.3998434/AA4-14.3998434/AK4+14.3998434/$H4)</f>
        <v>-13.843126808466002</v>
      </c>
      <c r="V4" s="9">
        <f>-2*G4*6*4.803^2*AA4*AB4/H4^5*(SIN(AC4)*SIN(AD4)*COS(AE4)-2*COS(AC4)*COS(AD4))/10</f>
        <v>-0.95598307607535293</v>
      </c>
      <c r="W4" s="11">
        <f>(G4*B4+G4*D4+I4-G4*M4)/G4</f>
        <v>-15.955091696399998</v>
      </c>
      <c r="X4" s="11" t="str">
        <f>IF(OR(C4&lt;G4,E4&lt;G4),"RĘCZNIE","OK")</f>
        <v>OK</v>
      </c>
      <c r="Y4" s="11"/>
      <c r="Z4" s="11"/>
      <c r="AA4" s="2">
        <v>2.427233862424937</v>
      </c>
      <c r="AB4" s="2">
        <v>0.98287950820652303</v>
      </c>
      <c r="AC4" s="7">
        <v>0.52156769546847381</v>
      </c>
      <c r="AD4" s="7">
        <v>1.6575715885368312</v>
      </c>
      <c r="AE4" s="7">
        <v>7.3469226214672588E-5</v>
      </c>
      <c r="AF4" s="12">
        <f t="shared" si="0"/>
        <v>29.883627680708141</v>
      </c>
      <c r="AG4" s="12">
        <f t="shared" si="0"/>
        <v>94.9718562639559</v>
      </c>
      <c r="AH4" s="13">
        <f t="shared" si="0"/>
        <v>4.2094765861926484E-3</v>
      </c>
      <c r="AI4" s="14">
        <f>SUMXMY2(AL4:AN4,AO4:AQ4)^0.5</f>
        <v>2.1917416374979863</v>
      </c>
      <c r="AJ4" s="2">
        <f>SUMSQ(AO4:AQ4)^0.5</f>
        <v>2.4292667720844876</v>
      </c>
      <c r="AK4" s="2">
        <f>SQRT((H4-AL4)^2+AM4^2+AN4^2)</f>
        <v>1.2098087201915471</v>
      </c>
      <c r="AL4" s="7">
        <f>AA4*COS(AC4)</f>
        <v>2.1045068015553716</v>
      </c>
      <c r="AM4" s="7">
        <f>AA4*SIN(AC4)</f>
        <v>1.2093450066500699</v>
      </c>
      <c r="AN4" s="7">
        <v>0</v>
      </c>
      <c r="AO4" s="7">
        <f>H4-AB4*COS(AD4)</f>
        <v>2.2231826291631172</v>
      </c>
      <c r="AP4" s="7">
        <f>-AB4*SIN(AD4)*COS(AE4)</f>
        <v>-0.97918131220210491</v>
      </c>
      <c r="AQ4" s="15">
        <f>-AB4*SIN(AD4)*SIN(AE4)</f>
        <v>-7.1939693460793336E-5</v>
      </c>
      <c r="AS4" s="17" t="str">
        <f>INT(G4)&amp;"."&amp;RIGHT(MOD(G4,1),LEN(MOD(H4,1))-2)</f>
        <v>1.0</v>
      </c>
      <c r="AT4" s="17" t="str">
        <f>INT(H4)&amp;"."&amp;RIGHT(MOD(H4,1),LEN(MOD(H4,1))-2)</f>
        <v>2.138</v>
      </c>
      <c r="AU4" s="17" t="str">
        <f t="shared" si="1"/>
        <v>2.427233862424937</v>
      </c>
      <c r="AV4" s="17" t="str">
        <f t="shared" si="1"/>
        <v>0.982879508206523</v>
      </c>
      <c r="AW4" s="17" t="str">
        <f t="shared" si="1"/>
        <v>0.521567695468474</v>
      </c>
      <c r="AX4" s="17" t="str">
        <f t="shared" si="1"/>
        <v>1.657571588536831</v>
      </c>
      <c r="AY4" s="17" t="str">
        <f>IFERROR(INT(AE4)&amp;"."&amp;RIGHT(MOD(AE4,1),LEN(MOD(AE4,1))-2),0)</f>
        <v>0.34692262146726E-05</v>
      </c>
      <c r="BA4" s="18">
        <f>[1]Rotation!BA2</f>
        <v>2.2761739715425437E-2</v>
      </c>
      <c r="BB4" s="18">
        <f>[1]Rotation!BB2</f>
        <v>2.276167356865039E-2</v>
      </c>
      <c r="BC4" s="18">
        <v>0.60401599768777936</v>
      </c>
      <c r="BD4" s="16">
        <f>N(ROUND(BA4,4)=ROUND(BB4,4))</f>
        <v>1</v>
      </c>
    </row>
    <row r="5" spans="1:56" s="16" customFormat="1" ht="15" customHeight="1" x14ac:dyDescent="0.25">
      <c r="A5" s="1" t="s">
        <v>4</v>
      </c>
      <c r="B5" s="2">
        <v>-10.451000000000001</v>
      </c>
      <c r="C5" s="3">
        <v>2</v>
      </c>
      <c r="D5" s="2">
        <v>-12.968</v>
      </c>
      <c r="E5" s="3">
        <v>2</v>
      </c>
      <c r="F5" s="4" t="str">
        <f>IF(B5&gt;=D5,"A","B")</f>
        <v>A</v>
      </c>
      <c r="G5" s="5">
        <v>1</v>
      </c>
      <c r="H5" s="6">
        <v>2.3207</v>
      </c>
      <c r="I5" s="7">
        <v>-2.1899702510000001</v>
      </c>
      <c r="J5" s="7">
        <v>0.65</v>
      </c>
      <c r="K5" s="7">
        <f>IF(F5="A",M5,N5)</f>
        <v>-10.08</v>
      </c>
      <c r="L5" s="8">
        <f>IF(F5="A",N5,M5)</f>
        <v>-12.88</v>
      </c>
      <c r="M5" s="7">
        <v>-10.08</v>
      </c>
      <c r="N5" s="8">
        <f>IF(Z5&lt;&gt;0,Z5,0.565*(W5-M5)+M5)</f>
        <v>-12.88</v>
      </c>
      <c r="O5" s="9">
        <v>-2.4140000000000001</v>
      </c>
      <c r="P5" s="10">
        <f>SUMXMY2(M5:N5,T5:U5)+SUMXMY2(I5:J5,R5:S5)</f>
        <v>6.6190360328700522E-30</v>
      </c>
      <c r="Q5" s="10" t="b">
        <f>AND(ABS(R5-$I5)&lt;0.0001,ABS(S5-J5)&lt;0.0001,ABS(T5-$M5)&lt;0.0001,IF(Z5&lt;0,TRUE,T5+0.0001&gt;=U5),N5-0.0001&lt;=T5)</f>
        <v>1</v>
      </c>
      <c r="R5" s="11">
        <f>-(14.3998434*AA5*AB5/(H5^3)*(SIN(AC5)*SIN(AD5)*COS(AE5)-2*COS(AC5)*COS(AD5)))*G5</f>
        <v>-2.1899702510000001</v>
      </c>
      <c r="S5" s="11">
        <f>4.803*(H5-AA5*COS(AC5)-AB5*COS(AD5))</f>
        <v>0.64999999999999947</v>
      </c>
      <c r="T5" s="11">
        <f>IF(F5="A",-14.3998434/AA5-14.3998434/AK5+14.3998434/$H5,-14.3998434/AB5-14.3998434/AJ5+14.3998434/$H5)</f>
        <v>-10.079999999999998</v>
      </c>
      <c r="U5" s="11">
        <f>IF(F5="A",-14.3998434/AB5-14.3998434/AJ5+14.3998434/$H5,-14.3998434/AA5-14.3998434/AK5+14.3998434/$H5)</f>
        <v>-12.879999999999999</v>
      </c>
      <c r="V5" s="9">
        <f>-2*G5*6*4.803^2*AA5*AB5/H5^5*(SIN(AC5)*SIN(AD5)*COS(AE5)-2*COS(AC5)*COS(AD5))/10</f>
        <v>-0.78171574789369846</v>
      </c>
      <c r="W5" s="11">
        <f>(G5*B5+G5*D5+I5-G5*M5)/G5</f>
        <v>-15.528970251000002</v>
      </c>
      <c r="X5" s="11" t="str">
        <f>IF(OR(C5&lt;G5,E5&lt;G5),"RĘCZNIE","OK")</f>
        <v>OK</v>
      </c>
      <c r="Y5" s="11" t="s">
        <v>1</v>
      </c>
      <c r="Z5" s="11">
        <v>-12.88</v>
      </c>
      <c r="AA5" s="2">
        <v>1.3020366499614326</v>
      </c>
      <c r="AB5" s="2">
        <v>2.5346752307740927</v>
      </c>
      <c r="AC5" s="7">
        <v>1.6557731438969205</v>
      </c>
      <c r="AD5" s="7">
        <v>0.43756124362930482</v>
      </c>
      <c r="AE5" s="7">
        <v>0</v>
      </c>
      <c r="AF5" s="12">
        <f t="shared" si="0"/>
        <v>94.868812976401088</v>
      </c>
      <c r="AG5" s="12">
        <f t="shared" si="0"/>
        <v>25.070412538454747</v>
      </c>
      <c r="AH5" s="13">
        <f t="shared" si="0"/>
        <v>0</v>
      </c>
      <c r="AI5" s="14">
        <f>SUMXMY2(AL5:AN5,AO5:AQ5)^0.5</f>
        <v>2.3752192808150032</v>
      </c>
      <c r="AJ5" s="2">
        <f>SUMSQ(AO5:AQ5)^0.5</f>
        <v>1.0743091264888487</v>
      </c>
      <c r="AK5" s="2">
        <f>SQRT((H5-AL5)^2+AM5^2+AN5^2)</f>
        <v>2.75569740706276</v>
      </c>
      <c r="AL5" s="7">
        <f>AA5*COS(AC5)</f>
        <v>-0.11050981847064008</v>
      </c>
      <c r="AM5" s="7">
        <f>AA5*SIN(AC5)</f>
        <v>1.2973384361315965</v>
      </c>
      <c r="AN5" s="7">
        <v>0</v>
      </c>
      <c r="AO5" s="7">
        <f>H5-AB5*COS(AD5)</f>
        <v>2.4822265643455133E-2</v>
      </c>
      <c r="AP5" s="7">
        <f>-AB5*SIN(AD5)*COS(AE5)</f>
        <v>-1.0740223249009115</v>
      </c>
      <c r="AQ5" s="15">
        <f>-AB5*SIN(AD5)*SIN(AE5)</f>
        <v>0</v>
      </c>
      <c r="AS5" s="17" t="str">
        <f>INT(G5)&amp;"."&amp;RIGHT(MOD(G5,1),LEN(MOD(H5,1))-2)</f>
        <v>1.0</v>
      </c>
      <c r="AT5" s="17" t="str">
        <f>INT(H5)&amp;"."&amp;RIGHT(MOD(H5,1),LEN(MOD(H5,1))-2)</f>
        <v>2.3207</v>
      </c>
      <c r="AU5" s="17" t="str">
        <f t="shared" si="1"/>
        <v>1.302036649961433</v>
      </c>
      <c r="AV5" s="17" t="str">
        <f t="shared" si="1"/>
        <v>2.534675230774093</v>
      </c>
      <c r="AW5" s="17" t="str">
        <f t="shared" si="1"/>
        <v>1.655773143896921</v>
      </c>
      <c r="AX5" s="17" t="str">
        <f t="shared" si="1"/>
        <v>0.437561243629305</v>
      </c>
      <c r="AY5" s="17">
        <f>IFERROR(INT(AE5)&amp;"."&amp;RIGHT(MOD(AE5,1),LEN(MOD(AE5,1))-2),0)</f>
        <v>0</v>
      </c>
      <c r="BA5" s="18">
        <f>[1]Rotation!BA3</f>
        <v>2.2896206656783848E-2</v>
      </c>
      <c r="BB5" s="18">
        <f>[1]Rotation!BB3</f>
        <v>2.2896144567504981E-2</v>
      </c>
      <c r="BC5" s="18">
        <v>0.59334241772134544</v>
      </c>
      <c r="BD5" s="16">
        <f>N(ROUND(BA5,4)=ROUND(BB5,4))</f>
        <v>1</v>
      </c>
    </row>
    <row r="6" spans="1:56" s="16" customFormat="1" ht="15" customHeight="1" x14ac:dyDescent="0.25">
      <c r="A6" s="1" t="s">
        <v>5</v>
      </c>
      <c r="B6" s="2">
        <v>-10.45</v>
      </c>
      <c r="C6" s="3">
        <v>2</v>
      </c>
      <c r="D6" s="2">
        <v>-11.814</v>
      </c>
      <c r="E6" s="3">
        <v>2</v>
      </c>
      <c r="F6" s="4" t="str">
        <f>IF(B6&gt;=D6,"A","B")</f>
        <v>A</v>
      </c>
      <c r="G6" s="5">
        <v>1</v>
      </c>
      <c r="H6" s="6">
        <v>2.4849999999999999</v>
      </c>
      <c r="I6" s="7">
        <v>-1.8562407569999999</v>
      </c>
      <c r="J6" s="7">
        <v>0.73699999999999999</v>
      </c>
      <c r="K6" s="7">
        <f>IF(F6="A",M6,N6)</f>
        <v>-9.85</v>
      </c>
      <c r="L6" s="8">
        <f>IF(F6="A",N6,M6)</f>
        <v>-11.99</v>
      </c>
      <c r="M6" s="7">
        <v>-9.85</v>
      </c>
      <c r="N6" s="8">
        <f>IF(Z6&lt;&gt;0,Z6,0.565*(W6-M6)+M6)</f>
        <v>-11.99</v>
      </c>
      <c r="O6" s="9">
        <v>-2.0779999999999998</v>
      </c>
      <c r="P6" s="10">
        <f>SUMXMY2(M6:N6,T6:U6)+SUMXMY2(I6:J6,R6:S6)</f>
        <v>7.3092893249384375E-30</v>
      </c>
      <c r="Q6" s="10" t="b">
        <f>AND(ABS(R6-$I6)&lt;0.0001,ABS(S6-J6)&lt;0.0001,ABS(T6-$M6)&lt;0.0001,IF(Z6&lt;0,TRUE,T6+0.0001&gt;=U6),N6-0.0001&lt;=T6)</f>
        <v>1</v>
      </c>
      <c r="R6" s="11">
        <f>-(14.3998434*AA6*AB6/(H6^3)*(SIN(AC6)*SIN(AD6)*COS(AE6)-2*COS(AC6)*COS(AD6)))*G6</f>
        <v>-1.8562407569999999</v>
      </c>
      <c r="S6" s="11">
        <f>4.803*(H6-AA6*COS(AC6)-AB6*COS(AD6))</f>
        <v>0.73699999999999899</v>
      </c>
      <c r="T6" s="11">
        <f>IF(F6="A",-14.3998434/AA6-14.3998434/AK6+14.3998434/$H6,-14.3998434/AB6-14.3998434/AJ6+14.3998434/$H6)</f>
        <v>-9.8499999999999979</v>
      </c>
      <c r="U6" s="11">
        <f>IF(F6="A",-14.3998434/AB6-14.3998434/AJ6+14.3998434/$H6,-14.3998434/AA6-14.3998434/AK6+14.3998434/$H6)</f>
        <v>-11.989999999999998</v>
      </c>
      <c r="V6" s="9">
        <f>-2*G6*6*4.803^2*AA6*AB6/H6^5*(SIN(AC6)*SIN(AD6)*COS(AE6)-2*COS(AC6)*COS(AD6))/10</f>
        <v>-0.57787002589046155</v>
      </c>
      <c r="W6" s="11">
        <f>(G6*B6+G6*D6+I6-G6*M6)/G6</f>
        <v>-14.270240756999998</v>
      </c>
      <c r="X6" s="11" t="str">
        <f>IF(OR(C6&lt;G6,E6&lt;G6),"RĘCZNIE","OK")</f>
        <v>OK</v>
      </c>
      <c r="Y6" s="11" t="s">
        <v>1</v>
      </c>
      <c r="Z6" s="11">
        <v>-11.99</v>
      </c>
      <c r="AA6" s="2">
        <v>2.7814748425373961</v>
      </c>
      <c r="AB6" s="2">
        <v>1.1372893138844311</v>
      </c>
      <c r="AC6" s="7">
        <v>0.51668002290165405</v>
      </c>
      <c r="AD6" s="7">
        <v>1.647226022253631</v>
      </c>
      <c r="AE6" s="7">
        <v>5.8636656761163939E-5</v>
      </c>
      <c r="AF6" s="12">
        <f t="shared" si="0"/>
        <v>29.603584670987495</v>
      </c>
      <c r="AG6" s="12">
        <f t="shared" si="0"/>
        <v>94.379098979255673</v>
      </c>
      <c r="AH6" s="13">
        <f t="shared" si="0"/>
        <v>3.3596329571719367E-3</v>
      </c>
      <c r="AI6" s="14">
        <f>SUMXMY2(AL6:AN6,AO6:AQ6)^0.5</f>
        <v>2.512697076891663</v>
      </c>
      <c r="AJ6" s="2">
        <f>SUMSQ(AO6:AQ6)^0.5</f>
        <v>2.8107360623402027</v>
      </c>
      <c r="AK6" s="2">
        <f>SQRT((H6-AL6)^2+AM6^2+AN6^2)</f>
        <v>1.3756516686415414</v>
      </c>
      <c r="AL6" s="7">
        <f>AA6*COS(AC6)</f>
        <v>2.4183923111131138</v>
      </c>
      <c r="AM6" s="7">
        <f>AA6*SIN(AC6)</f>
        <v>1.3740381833185733</v>
      </c>
      <c r="AN6" s="7">
        <v>0</v>
      </c>
      <c r="AO6" s="7">
        <f>H6-AB6*COS(AD6)</f>
        <v>2.5718380741778648</v>
      </c>
      <c r="AP6" s="7">
        <f>-AB6*SIN(AD6)*COS(AE6)</f>
        <v>-1.1339691917894383</v>
      </c>
      <c r="AQ6" s="15">
        <f>-AB6*SIN(AD6)*SIN(AE6)</f>
        <v>-6.6492162352897497E-5</v>
      </c>
      <c r="AS6" s="17" t="str">
        <f>INT(G6)&amp;"."&amp;RIGHT(MOD(G6,1),LEN(MOD(H6,1))-2)</f>
        <v>1.0</v>
      </c>
      <c r="AT6" s="17" t="str">
        <f>INT(H6)&amp;"."&amp;RIGHT(MOD(H6,1),LEN(MOD(H6,1))-2)</f>
        <v>2.485</v>
      </c>
      <c r="AU6" s="17" t="str">
        <f t="shared" si="1"/>
        <v>2.781474842537396</v>
      </c>
      <c r="AV6" s="17" t="str">
        <f t="shared" si="1"/>
        <v>1.137289313884431</v>
      </c>
      <c r="AW6" s="17" t="str">
        <f t="shared" si="1"/>
        <v>0.516680022901654</v>
      </c>
      <c r="AX6" s="17" t="str">
        <f t="shared" si="1"/>
        <v>1.647226022253631</v>
      </c>
      <c r="AY6" s="17" t="str">
        <f>IFERROR(INT(AE6)&amp;"."&amp;RIGHT(MOD(AE6,1),LEN(MOD(AE6,1))-2),0)</f>
        <v>0.86366567611639E-05</v>
      </c>
      <c r="BA6" s="18">
        <f>[1]Rotation!BA4</f>
        <v>2.0588212004678863E-2</v>
      </c>
      <c r="BB6" s="18">
        <f>[1]Rotation!BB4</f>
        <v>2.0587143026374797E-2</v>
      </c>
      <c r="BC6" s="18">
        <v>0.59485033041893109</v>
      </c>
      <c r="BD6" s="16">
        <f>N(ROUND(BA6,4)=ROUND(BB6,4))</f>
        <v>1</v>
      </c>
    </row>
    <row r="7" spans="1:56" x14ac:dyDescent="0.25">
      <c r="A7" s="31" t="s">
        <v>55</v>
      </c>
    </row>
    <row r="8" spans="1:56" s="16" customFormat="1" ht="15" customHeight="1" x14ac:dyDescent="0.25">
      <c r="A8" s="1" t="s">
        <v>0</v>
      </c>
      <c r="B8" s="2">
        <v>-17.422999999999998</v>
      </c>
      <c r="C8" s="3">
        <v>2</v>
      </c>
      <c r="D8" s="2">
        <v>-12.968</v>
      </c>
      <c r="E8" s="3">
        <v>2</v>
      </c>
      <c r="F8" s="4" t="str">
        <f>IF(B8&gt;=D8,"A","B")</f>
        <v>B</v>
      </c>
      <c r="G8" s="5">
        <v>1</v>
      </c>
      <c r="H8" s="6">
        <v>1.6279999999999999</v>
      </c>
      <c r="I8" s="7">
        <v>-2.7033125440999997</v>
      </c>
      <c r="J8" s="7">
        <v>0.88</v>
      </c>
      <c r="K8" s="8">
        <f>IF(F8="A",M8,N8)</f>
        <v>-16.39</v>
      </c>
      <c r="L8" s="7">
        <f>IF(F8="A",N8,M8)</f>
        <v>-12.66</v>
      </c>
      <c r="M8" s="7">
        <v>-12.66</v>
      </c>
      <c r="N8" s="8">
        <f>IF(Z8&lt;&gt;0,Z8,0.565*(W8-M8)+M8)</f>
        <v>-16.39</v>
      </c>
      <c r="O8" s="9">
        <v>-4.4749999999999996</v>
      </c>
      <c r="P8" s="10">
        <f>SUMXMY2(M8:N8,T8:U8)+SUMXMY2(I8:J8,R8:S8)</f>
        <v>3.0814879110195774E-31</v>
      </c>
      <c r="Q8" s="10" t="b">
        <f>AND(ABS(R8-$I8)&lt;0.0001,ABS(S8-J8)&lt;0.0001,ABS(T8-$M8)&lt;0.0001,IF(Z8&lt;0,TRUE,T8+0.0001&gt;=U8),N8-0.0001&lt;=T8)</f>
        <v>1</v>
      </c>
      <c r="R8" s="11">
        <f>-(14.3998434*AA8*AB8/(H8^3)*(SIN(AC8)*SIN(AD8)*COS(AE8)-2*COS(AC8)*COS(AD8)))*G8</f>
        <v>-2.7033125441000001</v>
      </c>
      <c r="S8" s="11">
        <f>4.803*(H8-AA8*COS(AC8)-AB8*COS(AD8))</f>
        <v>0.88000000000000034</v>
      </c>
      <c r="T8" s="11">
        <f>IF(F8="A",-14.3998434/AA8-14.3998434/AK8+14.3998434/$H8,-14.3998434/AB8-14.3998434/AJ8+14.3998434/$H8)</f>
        <v>-12.66</v>
      </c>
      <c r="U8" s="11">
        <f>IF(F8="A",-14.3998434/AB8-14.3998434/AJ8+14.3998434/$H8,-14.3998434/AA8-14.3998434/AK8+14.3998434/$H8)</f>
        <v>-16.39</v>
      </c>
      <c r="V8" s="9">
        <f>-2*G8*6*4.803^2*AA8*AB8/H8^5*(SIN(AC8)*SIN(AD8)*COS(AE8)-2*COS(AC8)*COS(AD8))/10</f>
        <v>-1.9608126892636275</v>
      </c>
      <c r="W8" s="11">
        <f>(G8*B8+G8*D8+I8-G8*M8)/G8</f>
        <v>-20.434312544099999</v>
      </c>
      <c r="X8" s="11" t="str">
        <f>IF(OR(C8&lt;G8,E8&lt;G8),"RĘCZNIE","OK")</f>
        <v>OK</v>
      </c>
      <c r="Y8" s="11" t="s">
        <v>1</v>
      </c>
      <c r="Z8" s="11">
        <v>-16.39</v>
      </c>
      <c r="AA8" s="2">
        <v>0.83264640057447648</v>
      </c>
      <c r="AB8" s="2">
        <v>1.7758796779705577</v>
      </c>
      <c r="AC8" s="7">
        <v>1.5503350323715552</v>
      </c>
      <c r="AD8" s="7">
        <v>0.63686312755346397</v>
      </c>
      <c r="AE8" s="7">
        <v>0.21624384160367086</v>
      </c>
      <c r="AF8" s="12">
        <f t="shared" ref="AF8:AH12" si="2">DEGREES(AC8)</f>
        <v>88.827654186167976</v>
      </c>
      <c r="AG8" s="12">
        <f t="shared" si="2"/>
        <v>36.489569336315299</v>
      </c>
      <c r="AH8" s="13">
        <f t="shared" si="2"/>
        <v>12.389859469585824</v>
      </c>
      <c r="AI8" s="14">
        <f>SUMXMY2(AL8:AN8,AO8:AQ8)^0.5</f>
        <v>1.88659066497102</v>
      </c>
      <c r="AJ8" s="2">
        <f>SUMSQ(AO8:AQ8)^0.5</f>
        <v>1.0748924552692425</v>
      </c>
      <c r="AK8" s="2">
        <f>SQRT((H8-AL8)^2+AM8^2+AN8^2)</f>
        <v>1.8133436937478624</v>
      </c>
      <c r="AL8" s="7">
        <f>AA8*COS(AC8)</f>
        <v>1.7035834377914411E-2</v>
      </c>
      <c r="AM8" s="7">
        <f>AA8*SIN(AC8)</f>
        <v>0.83247210688207429</v>
      </c>
      <c r="AN8" s="7">
        <v>0</v>
      </c>
      <c r="AO8" s="7">
        <f>H8-AB8*COS(AD8)</f>
        <v>0.2002546559477667</v>
      </c>
      <c r="AP8" s="7">
        <f>-AB8*SIN(AD8)*COS(AE8)</f>
        <v>-1.0314781206951378</v>
      </c>
      <c r="AQ8" s="15">
        <f>-AB8*SIN(AD8)*SIN(AE8)</f>
        <v>-0.22659379888516104</v>
      </c>
      <c r="AS8" s="17" t="str">
        <f>INT(G8)&amp;"."&amp;RIGHT(MOD(G8,1),LEN(MOD(H8,1))-2)</f>
        <v>1.0</v>
      </c>
      <c r="AT8" s="17" t="str">
        <f>INT(H8)&amp;"."&amp;RIGHT(MOD(H8,1),LEN(MOD(H8,1))-2)</f>
        <v>1.628</v>
      </c>
      <c r="AU8" s="17" t="str">
        <f t="shared" ref="AU8:AX12" si="3">INT(AA8)&amp;"."&amp;RIGHT(MOD(AA8,1),LEN(MOD(AA8,1))-2)</f>
        <v>0.832646400574476</v>
      </c>
      <c r="AV8" s="17" t="str">
        <f t="shared" si="3"/>
        <v>1.775879677970558</v>
      </c>
      <c r="AW8" s="17" t="str">
        <f t="shared" si="3"/>
        <v>1.550335032371555</v>
      </c>
      <c r="AX8" s="17" t="str">
        <f t="shared" si="3"/>
        <v>0.636863127553464</v>
      </c>
      <c r="AY8" s="17" t="str">
        <f>IFERROR(INT(AE8)&amp;"."&amp;RIGHT(MOD(AE8,1),LEN(MOD(AE8,1))-2),0)</f>
        <v>0.216243841603671</v>
      </c>
      <c r="BA8" s="18">
        <f ca="1">[2]Rotation!BA6</f>
        <v>2.1807026396105041E-2</v>
      </c>
      <c r="BB8" s="18">
        <f ca="1">[2]Rotation!BB6</f>
        <v>2.1800912358995107E-2</v>
      </c>
      <c r="BC8" s="18">
        <v>0.38323965217164913</v>
      </c>
      <c r="BD8" s="16">
        <f ca="1">N(ROUND(BA8,4)=ROUND(BB8,4))</f>
        <v>1</v>
      </c>
    </row>
    <row r="9" spans="1:56" s="16" customFormat="1" ht="15" customHeight="1" x14ac:dyDescent="0.25">
      <c r="A9" s="19" t="s">
        <v>2</v>
      </c>
      <c r="B9" s="2">
        <v>-11.814</v>
      </c>
      <c r="C9" s="3">
        <v>2</v>
      </c>
      <c r="D9" s="2">
        <v>-17.422999999999998</v>
      </c>
      <c r="E9" s="3">
        <v>2</v>
      </c>
      <c r="F9" s="4" t="str">
        <f>IF(B9&gt;=D9,"A","B")</f>
        <v>A</v>
      </c>
      <c r="G9" s="5">
        <v>1</v>
      </c>
      <c r="H9" s="6">
        <v>1.7549999999999999</v>
      </c>
      <c r="I9" s="7">
        <v>-2.9019956000000002</v>
      </c>
      <c r="J9" s="7">
        <v>1.29</v>
      </c>
      <c r="K9" s="7">
        <f>IF(F9="A",M9,N9)</f>
        <v>-11.78</v>
      </c>
      <c r="L9" s="7">
        <f>IF(F9="A",N9,M9)</f>
        <v>-16.627132513999999</v>
      </c>
      <c r="M9" s="7">
        <v>-11.78</v>
      </c>
      <c r="N9" s="7">
        <f>IF(Z9&lt;&gt;0,Z9,0.565*(W9-M9)+M9)</f>
        <v>-16.627132513999999</v>
      </c>
      <c r="O9" s="9">
        <v>-4.0750000000000002</v>
      </c>
      <c r="P9" s="10">
        <f>SUMXMY2(M9:N9,T9:U9)+SUMXMY2(I9:J9,R9:S9)</f>
        <v>1.7601458947743826E-29</v>
      </c>
      <c r="Q9" s="10" t="b">
        <f>AND(ABS(R9-$I9)&lt;0.0001,ABS(S9-J9)&lt;0.0001,ABS(T9-$M9)&lt;0.0001,IF(Z9&lt;0,TRUE,T9+0.0001&gt;=U9),N9-0.0001&lt;=T9)</f>
        <v>1</v>
      </c>
      <c r="R9" s="11">
        <f>-(14.3998434*AA9*AB9/(H9^3)*(SIN(AC9)*SIN(AD9)*COS(AE9)-2*COS(AC9)*COS(AD9)))*G9</f>
        <v>-2.9019956000000016</v>
      </c>
      <c r="S9" s="11">
        <f>4.803*(H9-AA9*COS(AC9)-AB9*COS(AD9))</f>
        <v>1.2900000000000003</v>
      </c>
      <c r="T9" s="11">
        <f>IF(F9="A",-14.3998434/AA9-14.3998434/AK9+14.3998434/$H9,-14.3998434/AB9-14.3998434/AJ9+14.3998434/$H9)</f>
        <v>-11.779999999999998</v>
      </c>
      <c r="U9" s="11">
        <f>IF(F9="A",-14.3998434/AB9-14.3998434/AJ9+14.3998434/$H9,-14.3998434/AA9-14.3998434/AK9+14.3998434/$H9)</f>
        <v>-16.627132514000003</v>
      </c>
      <c r="V9" s="9">
        <f>-2*G9*6*4.803^2*AA9*AB9/H9^5*(SIN(AC9)*SIN(AD9)*COS(AE9)-2*COS(AC9)*COS(AD9))/10</f>
        <v>-1.8113032160551854</v>
      </c>
      <c r="W9" s="11">
        <f>(G9*B9+G9*D9+I9-G9*M9)/G9</f>
        <v>-20.3589956</v>
      </c>
      <c r="X9" s="11" t="str">
        <f>IF(OR(C9&lt;G9,E9&lt;G9),"RĘCZNIE","OK")</f>
        <v>OK</v>
      </c>
      <c r="Y9" s="11"/>
      <c r="Z9" s="11"/>
      <c r="AA9" s="2">
        <v>1.912364728342145</v>
      </c>
      <c r="AB9" s="2">
        <v>0.81944150701548846</v>
      </c>
      <c r="AC9" s="7">
        <v>0.63586436114904843</v>
      </c>
      <c r="AD9" s="7">
        <v>1.6345313486002848</v>
      </c>
      <c r="AE9" s="7">
        <v>4.7808412696496733E-4</v>
      </c>
      <c r="AF9" s="12">
        <f t="shared" si="2"/>
        <v>36.432344236622825</v>
      </c>
      <c r="AG9" s="12">
        <f t="shared" si="2"/>
        <v>93.651747756623024</v>
      </c>
      <c r="AH9" s="13">
        <f t="shared" si="2"/>
        <v>2.7392202727289223E-2</v>
      </c>
      <c r="AI9" s="14">
        <f>SUMXMY2(AL9:AN9,AO9:AQ9)^0.5</f>
        <v>1.9718568774586658</v>
      </c>
      <c r="AJ9" s="2">
        <f>SUMSQ(AO9:AQ9)^0.5</f>
        <v>1.9836084536879264</v>
      </c>
      <c r="AK9" s="2">
        <f>SQRT((H9-AL9)^2+AM9^2+AN9^2)</f>
        <v>1.1561332267621769</v>
      </c>
      <c r="AL9" s="7">
        <f>AA9*COS(AC9)</f>
        <v>1.5386096342403428</v>
      </c>
      <c r="AM9" s="7">
        <f>AA9*SIN(AC9)</f>
        <v>1.1357020945784704</v>
      </c>
      <c r="AN9" s="7">
        <v>0</v>
      </c>
      <c r="AO9" s="7">
        <f>H9-AB9*COS(AD9)</f>
        <v>1.8071917704052398</v>
      </c>
      <c r="AP9" s="7">
        <f>-AB9*SIN(AD9)*COS(AE9)</f>
        <v>-0.81777762849502755</v>
      </c>
      <c r="AQ9" s="15">
        <f>-AB9*SIN(AD9)*SIN(AE9)</f>
        <v>-3.909665333575417E-4</v>
      </c>
      <c r="AS9" s="17" t="str">
        <f>INT(G9)&amp;"."&amp;RIGHT(MOD(G9,1),LEN(MOD(H9,1))-2)</f>
        <v>1.0</v>
      </c>
      <c r="AT9" s="17" t="str">
        <f>INT(H9)&amp;"."&amp;RIGHT(MOD(H9,1),LEN(MOD(H9,1))-2)</f>
        <v>1.755</v>
      </c>
      <c r="AU9" s="17" t="str">
        <f t="shared" si="3"/>
        <v>1.912364728342145</v>
      </c>
      <c r="AV9" s="17" t="str">
        <f t="shared" si="3"/>
        <v>0.819441507015488</v>
      </c>
      <c r="AW9" s="17" t="str">
        <f t="shared" si="3"/>
        <v>0.635864361149048</v>
      </c>
      <c r="AX9" s="17" t="str">
        <f t="shared" si="3"/>
        <v>1.634531348600285</v>
      </c>
      <c r="AY9" s="17" t="str">
        <f>IFERROR(INT(AE9)&amp;"."&amp;RIGHT(MOD(AE9,1),LEN(MOD(AE9,1))-2),0)</f>
        <v>0.000478084126964967</v>
      </c>
      <c r="BA9" s="18">
        <f ca="1">[2]Rotation!BA7</f>
        <v>2.2613359570963266E-2</v>
      </c>
      <c r="BB9" s="18">
        <f ca="1">[2]Rotation!BB7</f>
        <v>2.2609495080213426E-2</v>
      </c>
      <c r="BC9" s="18">
        <v>0.65854559359341269</v>
      </c>
      <c r="BD9" s="16">
        <f ca="1">N(ROUND(BA9,4)=ROUND(BB9,4))</f>
        <v>1</v>
      </c>
    </row>
    <row r="10" spans="1:56" s="16" customFormat="1" ht="15" customHeight="1" x14ac:dyDescent="0.25">
      <c r="A10" s="1" t="s">
        <v>3</v>
      </c>
      <c r="B10" s="2">
        <v>-11.814</v>
      </c>
      <c r="C10" s="3">
        <v>2</v>
      </c>
      <c r="D10" s="2">
        <v>-12.968</v>
      </c>
      <c r="E10" s="3">
        <v>2</v>
      </c>
      <c r="F10" s="4" t="str">
        <f>IF(B10&gt;=D10,"A","B")</f>
        <v>A</v>
      </c>
      <c r="G10" s="5">
        <v>1</v>
      </c>
      <c r="H10" s="6">
        <v>2.1379999999999999</v>
      </c>
      <c r="I10" s="7">
        <v>-2.2730916963999999</v>
      </c>
      <c r="J10" s="7">
        <v>0.56999999999999995</v>
      </c>
      <c r="K10" s="7">
        <f>IF(F10="A",M10,N10)</f>
        <v>-11.1</v>
      </c>
      <c r="L10" s="7">
        <f>IF(F10="A",N10,M10)</f>
        <v>-13.843126808466</v>
      </c>
      <c r="M10" s="7">
        <v>-11.1</v>
      </c>
      <c r="N10" s="7">
        <f>IF(Z10&lt;&gt;0,Z10,0.565*(W10-M10)+M10)</f>
        <v>-13.843126808466</v>
      </c>
      <c r="O10" s="9">
        <v>-2.86</v>
      </c>
      <c r="P10" s="10">
        <f>SUMXMY2(M10:N10,T10:U10)+SUMXMY2(I10:J10,R10:S10)</f>
        <v>6.7176436460226787E-30</v>
      </c>
      <c r="Q10" s="10" t="b">
        <f>AND(ABS(R10-$I10)&lt;0.0001,ABS(S10-J10)&lt;0.0001,ABS(T10-$M10)&lt;0.0001,IF(Z10&lt;0,TRUE,T10+0.0001&gt;=U10),N10-0.0001&lt;=T10)</f>
        <v>1</v>
      </c>
      <c r="R10" s="11">
        <f>-(14.3998434*AA10*AB10/(H10^3)*(SIN(AC10)*SIN(AD10)*COS(AE10)-2*COS(AC10)*COS(AD10)))*G10</f>
        <v>-2.273091696399999</v>
      </c>
      <c r="S10" s="11">
        <f>4.803*(H10-AA10*COS(AC10)-AB10*COS(AD10))</f>
        <v>0.57000000000000162</v>
      </c>
      <c r="T10" s="11">
        <f>IF(F10="A",-14.3998434/AA10-14.3998434/AK10+14.3998434/$H10,-14.3998434/AB10-14.3998434/AJ10+14.3998434/$H10)</f>
        <v>-11.1</v>
      </c>
      <c r="U10" s="11">
        <f>IF(F10="A",-14.3998434/AB10-14.3998434/AJ10+14.3998434/$H10,-14.3998434/AA10-14.3998434/AK10+14.3998434/$H10)</f>
        <v>-13.843126808466002</v>
      </c>
      <c r="V10" s="9">
        <f>-2*G10*6*4.803^2*AA10*AB10/H10^5*(SIN(AC10)*SIN(AD10)*COS(AE10)-2*COS(AC10)*COS(AD10))/10</f>
        <v>-0.95598307607535293</v>
      </c>
      <c r="W10" s="11">
        <f>(G10*B10+G10*D10+I10-G10*M10)/G10</f>
        <v>-15.955091696399998</v>
      </c>
      <c r="X10" s="11" t="str">
        <f>IF(OR(C10&lt;G10,E10&lt;G10),"RĘCZNIE","OK")</f>
        <v>OK</v>
      </c>
      <c r="Y10" s="11"/>
      <c r="Z10" s="11"/>
      <c r="AA10" s="2">
        <v>2.427233862424937</v>
      </c>
      <c r="AB10" s="2">
        <v>0.98287950820652303</v>
      </c>
      <c r="AC10" s="7">
        <v>0.52156769546847381</v>
      </c>
      <c r="AD10" s="7">
        <v>1.6575715885368312</v>
      </c>
      <c r="AE10" s="7">
        <v>7.3469226214672588E-5</v>
      </c>
      <c r="AF10" s="12">
        <f t="shared" si="2"/>
        <v>29.883627680708141</v>
      </c>
      <c r="AG10" s="12">
        <f t="shared" si="2"/>
        <v>94.9718562639559</v>
      </c>
      <c r="AH10" s="13">
        <f t="shared" si="2"/>
        <v>4.2094765861926484E-3</v>
      </c>
      <c r="AI10" s="14">
        <f>SUMXMY2(AL10:AN10,AO10:AQ10)^0.5</f>
        <v>2.1917416374979863</v>
      </c>
      <c r="AJ10" s="2">
        <f>SUMSQ(AO10:AQ10)^0.5</f>
        <v>2.4292667720844876</v>
      </c>
      <c r="AK10" s="2">
        <f>SQRT((H10-AL10)^2+AM10^2+AN10^2)</f>
        <v>1.2098087201915471</v>
      </c>
      <c r="AL10" s="7">
        <f>AA10*COS(AC10)</f>
        <v>2.1045068015553716</v>
      </c>
      <c r="AM10" s="7">
        <f>AA10*SIN(AC10)</f>
        <v>1.2093450066500699</v>
      </c>
      <c r="AN10" s="7">
        <v>0</v>
      </c>
      <c r="AO10" s="7">
        <f>H10-AB10*COS(AD10)</f>
        <v>2.2231826291631172</v>
      </c>
      <c r="AP10" s="7">
        <f>-AB10*SIN(AD10)*COS(AE10)</f>
        <v>-0.97918131220210491</v>
      </c>
      <c r="AQ10" s="15">
        <f>-AB10*SIN(AD10)*SIN(AE10)</f>
        <v>-7.1939693460793336E-5</v>
      </c>
      <c r="AS10" s="17" t="str">
        <f>INT(G10)&amp;"."&amp;RIGHT(MOD(G10,1),LEN(MOD(H10,1))-2)</f>
        <v>1.0</v>
      </c>
      <c r="AT10" s="17" t="str">
        <f>INT(H10)&amp;"."&amp;RIGHT(MOD(H10,1),LEN(MOD(H10,1))-2)</f>
        <v>2.138</v>
      </c>
      <c r="AU10" s="17" t="str">
        <f t="shared" si="3"/>
        <v>2.427233862424937</v>
      </c>
      <c r="AV10" s="17" t="str">
        <f t="shared" si="3"/>
        <v>0.982879508206523</v>
      </c>
      <c r="AW10" s="17" t="str">
        <f t="shared" si="3"/>
        <v>0.521567695468474</v>
      </c>
      <c r="AX10" s="17" t="str">
        <f t="shared" si="3"/>
        <v>1.657571588536831</v>
      </c>
      <c r="AY10" s="17" t="str">
        <f>IFERROR(INT(AE10)&amp;"."&amp;RIGHT(MOD(AE10,1),LEN(MOD(AE10,1))-2),0)</f>
        <v>0.34692262146726E-05</v>
      </c>
      <c r="BA10" s="18">
        <f ca="1">[2]Rotation!BA8</f>
        <v>1.2296318489572619E-2</v>
      </c>
      <c r="BB10" s="18">
        <f ca="1">[2]Rotation!BB8</f>
        <v>1.2297934682648734E-2</v>
      </c>
      <c r="BC10" s="18">
        <v>0.60401599768777936</v>
      </c>
      <c r="BD10" s="16">
        <f ca="1">N(ROUND(BA10,4)=ROUND(BB10,4))</f>
        <v>1</v>
      </c>
    </row>
    <row r="11" spans="1:56" s="16" customFormat="1" ht="15" customHeight="1" x14ac:dyDescent="0.25">
      <c r="A11" s="1" t="s">
        <v>4</v>
      </c>
      <c r="B11" s="2">
        <v>-10.451000000000001</v>
      </c>
      <c r="C11" s="3">
        <v>2</v>
      </c>
      <c r="D11" s="2">
        <v>-12.968</v>
      </c>
      <c r="E11" s="3">
        <v>2</v>
      </c>
      <c r="F11" s="4" t="str">
        <f>IF(B11&gt;=D11,"A","B")</f>
        <v>A</v>
      </c>
      <c r="G11" s="5">
        <v>1</v>
      </c>
      <c r="H11" s="6">
        <v>2.3207</v>
      </c>
      <c r="I11" s="7">
        <v>-2.1899702510000001</v>
      </c>
      <c r="J11" s="7">
        <v>0.65</v>
      </c>
      <c r="K11" s="7">
        <f>IF(F11="A",M11,N11)</f>
        <v>-10.08</v>
      </c>
      <c r="L11" s="8">
        <f>IF(F11="A",N11,M11)</f>
        <v>-12.88</v>
      </c>
      <c r="M11" s="7">
        <v>-10.08</v>
      </c>
      <c r="N11" s="8">
        <f>IF(Z11&lt;&gt;0,Z11,0.565*(W11-M11)+M11)</f>
        <v>-12.88</v>
      </c>
      <c r="O11" s="9">
        <v>-2.4140000000000001</v>
      </c>
      <c r="P11" s="10">
        <f>SUMXMY2(M11:N11,T11:U11)+SUMXMY2(I11:J11,R11:S11)</f>
        <v>6.6190360328700522E-30</v>
      </c>
      <c r="Q11" s="10" t="b">
        <f>AND(ABS(R11-$I11)&lt;0.0001,ABS(S11-J11)&lt;0.0001,ABS(T11-$M11)&lt;0.0001,IF(Z11&lt;0,TRUE,T11+0.0001&gt;=U11),N11-0.0001&lt;=T11)</f>
        <v>1</v>
      </c>
      <c r="R11" s="11">
        <f>-(14.3998434*AA11*AB11/(H11^3)*(SIN(AC11)*SIN(AD11)*COS(AE11)-2*COS(AC11)*COS(AD11)))*G11</f>
        <v>-2.1899702510000001</v>
      </c>
      <c r="S11" s="11">
        <f>4.803*(H11-AA11*COS(AC11)-AB11*COS(AD11))</f>
        <v>0.64999999999999947</v>
      </c>
      <c r="T11" s="11">
        <f>IF(F11="A",-14.3998434/AA11-14.3998434/AK11+14.3998434/$H11,-14.3998434/AB11-14.3998434/AJ11+14.3998434/$H11)</f>
        <v>-10.079999999999998</v>
      </c>
      <c r="U11" s="11">
        <f>IF(F11="A",-14.3998434/AB11-14.3998434/AJ11+14.3998434/$H11,-14.3998434/AA11-14.3998434/AK11+14.3998434/$H11)</f>
        <v>-12.879999999999999</v>
      </c>
      <c r="V11" s="9">
        <f>-2*G11*6*4.803^2*AA11*AB11/H11^5*(SIN(AC11)*SIN(AD11)*COS(AE11)-2*COS(AC11)*COS(AD11))/10</f>
        <v>-0.78171574789369846</v>
      </c>
      <c r="W11" s="11">
        <f>(G11*B11+G11*D11+I11-G11*M11)/G11</f>
        <v>-15.528970251000002</v>
      </c>
      <c r="X11" s="11" t="str">
        <f>IF(OR(C11&lt;G11,E11&lt;G11),"RĘCZNIE","OK")</f>
        <v>OK</v>
      </c>
      <c r="Y11" s="11" t="s">
        <v>1</v>
      </c>
      <c r="Z11" s="11">
        <v>-12.88</v>
      </c>
      <c r="AA11" s="2">
        <v>1.3020366499614326</v>
      </c>
      <c r="AB11" s="2">
        <v>2.5346752307740927</v>
      </c>
      <c r="AC11" s="7">
        <v>1.6557731438969205</v>
      </c>
      <c r="AD11" s="7">
        <v>0.43756124362930482</v>
      </c>
      <c r="AE11" s="7">
        <v>0</v>
      </c>
      <c r="AF11" s="12">
        <f t="shared" si="2"/>
        <v>94.868812976401088</v>
      </c>
      <c r="AG11" s="12">
        <f t="shared" si="2"/>
        <v>25.070412538454747</v>
      </c>
      <c r="AH11" s="13">
        <f t="shared" si="2"/>
        <v>0</v>
      </c>
      <c r="AI11" s="14">
        <f>SUMXMY2(AL11:AN11,AO11:AQ11)^0.5</f>
        <v>2.3752192808150032</v>
      </c>
      <c r="AJ11" s="2">
        <f>SUMSQ(AO11:AQ11)^0.5</f>
        <v>1.0743091264888487</v>
      </c>
      <c r="AK11" s="2">
        <f>SQRT((H11-AL11)^2+AM11^2+AN11^2)</f>
        <v>2.75569740706276</v>
      </c>
      <c r="AL11" s="7">
        <f>AA11*COS(AC11)</f>
        <v>-0.11050981847064008</v>
      </c>
      <c r="AM11" s="7">
        <f>AA11*SIN(AC11)</f>
        <v>1.2973384361315965</v>
      </c>
      <c r="AN11" s="7">
        <v>0</v>
      </c>
      <c r="AO11" s="7">
        <f>H11-AB11*COS(AD11)</f>
        <v>2.4822265643455133E-2</v>
      </c>
      <c r="AP11" s="7">
        <f>-AB11*SIN(AD11)*COS(AE11)</f>
        <v>-1.0740223249009115</v>
      </c>
      <c r="AQ11" s="15">
        <f>-AB11*SIN(AD11)*SIN(AE11)</f>
        <v>0</v>
      </c>
      <c r="AS11" s="17" t="str">
        <f>INT(G11)&amp;"."&amp;RIGHT(MOD(G11,1),LEN(MOD(H11,1))-2)</f>
        <v>1.0</v>
      </c>
      <c r="AT11" s="17" t="str">
        <f>INT(H11)&amp;"."&amp;RIGHT(MOD(H11,1),LEN(MOD(H11,1))-2)</f>
        <v>2.3207</v>
      </c>
      <c r="AU11" s="17" t="str">
        <f t="shared" si="3"/>
        <v>1.302036649961433</v>
      </c>
      <c r="AV11" s="17" t="str">
        <f t="shared" si="3"/>
        <v>2.534675230774093</v>
      </c>
      <c r="AW11" s="17" t="str">
        <f t="shared" si="3"/>
        <v>1.655773143896921</v>
      </c>
      <c r="AX11" s="17" t="str">
        <f t="shared" si="3"/>
        <v>0.437561243629305</v>
      </c>
      <c r="AY11" s="17">
        <f>IFERROR(INT(AE11)&amp;"."&amp;RIGHT(MOD(AE11,1),LEN(MOD(AE11,1))-2),0)</f>
        <v>0</v>
      </c>
      <c r="BA11" s="18">
        <f ca="1">[2]Rotation!BA9</f>
        <v>9.9872961387208643E-3</v>
      </c>
      <c r="BB11" s="18">
        <f ca="1">[2]Rotation!BB9</f>
        <v>9.9882625452908571E-3</v>
      </c>
      <c r="BC11" s="18">
        <v>0.59334241772134544</v>
      </c>
      <c r="BD11" s="16">
        <f ca="1">N(ROUND(BA11,4)=ROUND(BB11,4))</f>
        <v>1</v>
      </c>
    </row>
    <row r="12" spans="1:56" s="16" customFormat="1" ht="15" customHeight="1" x14ac:dyDescent="0.25">
      <c r="A12" s="1" t="s">
        <v>5</v>
      </c>
      <c r="B12" s="2">
        <v>-10.45</v>
      </c>
      <c r="C12" s="3">
        <v>2</v>
      </c>
      <c r="D12" s="2">
        <v>-11.814</v>
      </c>
      <c r="E12" s="3">
        <v>2</v>
      </c>
      <c r="F12" s="4" t="str">
        <f>IF(B12&gt;=D12,"A","B")</f>
        <v>A</v>
      </c>
      <c r="G12" s="5">
        <v>1</v>
      </c>
      <c r="H12" s="6">
        <v>2.4849999999999999</v>
      </c>
      <c r="I12" s="7">
        <v>-1.8562407569999999</v>
      </c>
      <c r="J12" s="7">
        <v>0.73699999999999999</v>
      </c>
      <c r="K12" s="7">
        <f>IF(F12="A",M12,N12)</f>
        <v>-9.85</v>
      </c>
      <c r="L12" s="8">
        <f>IF(F12="A",N12,M12)</f>
        <v>-11.99</v>
      </c>
      <c r="M12" s="7">
        <v>-9.85</v>
      </c>
      <c r="N12" s="8">
        <f>IF(Z12&lt;&gt;0,Z12,0.565*(W12-M12)+M12)</f>
        <v>-11.99</v>
      </c>
      <c r="O12" s="9">
        <v>-2.0779999999999998</v>
      </c>
      <c r="P12" s="10">
        <f>SUMXMY2(M12:N12,T12:U12)+SUMXMY2(I12:J12,R12:S12)</f>
        <v>7.3092893249384375E-30</v>
      </c>
      <c r="Q12" s="10" t="b">
        <f>AND(ABS(R12-$I12)&lt;0.0001,ABS(S12-J12)&lt;0.0001,ABS(T12-$M12)&lt;0.0001,IF(Z12&lt;0,TRUE,T12+0.0001&gt;=U12),N12-0.0001&lt;=T12)</f>
        <v>1</v>
      </c>
      <c r="R12" s="11">
        <f>-(14.3998434*AA12*AB12/(H12^3)*(SIN(AC12)*SIN(AD12)*COS(AE12)-2*COS(AC12)*COS(AD12)))*G12</f>
        <v>-1.8562407569999999</v>
      </c>
      <c r="S12" s="11">
        <f>4.803*(H12-AA12*COS(AC12)-AB12*COS(AD12))</f>
        <v>0.73699999999999899</v>
      </c>
      <c r="T12" s="11">
        <f>IF(F12="A",-14.3998434/AA12-14.3998434/AK12+14.3998434/$H12,-14.3998434/AB12-14.3998434/AJ12+14.3998434/$H12)</f>
        <v>-9.8499999999999979</v>
      </c>
      <c r="U12" s="11">
        <f>IF(F12="A",-14.3998434/AB12-14.3998434/AJ12+14.3998434/$H12,-14.3998434/AA12-14.3998434/AK12+14.3998434/$H12)</f>
        <v>-11.989999999999998</v>
      </c>
      <c r="V12" s="9">
        <f>-2*G12*6*4.803^2*AA12*AB12/H12^5*(SIN(AC12)*SIN(AD12)*COS(AE12)-2*COS(AC12)*COS(AD12))/10</f>
        <v>-0.57787002589046155</v>
      </c>
      <c r="W12" s="11">
        <f>(G12*B12+G12*D12+I12-G12*M12)/G12</f>
        <v>-14.270240756999998</v>
      </c>
      <c r="X12" s="11" t="str">
        <f>IF(OR(C12&lt;G12,E12&lt;G12),"RĘCZNIE","OK")</f>
        <v>OK</v>
      </c>
      <c r="Y12" s="11" t="s">
        <v>1</v>
      </c>
      <c r="Z12" s="11">
        <v>-11.99</v>
      </c>
      <c r="AA12" s="2">
        <v>2.7814748425373961</v>
      </c>
      <c r="AB12" s="2">
        <v>1.1372893138844311</v>
      </c>
      <c r="AC12" s="7">
        <v>0.51668002290165405</v>
      </c>
      <c r="AD12" s="7">
        <v>1.647226022253631</v>
      </c>
      <c r="AE12" s="7">
        <v>5.8636656761163939E-5</v>
      </c>
      <c r="AF12" s="12">
        <f t="shared" si="2"/>
        <v>29.603584670987495</v>
      </c>
      <c r="AG12" s="12">
        <f t="shared" si="2"/>
        <v>94.379098979255673</v>
      </c>
      <c r="AH12" s="13">
        <f t="shared" si="2"/>
        <v>3.3596329571719367E-3</v>
      </c>
      <c r="AI12" s="14">
        <f>SUMXMY2(AL12:AN12,AO12:AQ12)^0.5</f>
        <v>2.512697076891663</v>
      </c>
      <c r="AJ12" s="2">
        <f>SUMSQ(AO12:AQ12)^0.5</f>
        <v>2.8107360623402027</v>
      </c>
      <c r="AK12" s="2">
        <f>SQRT((H12-AL12)^2+AM12^2+AN12^2)</f>
        <v>1.3756516686415414</v>
      </c>
      <c r="AL12" s="7">
        <f>AA12*COS(AC12)</f>
        <v>2.4183923111131138</v>
      </c>
      <c r="AM12" s="7">
        <f>AA12*SIN(AC12)</f>
        <v>1.3740381833185733</v>
      </c>
      <c r="AN12" s="7">
        <v>0</v>
      </c>
      <c r="AO12" s="7">
        <f>H12-AB12*COS(AD12)</f>
        <v>2.5718380741778648</v>
      </c>
      <c r="AP12" s="7">
        <f>-AB12*SIN(AD12)*COS(AE12)</f>
        <v>-1.1339691917894383</v>
      </c>
      <c r="AQ12" s="15">
        <f>-AB12*SIN(AD12)*SIN(AE12)</f>
        <v>-6.6492162352897497E-5</v>
      </c>
      <c r="AS12" s="17" t="str">
        <f>INT(G12)&amp;"."&amp;RIGHT(MOD(G12,1),LEN(MOD(H12,1))-2)</f>
        <v>1.0</v>
      </c>
      <c r="AT12" s="17" t="str">
        <f>INT(H12)&amp;"."&amp;RIGHT(MOD(H12,1),LEN(MOD(H12,1))-2)</f>
        <v>2.485</v>
      </c>
      <c r="AU12" s="17" t="str">
        <f t="shared" si="3"/>
        <v>2.781474842537396</v>
      </c>
      <c r="AV12" s="17" t="str">
        <f t="shared" si="3"/>
        <v>1.137289313884431</v>
      </c>
      <c r="AW12" s="17" t="str">
        <f t="shared" si="3"/>
        <v>0.516680022901654</v>
      </c>
      <c r="AX12" s="17" t="str">
        <f t="shared" si="3"/>
        <v>1.647226022253631</v>
      </c>
      <c r="AY12" s="17" t="str">
        <f>IFERROR(INT(AE12)&amp;"."&amp;RIGHT(MOD(AE12,1),LEN(MOD(AE12,1))-2),0)</f>
        <v>0.86366567611639E-05</v>
      </c>
      <c r="BA12" s="18">
        <f ca="1">[2]Rotation!BA10</f>
        <v>1.594409111891747E-2</v>
      </c>
      <c r="BB12" s="18">
        <f ca="1">[2]Rotation!BB10</f>
        <v>1.5944091173953037E-2</v>
      </c>
      <c r="BC12" s="18">
        <v>0.59485033041893109</v>
      </c>
      <c r="BD12" s="16">
        <f ca="1">N(ROUND(BA12,4)=ROUND(BB12,4))</f>
        <v>1</v>
      </c>
    </row>
  </sheetData>
  <conditionalFormatting sqref="BD8:BJ12">
    <cfRule type="cellIs" dxfId="5" priority="8" operator="equal">
      <formula>1</formula>
    </cfRule>
  </conditionalFormatting>
  <conditionalFormatting sqref="BK8:BK12">
    <cfRule type="cellIs" dxfId="4" priority="7" operator="equal">
      <formula>1</formula>
    </cfRule>
  </conditionalFormatting>
  <conditionalFormatting sqref="BL8:BM12">
    <cfRule type="cellIs" dxfId="3" priority="6" operator="equal">
      <formula>1</formula>
    </cfRule>
  </conditionalFormatting>
  <conditionalFormatting sqref="BN8:BN12">
    <cfRule type="cellIs" dxfId="2" priority="5" operator="equal">
      <formula>1</formula>
    </cfRule>
  </conditionalFormatting>
  <conditionalFormatting sqref="BO8:BO12">
    <cfRule type="cellIs" dxfId="1" priority="4" operator="equal">
      <formula>1</formula>
    </cfRule>
  </conditionalFormatting>
  <conditionalFormatting sqref="BC8:BC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2:BO6">
    <cfRule type="cellIs" dxfId="0" priority="1" operator="equal">
      <formula>1</formula>
    </cfRule>
  </conditionalFormatting>
  <conditionalFormatting sqref="BC2:BC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dcterms:created xsi:type="dcterms:W3CDTF">2019-08-15T07:09:56Z</dcterms:created>
  <dcterms:modified xsi:type="dcterms:W3CDTF">2019-08-23T07:49:59Z</dcterms:modified>
</cp:coreProperties>
</file>